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Report!$A$1:$H$793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1" i="1" l="1"/>
  <c r="A282" i="1" s="1"/>
  <c r="A283" i="1" s="1"/>
  <c r="A284" i="1" s="1"/>
  <c r="A285" i="1" s="1"/>
  <c r="A286" i="1" s="1"/>
  <c r="A287" i="1" s="1"/>
  <c r="A288" i="1" s="1"/>
  <c r="A289" i="1" s="1"/>
  <c r="A270" i="1"/>
  <c r="A271" i="1" s="1"/>
  <c r="A272" i="1" s="1"/>
  <c r="A273" i="1" s="1"/>
  <c r="A274" i="1" s="1"/>
  <c r="A275" i="1" s="1"/>
  <c r="A276" i="1" s="1"/>
  <c r="A277" i="1" s="1"/>
  <c r="A278" i="1" s="1"/>
  <c r="A258" i="1"/>
  <c r="A259" i="1" s="1"/>
  <c r="A260" i="1" s="1"/>
  <c r="A261" i="1" s="1"/>
  <c r="A262" i="1" s="1"/>
  <c r="A263" i="1" s="1"/>
  <c r="A264" i="1" s="1"/>
  <c r="A265" i="1" s="1"/>
  <c r="A266" i="1" s="1"/>
  <c r="A247" i="1"/>
  <c r="A248" i="1" s="1"/>
  <c r="A249" i="1" s="1"/>
  <c r="A250" i="1" s="1"/>
  <c r="A251" i="1" s="1"/>
  <c r="A252" i="1" s="1"/>
  <c r="A253" i="1" s="1"/>
  <c r="A254" i="1" s="1"/>
  <c r="A255" i="1" s="1"/>
  <c r="A236" i="1"/>
  <c r="A237" i="1" s="1"/>
  <c r="A238" i="1" s="1"/>
  <c r="A239" i="1" s="1"/>
  <c r="A240" i="1" s="1"/>
  <c r="A241" i="1" s="1"/>
  <c r="A242" i="1" s="1"/>
  <c r="A243" i="1" s="1"/>
  <c r="A244" i="1" s="1"/>
  <c r="A222" i="1"/>
  <c r="A223" i="1" s="1"/>
  <c r="A224" i="1" s="1"/>
  <c r="A225" i="1" s="1"/>
  <c r="A226" i="1" s="1"/>
  <c r="A227" i="1" s="1"/>
  <c r="A228" i="1" s="1"/>
  <c r="A229" i="1" s="1"/>
  <c r="A230" i="1" s="1"/>
  <c r="A231" i="1" s="1"/>
  <c r="A232" i="1" s="1"/>
  <c r="A209" i="1"/>
  <c r="A210" i="1" s="1"/>
  <c r="A211" i="1" s="1"/>
  <c r="A212" i="1" s="1"/>
  <c r="A213" i="1" s="1"/>
  <c r="A214" i="1" s="1"/>
  <c r="A215" i="1" s="1"/>
  <c r="A216" i="1" s="1"/>
  <c r="A217" i="1" s="1"/>
  <c r="A218" i="1" s="1"/>
  <c r="A219" i="1" s="1"/>
  <c r="A196" i="1"/>
  <c r="A197" i="1" s="1"/>
  <c r="A198" i="1" s="1"/>
  <c r="A199" i="1" s="1"/>
  <c r="A200" i="1" s="1"/>
  <c r="A201" i="1" s="1"/>
  <c r="A202" i="1" s="1"/>
  <c r="A203" i="1" s="1"/>
  <c r="A204" i="1" s="1"/>
  <c r="A205" i="1" s="1"/>
  <c r="A206" i="1" s="1"/>
  <c r="A182" i="1"/>
  <c r="A183" i="1" s="1"/>
  <c r="A184" i="1" s="1"/>
  <c r="A185" i="1" s="1"/>
  <c r="A186" i="1" s="1"/>
  <c r="A187" i="1" s="1"/>
  <c r="A188" i="1" s="1"/>
  <c r="A189" i="1" s="1"/>
  <c r="A190" i="1" s="1"/>
  <c r="A191" i="1" s="1"/>
  <c r="A192" i="1" s="1"/>
  <c r="A169" i="1" l="1"/>
  <c r="A170" i="1" s="1"/>
  <c r="A171" i="1" s="1"/>
  <c r="A172" i="1" s="1"/>
  <c r="A173" i="1" s="1"/>
  <c r="A174" i="1" s="1"/>
  <c r="A175" i="1" s="1"/>
  <c r="A176" i="1" s="1"/>
  <c r="A177" i="1" s="1"/>
  <c r="A178" i="1" s="1"/>
  <c r="A179" i="1" s="1"/>
  <c r="A156" i="1"/>
  <c r="A157" i="1" s="1"/>
  <c r="A158" i="1" s="1"/>
  <c r="A159" i="1" s="1"/>
  <c r="A160" i="1" s="1"/>
  <c r="A161" i="1" s="1"/>
  <c r="A162" i="1" s="1"/>
  <c r="A163" i="1" s="1"/>
  <c r="A164" i="1" s="1"/>
  <c r="A165" i="1" s="1"/>
  <c r="A166" i="1" s="1"/>
  <c r="A292" i="1" l="1"/>
  <c r="A293" i="1" s="1"/>
  <c r="A294" i="1" s="1"/>
  <c r="A295" i="1" s="1"/>
  <c r="A296" i="1" s="1"/>
  <c r="A297" i="1" s="1"/>
  <c r="A298" i="1" s="1"/>
  <c r="A299" i="1" s="1"/>
  <c r="A300" i="1" s="1"/>
  <c r="A301" i="1" s="1"/>
  <c r="A302" i="1" s="1"/>
  <c r="J124" i="1" l="1"/>
  <c r="I159" i="1"/>
  <c r="E219" i="1"/>
  <c r="D219" i="1"/>
  <c r="E218" i="1"/>
  <c r="D218" i="1"/>
  <c r="E217" i="1"/>
  <c r="D217" i="1"/>
  <c r="I216" i="1"/>
  <c r="E216" i="1"/>
  <c r="D216" i="1"/>
  <c r="E215" i="1"/>
  <c r="D215" i="1"/>
  <c r="E214" i="1"/>
  <c r="D214" i="1"/>
  <c r="E213" i="1"/>
  <c r="D213" i="1"/>
  <c r="E212" i="1"/>
  <c r="D212" i="1"/>
  <c r="E211" i="1"/>
  <c r="D211" i="1"/>
  <c r="E210" i="1"/>
  <c r="D210" i="1"/>
  <c r="E184" i="1"/>
  <c r="E253" i="1"/>
  <c r="E252" i="1"/>
  <c r="E251" i="1"/>
  <c r="I168" i="1"/>
  <c r="G242" i="1"/>
  <c r="G241" i="1"/>
  <c r="G240" i="1"/>
  <c r="J240" i="1"/>
  <c r="G163" i="1"/>
  <c r="G162" i="1"/>
  <c r="G161" i="1"/>
  <c r="G160" i="1"/>
  <c r="G159" i="1"/>
  <c r="G158" i="1"/>
  <c r="I158" i="1"/>
  <c r="D163" i="1"/>
  <c r="I134" i="1"/>
  <c r="I133" i="1"/>
  <c r="F216" i="1" l="1"/>
  <c r="H216" i="1" s="1"/>
  <c r="J216" i="1" s="1"/>
  <c r="K216" i="1" s="1"/>
  <c r="F211" i="1"/>
  <c r="H211" i="1" s="1"/>
  <c r="J211" i="1" s="1"/>
  <c r="K211" i="1" s="1"/>
  <c r="F215" i="1"/>
  <c r="H215" i="1" s="1"/>
  <c r="J215" i="1" s="1"/>
  <c r="K215" i="1" s="1"/>
  <c r="F210" i="1"/>
  <c r="H210" i="1" s="1"/>
  <c r="J210" i="1" s="1"/>
  <c r="K210" i="1" s="1"/>
  <c r="F214" i="1"/>
  <c r="H214" i="1" s="1"/>
  <c r="J214" i="1" s="1"/>
  <c r="K214" i="1" s="1"/>
  <c r="F217" i="1"/>
  <c r="H217" i="1" s="1"/>
  <c r="J217" i="1" s="1"/>
  <c r="K217" i="1" s="1"/>
  <c r="F218" i="1"/>
  <c r="H218" i="1" s="1"/>
  <c r="J218" i="1" s="1"/>
  <c r="K218" i="1" s="1"/>
  <c r="F212" i="1"/>
  <c r="H212" i="1" s="1"/>
  <c r="J212" i="1" s="1"/>
  <c r="K212" i="1" s="1"/>
  <c r="F219" i="1"/>
  <c r="H219" i="1" s="1"/>
  <c r="J219" i="1" s="1"/>
  <c r="K219" i="1" s="1"/>
  <c r="F213" i="1"/>
  <c r="H213" i="1" s="1"/>
  <c r="J213" i="1" s="1"/>
  <c r="K213" i="1" s="1"/>
  <c r="E287" i="1"/>
  <c r="D287" i="1"/>
  <c r="E286" i="1"/>
  <c r="D286" i="1"/>
  <c r="E285" i="1"/>
  <c r="D285" i="1"/>
  <c r="E284" i="1"/>
  <c r="D284" i="1"/>
  <c r="E278" i="1"/>
  <c r="D278" i="1"/>
  <c r="E277" i="1"/>
  <c r="D277" i="1"/>
  <c r="E276" i="1"/>
  <c r="D276" i="1"/>
  <c r="E275" i="1"/>
  <c r="D275" i="1"/>
  <c r="E274" i="1"/>
  <c r="D274" i="1"/>
  <c r="E273" i="1"/>
  <c r="D273" i="1"/>
  <c r="E272" i="1"/>
  <c r="D272" i="1"/>
  <c r="E271" i="1"/>
  <c r="D271" i="1"/>
  <c r="E270" i="1"/>
  <c r="D270" i="1"/>
  <c r="E269" i="1"/>
  <c r="D269" i="1"/>
  <c r="E266" i="1"/>
  <c r="D266" i="1"/>
  <c r="E265" i="1"/>
  <c r="D265" i="1"/>
  <c r="E264" i="1"/>
  <c r="D264" i="1"/>
  <c r="E263" i="1"/>
  <c r="D263" i="1"/>
  <c r="E262" i="1"/>
  <c r="D262" i="1"/>
  <c r="E260" i="1"/>
  <c r="D260" i="1"/>
  <c r="E259" i="1"/>
  <c r="D259" i="1"/>
  <c r="E258" i="1"/>
  <c r="D258" i="1"/>
  <c r="E257" i="1"/>
  <c r="D257" i="1"/>
  <c r="E255" i="1"/>
  <c r="D255" i="1"/>
  <c r="E254" i="1"/>
  <c r="D254" i="1"/>
  <c r="D253" i="1"/>
  <c r="D252" i="1"/>
  <c r="D251" i="1"/>
  <c r="E250" i="1"/>
  <c r="D250" i="1"/>
  <c r="E249" i="1"/>
  <c r="D249" i="1"/>
  <c r="E248" i="1"/>
  <c r="D248" i="1"/>
  <c r="E247" i="1"/>
  <c r="D247" i="1"/>
  <c r="E246" i="1"/>
  <c r="D246" i="1"/>
  <c r="E244" i="1"/>
  <c r="D244" i="1"/>
  <c r="E243" i="1"/>
  <c r="D243" i="1"/>
  <c r="E242" i="1"/>
  <c r="D242" i="1"/>
  <c r="E241" i="1"/>
  <c r="D241" i="1"/>
  <c r="E240" i="1"/>
  <c r="D240" i="1"/>
  <c r="E239" i="1"/>
  <c r="D239" i="1"/>
  <c r="E238" i="1"/>
  <c r="D238" i="1"/>
  <c r="E237" i="1"/>
  <c r="D237" i="1"/>
  <c r="E236" i="1"/>
  <c r="D236" i="1"/>
  <c r="E235" i="1"/>
  <c r="D235" i="1"/>
  <c r="E229" i="1"/>
  <c r="D229" i="1"/>
  <c r="E228" i="1"/>
  <c r="D228" i="1"/>
  <c r="E227" i="1"/>
  <c r="D227" i="1"/>
  <c r="E226" i="1"/>
  <c r="D226" i="1"/>
  <c r="E225" i="1"/>
  <c r="D225" i="1"/>
  <c r="E224" i="1"/>
  <c r="D224" i="1"/>
  <c r="E206" i="1"/>
  <c r="D206" i="1"/>
  <c r="E205" i="1"/>
  <c r="D205" i="1"/>
  <c r="E204" i="1"/>
  <c r="D204" i="1"/>
  <c r="E203" i="1"/>
  <c r="D203" i="1"/>
  <c r="E202" i="1"/>
  <c r="D202" i="1"/>
  <c r="E201" i="1"/>
  <c r="D201" i="1"/>
  <c r="E200" i="1"/>
  <c r="D200" i="1"/>
  <c r="E199" i="1"/>
  <c r="D199" i="1"/>
  <c r="E198" i="1"/>
  <c r="D198" i="1"/>
  <c r="E197" i="1"/>
  <c r="D197" i="1"/>
  <c r="E192" i="1"/>
  <c r="D192" i="1"/>
  <c r="E191" i="1"/>
  <c r="D191" i="1"/>
  <c r="E190" i="1"/>
  <c r="D190" i="1"/>
  <c r="E189" i="1"/>
  <c r="D189" i="1"/>
  <c r="E188" i="1"/>
  <c r="D188" i="1"/>
  <c r="E187" i="1"/>
  <c r="D187" i="1"/>
  <c r="E186" i="1"/>
  <c r="D186" i="1"/>
  <c r="E185" i="1"/>
  <c r="D185" i="1"/>
  <c r="D184" i="1"/>
  <c r="E183" i="1"/>
  <c r="D183" i="1"/>
  <c r="E182" i="1"/>
  <c r="D182" i="1"/>
  <c r="E179" i="1"/>
  <c r="D179" i="1"/>
  <c r="E178" i="1"/>
  <c r="D178" i="1"/>
  <c r="E177" i="1"/>
  <c r="D177" i="1"/>
  <c r="E176" i="1"/>
  <c r="D176" i="1"/>
  <c r="E175" i="1"/>
  <c r="D175" i="1"/>
  <c r="E174" i="1"/>
  <c r="D174" i="1"/>
  <c r="E173" i="1"/>
  <c r="D173" i="1"/>
  <c r="E172" i="1"/>
  <c r="D172" i="1"/>
  <c r="E171" i="1"/>
  <c r="D171" i="1"/>
  <c r="E170" i="1"/>
  <c r="D170" i="1"/>
  <c r="E169" i="1"/>
  <c r="D169" i="1"/>
  <c r="E168" i="1"/>
  <c r="D168" i="1"/>
  <c r="E166" i="1"/>
  <c r="D166" i="1"/>
  <c r="E165" i="1"/>
  <c r="D165" i="1"/>
  <c r="E164" i="1"/>
  <c r="D164" i="1"/>
  <c r="E163" i="1"/>
  <c r="E162" i="1"/>
  <c r="D162" i="1"/>
  <c r="E161" i="1"/>
  <c r="D161" i="1"/>
  <c r="E160" i="1"/>
  <c r="D160" i="1"/>
  <c r="E159" i="1"/>
  <c r="D159" i="1"/>
  <c r="E158" i="1"/>
  <c r="D158" i="1"/>
  <c r="E157" i="1"/>
  <c r="D157" i="1"/>
  <c r="E156" i="1"/>
  <c r="D156" i="1"/>
  <c r="E155" i="1"/>
  <c r="D155"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I131" i="1"/>
  <c r="I252" i="1"/>
  <c r="I240" i="1"/>
  <c r="I235" i="1"/>
  <c r="J203" i="1"/>
  <c r="I203" i="1"/>
  <c r="J187" i="1"/>
  <c r="I187" i="1"/>
  <c r="I183" i="1"/>
  <c r="F172" i="1" l="1"/>
  <c r="F269" i="1"/>
  <c r="H269" i="1" s="1"/>
  <c r="F236" i="1"/>
  <c r="H236" i="1" s="1"/>
  <c r="F285" i="1"/>
  <c r="H285" i="1" s="1"/>
  <c r="F201" i="1"/>
  <c r="H201" i="1" s="1"/>
  <c r="F206" i="1"/>
  <c r="H206" i="1" s="1"/>
  <c r="F227" i="1"/>
  <c r="H227" i="1" s="1"/>
  <c r="F243" i="1"/>
  <c r="H243" i="1" s="1"/>
  <c r="F247" i="1"/>
  <c r="H247" i="1" s="1"/>
  <c r="F250" i="1"/>
  <c r="H250" i="1" s="1"/>
  <c r="F253" i="1"/>
  <c r="H253" i="1" s="1"/>
  <c r="F254" i="1"/>
  <c r="H254" i="1" s="1"/>
  <c r="F257" i="1"/>
  <c r="H257" i="1" s="1"/>
  <c r="F258" i="1"/>
  <c r="H258" i="1" s="1"/>
  <c r="F260" i="1"/>
  <c r="H260" i="1" s="1"/>
  <c r="F274" i="1"/>
  <c r="H274" i="1" s="1"/>
  <c r="F199" i="1"/>
  <c r="H199" i="1" s="1"/>
  <c r="F229" i="1"/>
  <c r="H229" i="1" s="1"/>
  <c r="F235" i="1"/>
  <c r="F238" i="1"/>
  <c r="H238" i="1" s="1"/>
  <c r="F240" i="1"/>
  <c r="H240" i="1" s="1"/>
  <c r="F248" i="1"/>
  <c r="H248" i="1" s="1"/>
  <c r="F263" i="1"/>
  <c r="H263" i="1" s="1"/>
  <c r="F264" i="1"/>
  <c r="H264" i="1" s="1"/>
  <c r="F271" i="1"/>
  <c r="H271" i="1" s="1"/>
  <c r="F277" i="1"/>
  <c r="H277" i="1" s="1"/>
  <c r="F284" i="1"/>
  <c r="H284" i="1" s="1"/>
  <c r="F197" i="1"/>
  <c r="H197" i="1" s="1"/>
  <c r="F204" i="1"/>
  <c r="H204" i="1" s="1"/>
  <c r="F205" i="1"/>
  <c r="H205" i="1" s="1"/>
  <c r="F225" i="1"/>
  <c r="H225" i="1" s="1"/>
  <c r="F237" i="1"/>
  <c r="H237" i="1" s="1"/>
  <c r="F239" i="1"/>
  <c r="H239" i="1" s="1"/>
  <c r="F241" i="1"/>
  <c r="H241" i="1" s="1"/>
  <c r="F242" i="1"/>
  <c r="H242" i="1" s="1"/>
  <c r="F244" i="1"/>
  <c r="H244" i="1" s="1"/>
  <c r="F246" i="1"/>
  <c r="H246" i="1" s="1"/>
  <c r="F249" i="1"/>
  <c r="H249" i="1" s="1"/>
  <c r="F251" i="1"/>
  <c r="H251" i="1" s="1"/>
  <c r="F252" i="1"/>
  <c r="H252" i="1" s="1"/>
  <c r="F255" i="1"/>
  <c r="H255" i="1" s="1"/>
  <c r="F259" i="1"/>
  <c r="H259" i="1" s="1"/>
  <c r="F262" i="1"/>
  <c r="H262" i="1" s="1"/>
  <c r="F265" i="1"/>
  <c r="H265" i="1" s="1"/>
  <c r="F266" i="1"/>
  <c r="H266" i="1" s="1"/>
  <c r="F270" i="1"/>
  <c r="H270" i="1" s="1"/>
  <c r="F272" i="1"/>
  <c r="H272" i="1" s="1"/>
  <c r="F273" i="1"/>
  <c r="H273" i="1" s="1"/>
  <c r="F275" i="1"/>
  <c r="H275" i="1" s="1"/>
  <c r="F278" i="1"/>
  <c r="H278" i="1" s="1"/>
  <c r="F286" i="1"/>
  <c r="H286" i="1" s="1"/>
  <c r="F224" i="1"/>
  <c r="H224" i="1" s="1"/>
  <c r="J224" i="1" s="1"/>
  <c r="F287" i="1"/>
  <c r="H287" i="1" s="1"/>
  <c r="F203" i="1"/>
  <c r="H203" i="1" s="1"/>
  <c r="F198" i="1"/>
  <c r="H198" i="1" s="1"/>
  <c r="F276" i="1"/>
  <c r="H276" i="1" s="1"/>
  <c r="F202" i="1"/>
  <c r="H202" i="1" s="1"/>
  <c r="F200" i="1"/>
  <c r="H200" i="1" s="1"/>
  <c r="F228" i="1"/>
  <c r="H228" i="1" s="1"/>
  <c r="F226" i="1"/>
  <c r="H226" i="1" s="1"/>
  <c r="F185" i="1"/>
  <c r="H185" i="1" s="1"/>
  <c r="F186" i="1"/>
  <c r="H186" i="1" s="1"/>
  <c r="F187" i="1"/>
  <c r="H187" i="1" s="1"/>
  <c r="F188" i="1"/>
  <c r="H188" i="1" s="1"/>
  <c r="F189" i="1"/>
  <c r="H189" i="1" s="1"/>
  <c r="F190" i="1"/>
  <c r="H190" i="1" s="1"/>
  <c r="F191" i="1"/>
  <c r="H191" i="1" s="1"/>
  <c r="F192" i="1"/>
  <c r="H192" i="1" s="1"/>
  <c r="F184" i="1"/>
  <c r="H184" i="1" s="1"/>
  <c r="F183" i="1"/>
  <c r="H183" i="1" s="1"/>
  <c r="F182" i="1"/>
  <c r="H182" i="1" s="1"/>
  <c r="F179" i="1"/>
  <c r="H179" i="1" s="1"/>
  <c r="F177" i="1"/>
  <c r="H177" i="1" s="1"/>
  <c r="J177" i="1" s="1"/>
  <c r="F171" i="1"/>
  <c r="F168" i="1"/>
  <c r="I169" i="1"/>
  <c r="I172" i="1"/>
  <c r="F174" i="1"/>
  <c r="H174" i="1" s="1"/>
  <c r="F178" i="1"/>
  <c r="H178" i="1" s="1"/>
  <c r="F170" i="1"/>
  <c r="H170" i="1" s="1"/>
  <c r="F169" i="1"/>
  <c r="H169" i="1" s="1"/>
  <c r="F165" i="1"/>
  <c r="F166" i="1"/>
  <c r="F164" i="1"/>
  <c r="F160" i="1"/>
  <c r="F162" i="1"/>
  <c r="I160" i="1"/>
  <c r="I155" i="1"/>
  <c r="F159" i="1"/>
  <c r="F161" i="1"/>
  <c r="F163" i="1"/>
  <c r="F149" i="1"/>
  <c r="H149" i="1" s="1"/>
  <c r="K149" i="1" s="1"/>
  <c r="F148" i="1"/>
  <c r="H148" i="1" s="1"/>
  <c r="K148" i="1" s="1"/>
  <c r="F146" i="1"/>
  <c r="H146" i="1" s="1"/>
  <c r="K146" i="1" s="1"/>
  <c r="F145" i="1"/>
  <c r="H145" i="1" s="1"/>
  <c r="K145" i="1" s="1"/>
  <c r="F144" i="1"/>
  <c r="H144" i="1" s="1"/>
  <c r="K144" i="1" s="1"/>
  <c r="F142" i="1"/>
  <c r="H142" i="1" s="1"/>
  <c r="K142" i="1" s="1"/>
  <c r="F141" i="1"/>
  <c r="H141" i="1" s="1"/>
  <c r="K141" i="1" s="1"/>
  <c r="F140" i="1"/>
  <c r="H140" i="1" s="1"/>
  <c r="K140" i="1" s="1"/>
  <c r="F138" i="1"/>
  <c r="H138" i="1" s="1"/>
  <c r="K138" i="1" s="1"/>
  <c r="F137" i="1"/>
  <c r="H137" i="1" s="1"/>
  <c r="K137" i="1" s="1"/>
  <c r="F139" i="1"/>
  <c r="H139" i="1" s="1"/>
  <c r="K139" i="1" s="1"/>
  <c r="F143" i="1"/>
  <c r="H143" i="1" s="1"/>
  <c r="K143" i="1" s="1"/>
  <c r="F147" i="1"/>
  <c r="H147" i="1" s="1"/>
  <c r="K147" i="1" s="1"/>
  <c r="I136" i="1"/>
  <c r="E43" i="1"/>
  <c r="H164" i="1" l="1"/>
  <c r="J164" i="1"/>
  <c r="H162" i="1"/>
  <c r="J162" i="1"/>
  <c r="H160" i="1"/>
  <c r="J160" i="1"/>
  <c r="H163" i="1"/>
  <c r="J163" i="1"/>
  <c r="H166" i="1"/>
  <c r="J166" i="1"/>
  <c r="H168" i="1"/>
  <c r="J168" i="1"/>
  <c r="C124" i="1"/>
  <c r="H161" i="1"/>
  <c r="J161" i="1"/>
  <c r="H165" i="1"/>
  <c r="J165" i="1"/>
  <c r="H171" i="1"/>
  <c r="J171" i="1"/>
  <c r="H159" i="1"/>
  <c r="J159" i="1"/>
  <c r="H235" i="1"/>
  <c r="G124" i="1" s="1"/>
  <c r="E124" i="1"/>
  <c r="H172" i="1"/>
  <c r="F176" i="1"/>
  <c r="H176" i="1" s="1"/>
  <c r="F175" i="1"/>
  <c r="H175" i="1" s="1"/>
  <c r="F173" i="1"/>
  <c r="H173" i="1" s="1"/>
  <c r="B292" i="1"/>
  <c r="F134" i="1" l="1"/>
  <c r="H134" i="1" s="1"/>
  <c r="K134" i="1" s="1"/>
  <c r="F135" i="1"/>
  <c r="H135" i="1" s="1"/>
  <c r="K135" i="1" s="1"/>
  <c r="F136" i="1"/>
  <c r="H136" i="1" s="1"/>
  <c r="K136" i="1" s="1"/>
  <c r="F133" i="1"/>
  <c r="C119" i="1" l="1"/>
  <c r="C120" i="1" s="1"/>
  <c r="H133" i="1"/>
  <c r="E119" i="1"/>
  <c r="E120" i="1" s="1"/>
  <c r="G119" i="1" l="1"/>
  <c r="G120" i="1" s="1"/>
  <c r="K133" i="1"/>
  <c r="J133" i="1"/>
  <c r="S33" i="1"/>
  <c r="F11" i="5" l="1"/>
  <c r="G11" i="5" s="1"/>
  <c r="F10" i="5"/>
  <c r="G10" i="5" s="1"/>
  <c r="F9" i="5"/>
  <c r="G9" i="5" s="1"/>
  <c r="F8" i="5"/>
  <c r="G8" i="5" s="1"/>
  <c r="F7" i="5"/>
  <c r="G7" i="5" s="1"/>
  <c r="F6" i="5"/>
  <c r="G6" i="5" s="1"/>
  <c r="F5" i="5"/>
  <c r="G5" i="5" s="1"/>
  <c r="G12" i="5" s="1"/>
  <c r="D321" i="1"/>
  <c r="B293" i="1"/>
  <c r="F158" i="1"/>
  <c r="F157" i="1"/>
  <c r="F156" i="1"/>
  <c r="F155" i="1"/>
  <c r="A134" i="1"/>
  <c r="A135" i="1" s="1"/>
  <c r="A136" i="1" s="1"/>
  <c r="A137" i="1" s="1"/>
  <c r="A138" i="1" s="1"/>
  <c r="A139" i="1" s="1"/>
  <c r="A140" i="1" s="1"/>
  <c r="A141" i="1" s="1"/>
  <c r="A142" i="1" s="1"/>
  <c r="A143" i="1" s="1"/>
  <c r="A144" i="1" s="1"/>
  <c r="A145" i="1" s="1"/>
  <c r="A146" i="1" s="1"/>
  <c r="A147" i="1" s="1"/>
  <c r="A148" i="1" s="1"/>
  <c r="A149" i="1" s="1"/>
  <c r="F116" i="1"/>
  <c r="C90" i="1"/>
  <c r="C76" i="1"/>
  <c r="D70" i="1"/>
  <c r="D64" i="1"/>
  <c r="C51" i="1"/>
  <c r="C52" i="1" s="1"/>
  <c r="E44" i="1"/>
  <c r="E45" i="1" s="1"/>
  <c r="E31" i="1"/>
  <c r="E28" i="1"/>
  <c r="E26" i="1"/>
  <c r="C16" i="1"/>
  <c r="I15" i="1"/>
  <c r="Z13" i="1"/>
  <c r="E8" i="1"/>
  <c r="E3" i="1"/>
  <c r="H91" i="1"/>
  <c r="H77" i="1"/>
  <c r="H156" i="1" l="1"/>
  <c r="J156" i="1"/>
  <c r="H157" i="1"/>
  <c r="J157" i="1"/>
  <c r="I157" i="1"/>
  <c r="H158" i="1"/>
  <c r="J158" i="1"/>
  <c r="E123" i="1"/>
  <c r="E125" i="1" s="1"/>
  <c r="E126" i="1" s="1"/>
  <c r="C123" i="1"/>
  <c r="C125" i="1" s="1"/>
  <c r="C126" i="1" s="1"/>
  <c r="J155" i="1"/>
  <c r="H155" i="1"/>
  <c r="J76" i="1"/>
  <c r="J78" i="1" s="1"/>
  <c r="J79" i="1"/>
  <c r="J80" i="1"/>
  <c r="J81" i="1"/>
  <c r="C80" i="1" s="1"/>
  <c r="J95" i="1"/>
  <c r="C94" i="1" s="1"/>
  <c r="D99" i="1"/>
  <c r="D101" i="1"/>
  <c r="J94" i="1"/>
  <c r="D100" i="1"/>
  <c r="J90" i="1"/>
  <c r="J92" i="1" s="1"/>
  <c r="D98" i="1"/>
  <c r="J93" i="1"/>
  <c r="D97" i="1"/>
  <c r="D103" i="1"/>
  <c r="D102" i="1"/>
  <c r="D96" i="1"/>
  <c r="D84" i="1"/>
  <c r="D86" i="1"/>
  <c r="D85" i="1"/>
  <c r="D89" i="1"/>
  <c r="D83" i="1"/>
  <c r="D88" i="1"/>
  <c r="D82" i="1"/>
  <c r="D87" i="1"/>
  <c r="B91" i="1"/>
  <c r="B77" i="1"/>
  <c r="J82" i="1" s="1"/>
  <c r="G123" i="1" l="1"/>
  <c r="G125" i="1" s="1"/>
  <c r="G126" i="1" s="1"/>
  <c r="D94" i="1"/>
  <c r="D80" i="1"/>
  <c r="J101" i="1"/>
  <c r="J98" i="1"/>
  <c r="J100" i="1"/>
  <c r="J99" i="1"/>
  <c r="J96" i="1"/>
  <c r="J97" i="1" s="1"/>
  <c r="J86" i="1"/>
  <c r="J84" i="1"/>
  <c r="J85" i="1"/>
  <c r="J83" i="1"/>
  <c r="J88" i="1" s="1"/>
  <c r="J89" i="1" s="1"/>
  <c r="C81" i="1" s="1"/>
  <c r="J87" i="1"/>
  <c r="J77" i="1" l="1"/>
  <c r="J102" i="1"/>
  <c r="J103" i="1" s="1"/>
  <c r="E80" i="1"/>
  <c r="D81" i="1"/>
  <c r="I77" i="1" s="1"/>
  <c r="G80" i="1"/>
  <c r="D74" i="1" s="1"/>
  <c r="C95" i="1" l="1"/>
  <c r="J91" i="1" s="1"/>
  <c r="F75" i="1"/>
  <c r="D75" i="1"/>
  <c r="I78" i="1"/>
  <c r="I76" i="1" s="1"/>
  <c r="C78" i="1" s="1"/>
  <c r="E94" i="1" l="1"/>
  <c r="D95" i="1"/>
  <c r="I91" i="1" s="1"/>
  <c r="I92" i="1" s="1"/>
  <c r="G94" i="1"/>
  <c r="I90" i="1" l="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<sst xmlns="http://schemas.openxmlformats.org/spreadsheetml/2006/main" count="729" uniqueCount="380">
  <si>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</si>
  <si>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</si>
  <si>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</si>
  <si>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</si>
  <si>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</si>
  <si>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</si>
  <si>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</si>
  <si>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</si>
  <si>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</si>
  <si>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</si>
  <si>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</si>
  <si>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</si>
  <si>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</si>
  <si>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</si>
  <si>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</si>
  <si>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</si>
  <si>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</si>
  <si>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</si>
  <si>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</si>
  <si>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</si>
  <si>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</si>
  <si>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</si>
  <si>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</si>
  <si>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</si>
  <si>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</si>
  <si>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</si>
  <si>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</si>
  <si>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</si>
  <si>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</si>
  <si>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</si>
  <si>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</si>
  <si>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</si>
  <si>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</si>
  <si>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</si>
  <si>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</si>
  <si>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</si>
  <si>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</si>
  <si>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</si>
  <si>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</si>
  <si>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</si>
  <si>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</si>
  <si>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</si>
  <si>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</si>
  <si>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</si>
  <si>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</si>
  <si>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</si>
  <si>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</si>
  <si>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</si>
  <si>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</si>
  <si>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</si>
  <si>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</si>
  <si>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</si>
  <si>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</si>
  <si>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</si>
  <si>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</si>
  <si>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</si>
  <si>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</si>
  <si>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</si>
  <si>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</si>
  <si>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</si>
  <si>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</si>
  <si>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</si>
  <si>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</si>
  <si>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</si>
  <si>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</si>
  <si>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</si>
  <si>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</si>
  <si>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</si>
  <si>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</si>
  <si>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</si>
  <si>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</si>
  <si>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</si>
  <si>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</si>
  <si>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</si>
  <si>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</si>
  <si>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</si>
  <si>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</si>
  <si>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</si>
  <si>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</si>
  <si>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</si>
  <si>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</si>
  <si>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</si>
  <si>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</si>
  <si>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</si>
  <si>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</si>
  <si>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</si>
  <si>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</si>
  <si>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</si>
  <si>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</si>
  <si>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</si>
  <si>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</si>
  <si>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</si>
  <si>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</si>
  <si>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</si>
  <si>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</si>
  <si>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</si>
  <si>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</si>
  <si>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</si>
  <si>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</si>
  <si>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</si>
  <si>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</si>
  <si>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</si>
  <si>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</si>
  <si>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</si>
  <si>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</si>
  <si>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</si>
  <si>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</si>
  <si>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</si>
  <si>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</si>
  <si>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</si>
  <si>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</si>
  <si>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</si>
  <si>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</si>
  <si>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</si>
  <si>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</si>
  <si>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</si>
  <si>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</si>
  <si>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</si>
  <si>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</si>
  <si>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</si>
  <si>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</si>
  <si>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</si>
  <si>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</si>
  <si>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</si>
  <si>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</si>
  <si>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</si>
  <si>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</si>
  <si>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</si>
  <si>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</si>
  <si>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</si>
  <si>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</si>
  <si>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</si>
  <si>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</si>
  <si>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</si>
  <si>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</si>
  <si>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</si>
  <si>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</si>
  <si>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</si>
  <si>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</si>
  <si>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</si>
  <si>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</si>
  <si>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</si>
  <si>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</si>
  <si>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</si>
  <si>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</si>
  <si>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</si>
  <si>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</si>
  <si>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</si>
  <si>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</si>
  <si>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</si>
  <si>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</si>
  <si>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</si>
  <si>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</si>
  <si>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</si>
  <si>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</si>
  <si>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</si>
  <si>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</si>
  <si>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</si>
  <si>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</si>
  <si>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</si>
  <si>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</si>
  <si>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</si>
  <si>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</si>
  <si>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</si>
  <si>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</si>
  <si>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</si>
  <si>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</si>
  <si>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</si>
  <si>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</si>
  <si>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</si>
  <si>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</si>
  <si>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</si>
  <si>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</si>
  <si>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</si>
  <si>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</si>
  <si>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</si>
  <si>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</si>
  <si>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</si>
  <si>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</si>
  <si>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</si>
  <si>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</si>
  <si>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</si>
  <si>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</si>
  <si>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</si>
  <si>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</si>
  <si>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</si>
  <si>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</si>
  <si>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</si>
  <si>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</si>
  <si>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</si>
  <si>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</si>
  <si>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</si>
  <si>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</si>
  <si>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</si>
  <si>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</si>
  <si>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</si>
  <si>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</si>
  <si>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</si>
  <si>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</si>
  <si>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</si>
  <si>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</si>
  <si>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</si>
  <si>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</si>
  <si>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</si>
  <si>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</si>
  <si>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</si>
  <si>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</si>
  <si>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</si>
  <si>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</si>
  <si>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</si>
  <si>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</si>
  <si>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</si>
  <si>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</si>
  <si>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</si>
  <si>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</si>
  <si>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</si>
  <si>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</si>
  <si>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</si>
  <si>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</si>
  <si>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</si>
  <si>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</si>
  <si>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</si>
  <si>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</si>
  <si>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</si>
  <si>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</si>
  <si>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</si>
  <si>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</si>
  <si>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</si>
  <si>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</si>
  <si>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</si>
  <si>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</si>
  <si>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</si>
  <si>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</si>
  <si>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</si>
  <si>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</si>
  <si>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</si>
  <si>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</si>
  <si>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</si>
  <si>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</si>
  <si>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</si>
  <si>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</si>
  <si>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</si>
  <si>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</si>
  <si>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</si>
  <si>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</si>
  <si>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</si>
  <si>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</si>
  <si>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</si>
  <si>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</si>
  <si>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</si>
  <si>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</si>
  <si>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</si>
  <si>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</si>
  <si>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</si>
  <si>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</si>
  <si>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</si>
  <si>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</si>
  <si>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</si>
  <si>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</si>
  <si>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</si>
  <si>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</si>
  <si>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</si>
  <si>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</si>
  <si>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</si>
  <si>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</si>
  <si>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</si>
  <si>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</si>
  <si>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</si>
  <si>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</si>
  <si>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</si>
  <si>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</si>
  <si>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</si>
  <si>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</si>
  <si>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</si>
  <si>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</si>
  <si>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</si>
  <si>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</si>
  <si>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</si>
  <si>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</si>
  <si>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</si>
  <si>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</si>
  <si>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</si>
  <si>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</si>
  <si>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</si>
  <si>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</si>
  <si>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</si>
  <si>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</si>
  <si>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</si>
  <si>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</si>
  <si>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</si>
  <si>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</si>
  <si>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</si>
  <si>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9 Meraki</t>
  </si>
  <si>
    <t xml:space="preserve">8779773919
</t>
  </si>
  <si>
    <t>Wing A &amp; B</t>
  </si>
  <si>
    <t>Gut No</t>
  </si>
  <si>
    <t>40/3/2/1, 40/3/2/2, 40/4</t>
  </si>
  <si>
    <t>Shedung</t>
  </si>
  <si>
    <t>MSRDC/SPA/BP-410/Revised/CC/2023/1960</t>
  </si>
  <si>
    <t>As per RERA - 31/12/2028</t>
  </si>
  <si>
    <t>02 Wings</t>
  </si>
  <si>
    <t>Wing B = G + 1st to 17th Floor</t>
  </si>
  <si>
    <t>Shop</t>
  </si>
  <si>
    <t>Wing A + B</t>
  </si>
  <si>
    <t>Wing A</t>
  </si>
  <si>
    <t>2nd Floor For Residential</t>
  </si>
  <si>
    <t>1BHK</t>
  </si>
  <si>
    <t>2BHK</t>
  </si>
  <si>
    <t>8th &amp; 13th Floor ( Part Refuge Floor)</t>
  </si>
  <si>
    <t>Refuge Area</t>
  </si>
  <si>
    <t>10th Floor For Recreational Floor</t>
  </si>
  <si>
    <t>3rd to 7th, 9th, 11th &amp; 12th Floor For Residential</t>
  </si>
  <si>
    <t>-</t>
  </si>
  <si>
    <t>Terrace Area</t>
  </si>
  <si>
    <t>17th Floor For Residential (Part Terrace Area)</t>
  </si>
  <si>
    <t>Wing B</t>
  </si>
  <si>
    <t xml:space="preserve">14th, 15th &amp; 16th Floor For Residential </t>
  </si>
  <si>
    <t>Commercial Area Details : Wing (A &amp; B)</t>
  </si>
  <si>
    <t>Shops</t>
  </si>
  <si>
    <t>Residential Area Details : Flats</t>
  </si>
  <si>
    <t>MSRDC/FIRE/PFA/04623/5749</t>
  </si>
  <si>
    <t>NAVI/WEST/B/061722/678197</t>
  </si>
  <si>
    <t>G(st) + 1st to 17th Floor ( Height = 55.80 mtrs)</t>
  </si>
  <si>
    <t>P52000054448</t>
  </si>
  <si>
    <t>Mumbai Pune Highway</t>
  </si>
  <si>
    <t>Chatrapati Shivaji Maharaj University</t>
  </si>
  <si>
    <t>Other Plot</t>
  </si>
  <si>
    <t>Oasis Pvt Ltd</t>
  </si>
  <si>
    <t xml:space="preserve"> Plot No.41</t>
  </si>
  <si>
    <t>Plot No.36</t>
  </si>
  <si>
    <t>https://maps.app.goo.gl/ihGzBMx8FktvQewt8</t>
  </si>
  <si>
    <t>18.9495578,73.1777154</t>
  </si>
  <si>
    <t>Flats -308, Shops -17</t>
  </si>
  <si>
    <t>Swimming Pool, Recreational Area, Gym Area, Indoor Game, Café Area, Kids Play Area, etc.</t>
  </si>
  <si>
    <t>This Revised CC Is Issued For Total Builtup Area = 20022.062 Sq.mtrs.</t>
  </si>
  <si>
    <t>Approved Plans, CC, Cost Sheet, Airport Noc.</t>
  </si>
  <si>
    <t>9.2KM from Panvel Railway Station</t>
  </si>
  <si>
    <t xml:space="preserve">Airport Noc No
Site Elevation Height:
Permissible Top </t>
  </si>
  <si>
    <t xml:space="preserve">Dated
</t>
  </si>
  <si>
    <t>Valid Upto</t>
  </si>
  <si>
    <t xml:space="preserve">08/02/2023
</t>
  </si>
  <si>
    <t>30.15M(AMSL)
159.15M(AMSL)</t>
  </si>
  <si>
    <t xml:space="preserve">Wing A &amp; B = G + 1st to 17th Floor
Wing B = G + 1st to 17th Floor
</t>
  </si>
  <si>
    <t>brochuer</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</si>
  <si>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</si>
  <si>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</si>
  <si>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Ground Floor Duplex With 1st Floor 
For Commercial, meter Room, Society Office, Fire Control Room, OWC, Drivers Room, Parking &amp; Entrance Lobby</t>
  </si>
  <si>
    <t>14th Floor For Residential ( Part Terrace Area)</t>
  </si>
  <si>
    <t>15th &amp; 16th Floor</t>
  </si>
  <si>
    <t>Terrace Area @ 14th Floor</t>
  </si>
  <si>
    <t>We considered Gross carpet area = Net carpet + Enclose balcony + Sit Out Area.</t>
  </si>
  <si>
    <t>Water, MSEB &amp; Development Charges</t>
  </si>
  <si>
    <t>Society Formation, Infrastructure + Maintainence Charges</t>
  </si>
  <si>
    <t xml:space="preserve">We have not consider builder salable area due to salable area loading is taken 100% on carpet area for flats.
</t>
  </si>
  <si>
    <t>Mr. Kapil 9920990677</t>
  </si>
  <si>
    <t>SIA/MH/INFRA2/448761/2023</t>
  </si>
  <si>
    <t>Survey No. 40/3/2/1, 40/3/2/2 &amp; 40/4
Builtup Area =26500.00sq.m
Bldg No. 1 = Gr + 1st to 17th Floor (55.80m Height)</t>
  </si>
  <si>
    <t>Highway NOC No
Valid Up for:</t>
  </si>
  <si>
    <t>MSRDC/04/EE/NH-48/NOC-
373/2023/1420</t>
  </si>
  <si>
    <t>Survey No. 40/3/2/1, 40/3/2/2 &amp; 40/4</t>
  </si>
  <si>
    <t xml:space="preserve">Wing A = G + 1st to 17th Floor
</t>
  </si>
  <si>
    <t>Construction work is in process at the time of visit (Labour Found).</t>
  </si>
  <si>
    <t>We have updated Environment Clearance Certificate &amp; Highway Noc. On 23/03/2024</t>
  </si>
  <si>
    <t>Ravindra</t>
  </si>
  <si>
    <t>Rate 6400 by smith verbal from cost sheet  on 07/05/2025</t>
  </si>
  <si>
    <t>Recommended Rates of the Property have been revised on 07/05/2025.</t>
  </si>
  <si>
    <t>Office No. 1031, Wing J, Akshar Business Park, Plot No. 03 Sector 25, Near APMC Market,
Vashi, Navi Mumbai, Maharashtra 400703 TEL: 022-46090378/79/8
E mail : vsjcapf@gmail.com. Web site : www.vsjadon.com</t>
  </si>
  <si>
    <t>Floor Nomenclature As per Approved Floor Plan</t>
  </si>
  <si>
    <t>Floor Nomenclature As per Builder</t>
  </si>
  <si>
    <t>2nd Floor</t>
  </si>
  <si>
    <t>1st Floor</t>
  </si>
  <si>
    <t>3rd Floor To 9th Floor</t>
  </si>
  <si>
    <t>2nd to 8th Floor</t>
  </si>
  <si>
    <t>10th Floor (Recreational Floor)</t>
  </si>
  <si>
    <t>11th to 17th Floor</t>
  </si>
  <si>
    <t>9th to 15th Floor</t>
  </si>
  <si>
    <t>We have updated Area Statement provided by the bank officials on mail (On 19/05/2025). Documents are attached below</t>
  </si>
  <si>
    <t>Reamrk No.14</t>
  </si>
  <si>
    <t xml:space="preserve">Ekdant Emperia LLP
</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</si>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</sst>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3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8"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7" xfId="1" applyFont="1" applyBorder="1"/>
    <xf numFmtId="0" fontId="16"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24" fillId="0" borderId="21" xfId="0" applyFont="1" applyBorder="1"/>
    <xf numFmtId="0" fontId="24" fillId="0" borderId="1" xfId="0" applyFont="1" applyBorder="1"/>
    <xf numFmtId="0" fontId="24"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5" fillId="0" borderId="5"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5"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6"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1" fillId="0" borderId="1"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1" xfId="1" applyFont="1" applyBorder="1" applyAlignment="1" applyProtection="1">
      <alignment vertical="top" wrapText="1"/>
      <protection locked="0"/>
    </xf>
    <xf numFmtId="1" fontId="9" fillId="0" borderId="2" xfId="1" applyNumberFormat="1" applyFont="1" applyBorder="1" applyAlignment="1" applyProtection="1">
      <alignment horizontal="center" vertical="top" wrapText="1"/>
      <protection locked="0"/>
    </xf>
    <xf numFmtId="9" fontId="9" fillId="0" borderId="11" xfId="8" applyFont="1" applyFill="1" applyBorder="1" applyAlignment="1" applyProtection="1">
      <alignment horizontal="center" vertical="top" wrapText="1"/>
      <protection locked="0"/>
    </xf>
    <xf numFmtId="0" fontId="6" fillId="0" borderId="1" xfId="1" applyFont="1" applyBorder="1" applyAlignment="1" applyProtection="1">
      <alignment horizontal="center" vertical="top"/>
      <protection locked="0"/>
    </xf>
    <xf numFmtId="1" fontId="5" fillId="0" borderId="1" xfId="1" applyNumberFormat="1" applyFont="1" applyBorder="1" applyAlignment="1" applyProtection="1">
      <alignment horizontal="center" vertical="center" wrapText="1"/>
      <protection locked="0"/>
    </xf>
    <xf numFmtId="1" fontId="6" fillId="0" borderId="0" xfId="0" applyNumberFormat="1" applyFont="1" applyAlignment="1">
      <alignment horizontal="center" vertical="center"/>
    </xf>
    <xf numFmtId="0" fontId="23" fillId="2" borderId="10" xfId="0" applyFont="1" applyFill="1" applyBorder="1"/>
    <xf numFmtId="0" fontId="24" fillId="0" borderId="6" xfId="0" applyFont="1" applyBorder="1"/>
    <xf numFmtId="1" fontId="6"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9" fontId="6" fillId="0" borderId="2" xfId="8" applyFont="1" applyFill="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5" xfId="0" applyNumberFormat="1" applyFont="1" applyBorder="1" applyAlignment="1" applyProtection="1">
      <alignment vertical="top" wrapText="1"/>
      <protection locked="0"/>
    </xf>
    <xf numFmtId="1" fontId="9" fillId="0" borderId="16" xfId="0" applyNumberFormat="1" applyFont="1" applyBorder="1" applyAlignment="1" applyProtection="1">
      <alignment vertical="top" wrapText="1"/>
      <protection locked="0"/>
    </xf>
    <xf numFmtId="1" fontId="9" fillId="0" borderId="6" xfId="0" applyNumberFormat="1" applyFont="1" applyBorder="1" applyAlignment="1" applyProtection="1">
      <alignment vertical="top" wrapText="1"/>
      <protection locked="0"/>
    </xf>
    <xf numFmtId="1" fontId="5" fillId="0" borderId="5"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1" fontId="7" fillId="0" borderId="5" xfId="0" applyNumberFormat="1" applyFont="1" applyBorder="1" applyAlignment="1" applyProtection="1">
      <alignment vertical="top" wrapText="1"/>
      <protection locked="0"/>
    </xf>
    <xf numFmtId="1" fontId="7" fillId="0" borderId="16" xfId="0" applyNumberFormat="1"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0" fontId="6" fillId="0" borderId="18"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7" fillId="0" borderId="12" xfId="1" applyNumberFormat="1" applyFont="1" applyBorder="1" applyAlignment="1" applyProtection="1">
      <alignment horizontal="center" vertical="top" wrapText="1"/>
      <protection locked="0"/>
    </xf>
    <xf numFmtId="1" fontId="7" fillId="0" borderId="14" xfId="1" applyNumberFormat="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1"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7" fillId="0" borderId="5"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7" fillId="0" borderId="6"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center" wrapText="1"/>
      <protection locked="0"/>
    </xf>
    <xf numFmtId="1" fontId="12" fillId="0" borderId="5" xfId="0" applyNumberFormat="1" applyFont="1" applyBorder="1" applyAlignment="1" applyProtection="1">
      <alignment vertical="top" wrapText="1"/>
      <protection locked="0"/>
    </xf>
    <xf numFmtId="1" fontId="12" fillId="0" borderId="16"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2" xfId="1" applyNumberFormat="1" applyFont="1" applyBorder="1" applyAlignment="1" applyProtection="1">
      <alignment horizontal="center" vertical="top" wrapText="1"/>
      <protection locked="0"/>
    </xf>
    <xf numFmtId="1" fontId="7" fillId="0" borderId="11" xfId="1"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6" fillId="0" borderId="23"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7" fillId="0" borderId="5" xfId="1" applyFont="1" applyBorder="1" applyAlignment="1" applyProtection="1">
      <alignment horizontal="left" vertical="top"/>
      <protection locked="0"/>
    </xf>
    <xf numFmtId="0" fontId="7" fillId="0" borderId="6" xfId="1" applyFont="1" applyBorder="1" applyAlignment="1" applyProtection="1">
      <alignment horizontal="left" vertical="top"/>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6" fillId="0" borderId="0" xfId="1" applyFont="1" applyAlignment="1">
      <alignment horizontal="center" vertical="center"/>
    </xf>
    <xf numFmtId="1" fontId="29" fillId="0" borderId="2" xfId="1" applyNumberFormat="1" applyFont="1" applyBorder="1" applyAlignment="1" applyProtection="1">
      <alignment horizontal="center" vertical="top" wrapText="1"/>
      <protection locked="0"/>
    </xf>
    <xf numFmtId="1" fontId="29" fillId="0" borderId="11" xfId="1" applyNumberFormat="1" applyFont="1" applyBorder="1" applyAlignment="1" applyProtection="1">
      <alignment horizontal="center" vertical="top" wrapText="1"/>
      <protection locked="0"/>
    </xf>
    <xf numFmtId="9" fontId="6" fillId="0" borderId="12" xfId="8" applyFont="1" applyFill="1" applyBorder="1" applyAlignment="1" applyProtection="1">
      <alignment horizontal="center" vertical="center" wrapText="1"/>
      <protection locked="0"/>
    </xf>
    <xf numFmtId="9" fontId="6" fillId="0" borderId="13"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19" xfId="8" applyFont="1" applyFill="1" applyBorder="1" applyAlignment="1" applyProtection="1">
      <alignment horizontal="center" vertical="center" wrapText="1"/>
      <protection locked="0"/>
    </xf>
    <xf numFmtId="9" fontId="6" fillId="0" borderId="20" xfId="8" applyFont="1" applyFill="1" applyBorder="1" applyAlignment="1" applyProtection="1">
      <alignment horizontal="center" vertical="center" wrapText="1"/>
      <protection locked="0"/>
    </xf>
    <xf numFmtId="9" fontId="6" fillId="0" borderId="7"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1" fontId="7" fillId="0" borderId="25" xfId="0" applyNumberFormat="1" applyFont="1" applyBorder="1" applyAlignment="1" applyProtection="1">
      <alignment horizontal="center" vertical="top" wrapText="1"/>
      <protection locked="0"/>
    </xf>
    <xf numFmtId="1" fontId="7" fillId="0" borderId="26" xfId="0" applyNumberFormat="1" applyFont="1" applyBorder="1" applyAlignment="1" applyProtection="1">
      <alignment horizontal="center" vertical="top" wrapText="1"/>
      <protection locked="0"/>
    </xf>
    <xf numFmtId="0" fontId="5" fillId="0" borderId="5" xfId="1" applyFont="1" applyBorder="1" applyAlignment="1" applyProtection="1">
      <alignment vertical="top" wrapText="1"/>
      <protection locked="0"/>
    </xf>
    <xf numFmtId="0" fontId="5" fillId="0" borderId="16" xfId="1" applyFont="1" applyBorder="1" applyAlignment="1" applyProtection="1">
      <alignment vertical="top" wrapText="1"/>
      <protection locked="0"/>
    </xf>
    <xf numFmtId="0" fontId="5" fillId="0" borderId="6" xfId="1" applyFont="1" applyBorder="1" applyAlignment="1" applyProtection="1">
      <alignment vertical="top" wrapText="1"/>
      <protection locked="0"/>
    </xf>
    <xf numFmtId="0" fontId="9" fillId="0" borderId="5" xfId="1" applyFont="1" applyBorder="1" applyAlignment="1" applyProtection="1">
      <alignment horizontal="left" vertical="top"/>
      <protection locked="0"/>
    </xf>
    <xf numFmtId="0" fontId="9" fillId="0" borderId="16"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9" fillId="0" borderId="11" xfId="1" applyFont="1" applyBorder="1" applyAlignment="1" applyProtection="1">
      <alignment horizontal="center" vertical="top"/>
      <protection locked="0"/>
    </xf>
    <xf numFmtId="1" fontId="7" fillId="0" borderId="24" xfId="0" applyNumberFormat="1" applyFont="1" applyBorder="1" applyAlignment="1" applyProtection="1">
      <alignment horizontal="center" vertical="center" wrapText="1"/>
      <protection locked="0"/>
    </xf>
    <xf numFmtId="1" fontId="7" fillId="0" borderId="25" xfId="0" applyNumberFormat="1" applyFont="1" applyBorder="1" applyAlignment="1" applyProtection="1">
      <alignment horizontal="center" vertical="center" wrapText="1"/>
      <protection locked="0"/>
    </xf>
    <xf numFmtId="0" fontId="9" fillId="0" borderId="25" xfId="0" applyFont="1" applyBorder="1" applyAlignment="1" applyProtection="1">
      <alignment horizontal="center" vertical="center"/>
      <protection locked="0"/>
    </xf>
    <xf numFmtId="1" fontId="9" fillId="0" borderId="25" xfId="0" applyNumberFormat="1" applyFont="1" applyBorder="1" applyAlignment="1" applyProtection="1">
      <alignment horizontal="center" vertical="top" wrapText="1"/>
      <protection locked="0"/>
    </xf>
    <xf numFmtId="0" fontId="7" fillId="0" borderId="11" xfId="1" applyFont="1" applyBorder="1" applyAlignment="1" applyProtection="1">
      <alignment horizontal="center" vertical="top"/>
      <protection locked="0"/>
    </xf>
    <xf numFmtId="0" fontId="7" fillId="0" borderId="11" xfId="1" applyFont="1" applyBorder="1" applyAlignment="1" applyProtection="1">
      <alignment horizontal="left" vertical="top"/>
      <protection locked="0"/>
    </xf>
    <xf numFmtId="1" fontId="5" fillId="0" borderId="12"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13"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14" xfId="1" applyNumberFormat="1" applyFont="1" applyBorder="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15" xfId="1" applyNumberFormat="1" applyFont="1" applyBorder="1" applyAlignment="1" applyProtection="1">
      <alignment horizontal="center" vertical="center" wrapText="1"/>
      <protection locked="0"/>
    </xf>
    <xf numFmtId="1" fontId="9" fillId="0" borderId="5" xfId="0" applyNumberFormat="1" applyFont="1" applyBorder="1" applyAlignment="1" applyProtection="1">
      <alignment horizontal="center" vertical="top" wrapText="1"/>
      <protection locked="0"/>
    </xf>
    <xf numFmtId="1" fontId="9" fillId="0" borderId="16" xfId="0" applyNumberFormat="1" applyFont="1" applyBorder="1" applyAlignment="1" applyProtection="1">
      <alignment horizontal="center" vertical="top" wrapText="1"/>
      <protection locked="0"/>
    </xf>
    <xf numFmtId="1" fontId="9" fillId="0" borderId="6" xfId="0" applyNumberFormat="1" applyFont="1" applyBorder="1" applyAlignment="1" applyProtection="1">
      <alignment horizontal="center" vertical="top" wrapText="1"/>
      <protection locked="0"/>
    </xf>
    <xf numFmtId="0" fontId="8" fillId="0" borderId="1" xfId="5" applyFont="1" applyBorder="1" applyAlignment="1">
      <alignment horizontal="left"/>
    </xf>
    <xf numFmtId="1" fontId="7" fillId="0" borderId="2" xfId="0" applyNumberFormat="1" applyFont="1" applyBorder="1" applyAlignment="1" applyProtection="1">
      <alignment horizontal="center" vertical="center" wrapText="1"/>
      <protection locked="0"/>
    </xf>
    <xf numFmtId="1" fontId="7" fillId="0" borderId="27" xfId="0" applyNumberFormat="1" applyFont="1" applyBorder="1" applyAlignment="1" applyProtection="1">
      <alignment horizontal="center" vertical="center" wrapText="1"/>
      <protection locked="0"/>
    </xf>
    <xf numFmtId="1" fontId="7" fillId="0" borderId="11" xfId="0"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9</xdr:col>
      <xdr:colOff>609600</xdr:colOff>
      <xdr:row>131</xdr:row>
      <xdr:rowOff>428625</xdr:rowOff>
    </xdr:from>
    <xdr:to>
      <xdr:col>15</xdr:col>
      <xdr:colOff>437568</xdr:colOff>
      <xdr:row>150</xdr:row>
      <xdr:rowOff>199530</xdr:rowOff>
    </xdr:to>
    <xdr:pic>
      <xdr:nvPicPr>
        <xdr:cNvPr id="2" name="Picture 1"/>
        <xdr:cNvPicPr>
          <a:picLocks noChangeAspect="1"/>
        </xdr:cNvPicPr>
      </xdr:nvPicPr>
      <xdr:blipFill>
        <a:blip xmlns:r="http://schemas.openxmlformats.org/officeDocument/2006/relationships" r:embed="rId1"/>
        <a:stretch>
          <a:fillRect/>
        </a:stretch>
      </xdr:blipFill>
      <xdr:spPr>
        <a:xfrm>
          <a:off x="8086725" y="24422100"/>
          <a:ext cx="4657143" cy="3961905"/>
        </a:xfrm>
        <a:prstGeom prst="rect">
          <a:avLst/>
        </a:prstGeom>
      </xdr:spPr>
    </xdr:pic>
    <xdr:clientData/>
  </xdr:twoCellAnchor>
  <xdr:twoCellAnchor editAs="oneCell">
    <xdr:from>
      <xdr:col>10</xdr:col>
      <xdr:colOff>104774</xdr:colOff>
      <xdr:row>151</xdr:row>
      <xdr:rowOff>114300</xdr:rowOff>
    </xdr:from>
    <xdr:to>
      <xdr:col>15</xdr:col>
      <xdr:colOff>779195</xdr:colOff>
      <xdr:row>165</xdr:row>
      <xdr:rowOff>193950</xdr:rowOff>
    </xdr:to>
    <xdr:pic>
      <xdr:nvPicPr>
        <xdr:cNvPr id="3" name="Picture 2"/>
        <xdr:cNvPicPr>
          <a:picLocks noChangeAspect="1"/>
        </xdr:cNvPicPr>
      </xdr:nvPicPr>
      <xdr:blipFill>
        <a:blip xmlns:r="http://schemas.openxmlformats.org/officeDocument/2006/relationships" r:embed="rId2"/>
        <a:stretch>
          <a:fillRect/>
        </a:stretch>
      </xdr:blipFill>
      <xdr:spPr>
        <a:xfrm>
          <a:off x="8343899" y="29165550"/>
          <a:ext cx="4741596" cy="2880000"/>
        </a:xfrm>
        <a:prstGeom prst="rect">
          <a:avLst/>
        </a:prstGeom>
      </xdr:spPr>
    </xdr:pic>
    <xdr:clientData/>
  </xdr:twoCellAnchor>
  <xdr:twoCellAnchor editAs="oneCell">
    <xdr:from>
      <xdr:col>10</xdr:col>
      <xdr:colOff>323850</xdr:colOff>
      <xdr:row>167</xdr:row>
      <xdr:rowOff>95250</xdr:rowOff>
    </xdr:from>
    <xdr:to>
      <xdr:col>15</xdr:col>
      <xdr:colOff>37627</xdr:colOff>
      <xdr:row>178</xdr:row>
      <xdr:rowOff>94975</xdr:rowOff>
    </xdr:to>
    <xdr:pic>
      <xdr:nvPicPr>
        <xdr:cNvPr id="5" name="Picture 4"/>
        <xdr:cNvPicPr>
          <a:picLocks noChangeAspect="1"/>
        </xdr:cNvPicPr>
      </xdr:nvPicPr>
      <xdr:blipFill>
        <a:blip xmlns:r="http://schemas.openxmlformats.org/officeDocument/2006/relationships" r:embed="rId3"/>
        <a:stretch>
          <a:fillRect/>
        </a:stretch>
      </xdr:blipFill>
      <xdr:spPr>
        <a:xfrm>
          <a:off x="8562975" y="32346900"/>
          <a:ext cx="3780952" cy="2200000"/>
        </a:xfrm>
        <a:prstGeom prst="rect">
          <a:avLst/>
        </a:prstGeom>
      </xdr:spPr>
    </xdr:pic>
    <xdr:clientData/>
  </xdr:twoCellAnchor>
  <xdr:twoCellAnchor editAs="oneCell">
    <xdr:from>
      <xdr:col>9</xdr:col>
      <xdr:colOff>504825</xdr:colOff>
      <xdr:row>179</xdr:row>
      <xdr:rowOff>180975</xdr:rowOff>
    </xdr:from>
    <xdr:to>
      <xdr:col>14</xdr:col>
      <xdr:colOff>167898</xdr:colOff>
      <xdr:row>190</xdr:row>
      <xdr:rowOff>140700</xdr:rowOff>
    </xdr:to>
    <xdr:pic>
      <xdr:nvPicPr>
        <xdr:cNvPr id="4" name="Picture 3"/>
        <xdr:cNvPicPr>
          <a:picLocks noChangeAspect="1"/>
        </xdr:cNvPicPr>
      </xdr:nvPicPr>
      <xdr:blipFill>
        <a:blip xmlns:r="http://schemas.openxmlformats.org/officeDocument/2006/relationships" r:embed="rId4"/>
        <a:stretch>
          <a:fillRect/>
        </a:stretch>
      </xdr:blipFill>
      <xdr:spPr>
        <a:xfrm>
          <a:off x="7981950" y="43872150"/>
          <a:ext cx="3682623" cy="2160000"/>
        </a:xfrm>
        <a:prstGeom prst="rect">
          <a:avLst/>
        </a:prstGeom>
      </xdr:spPr>
    </xdr:pic>
    <xdr:clientData/>
  </xdr:twoCellAnchor>
  <xdr:twoCellAnchor editAs="oneCell">
    <xdr:from>
      <xdr:col>9</xdr:col>
      <xdr:colOff>695325</xdr:colOff>
      <xdr:row>194</xdr:row>
      <xdr:rowOff>114300</xdr:rowOff>
    </xdr:from>
    <xdr:to>
      <xdr:col>14</xdr:col>
      <xdr:colOff>447204</xdr:colOff>
      <xdr:row>203</xdr:row>
      <xdr:rowOff>152170</xdr:rowOff>
    </xdr:to>
    <xdr:pic>
      <xdr:nvPicPr>
        <xdr:cNvPr id="6" name="Picture 5"/>
        <xdr:cNvPicPr>
          <a:picLocks noChangeAspect="1"/>
        </xdr:cNvPicPr>
      </xdr:nvPicPr>
      <xdr:blipFill>
        <a:blip xmlns:r="http://schemas.openxmlformats.org/officeDocument/2006/relationships" r:embed="rId5"/>
        <a:stretch>
          <a:fillRect/>
        </a:stretch>
      </xdr:blipFill>
      <xdr:spPr>
        <a:xfrm>
          <a:off x="8172450" y="46805850"/>
          <a:ext cx="3771429" cy="1838095"/>
        </a:xfrm>
        <a:prstGeom prst="rect">
          <a:avLst/>
        </a:prstGeom>
      </xdr:spPr>
    </xdr:pic>
    <xdr:clientData/>
  </xdr:twoCellAnchor>
  <xdr:twoCellAnchor editAs="oneCell">
    <xdr:from>
      <xdr:col>8</xdr:col>
      <xdr:colOff>1085850</xdr:colOff>
      <xdr:row>233</xdr:row>
      <xdr:rowOff>171450</xdr:rowOff>
    </xdr:from>
    <xdr:to>
      <xdr:col>13</xdr:col>
      <xdr:colOff>504355</xdr:colOff>
      <xdr:row>244</xdr:row>
      <xdr:rowOff>123556</xdr:rowOff>
    </xdr:to>
    <xdr:pic>
      <xdr:nvPicPr>
        <xdr:cNvPr id="7" name="Picture 6"/>
        <xdr:cNvPicPr>
          <a:picLocks noChangeAspect="1"/>
        </xdr:cNvPicPr>
      </xdr:nvPicPr>
      <xdr:blipFill>
        <a:blip xmlns:r="http://schemas.openxmlformats.org/officeDocument/2006/relationships" r:embed="rId6"/>
        <a:stretch>
          <a:fillRect/>
        </a:stretch>
      </xdr:blipFill>
      <xdr:spPr>
        <a:xfrm>
          <a:off x="7400925" y="44024550"/>
          <a:ext cx="3761905" cy="2152381"/>
        </a:xfrm>
        <a:prstGeom prst="rect">
          <a:avLst/>
        </a:prstGeom>
      </xdr:spPr>
    </xdr:pic>
    <xdr:clientData/>
  </xdr:twoCellAnchor>
  <xdr:twoCellAnchor editAs="oneCell">
    <xdr:from>
      <xdr:col>8</xdr:col>
      <xdr:colOff>914400</xdr:colOff>
      <xdr:row>246</xdr:row>
      <xdr:rowOff>114300</xdr:rowOff>
    </xdr:from>
    <xdr:to>
      <xdr:col>13</xdr:col>
      <xdr:colOff>380524</xdr:colOff>
      <xdr:row>255</xdr:row>
      <xdr:rowOff>161694</xdr:rowOff>
    </xdr:to>
    <xdr:pic>
      <xdr:nvPicPr>
        <xdr:cNvPr id="8" name="Picture 7"/>
        <xdr:cNvPicPr>
          <a:picLocks noChangeAspect="1"/>
        </xdr:cNvPicPr>
      </xdr:nvPicPr>
      <xdr:blipFill>
        <a:blip xmlns:r="http://schemas.openxmlformats.org/officeDocument/2006/relationships" r:embed="rId7"/>
        <a:stretch>
          <a:fillRect/>
        </a:stretch>
      </xdr:blipFill>
      <xdr:spPr>
        <a:xfrm>
          <a:off x="7229475" y="54406800"/>
          <a:ext cx="3809524" cy="1847619"/>
        </a:xfrm>
        <a:prstGeom prst="rect">
          <a:avLst/>
        </a:prstGeom>
      </xdr:spPr>
    </xdr:pic>
    <xdr:clientData/>
  </xdr:twoCellAnchor>
  <xdr:twoCellAnchor editAs="oneCell">
    <xdr:from>
      <xdr:col>8</xdr:col>
      <xdr:colOff>638175</xdr:colOff>
      <xdr:row>257</xdr:row>
      <xdr:rowOff>38100</xdr:rowOff>
    </xdr:from>
    <xdr:to>
      <xdr:col>12</xdr:col>
      <xdr:colOff>401289</xdr:colOff>
      <xdr:row>265</xdr:row>
      <xdr:rowOff>57900</xdr:rowOff>
    </xdr:to>
    <xdr:pic>
      <xdr:nvPicPr>
        <xdr:cNvPr id="9" name="Picture 8"/>
        <xdr:cNvPicPr>
          <a:picLocks noChangeAspect="1"/>
        </xdr:cNvPicPr>
      </xdr:nvPicPr>
      <xdr:blipFill>
        <a:blip xmlns:r="http://schemas.openxmlformats.org/officeDocument/2006/relationships" r:embed="rId8"/>
        <a:stretch>
          <a:fillRect/>
        </a:stretch>
      </xdr:blipFill>
      <xdr:spPr>
        <a:xfrm>
          <a:off x="6953250" y="56530875"/>
          <a:ext cx="3315939" cy="1620000"/>
        </a:xfrm>
        <a:prstGeom prst="rect">
          <a:avLst/>
        </a:prstGeom>
      </xdr:spPr>
    </xdr:pic>
    <xdr:clientData/>
  </xdr:twoCellAnchor>
  <xdr:twoCellAnchor editAs="oneCell">
    <xdr:from>
      <xdr:col>8</xdr:col>
      <xdr:colOff>704850</xdr:colOff>
      <xdr:row>268</xdr:row>
      <xdr:rowOff>66675</xdr:rowOff>
    </xdr:from>
    <xdr:to>
      <xdr:col>12</xdr:col>
      <xdr:colOff>542501</xdr:colOff>
      <xdr:row>277</xdr:row>
      <xdr:rowOff>133350</xdr:rowOff>
    </xdr:to>
    <xdr:pic>
      <xdr:nvPicPr>
        <xdr:cNvPr id="10" name="Picture 9"/>
        <xdr:cNvPicPr>
          <a:picLocks noChangeAspect="1"/>
        </xdr:cNvPicPr>
      </xdr:nvPicPr>
      <xdr:blipFill>
        <a:blip xmlns:r="http://schemas.openxmlformats.org/officeDocument/2006/relationships" r:embed="rId9"/>
        <a:stretch>
          <a:fillRect/>
        </a:stretch>
      </xdr:blipFill>
      <xdr:spPr>
        <a:xfrm>
          <a:off x="7019925" y="58759725"/>
          <a:ext cx="3390476" cy="1866900"/>
        </a:xfrm>
        <a:prstGeom prst="rect">
          <a:avLst/>
        </a:prstGeom>
      </xdr:spPr>
    </xdr:pic>
    <xdr:clientData/>
  </xdr:twoCellAnchor>
  <xdr:twoCellAnchor editAs="oneCell">
    <xdr:from>
      <xdr:col>8</xdr:col>
      <xdr:colOff>514350</xdr:colOff>
      <xdr:row>282</xdr:row>
      <xdr:rowOff>123825</xdr:rowOff>
    </xdr:from>
    <xdr:to>
      <xdr:col>12</xdr:col>
      <xdr:colOff>622372</xdr:colOff>
      <xdr:row>286</xdr:row>
      <xdr:rowOff>43725</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6829425" y="61617225"/>
          <a:ext cx="3660847" cy="720000"/>
        </a:xfrm>
        <a:prstGeom prst="rect">
          <a:avLst/>
        </a:prstGeom>
      </xdr:spPr>
    </xdr:pic>
    <xdr:clientData/>
  </xdr:twoCellAnchor>
  <xdr:twoCellAnchor editAs="oneCell">
    <xdr:from>
      <xdr:col>11</xdr:col>
      <xdr:colOff>228600</xdr:colOff>
      <xdr:row>224</xdr:row>
      <xdr:rowOff>95250</xdr:rowOff>
    </xdr:from>
    <xdr:to>
      <xdr:col>15</xdr:col>
      <xdr:colOff>275799</xdr:colOff>
      <xdr:row>229</xdr:row>
      <xdr:rowOff>85601</xdr:rowOff>
    </xdr:to>
    <xdr:pic>
      <xdr:nvPicPr>
        <xdr:cNvPr id="12" name="Picture 11"/>
        <xdr:cNvPicPr>
          <a:picLocks noChangeAspect="1"/>
        </xdr:cNvPicPr>
      </xdr:nvPicPr>
      <xdr:blipFill>
        <a:blip xmlns:r="http://schemas.openxmlformats.org/officeDocument/2006/relationships" r:embed="rId11"/>
        <a:stretch>
          <a:fillRect/>
        </a:stretch>
      </xdr:blipFill>
      <xdr:spPr>
        <a:xfrm>
          <a:off x="9172575" y="43748325"/>
          <a:ext cx="3409524" cy="990476"/>
        </a:xfrm>
        <a:prstGeom prst="rect">
          <a:avLst/>
        </a:prstGeom>
      </xdr:spPr>
    </xdr:pic>
    <xdr:clientData/>
  </xdr:twoCellAnchor>
  <xdr:twoCellAnchor editAs="oneCell">
    <xdr:from>
      <xdr:col>8</xdr:col>
      <xdr:colOff>333375</xdr:colOff>
      <xdr:row>50</xdr:row>
      <xdr:rowOff>47625</xdr:rowOff>
    </xdr:from>
    <xdr:to>
      <xdr:col>14</xdr:col>
      <xdr:colOff>751775</xdr:colOff>
      <xdr:row>55</xdr:row>
      <xdr:rowOff>180832</xdr:rowOff>
    </xdr:to>
    <xdr:pic>
      <xdr:nvPicPr>
        <xdr:cNvPr id="13" name="Picture 12"/>
        <xdr:cNvPicPr>
          <a:picLocks noChangeAspect="1"/>
        </xdr:cNvPicPr>
      </xdr:nvPicPr>
      <xdr:blipFill>
        <a:blip xmlns:r="http://schemas.openxmlformats.org/officeDocument/2006/relationships" r:embed="rId12"/>
        <a:stretch>
          <a:fillRect/>
        </a:stretch>
      </xdr:blipFill>
      <xdr:spPr>
        <a:xfrm>
          <a:off x="6648450" y="11487150"/>
          <a:ext cx="5600000" cy="1142857"/>
        </a:xfrm>
        <a:prstGeom prst="rect">
          <a:avLst/>
        </a:prstGeom>
      </xdr:spPr>
    </xdr:pic>
    <xdr:clientData/>
  </xdr:twoCellAnchor>
  <xdr:twoCellAnchor editAs="oneCell">
    <xdr:from>
      <xdr:col>1</xdr:col>
      <xdr:colOff>714375</xdr:colOff>
      <xdr:row>708</xdr:row>
      <xdr:rowOff>47625</xdr:rowOff>
    </xdr:from>
    <xdr:to>
      <xdr:col>5</xdr:col>
      <xdr:colOff>513957</xdr:colOff>
      <xdr:row>727</xdr:row>
      <xdr:rowOff>18579</xdr:rowOff>
    </xdr:to>
    <xdr:pic>
      <xdr:nvPicPr>
        <xdr:cNvPr id="22" name="Picture 21"/>
        <xdr:cNvPicPr>
          <a:picLocks noChangeAspect="1"/>
        </xdr:cNvPicPr>
      </xdr:nvPicPr>
      <xdr:blipFill>
        <a:blip xmlns:r="http://schemas.openxmlformats.org/officeDocument/2006/relationships" r:embed="rId13"/>
        <a:stretch>
          <a:fillRect/>
        </a:stretch>
      </xdr:blipFill>
      <xdr:spPr>
        <a:xfrm>
          <a:off x="1476375" y="72275700"/>
          <a:ext cx="3142857" cy="3771429"/>
        </a:xfrm>
        <a:prstGeom prst="rect">
          <a:avLst/>
        </a:prstGeom>
      </xdr:spPr>
    </xdr:pic>
    <xdr:clientData/>
  </xdr:twoCellAnchor>
  <xdr:twoCellAnchor editAs="oneCell">
    <xdr:from>
      <xdr:col>0</xdr:col>
      <xdr:colOff>342899</xdr:colOff>
      <xdr:row>728</xdr:row>
      <xdr:rowOff>38100</xdr:rowOff>
    </xdr:from>
    <xdr:to>
      <xdr:col>7</xdr:col>
      <xdr:colOff>447620</xdr:colOff>
      <xdr:row>746</xdr:row>
      <xdr:rowOff>37650</xdr:rowOff>
    </xdr:to>
    <xdr:pic>
      <xdr:nvPicPr>
        <xdr:cNvPr id="23" name="Picture 22"/>
        <xdr:cNvPicPr>
          <a:picLocks noChangeAspect="1"/>
        </xdr:cNvPicPr>
      </xdr:nvPicPr>
      <xdr:blipFill rotWithShape="1">
        <a:blip xmlns:r="http://schemas.openxmlformats.org/officeDocument/2006/relationships" r:embed="rId14"/>
        <a:srcRect l="7585"/>
        <a:stretch/>
      </xdr:blipFill>
      <xdr:spPr>
        <a:xfrm>
          <a:off x="342899" y="76266675"/>
          <a:ext cx="5686371" cy="3600000"/>
        </a:xfrm>
        <a:prstGeom prst="rect">
          <a:avLst/>
        </a:prstGeom>
        <a:ln>
          <a:solidFill>
            <a:schemeClr val="tx1"/>
          </a:solidFill>
        </a:ln>
      </xdr:spPr>
    </xdr:pic>
    <xdr:clientData/>
  </xdr:twoCellAnchor>
  <xdr:twoCellAnchor editAs="oneCell">
    <xdr:from>
      <xdr:col>0</xdr:col>
      <xdr:colOff>542925</xdr:colOff>
      <xdr:row>769</xdr:row>
      <xdr:rowOff>38100</xdr:rowOff>
    </xdr:from>
    <xdr:to>
      <xdr:col>7</xdr:col>
      <xdr:colOff>209550</xdr:colOff>
      <xdr:row>788</xdr:row>
      <xdr:rowOff>180975</xdr:rowOff>
    </xdr:to>
    <xdr:pic>
      <xdr:nvPicPr>
        <xdr:cNvPr id="25" name="Picture 24"/>
        <xdr:cNvPicPr>
          <a:picLocks noChangeAspect="1"/>
        </xdr:cNvPicPr>
      </xdr:nvPicPr>
      <xdr:blipFill>
        <a:blip xmlns:r="http://schemas.openxmlformats.org/officeDocument/2006/relationships" r:embed="rId15"/>
        <a:stretch>
          <a:fillRect/>
        </a:stretch>
      </xdr:blipFill>
      <xdr:spPr>
        <a:xfrm>
          <a:off x="542925" y="84458175"/>
          <a:ext cx="5248275" cy="3943350"/>
        </a:xfrm>
        <a:prstGeom prst="rect">
          <a:avLst/>
        </a:prstGeom>
        <a:ln>
          <a:solidFill>
            <a:schemeClr val="tx1"/>
          </a:solidFill>
        </a:ln>
      </xdr:spPr>
    </xdr:pic>
    <xdr:clientData/>
  </xdr:twoCellAnchor>
  <xdr:twoCellAnchor>
    <xdr:from>
      <xdr:col>2</xdr:col>
      <xdr:colOff>243477</xdr:colOff>
      <xdr:row>774</xdr:row>
      <xdr:rowOff>161135</xdr:rowOff>
    </xdr:from>
    <xdr:to>
      <xdr:col>3</xdr:col>
      <xdr:colOff>529028</xdr:colOff>
      <xdr:row>780</xdr:row>
      <xdr:rowOff>198458</xdr:rowOff>
    </xdr:to>
    <xdr:sp macro="" textlink="">
      <xdr:nvSpPr>
        <xdr:cNvPr id="26" name="Rectangle 25"/>
        <xdr:cNvSpPr/>
      </xdr:nvSpPr>
      <xdr:spPr>
        <a:xfrm rot="3115678">
          <a:off x="1753478" y="83280759"/>
          <a:ext cx="1237473" cy="113327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342900</xdr:colOff>
      <xdr:row>752</xdr:row>
      <xdr:rowOff>28575</xdr:rowOff>
    </xdr:from>
    <xdr:to>
      <xdr:col>7</xdr:col>
      <xdr:colOff>363311</xdr:colOff>
      <xdr:row>768</xdr:row>
      <xdr:rowOff>68175</xdr:rowOff>
    </xdr:to>
    <xdr:pic>
      <xdr:nvPicPr>
        <xdr:cNvPr id="27" name="Picture 26"/>
        <xdr:cNvPicPr>
          <a:picLocks noChangeAspect="1"/>
        </xdr:cNvPicPr>
      </xdr:nvPicPr>
      <xdr:blipFill rotWithShape="1">
        <a:blip xmlns:r="http://schemas.openxmlformats.org/officeDocument/2006/relationships" r:embed="rId16"/>
        <a:srcRect l="36243" t="38443" r="28221" b="25000"/>
        <a:stretch/>
      </xdr:blipFill>
      <xdr:spPr>
        <a:xfrm>
          <a:off x="342900" y="81048225"/>
          <a:ext cx="5602061" cy="3240000"/>
        </a:xfrm>
        <a:prstGeom prst="rect">
          <a:avLst/>
        </a:prstGeom>
        <a:ln>
          <a:solidFill>
            <a:schemeClr val="tx1"/>
          </a:solidFill>
        </a:ln>
      </xdr:spPr>
    </xdr:pic>
    <xdr:clientData/>
  </xdr:twoCellAnchor>
  <xdr:oneCellAnchor>
    <xdr:from>
      <xdr:col>11</xdr:col>
      <xdr:colOff>228600</xdr:colOff>
      <xdr:row>209</xdr:row>
      <xdr:rowOff>152400</xdr:rowOff>
    </xdr:from>
    <xdr:ext cx="3771429" cy="1838095"/>
    <xdr:pic>
      <xdr:nvPicPr>
        <xdr:cNvPr id="28" name="Picture 27"/>
        <xdr:cNvPicPr>
          <a:picLocks noChangeAspect="1"/>
        </xdr:cNvPicPr>
      </xdr:nvPicPr>
      <xdr:blipFill>
        <a:blip xmlns:r="http://schemas.openxmlformats.org/officeDocument/2006/relationships" r:embed="rId5"/>
        <a:stretch>
          <a:fillRect/>
        </a:stretch>
      </xdr:blipFill>
      <xdr:spPr>
        <a:xfrm>
          <a:off x="9172575" y="40805100"/>
          <a:ext cx="3771429" cy="1838095"/>
        </a:xfrm>
        <a:prstGeom prst="rect">
          <a:avLst/>
        </a:prstGeom>
      </xdr:spPr>
    </xdr:pic>
    <xdr:clientData/>
  </xdr:oneCellAnchor>
  <xdr:twoCellAnchor>
    <xdr:from>
      <xdr:col>2</xdr:col>
      <xdr:colOff>762000</xdr:colOff>
      <xdr:row>745</xdr:row>
      <xdr:rowOff>76200</xdr:rowOff>
    </xdr:from>
    <xdr:to>
      <xdr:col>3</xdr:col>
      <xdr:colOff>485775</xdr:colOff>
      <xdr:row>745</xdr:row>
      <xdr:rowOff>76200</xdr:rowOff>
    </xdr:to>
    <xdr:cxnSp macro="">
      <xdr:nvCxnSpPr>
        <xdr:cNvPr id="21" name="Straight Arrow Connector 20"/>
        <xdr:cNvCxnSpPr/>
      </xdr:nvCxnSpPr>
      <xdr:spPr>
        <a:xfrm flipH="1">
          <a:off x="2324100" y="77990700"/>
          <a:ext cx="57150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457200</xdr:colOff>
      <xdr:row>744</xdr:row>
      <xdr:rowOff>38100</xdr:rowOff>
    </xdr:from>
    <xdr:to>
      <xdr:col>5</xdr:col>
      <xdr:colOff>180975</xdr:colOff>
      <xdr:row>747</xdr:row>
      <xdr:rowOff>171450</xdr:rowOff>
    </xdr:to>
    <xdr:sp macro="" textlink="">
      <xdr:nvSpPr>
        <xdr:cNvPr id="24" name="Rectangle 23"/>
        <xdr:cNvSpPr/>
      </xdr:nvSpPr>
      <xdr:spPr>
        <a:xfrm>
          <a:off x="2867025" y="77752575"/>
          <a:ext cx="14192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400" b="1">
              <a:solidFill>
                <a:srgbClr val="FF0000"/>
              </a:solidFill>
            </a:rPr>
            <a:t>N</a:t>
          </a:r>
        </a:p>
      </xdr:txBody>
    </xdr:sp>
    <xdr:clientData/>
  </xdr:twoCellAnchor>
  <xdr:twoCellAnchor>
    <xdr:from>
      <xdr:col>0</xdr:col>
      <xdr:colOff>628650</xdr:colOff>
      <xdr:row>774</xdr:row>
      <xdr:rowOff>19050</xdr:rowOff>
    </xdr:from>
    <xdr:to>
      <xdr:col>3</xdr:col>
      <xdr:colOff>876300</xdr:colOff>
      <xdr:row>788</xdr:row>
      <xdr:rowOff>171450</xdr:rowOff>
    </xdr:to>
    <xdr:sp macro="" textlink="">
      <xdr:nvSpPr>
        <xdr:cNvPr id="29" name="Freeform 28"/>
        <xdr:cNvSpPr/>
      </xdr:nvSpPr>
      <xdr:spPr>
        <a:xfrm>
          <a:off x="628650" y="83086575"/>
          <a:ext cx="2657475" cy="2952750"/>
        </a:xfrm>
        <a:custGeom>
          <a:avLst/>
          <a:gdLst>
            <a:gd name="connsiteX0" fmla="*/ 0 w 2657475"/>
            <a:gd name="connsiteY0" fmla="*/ 0 h 2952750"/>
            <a:gd name="connsiteX1" fmla="*/ 990600 w 2657475"/>
            <a:gd name="connsiteY1" fmla="*/ 866775 h 2952750"/>
            <a:gd name="connsiteX2" fmla="*/ 1962150 w 2657475"/>
            <a:gd name="connsiteY2" fmla="*/ 2057400 h 2952750"/>
            <a:gd name="connsiteX3" fmla="*/ 2657475 w 2657475"/>
            <a:gd name="connsiteY3" fmla="*/ 2952750 h 2952750"/>
          </a:gdLst>
          <a:ahLst/>
          <a:cxnLst>
            <a:cxn ang="0">
              <a:pos x="connsiteX0" y="connsiteY0"/>
            </a:cxn>
            <a:cxn ang="0">
              <a:pos x="connsiteX1" y="connsiteY1"/>
            </a:cxn>
            <a:cxn ang="0">
              <a:pos x="connsiteX2" y="connsiteY2"/>
            </a:cxn>
            <a:cxn ang="0">
              <a:pos x="connsiteX3" y="connsiteY3"/>
            </a:cxn>
          </a:cxnLst>
          <a:rect l="l" t="t" r="r" b="b"/>
          <a:pathLst>
            <a:path w="2657475" h="2952750">
              <a:moveTo>
                <a:pt x="0" y="0"/>
              </a:moveTo>
              <a:cubicBezTo>
                <a:pt x="331787" y="261937"/>
                <a:pt x="663575" y="523875"/>
                <a:pt x="990600" y="866775"/>
              </a:cubicBezTo>
              <a:cubicBezTo>
                <a:pt x="1317625" y="1209675"/>
                <a:pt x="1684338" y="1709738"/>
                <a:pt x="1962150" y="2057400"/>
              </a:cubicBezTo>
              <a:cubicBezTo>
                <a:pt x="2239962" y="2405062"/>
                <a:pt x="2378075" y="2824162"/>
                <a:pt x="2657475" y="2952750"/>
              </a:cubicBezTo>
            </a:path>
          </a:pathLst>
        </a:cu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FF0000"/>
            </a:solidFill>
          </a:endParaRPr>
        </a:p>
      </xdr:txBody>
    </xdr:sp>
    <xdr:clientData/>
  </xdr:twoCellAnchor>
  <xdr:twoCellAnchor>
    <xdr:from>
      <xdr:col>0</xdr:col>
      <xdr:colOff>504825</xdr:colOff>
      <xdr:row>776</xdr:row>
      <xdr:rowOff>57150</xdr:rowOff>
    </xdr:from>
    <xdr:to>
      <xdr:col>3</xdr:col>
      <xdr:colOff>647700</xdr:colOff>
      <xdr:row>788</xdr:row>
      <xdr:rowOff>190500</xdr:rowOff>
    </xdr:to>
    <xdr:sp macro="" textlink="">
      <xdr:nvSpPr>
        <xdr:cNvPr id="30" name="Freeform 29"/>
        <xdr:cNvSpPr/>
      </xdr:nvSpPr>
      <xdr:spPr>
        <a:xfrm>
          <a:off x="504825" y="83524725"/>
          <a:ext cx="2552700" cy="2533650"/>
        </a:xfrm>
        <a:custGeom>
          <a:avLst/>
          <a:gdLst>
            <a:gd name="connsiteX0" fmla="*/ 0 w 2657475"/>
            <a:gd name="connsiteY0" fmla="*/ 0 h 2952750"/>
            <a:gd name="connsiteX1" fmla="*/ 990600 w 2657475"/>
            <a:gd name="connsiteY1" fmla="*/ 866775 h 2952750"/>
            <a:gd name="connsiteX2" fmla="*/ 1962150 w 2657475"/>
            <a:gd name="connsiteY2" fmla="*/ 2057400 h 2952750"/>
            <a:gd name="connsiteX3" fmla="*/ 2657475 w 2657475"/>
            <a:gd name="connsiteY3" fmla="*/ 2952750 h 2952750"/>
          </a:gdLst>
          <a:ahLst/>
          <a:cxnLst>
            <a:cxn ang="0">
              <a:pos x="connsiteX0" y="connsiteY0"/>
            </a:cxn>
            <a:cxn ang="0">
              <a:pos x="connsiteX1" y="connsiteY1"/>
            </a:cxn>
            <a:cxn ang="0">
              <a:pos x="connsiteX2" y="connsiteY2"/>
            </a:cxn>
            <a:cxn ang="0">
              <a:pos x="connsiteX3" y="connsiteY3"/>
            </a:cxn>
          </a:cxnLst>
          <a:rect l="l" t="t" r="r" b="b"/>
          <a:pathLst>
            <a:path w="2657475" h="2952750">
              <a:moveTo>
                <a:pt x="0" y="0"/>
              </a:moveTo>
              <a:cubicBezTo>
                <a:pt x="331787" y="261937"/>
                <a:pt x="663575" y="523875"/>
                <a:pt x="990600" y="866775"/>
              </a:cubicBezTo>
              <a:cubicBezTo>
                <a:pt x="1317625" y="1209675"/>
                <a:pt x="1684338" y="1709738"/>
                <a:pt x="1962150" y="2057400"/>
              </a:cubicBezTo>
              <a:cubicBezTo>
                <a:pt x="2239962" y="2405062"/>
                <a:pt x="2378075" y="2824162"/>
                <a:pt x="2657475" y="2952750"/>
              </a:cubicBezTo>
            </a:path>
          </a:pathLst>
        </a:cu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FF0000"/>
            </a:solidFill>
          </a:endParaRPr>
        </a:p>
      </xdr:txBody>
    </xdr:sp>
    <xdr:clientData/>
  </xdr:twoCellAnchor>
  <xdr:twoCellAnchor>
    <xdr:from>
      <xdr:col>2</xdr:col>
      <xdr:colOff>295275</xdr:colOff>
      <xdr:row>778</xdr:row>
      <xdr:rowOff>95251</xdr:rowOff>
    </xdr:from>
    <xdr:to>
      <xdr:col>2</xdr:col>
      <xdr:colOff>742950</xdr:colOff>
      <xdr:row>786</xdr:row>
      <xdr:rowOff>47626</xdr:rowOff>
    </xdr:to>
    <xdr:sp macro="" textlink="">
      <xdr:nvSpPr>
        <xdr:cNvPr id="31" name="Rectangle 30"/>
        <xdr:cNvSpPr/>
      </xdr:nvSpPr>
      <xdr:spPr>
        <a:xfrm rot="2802369">
          <a:off x="1304925" y="84515326"/>
          <a:ext cx="1552575"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FF0000"/>
              </a:solidFill>
            </a:rPr>
            <a:t>Highway</a:t>
          </a:r>
        </a:p>
      </xdr:txBody>
    </xdr:sp>
    <xdr:clientData/>
  </xdr:twoCellAnchor>
  <xdr:oneCellAnchor>
    <xdr:from>
      <xdr:col>9</xdr:col>
      <xdr:colOff>577850</xdr:colOff>
      <xdr:row>346</xdr:row>
      <xdr:rowOff>133350</xdr:rowOff>
    </xdr:from>
    <xdr:ext cx="596574" cy="264560"/>
    <xdr:sp macro="" textlink="">
      <xdr:nvSpPr>
        <xdr:cNvPr id="20" name="TextBox 19"/>
        <xdr:cNvSpPr txBox="1"/>
      </xdr:nvSpPr>
      <xdr:spPr>
        <a:xfrm>
          <a:off x="8420100" y="701357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A Wing</a:t>
          </a:r>
        </a:p>
      </xdr:txBody>
    </xdr:sp>
    <xdr:clientData/>
  </xdr:oneCellAnchor>
  <xdr:twoCellAnchor editAs="oneCell">
    <xdr:from>
      <xdr:col>0</xdr:col>
      <xdr:colOff>762000</xdr:colOff>
      <xdr:row>364</xdr:row>
      <xdr:rowOff>120650</xdr:rowOff>
    </xdr:from>
    <xdr:to>
      <xdr:col>7</xdr:col>
      <xdr:colOff>28778</xdr:colOff>
      <xdr:row>401</xdr:row>
      <xdr:rowOff>37200</xdr:rowOff>
    </xdr:to>
    <xdr:pic>
      <xdr:nvPicPr>
        <xdr:cNvPr id="42" name="Picture 41"/>
        <xdr:cNvPicPr>
          <a:picLocks noChangeAspect="1"/>
        </xdr:cNvPicPr>
      </xdr:nvPicPr>
      <xdr:blipFill>
        <a:blip xmlns:r="http://schemas.openxmlformats.org/officeDocument/2006/relationships" r:embed="rId17"/>
        <a:stretch>
          <a:fillRect/>
        </a:stretch>
      </xdr:blipFill>
      <xdr:spPr>
        <a:xfrm>
          <a:off x="762000" y="83512025"/>
          <a:ext cx="4848428" cy="7317475"/>
        </a:xfrm>
        <a:prstGeom prst="rect">
          <a:avLst/>
        </a:prstGeom>
        <a:ln>
          <a:solidFill>
            <a:schemeClr val="tx1"/>
          </a:solidFill>
        </a:ln>
      </xdr:spPr>
    </xdr:pic>
    <xdr:clientData/>
  </xdr:twoCellAnchor>
  <xdr:twoCellAnchor editAs="oneCell">
    <xdr:from>
      <xdr:col>1</xdr:col>
      <xdr:colOff>82550</xdr:colOff>
      <xdr:row>407</xdr:row>
      <xdr:rowOff>120650</xdr:rowOff>
    </xdr:from>
    <xdr:to>
      <xdr:col>7</xdr:col>
      <xdr:colOff>25401</xdr:colOff>
      <xdr:row>444</xdr:row>
      <xdr:rowOff>37200</xdr:rowOff>
    </xdr:to>
    <xdr:pic>
      <xdr:nvPicPr>
        <xdr:cNvPr id="43" name="Picture 42"/>
        <xdr:cNvPicPr>
          <a:picLocks noChangeAspect="1"/>
        </xdr:cNvPicPr>
      </xdr:nvPicPr>
      <xdr:blipFill>
        <a:blip xmlns:r="http://schemas.openxmlformats.org/officeDocument/2006/relationships" r:embed="rId18"/>
        <a:stretch>
          <a:fillRect/>
        </a:stretch>
      </xdr:blipFill>
      <xdr:spPr>
        <a:xfrm>
          <a:off x="844550" y="92113100"/>
          <a:ext cx="4762501" cy="7317475"/>
        </a:xfrm>
        <a:prstGeom prst="rect">
          <a:avLst/>
        </a:prstGeom>
        <a:ln>
          <a:solidFill>
            <a:schemeClr val="tx1"/>
          </a:solidFill>
        </a:ln>
      </xdr:spPr>
    </xdr:pic>
    <xdr:clientData/>
  </xdr:twoCellAnchor>
  <xdr:twoCellAnchor editAs="oneCell">
    <xdr:from>
      <xdr:col>0</xdr:col>
      <xdr:colOff>774701</xdr:colOff>
      <xdr:row>450</xdr:row>
      <xdr:rowOff>101600</xdr:rowOff>
    </xdr:from>
    <xdr:to>
      <xdr:col>7</xdr:col>
      <xdr:colOff>4794</xdr:colOff>
      <xdr:row>487</xdr:row>
      <xdr:rowOff>18150</xdr:rowOff>
    </xdr:to>
    <xdr:pic>
      <xdr:nvPicPr>
        <xdr:cNvPr id="44" name="Picture 43"/>
        <xdr:cNvPicPr>
          <a:picLocks noChangeAspect="1"/>
        </xdr:cNvPicPr>
      </xdr:nvPicPr>
      <xdr:blipFill>
        <a:blip xmlns:r="http://schemas.openxmlformats.org/officeDocument/2006/relationships" r:embed="rId19"/>
        <a:stretch>
          <a:fillRect/>
        </a:stretch>
      </xdr:blipFill>
      <xdr:spPr>
        <a:xfrm>
          <a:off x="765176" y="100695125"/>
          <a:ext cx="4821268" cy="7317475"/>
        </a:xfrm>
        <a:prstGeom prst="rect">
          <a:avLst/>
        </a:prstGeom>
        <a:ln>
          <a:solidFill>
            <a:schemeClr val="tx1"/>
          </a:solidFill>
        </a:ln>
      </xdr:spPr>
    </xdr:pic>
    <xdr:clientData/>
  </xdr:twoCellAnchor>
  <xdr:twoCellAnchor editAs="oneCell">
    <xdr:from>
      <xdr:col>0</xdr:col>
      <xdr:colOff>793750</xdr:colOff>
      <xdr:row>493</xdr:row>
      <xdr:rowOff>120650</xdr:rowOff>
    </xdr:from>
    <xdr:to>
      <xdr:col>7</xdr:col>
      <xdr:colOff>57931</xdr:colOff>
      <xdr:row>530</xdr:row>
      <xdr:rowOff>37200</xdr:rowOff>
    </xdr:to>
    <xdr:pic>
      <xdr:nvPicPr>
        <xdr:cNvPr id="45" name="Picture 44"/>
        <xdr:cNvPicPr>
          <a:picLocks noChangeAspect="1"/>
        </xdr:cNvPicPr>
      </xdr:nvPicPr>
      <xdr:blipFill>
        <a:blip xmlns:r="http://schemas.openxmlformats.org/officeDocument/2006/relationships" r:embed="rId20"/>
        <a:stretch>
          <a:fillRect/>
        </a:stretch>
      </xdr:blipFill>
      <xdr:spPr>
        <a:xfrm>
          <a:off x="765175" y="109315250"/>
          <a:ext cx="4874406" cy="7317475"/>
        </a:xfrm>
        <a:prstGeom prst="rect">
          <a:avLst/>
        </a:prstGeom>
        <a:ln>
          <a:solidFill>
            <a:schemeClr val="tx1"/>
          </a:solidFill>
        </a:ln>
      </xdr:spPr>
    </xdr:pic>
    <xdr:clientData/>
  </xdr:twoCellAnchor>
  <xdr:twoCellAnchor editAs="oneCell">
    <xdr:from>
      <xdr:col>1</xdr:col>
      <xdr:colOff>12700</xdr:colOff>
      <xdr:row>536</xdr:row>
      <xdr:rowOff>95250</xdr:rowOff>
    </xdr:from>
    <xdr:to>
      <xdr:col>7</xdr:col>
      <xdr:colOff>38951</xdr:colOff>
      <xdr:row>573</xdr:row>
      <xdr:rowOff>11800</xdr:rowOff>
    </xdr:to>
    <xdr:pic>
      <xdr:nvPicPr>
        <xdr:cNvPr id="46" name="Picture 45"/>
        <xdr:cNvPicPr>
          <a:picLocks noChangeAspect="1"/>
        </xdr:cNvPicPr>
      </xdr:nvPicPr>
      <xdr:blipFill>
        <a:blip xmlns:r="http://schemas.openxmlformats.org/officeDocument/2006/relationships" r:embed="rId21"/>
        <a:stretch>
          <a:fillRect/>
        </a:stretch>
      </xdr:blipFill>
      <xdr:spPr>
        <a:xfrm>
          <a:off x="774700" y="117890925"/>
          <a:ext cx="4845901" cy="7317475"/>
        </a:xfrm>
        <a:prstGeom prst="rect">
          <a:avLst/>
        </a:prstGeom>
        <a:ln>
          <a:solidFill>
            <a:schemeClr val="tx1"/>
          </a:solidFill>
        </a:ln>
      </xdr:spPr>
    </xdr:pic>
    <xdr:clientData/>
  </xdr:twoCellAnchor>
  <xdr:twoCellAnchor editAs="oneCell">
    <xdr:from>
      <xdr:col>1</xdr:col>
      <xdr:colOff>6350</xdr:colOff>
      <xdr:row>579</xdr:row>
      <xdr:rowOff>114300</xdr:rowOff>
    </xdr:from>
    <xdr:to>
      <xdr:col>7</xdr:col>
      <xdr:colOff>46245</xdr:colOff>
      <xdr:row>616</xdr:row>
      <xdr:rowOff>30850</xdr:rowOff>
    </xdr:to>
    <xdr:pic>
      <xdr:nvPicPr>
        <xdr:cNvPr id="47" name="Picture 46"/>
        <xdr:cNvPicPr>
          <a:picLocks noChangeAspect="1"/>
        </xdr:cNvPicPr>
      </xdr:nvPicPr>
      <xdr:blipFill>
        <a:blip xmlns:r="http://schemas.openxmlformats.org/officeDocument/2006/relationships" r:embed="rId22"/>
        <a:stretch>
          <a:fillRect/>
        </a:stretch>
      </xdr:blipFill>
      <xdr:spPr>
        <a:xfrm>
          <a:off x="768350" y="126511050"/>
          <a:ext cx="4859545" cy="7317475"/>
        </a:xfrm>
        <a:prstGeom prst="rect">
          <a:avLst/>
        </a:prstGeom>
        <a:ln>
          <a:solidFill>
            <a:schemeClr val="tx1"/>
          </a:solidFill>
        </a:ln>
      </xdr:spPr>
    </xdr:pic>
    <xdr:clientData/>
  </xdr:twoCellAnchor>
  <xdr:twoCellAnchor editAs="oneCell">
    <xdr:from>
      <xdr:col>0</xdr:col>
      <xdr:colOff>742950</xdr:colOff>
      <xdr:row>622</xdr:row>
      <xdr:rowOff>120650</xdr:rowOff>
    </xdr:from>
    <xdr:to>
      <xdr:col>7</xdr:col>
      <xdr:colOff>34729</xdr:colOff>
      <xdr:row>659</xdr:row>
      <xdr:rowOff>37200</xdr:rowOff>
    </xdr:to>
    <xdr:pic>
      <xdr:nvPicPr>
        <xdr:cNvPr id="48" name="Picture 47"/>
        <xdr:cNvPicPr>
          <a:picLocks noChangeAspect="1"/>
        </xdr:cNvPicPr>
      </xdr:nvPicPr>
      <xdr:blipFill>
        <a:blip xmlns:r="http://schemas.openxmlformats.org/officeDocument/2006/relationships" r:embed="rId23"/>
        <a:stretch>
          <a:fillRect/>
        </a:stretch>
      </xdr:blipFill>
      <xdr:spPr>
        <a:xfrm>
          <a:off x="742950" y="135118475"/>
          <a:ext cx="4873429" cy="7317475"/>
        </a:xfrm>
        <a:prstGeom prst="rect">
          <a:avLst/>
        </a:prstGeom>
        <a:ln>
          <a:solidFill>
            <a:schemeClr val="tx1"/>
          </a:solidFill>
        </a:ln>
      </xdr:spPr>
    </xdr:pic>
    <xdr:clientData/>
  </xdr:twoCellAnchor>
  <xdr:twoCellAnchor editAs="oneCell">
    <xdr:from>
      <xdr:col>0</xdr:col>
      <xdr:colOff>768350</xdr:colOff>
      <xdr:row>665</xdr:row>
      <xdr:rowOff>107950</xdr:rowOff>
    </xdr:from>
    <xdr:to>
      <xdr:col>6</xdr:col>
      <xdr:colOff>728694</xdr:colOff>
      <xdr:row>702</xdr:row>
      <xdr:rowOff>24500</xdr:rowOff>
    </xdr:to>
    <xdr:pic>
      <xdr:nvPicPr>
        <xdr:cNvPr id="49" name="Picture 48"/>
        <xdr:cNvPicPr>
          <a:picLocks noChangeAspect="1"/>
        </xdr:cNvPicPr>
      </xdr:nvPicPr>
      <xdr:blipFill>
        <a:blip xmlns:r="http://schemas.openxmlformats.org/officeDocument/2006/relationships" r:embed="rId24"/>
        <a:stretch>
          <a:fillRect/>
        </a:stretch>
      </xdr:blipFill>
      <xdr:spPr>
        <a:xfrm>
          <a:off x="758825" y="143706850"/>
          <a:ext cx="4818094" cy="7317475"/>
        </a:xfrm>
        <a:prstGeom prst="rect">
          <a:avLst/>
        </a:prstGeom>
        <a:ln>
          <a:solidFill>
            <a:schemeClr val="tx1"/>
          </a:solidFill>
        </a:ln>
      </xdr:spPr>
    </xdr:pic>
    <xdr:clientData/>
  </xdr:twoCellAnchor>
  <xdr:twoCellAnchor>
    <xdr:from>
      <xdr:col>0</xdr:col>
      <xdr:colOff>190501</xdr:colOff>
      <xdr:row>321</xdr:row>
      <xdr:rowOff>104775</xdr:rowOff>
    </xdr:from>
    <xdr:to>
      <xdr:col>7</xdr:col>
      <xdr:colOff>457201</xdr:colOff>
      <xdr:row>355</xdr:row>
      <xdr:rowOff>85725</xdr:rowOff>
    </xdr:to>
    <xdr:grpSp>
      <xdr:nvGrpSpPr>
        <xdr:cNvPr id="50" name="Group 49"/>
        <xdr:cNvGrpSpPr/>
      </xdr:nvGrpSpPr>
      <xdr:grpSpPr>
        <a:xfrm>
          <a:off x="190501" y="68807239"/>
          <a:ext cx="5845629" cy="6906986"/>
          <a:chOff x="358459" y="1350686"/>
          <a:chExt cx="6499541" cy="7039251"/>
        </a:xfrm>
      </xdr:grpSpPr>
      <xdr:pic>
        <xdr:nvPicPr>
          <xdr:cNvPr id="51" name="Picture 50" descr="https://vsjcllp.vsjadon.com/upload/insp-239711-1525.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630537" y="6589937"/>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9711-843.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49917" y="4551298"/>
            <a:ext cx="2504846" cy="18803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9711-845.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727689" y="6589937"/>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9711-1022.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578614" y="1350686"/>
            <a:ext cx="2279386" cy="3042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39711-916.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187737" y="6589937"/>
            <a:ext cx="1348594"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39711-925.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8459" y="1350686"/>
            <a:ext cx="4052709" cy="3042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9711-1512.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460273" y="4551298"/>
            <a:ext cx="2504846" cy="18803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hGzBMx8FktvQewt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751"/>
  <sheetViews>
    <sheetView tabSelected="1" view="pageBreakPreview" topLeftCell="A286" zoomScale="70" zoomScaleNormal="100" zoomScaleSheetLayoutView="70" zoomScalePageLayoutView="85" workbookViewId="0">
      <selection activeCell="P305" sqref="P305"/>
    </sheetView>
  </sheetViews>
  <sheetFormatPr defaultColWidth="9.140625" defaultRowHeight="15.75" x14ac:dyDescent="0.25"/>
  <cols>
    <col min="1" max="1" width="11.42578125" style="36" customWidth="1"/>
    <col min="2" max="2" width="12" style="36" customWidth="1"/>
    <col min="3" max="3" width="12.7109375" style="36" customWidth="1"/>
    <col min="4" max="4" width="13.7109375" style="36" customWidth="1"/>
    <col min="5" max="5" width="11.7109375" style="36" customWidth="1"/>
    <col min="6" max="6" width="11.140625" style="36" customWidth="1"/>
    <col min="7" max="8" width="11" style="36" customWidth="1"/>
    <col min="9" max="9" width="17.42578125" style="17" customWidth="1"/>
    <col min="10" max="10" width="11.42578125" style="17" customWidth="1"/>
    <col min="11" max="11" width="10.5703125" style="17" bestFit="1" customWidth="1"/>
    <col min="12" max="12" width="13.85546875" style="17" bestFit="1" customWidth="1"/>
    <col min="13" max="13" width="11.85546875" style="17" customWidth="1"/>
    <col min="14" max="14" width="12.5703125" style="17" customWidth="1"/>
    <col min="15" max="15" width="12.140625" style="17" customWidth="1"/>
    <col min="16" max="16" width="11.7109375" style="17" customWidth="1"/>
    <col min="17" max="18" width="9.140625" style="17"/>
    <col min="19" max="19" width="10.85546875" style="17" bestFit="1" customWidth="1"/>
    <col min="20" max="20" width="10.7109375" style="17" customWidth="1"/>
    <col min="21" max="247" width="9.140625" style="17"/>
    <col min="248" max="248" width="8.7109375" style="17" customWidth="1"/>
    <col min="249" max="249" width="9.85546875" style="17" customWidth="1"/>
    <col min="250" max="250" width="14.42578125" style="17" customWidth="1"/>
    <col min="251" max="251" width="7.28515625" style="17" customWidth="1"/>
    <col min="252" max="252" width="5.5703125" style="17" customWidth="1"/>
    <col min="253" max="253" width="9" style="17" customWidth="1"/>
    <col min="254" max="255" width="9.85546875" style="17" customWidth="1"/>
    <col min="256" max="256" width="11.140625" style="17" customWidth="1"/>
    <col min="257" max="257" width="2.85546875" style="17" customWidth="1"/>
    <col min="258" max="258" width="3.5703125" style="17" customWidth="1"/>
    <col min="259" max="503" width="9.140625" style="17"/>
    <col min="504" max="504" width="8.7109375" style="17" customWidth="1"/>
    <col min="505" max="505" width="9.85546875" style="17" customWidth="1"/>
    <col min="506" max="506" width="14.42578125" style="17" customWidth="1"/>
    <col min="507" max="507" width="7.28515625" style="17" customWidth="1"/>
    <col min="508" max="508" width="5.5703125" style="17" customWidth="1"/>
    <col min="509" max="509" width="9" style="17" customWidth="1"/>
    <col min="510" max="511" width="9.85546875" style="17" customWidth="1"/>
    <col min="512" max="512" width="11.140625" style="17" customWidth="1"/>
    <col min="513" max="513" width="2.85546875" style="17" customWidth="1"/>
    <col min="514" max="514" width="3.5703125" style="17" customWidth="1"/>
    <col min="515" max="759" width="9.140625" style="17"/>
    <col min="760" max="760" width="8.7109375" style="17" customWidth="1"/>
    <col min="761" max="761" width="9.85546875" style="17" customWidth="1"/>
    <col min="762" max="762" width="14.42578125" style="17" customWidth="1"/>
    <col min="763" max="763" width="7.28515625" style="17" customWidth="1"/>
    <col min="764" max="764" width="5.5703125" style="17" customWidth="1"/>
    <col min="765" max="765" width="9" style="17" customWidth="1"/>
    <col min="766" max="767" width="9.85546875" style="17" customWidth="1"/>
    <col min="768" max="768" width="11.140625" style="17" customWidth="1"/>
    <col min="769" max="769" width="2.85546875" style="17" customWidth="1"/>
    <col min="770" max="770" width="3.5703125" style="17" customWidth="1"/>
    <col min="771" max="1015" width="9.140625" style="17"/>
    <col min="1016" max="1016" width="8.7109375" style="17" customWidth="1"/>
    <col min="1017" max="1017" width="9.85546875" style="17" customWidth="1"/>
    <col min="1018" max="1018" width="14.42578125" style="17" customWidth="1"/>
    <col min="1019" max="1019" width="7.28515625" style="17" customWidth="1"/>
    <col min="1020" max="1020" width="5.5703125" style="17" customWidth="1"/>
    <col min="1021" max="1021" width="9" style="17" customWidth="1"/>
    <col min="1022" max="1023" width="9.85546875" style="17" customWidth="1"/>
    <col min="1024" max="1024" width="11.140625" style="17" customWidth="1"/>
    <col min="1025" max="1025" width="2.85546875" style="17" customWidth="1"/>
    <col min="1026" max="1026" width="3.5703125" style="17" customWidth="1"/>
    <col min="1027" max="1271" width="9.140625" style="17"/>
    <col min="1272" max="1272" width="8.7109375" style="17" customWidth="1"/>
    <col min="1273" max="1273" width="9.85546875" style="17" customWidth="1"/>
    <col min="1274" max="1274" width="14.42578125" style="17" customWidth="1"/>
    <col min="1275" max="1275" width="7.28515625" style="17" customWidth="1"/>
    <col min="1276" max="1276" width="5.5703125" style="17" customWidth="1"/>
    <col min="1277" max="1277" width="9" style="17" customWidth="1"/>
    <col min="1278" max="1279" width="9.85546875" style="17" customWidth="1"/>
    <col min="1280" max="1280" width="11.140625" style="17" customWidth="1"/>
    <col min="1281" max="1281" width="2.85546875" style="17" customWidth="1"/>
    <col min="1282" max="1282" width="3.5703125" style="17" customWidth="1"/>
    <col min="1283" max="1527" width="9.140625" style="17"/>
    <col min="1528" max="1528" width="8.7109375" style="17" customWidth="1"/>
    <col min="1529" max="1529" width="9.85546875" style="17" customWidth="1"/>
    <col min="1530" max="1530" width="14.42578125" style="17" customWidth="1"/>
    <col min="1531" max="1531" width="7.28515625" style="17" customWidth="1"/>
    <col min="1532" max="1532" width="5.5703125" style="17" customWidth="1"/>
    <col min="1533" max="1533" width="9" style="17" customWidth="1"/>
    <col min="1534" max="1535" width="9.85546875" style="17" customWidth="1"/>
    <col min="1536" max="1536" width="11.140625" style="17" customWidth="1"/>
    <col min="1537" max="1537" width="2.85546875" style="17" customWidth="1"/>
    <col min="1538" max="1538" width="3.5703125" style="17" customWidth="1"/>
    <col min="1539" max="1783" width="9.140625" style="17"/>
    <col min="1784" max="1784" width="8.7109375" style="17" customWidth="1"/>
    <col min="1785" max="1785" width="9.85546875" style="17" customWidth="1"/>
    <col min="1786" max="1786" width="14.42578125" style="17" customWidth="1"/>
    <col min="1787" max="1787" width="7.28515625" style="17" customWidth="1"/>
    <col min="1788" max="1788" width="5.5703125" style="17" customWidth="1"/>
    <col min="1789" max="1789" width="9" style="17" customWidth="1"/>
    <col min="1790" max="1791" width="9.85546875" style="17" customWidth="1"/>
    <col min="1792" max="1792" width="11.140625" style="17" customWidth="1"/>
    <col min="1793" max="1793" width="2.85546875" style="17" customWidth="1"/>
    <col min="1794" max="1794" width="3.5703125" style="17" customWidth="1"/>
    <col min="1795" max="2039" width="9.140625" style="17"/>
    <col min="2040" max="2040" width="8.7109375" style="17" customWidth="1"/>
    <col min="2041" max="2041" width="9.85546875" style="17" customWidth="1"/>
    <col min="2042" max="2042" width="14.42578125" style="17" customWidth="1"/>
    <col min="2043" max="2043" width="7.28515625" style="17" customWidth="1"/>
    <col min="2044" max="2044" width="5.5703125" style="17" customWidth="1"/>
    <col min="2045" max="2045" width="9" style="17" customWidth="1"/>
    <col min="2046" max="2047" width="9.85546875" style="17" customWidth="1"/>
    <col min="2048" max="2048" width="11.140625" style="17" customWidth="1"/>
    <col min="2049" max="2049" width="2.85546875" style="17" customWidth="1"/>
    <col min="2050" max="2050" width="3.5703125" style="17" customWidth="1"/>
    <col min="2051" max="2295" width="9.140625" style="17"/>
    <col min="2296" max="2296" width="8.7109375" style="17" customWidth="1"/>
    <col min="2297" max="2297" width="9.85546875" style="17" customWidth="1"/>
    <col min="2298" max="2298" width="14.42578125" style="17" customWidth="1"/>
    <col min="2299" max="2299" width="7.28515625" style="17" customWidth="1"/>
    <col min="2300" max="2300" width="5.5703125" style="17" customWidth="1"/>
    <col min="2301" max="2301" width="9" style="17" customWidth="1"/>
    <col min="2302" max="2303" width="9.85546875" style="17" customWidth="1"/>
    <col min="2304" max="2304" width="11.140625" style="17" customWidth="1"/>
    <col min="2305" max="2305" width="2.85546875" style="17" customWidth="1"/>
    <col min="2306" max="2306" width="3.5703125" style="17" customWidth="1"/>
    <col min="2307" max="2551" width="9.140625" style="17"/>
    <col min="2552" max="2552" width="8.7109375" style="17" customWidth="1"/>
    <col min="2553" max="2553" width="9.85546875" style="17" customWidth="1"/>
    <col min="2554" max="2554" width="14.42578125" style="17" customWidth="1"/>
    <col min="2555" max="2555" width="7.28515625" style="17" customWidth="1"/>
    <col min="2556" max="2556" width="5.5703125" style="17" customWidth="1"/>
    <col min="2557" max="2557" width="9" style="17" customWidth="1"/>
    <col min="2558" max="2559" width="9.85546875" style="17" customWidth="1"/>
    <col min="2560" max="2560" width="11.140625" style="17" customWidth="1"/>
    <col min="2561" max="2561" width="2.85546875" style="17" customWidth="1"/>
    <col min="2562" max="2562" width="3.5703125" style="17" customWidth="1"/>
    <col min="2563" max="2807" width="9.140625" style="17"/>
    <col min="2808" max="2808" width="8.7109375" style="17" customWidth="1"/>
    <col min="2809" max="2809" width="9.85546875" style="17" customWidth="1"/>
    <col min="2810" max="2810" width="14.42578125" style="17" customWidth="1"/>
    <col min="2811" max="2811" width="7.28515625" style="17" customWidth="1"/>
    <col min="2812" max="2812" width="5.5703125" style="17" customWidth="1"/>
    <col min="2813" max="2813" width="9" style="17" customWidth="1"/>
    <col min="2814" max="2815" width="9.85546875" style="17" customWidth="1"/>
    <col min="2816" max="2816" width="11.140625" style="17" customWidth="1"/>
    <col min="2817" max="2817" width="2.85546875" style="17" customWidth="1"/>
    <col min="2818" max="2818" width="3.5703125" style="17" customWidth="1"/>
    <col min="2819" max="3063" width="9.140625" style="17"/>
    <col min="3064" max="3064" width="8.7109375" style="17" customWidth="1"/>
    <col min="3065" max="3065" width="9.85546875" style="17" customWidth="1"/>
    <col min="3066" max="3066" width="14.42578125" style="17" customWidth="1"/>
    <col min="3067" max="3067" width="7.28515625" style="17" customWidth="1"/>
    <col min="3068" max="3068" width="5.5703125" style="17" customWidth="1"/>
    <col min="3069" max="3069" width="9" style="17" customWidth="1"/>
    <col min="3070" max="3071" width="9.85546875" style="17" customWidth="1"/>
    <col min="3072" max="3072" width="11.140625" style="17" customWidth="1"/>
    <col min="3073" max="3073" width="2.85546875" style="17" customWidth="1"/>
    <col min="3074" max="3074" width="3.5703125" style="17" customWidth="1"/>
    <col min="3075" max="3319" width="9.140625" style="17"/>
    <col min="3320" max="3320" width="8.7109375" style="17" customWidth="1"/>
    <col min="3321" max="3321" width="9.85546875" style="17" customWidth="1"/>
    <col min="3322" max="3322" width="14.42578125" style="17" customWidth="1"/>
    <col min="3323" max="3323" width="7.28515625" style="17" customWidth="1"/>
    <col min="3324" max="3324" width="5.5703125" style="17" customWidth="1"/>
    <col min="3325" max="3325" width="9" style="17" customWidth="1"/>
    <col min="3326" max="3327" width="9.85546875" style="17" customWidth="1"/>
    <col min="3328" max="3328" width="11.140625" style="17" customWidth="1"/>
    <col min="3329" max="3329" width="2.85546875" style="17" customWidth="1"/>
    <col min="3330" max="3330" width="3.5703125" style="17" customWidth="1"/>
    <col min="3331" max="3575" width="9.140625" style="17"/>
    <col min="3576" max="3576" width="8.7109375" style="17" customWidth="1"/>
    <col min="3577" max="3577" width="9.85546875" style="17" customWidth="1"/>
    <col min="3578" max="3578" width="14.42578125" style="17" customWidth="1"/>
    <col min="3579" max="3579" width="7.28515625" style="17" customWidth="1"/>
    <col min="3580" max="3580" width="5.5703125" style="17" customWidth="1"/>
    <col min="3581" max="3581" width="9" style="17" customWidth="1"/>
    <col min="3582" max="3583" width="9.85546875" style="17" customWidth="1"/>
    <col min="3584" max="3584" width="11.140625" style="17" customWidth="1"/>
    <col min="3585" max="3585" width="2.85546875" style="17" customWidth="1"/>
    <col min="3586" max="3586" width="3.5703125" style="17" customWidth="1"/>
    <col min="3587" max="3831" width="9.140625" style="17"/>
    <col min="3832" max="3832" width="8.7109375" style="17" customWidth="1"/>
    <col min="3833" max="3833" width="9.85546875" style="17" customWidth="1"/>
    <col min="3834" max="3834" width="14.42578125" style="17" customWidth="1"/>
    <col min="3835" max="3835" width="7.28515625" style="17" customWidth="1"/>
    <col min="3836" max="3836" width="5.5703125" style="17" customWidth="1"/>
    <col min="3837" max="3837" width="9" style="17" customWidth="1"/>
    <col min="3838" max="3839" width="9.85546875" style="17" customWidth="1"/>
    <col min="3840" max="3840" width="11.140625" style="17" customWidth="1"/>
    <col min="3841" max="3841" width="2.85546875" style="17" customWidth="1"/>
    <col min="3842" max="3842" width="3.5703125" style="17" customWidth="1"/>
    <col min="3843" max="4087" width="9.140625" style="17"/>
    <col min="4088" max="4088" width="8.7109375" style="17" customWidth="1"/>
    <col min="4089" max="4089" width="9.85546875" style="17" customWidth="1"/>
    <col min="4090" max="4090" width="14.42578125" style="17" customWidth="1"/>
    <col min="4091" max="4091" width="7.28515625" style="17" customWidth="1"/>
    <col min="4092" max="4092" width="5.5703125" style="17" customWidth="1"/>
    <col min="4093" max="4093" width="9" style="17" customWidth="1"/>
    <col min="4094" max="4095" width="9.85546875" style="17" customWidth="1"/>
    <col min="4096" max="4096" width="11.140625" style="17" customWidth="1"/>
    <col min="4097" max="4097" width="2.85546875" style="17" customWidth="1"/>
    <col min="4098" max="4098" width="3.5703125" style="17" customWidth="1"/>
    <col min="4099" max="4343" width="9.140625" style="17"/>
    <col min="4344" max="4344" width="8.7109375" style="17" customWidth="1"/>
    <col min="4345" max="4345" width="9.85546875" style="17" customWidth="1"/>
    <col min="4346" max="4346" width="14.42578125" style="17" customWidth="1"/>
    <col min="4347" max="4347" width="7.28515625" style="17" customWidth="1"/>
    <col min="4348" max="4348" width="5.5703125" style="17" customWidth="1"/>
    <col min="4349" max="4349" width="9" style="17" customWidth="1"/>
    <col min="4350" max="4351" width="9.85546875" style="17" customWidth="1"/>
    <col min="4352" max="4352" width="11.140625" style="17" customWidth="1"/>
    <col min="4353" max="4353" width="2.85546875" style="17" customWidth="1"/>
    <col min="4354" max="4354" width="3.5703125" style="17" customWidth="1"/>
    <col min="4355" max="4599" width="9.140625" style="17"/>
    <col min="4600" max="4600" width="8.7109375" style="17" customWidth="1"/>
    <col min="4601" max="4601" width="9.85546875" style="17" customWidth="1"/>
    <col min="4602" max="4602" width="14.42578125" style="17" customWidth="1"/>
    <col min="4603" max="4603" width="7.28515625" style="17" customWidth="1"/>
    <col min="4604" max="4604" width="5.5703125" style="17" customWidth="1"/>
    <col min="4605" max="4605" width="9" style="17" customWidth="1"/>
    <col min="4606" max="4607" width="9.85546875" style="17" customWidth="1"/>
    <col min="4608" max="4608" width="11.140625" style="17" customWidth="1"/>
    <col min="4609" max="4609" width="2.85546875" style="17" customWidth="1"/>
    <col min="4610" max="4610" width="3.5703125" style="17" customWidth="1"/>
    <col min="4611" max="4855" width="9.140625" style="17"/>
    <col min="4856" max="4856" width="8.7109375" style="17" customWidth="1"/>
    <col min="4857" max="4857" width="9.85546875" style="17" customWidth="1"/>
    <col min="4858" max="4858" width="14.42578125" style="17" customWidth="1"/>
    <col min="4859" max="4859" width="7.28515625" style="17" customWidth="1"/>
    <col min="4860" max="4860" width="5.5703125" style="17" customWidth="1"/>
    <col min="4861" max="4861" width="9" style="17" customWidth="1"/>
    <col min="4862" max="4863" width="9.85546875" style="17" customWidth="1"/>
    <col min="4864" max="4864" width="11.140625" style="17" customWidth="1"/>
    <col min="4865" max="4865" width="2.85546875" style="17" customWidth="1"/>
    <col min="4866" max="4866" width="3.5703125" style="17" customWidth="1"/>
    <col min="4867" max="5111" width="9.140625" style="17"/>
    <col min="5112" max="5112" width="8.7109375" style="17" customWidth="1"/>
    <col min="5113" max="5113" width="9.85546875" style="17" customWidth="1"/>
    <col min="5114" max="5114" width="14.42578125" style="17" customWidth="1"/>
    <col min="5115" max="5115" width="7.28515625" style="17" customWidth="1"/>
    <col min="5116" max="5116" width="5.5703125" style="17" customWidth="1"/>
    <col min="5117" max="5117" width="9" style="17" customWidth="1"/>
    <col min="5118" max="5119" width="9.85546875" style="17" customWidth="1"/>
    <col min="5120" max="5120" width="11.140625" style="17" customWidth="1"/>
    <col min="5121" max="5121" width="2.85546875" style="17" customWidth="1"/>
    <col min="5122" max="5122" width="3.5703125" style="17" customWidth="1"/>
    <col min="5123" max="5367" width="9.140625" style="17"/>
    <col min="5368" max="5368" width="8.7109375" style="17" customWidth="1"/>
    <col min="5369" max="5369" width="9.85546875" style="17" customWidth="1"/>
    <col min="5370" max="5370" width="14.42578125" style="17" customWidth="1"/>
    <col min="5371" max="5371" width="7.28515625" style="17" customWidth="1"/>
    <col min="5372" max="5372" width="5.5703125" style="17" customWidth="1"/>
    <col min="5373" max="5373" width="9" style="17" customWidth="1"/>
    <col min="5374" max="5375" width="9.85546875" style="17" customWidth="1"/>
    <col min="5376" max="5376" width="11.140625" style="17" customWidth="1"/>
    <col min="5377" max="5377" width="2.85546875" style="17" customWidth="1"/>
    <col min="5378" max="5378" width="3.5703125" style="17" customWidth="1"/>
    <col min="5379" max="5623" width="9.140625" style="17"/>
    <col min="5624" max="5624" width="8.7109375" style="17" customWidth="1"/>
    <col min="5625" max="5625" width="9.85546875" style="17" customWidth="1"/>
    <col min="5626" max="5626" width="14.42578125" style="17" customWidth="1"/>
    <col min="5627" max="5627" width="7.28515625" style="17" customWidth="1"/>
    <col min="5628" max="5628" width="5.5703125" style="17" customWidth="1"/>
    <col min="5629" max="5629" width="9" style="17" customWidth="1"/>
    <col min="5630" max="5631" width="9.85546875" style="17" customWidth="1"/>
    <col min="5632" max="5632" width="11.140625" style="17" customWidth="1"/>
    <col min="5633" max="5633" width="2.85546875" style="17" customWidth="1"/>
    <col min="5634" max="5634" width="3.5703125" style="17" customWidth="1"/>
    <col min="5635" max="5879" width="9.140625" style="17"/>
    <col min="5880" max="5880" width="8.7109375" style="17" customWidth="1"/>
    <col min="5881" max="5881" width="9.85546875" style="17" customWidth="1"/>
    <col min="5882" max="5882" width="14.42578125" style="17" customWidth="1"/>
    <col min="5883" max="5883" width="7.28515625" style="17" customWidth="1"/>
    <col min="5884" max="5884" width="5.5703125" style="17" customWidth="1"/>
    <col min="5885" max="5885" width="9" style="17" customWidth="1"/>
    <col min="5886" max="5887" width="9.85546875" style="17" customWidth="1"/>
    <col min="5888" max="5888" width="11.140625" style="17" customWidth="1"/>
    <col min="5889" max="5889" width="2.85546875" style="17" customWidth="1"/>
    <col min="5890" max="5890" width="3.5703125" style="17" customWidth="1"/>
    <col min="5891" max="6135" width="9.140625" style="17"/>
    <col min="6136" max="6136" width="8.7109375" style="17" customWidth="1"/>
    <col min="6137" max="6137" width="9.85546875" style="17" customWidth="1"/>
    <col min="6138" max="6138" width="14.42578125" style="17" customWidth="1"/>
    <col min="6139" max="6139" width="7.28515625" style="17" customWidth="1"/>
    <col min="6140" max="6140" width="5.5703125" style="17" customWidth="1"/>
    <col min="6141" max="6141" width="9" style="17" customWidth="1"/>
    <col min="6142" max="6143" width="9.85546875" style="17" customWidth="1"/>
    <col min="6144" max="6144" width="11.140625" style="17" customWidth="1"/>
    <col min="6145" max="6145" width="2.85546875" style="17" customWidth="1"/>
    <col min="6146" max="6146" width="3.5703125" style="17" customWidth="1"/>
    <col min="6147" max="6391" width="9.140625" style="17"/>
    <col min="6392" max="6392" width="8.7109375" style="17" customWidth="1"/>
    <col min="6393" max="6393" width="9.85546875" style="17" customWidth="1"/>
    <col min="6394" max="6394" width="14.42578125" style="17" customWidth="1"/>
    <col min="6395" max="6395" width="7.28515625" style="17" customWidth="1"/>
    <col min="6396" max="6396" width="5.5703125" style="17" customWidth="1"/>
    <col min="6397" max="6397" width="9" style="17" customWidth="1"/>
    <col min="6398" max="6399" width="9.85546875" style="17" customWidth="1"/>
    <col min="6400" max="6400" width="11.140625" style="17" customWidth="1"/>
    <col min="6401" max="6401" width="2.85546875" style="17" customWidth="1"/>
    <col min="6402" max="6402" width="3.5703125" style="17" customWidth="1"/>
    <col min="6403" max="6647" width="9.140625" style="17"/>
    <col min="6648" max="6648" width="8.7109375" style="17" customWidth="1"/>
    <col min="6649" max="6649" width="9.85546875" style="17" customWidth="1"/>
    <col min="6650" max="6650" width="14.42578125" style="17" customWidth="1"/>
    <col min="6651" max="6651" width="7.28515625" style="17" customWidth="1"/>
    <col min="6652" max="6652" width="5.5703125" style="17" customWidth="1"/>
    <col min="6653" max="6653" width="9" style="17" customWidth="1"/>
    <col min="6654" max="6655" width="9.85546875" style="17" customWidth="1"/>
    <col min="6656" max="6656" width="11.140625" style="17" customWidth="1"/>
    <col min="6657" max="6657" width="2.85546875" style="17" customWidth="1"/>
    <col min="6658" max="6658" width="3.5703125" style="17" customWidth="1"/>
    <col min="6659" max="6903" width="9.140625" style="17"/>
    <col min="6904" max="6904" width="8.7109375" style="17" customWidth="1"/>
    <col min="6905" max="6905" width="9.85546875" style="17" customWidth="1"/>
    <col min="6906" max="6906" width="14.42578125" style="17" customWidth="1"/>
    <col min="6907" max="6907" width="7.28515625" style="17" customWidth="1"/>
    <col min="6908" max="6908" width="5.5703125" style="17" customWidth="1"/>
    <col min="6909" max="6909" width="9" style="17" customWidth="1"/>
    <col min="6910" max="6911" width="9.85546875" style="17" customWidth="1"/>
    <col min="6912" max="6912" width="11.140625" style="17" customWidth="1"/>
    <col min="6913" max="6913" width="2.85546875" style="17" customWidth="1"/>
    <col min="6914" max="6914" width="3.5703125" style="17" customWidth="1"/>
    <col min="6915" max="7159" width="9.140625" style="17"/>
    <col min="7160" max="7160" width="8.7109375" style="17" customWidth="1"/>
    <col min="7161" max="7161" width="9.85546875" style="17" customWidth="1"/>
    <col min="7162" max="7162" width="14.42578125" style="17" customWidth="1"/>
    <col min="7163" max="7163" width="7.28515625" style="17" customWidth="1"/>
    <col min="7164" max="7164" width="5.5703125" style="17" customWidth="1"/>
    <col min="7165" max="7165" width="9" style="17" customWidth="1"/>
    <col min="7166" max="7167" width="9.85546875" style="17" customWidth="1"/>
    <col min="7168" max="7168" width="11.140625" style="17" customWidth="1"/>
    <col min="7169" max="7169" width="2.85546875" style="17" customWidth="1"/>
    <col min="7170" max="7170" width="3.5703125" style="17" customWidth="1"/>
    <col min="7171" max="7415" width="9.140625" style="17"/>
    <col min="7416" max="7416" width="8.7109375" style="17" customWidth="1"/>
    <col min="7417" max="7417" width="9.85546875" style="17" customWidth="1"/>
    <col min="7418" max="7418" width="14.42578125" style="17" customWidth="1"/>
    <col min="7419" max="7419" width="7.28515625" style="17" customWidth="1"/>
    <col min="7420" max="7420" width="5.5703125" style="17" customWidth="1"/>
    <col min="7421" max="7421" width="9" style="17" customWidth="1"/>
    <col min="7422" max="7423" width="9.85546875" style="17" customWidth="1"/>
    <col min="7424" max="7424" width="11.140625" style="17" customWidth="1"/>
    <col min="7425" max="7425" width="2.85546875" style="17" customWidth="1"/>
    <col min="7426" max="7426" width="3.5703125" style="17" customWidth="1"/>
    <col min="7427" max="7671" width="9.140625" style="17"/>
    <col min="7672" max="7672" width="8.7109375" style="17" customWidth="1"/>
    <col min="7673" max="7673" width="9.85546875" style="17" customWidth="1"/>
    <col min="7674" max="7674" width="14.42578125" style="17" customWidth="1"/>
    <col min="7675" max="7675" width="7.28515625" style="17" customWidth="1"/>
    <col min="7676" max="7676" width="5.5703125" style="17" customWidth="1"/>
    <col min="7677" max="7677" width="9" style="17" customWidth="1"/>
    <col min="7678" max="7679" width="9.85546875" style="17" customWidth="1"/>
    <col min="7680" max="7680" width="11.140625" style="17" customWidth="1"/>
    <col min="7681" max="7681" width="2.85546875" style="17" customWidth="1"/>
    <col min="7682" max="7682" width="3.5703125" style="17" customWidth="1"/>
    <col min="7683" max="7927" width="9.140625" style="17"/>
    <col min="7928" max="7928" width="8.7109375" style="17" customWidth="1"/>
    <col min="7929" max="7929" width="9.85546875" style="17" customWidth="1"/>
    <col min="7930" max="7930" width="14.42578125" style="17" customWidth="1"/>
    <col min="7931" max="7931" width="7.28515625" style="17" customWidth="1"/>
    <col min="7932" max="7932" width="5.5703125" style="17" customWidth="1"/>
    <col min="7933" max="7933" width="9" style="17" customWidth="1"/>
    <col min="7934" max="7935" width="9.85546875" style="17" customWidth="1"/>
    <col min="7936" max="7936" width="11.140625" style="17" customWidth="1"/>
    <col min="7937" max="7937" width="2.85546875" style="17" customWidth="1"/>
    <col min="7938" max="7938" width="3.5703125" style="17" customWidth="1"/>
    <col min="7939" max="8183" width="9.140625" style="17"/>
    <col min="8184" max="8184" width="8.7109375" style="17" customWidth="1"/>
    <col min="8185" max="8185" width="9.85546875" style="17" customWidth="1"/>
    <col min="8186" max="8186" width="14.42578125" style="17" customWidth="1"/>
    <col min="8187" max="8187" width="7.28515625" style="17" customWidth="1"/>
    <col min="8188" max="8188" width="5.5703125" style="17" customWidth="1"/>
    <col min="8189" max="8189" width="9" style="17" customWidth="1"/>
    <col min="8190" max="8191" width="9.85546875" style="17" customWidth="1"/>
    <col min="8192" max="8192" width="11.140625" style="17" customWidth="1"/>
    <col min="8193" max="8193" width="2.85546875" style="17" customWidth="1"/>
    <col min="8194" max="8194" width="3.5703125" style="17" customWidth="1"/>
    <col min="8195" max="8439" width="9.140625" style="17"/>
    <col min="8440" max="8440" width="8.7109375" style="17" customWidth="1"/>
    <col min="8441" max="8441" width="9.85546875" style="17" customWidth="1"/>
    <col min="8442" max="8442" width="14.42578125" style="17" customWidth="1"/>
    <col min="8443" max="8443" width="7.28515625" style="17" customWidth="1"/>
    <col min="8444" max="8444" width="5.5703125" style="17" customWidth="1"/>
    <col min="8445" max="8445" width="9" style="17" customWidth="1"/>
    <col min="8446" max="8447" width="9.85546875" style="17" customWidth="1"/>
    <col min="8448" max="8448" width="11.140625" style="17" customWidth="1"/>
    <col min="8449" max="8449" width="2.85546875" style="17" customWidth="1"/>
    <col min="8450" max="8450" width="3.5703125" style="17" customWidth="1"/>
    <col min="8451" max="8695" width="9.140625" style="17"/>
    <col min="8696" max="8696" width="8.7109375" style="17" customWidth="1"/>
    <col min="8697" max="8697" width="9.85546875" style="17" customWidth="1"/>
    <col min="8698" max="8698" width="14.42578125" style="17" customWidth="1"/>
    <col min="8699" max="8699" width="7.28515625" style="17" customWidth="1"/>
    <col min="8700" max="8700" width="5.5703125" style="17" customWidth="1"/>
    <col min="8701" max="8701" width="9" style="17" customWidth="1"/>
    <col min="8702" max="8703" width="9.85546875" style="17" customWidth="1"/>
    <col min="8704" max="8704" width="11.140625" style="17" customWidth="1"/>
    <col min="8705" max="8705" width="2.85546875" style="17" customWidth="1"/>
    <col min="8706" max="8706" width="3.5703125" style="17" customWidth="1"/>
    <col min="8707" max="8951" width="9.140625" style="17"/>
    <col min="8952" max="8952" width="8.7109375" style="17" customWidth="1"/>
    <col min="8953" max="8953" width="9.85546875" style="17" customWidth="1"/>
    <col min="8954" max="8954" width="14.42578125" style="17" customWidth="1"/>
    <col min="8955" max="8955" width="7.28515625" style="17" customWidth="1"/>
    <col min="8956" max="8956" width="5.5703125" style="17" customWidth="1"/>
    <col min="8957" max="8957" width="9" style="17" customWidth="1"/>
    <col min="8958" max="8959" width="9.85546875" style="17" customWidth="1"/>
    <col min="8960" max="8960" width="11.140625" style="17" customWidth="1"/>
    <col min="8961" max="8961" width="2.85546875" style="17" customWidth="1"/>
    <col min="8962" max="8962" width="3.5703125" style="17" customWidth="1"/>
    <col min="8963" max="9207" width="9.140625" style="17"/>
    <col min="9208" max="9208" width="8.7109375" style="17" customWidth="1"/>
    <col min="9209" max="9209" width="9.85546875" style="17" customWidth="1"/>
    <col min="9210" max="9210" width="14.42578125" style="17" customWidth="1"/>
    <col min="9211" max="9211" width="7.28515625" style="17" customWidth="1"/>
    <col min="9212" max="9212" width="5.5703125" style="17" customWidth="1"/>
    <col min="9213" max="9213" width="9" style="17" customWidth="1"/>
    <col min="9214" max="9215" width="9.85546875" style="17" customWidth="1"/>
    <col min="9216" max="9216" width="11.140625" style="17" customWidth="1"/>
    <col min="9217" max="9217" width="2.85546875" style="17" customWidth="1"/>
    <col min="9218" max="9218" width="3.5703125" style="17" customWidth="1"/>
    <col min="9219" max="9463" width="9.140625" style="17"/>
    <col min="9464" max="9464" width="8.7109375" style="17" customWidth="1"/>
    <col min="9465" max="9465" width="9.85546875" style="17" customWidth="1"/>
    <col min="9466" max="9466" width="14.42578125" style="17" customWidth="1"/>
    <col min="9467" max="9467" width="7.28515625" style="17" customWidth="1"/>
    <col min="9468" max="9468" width="5.5703125" style="17" customWidth="1"/>
    <col min="9469" max="9469" width="9" style="17" customWidth="1"/>
    <col min="9470" max="9471" width="9.85546875" style="17" customWidth="1"/>
    <col min="9472" max="9472" width="11.140625" style="17" customWidth="1"/>
    <col min="9473" max="9473" width="2.85546875" style="17" customWidth="1"/>
    <col min="9474" max="9474" width="3.5703125" style="17" customWidth="1"/>
    <col min="9475" max="9719" width="9.140625" style="17"/>
    <col min="9720" max="9720" width="8.7109375" style="17" customWidth="1"/>
    <col min="9721" max="9721" width="9.85546875" style="17" customWidth="1"/>
    <col min="9722" max="9722" width="14.42578125" style="17" customWidth="1"/>
    <col min="9723" max="9723" width="7.28515625" style="17" customWidth="1"/>
    <col min="9724" max="9724" width="5.5703125" style="17" customWidth="1"/>
    <col min="9725" max="9725" width="9" style="17" customWidth="1"/>
    <col min="9726" max="9727" width="9.85546875" style="17" customWidth="1"/>
    <col min="9728" max="9728" width="11.140625" style="17" customWidth="1"/>
    <col min="9729" max="9729" width="2.85546875" style="17" customWidth="1"/>
    <col min="9730" max="9730" width="3.5703125" style="17" customWidth="1"/>
    <col min="9731" max="9975" width="9.140625" style="17"/>
    <col min="9976" max="9976" width="8.7109375" style="17" customWidth="1"/>
    <col min="9977" max="9977" width="9.85546875" style="17" customWidth="1"/>
    <col min="9978" max="9978" width="14.42578125" style="17" customWidth="1"/>
    <col min="9979" max="9979" width="7.28515625" style="17" customWidth="1"/>
    <col min="9980" max="9980" width="5.5703125" style="17" customWidth="1"/>
    <col min="9981" max="9981" width="9" style="17" customWidth="1"/>
    <col min="9982" max="9983" width="9.85546875" style="17" customWidth="1"/>
    <col min="9984" max="9984" width="11.140625" style="17" customWidth="1"/>
    <col min="9985" max="9985" width="2.85546875" style="17" customWidth="1"/>
    <col min="9986" max="9986" width="3.5703125" style="17" customWidth="1"/>
    <col min="9987" max="10231" width="9.140625" style="17"/>
    <col min="10232" max="10232" width="8.7109375" style="17" customWidth="1"/>
    <col min="10233" max="10233" width="9.85546875" style="17" customWidth="1"/>
    <col min="10234" max="10234" width="14.42578125" style="17" customWidth="1"/>
    <col min="10235" max="10235" width="7.28515625" style="17" customWidth="1"/>
    <col min="10236" max="10236" width="5.5703125" style="17" customWidth="1"/>
    <col min="10237" max="10237" width="9" style="17" customWidth="1"/>
    <col min="10238" max="10239" width="9.85546875" style="17" customWidth="1"/>
    <col min="10240" max="10240" width="11.140625" style="17" customWidth="1"/>
    <col min="10241" max="10241" width="2.85546875" style="17" customWidth="1"/>
    <col min="10242" max="10242" width="3.5703125" style="17" customWidth="1"/>
    <col min="10243" max="10487" width="9.140625" style="17"/>
    <col min="10488" max="10488" width="8.7109375" style="17" customWidth="1"/>
    <col min="10489" max="10489" width="9.85546875" style="17" customWidth="1"/>
    <col min="10490" max="10490" width="14.42578125" style="17" customWidth="1"/>
    <col min="10491" max="10491" width="7.28515625" style="17" customWidth="1"/>
    <col min="10492" max="10492" width="5.5703125" style="17" customWidth="1"/>
    <col min="10493" max="10493" width="9" style="17" customWidth="1"/>
    <col min="10494" max="10495" width="9.85546875" style="17" customWidth="1"/>
    <col min="10496" max="10496" width="11.140625" style="17" customWidth="1"/>
    <col min="10497" max="10497" width="2.85546875" style="17" customWidth="1"/>
    <col min="10498" max="10498" width="3.5703125" style="17" customWidth="1"/>
    <col min="10499" max="10743" width="9.140625" style="17"/>
    <col min="10744" max="10744" width="8.7109375" style="17" customWidth="1"/>
    <col min="10745" max="10745" width="9.85546875" style="17" customWidth="1"/>
    <col min="10746" max="10746" width="14.42578125" style="17" customWidth="1"/>
    <col min="10747" max="10747" width="7.28515625" style="17" customWidth="1"/>
    <col min="10748" max="10748" width="5.5703125" style="17" customWidth="1"/>
    <col min="10749" max="10749" width="9" style="17" customWidth="1"/>
    <col min="10750" max="10751" width="9.85546875" style="17" customWidth="1"/>
    <col min="10752" max="10752" width="11.140625" style="17" customWidth="1"/>
    <col min="10753" max="10753" width="2.85546875" style="17" customWidth="1"/>
    <col min="10754" max="10754" width="3.5703125" style="17" customWidth="1"/>
    <col min="10755" max="10999" width="9.140625" style="17"/>
    <col min="11000" max="11000" width="8.7109375" style="17" customWidth="1"/>
    <col min="11001" max="11001" width="9.85546875" style="17" customWidth="1"/>
    <col min="11002" max="11002" width="14.42578125" style="17" customWidth="1"/>
    <col min="11003" max="11003" width="7.28515625" style="17" customWidth="1"/>
    <col min="11004" max="11004" width="5.5703125" style="17" customWidth="1"/>
    <col min="11005" max="11005" width="9" style="17" customWidth="1"/>
    <col min="11006" max="11007" width="9.85546875" style="17" customWidth="1"/>
    <col min="11008" max="11008" width="11.140625" style="17" customWidth="1"/>
    <col min="11009" max="11009" width="2.85546875" style="17" customWidth="1"/>
    <col min="11010" max="11010" width="3.5703125" style="17" customWidth="1"/>
    <col min="11011" max="11255" width="9.140625" style="17"/>
    <col min="11256" max="11256" width="8.7109375" style="17" customWidth="1"/>
    <col min="11257" max="11257" width="9.85546875" style="17" customWidth="1"/>
    <col min="11258" max="11258" width="14.42578125" style="17" customWidth="1"/>
    <col min="11259" max="11259" width="7.28515625" style="17" customWidth="1"/>
    <col min="11260" max="11260" width="5.5703125" style="17" customWidth="1"/>
    <col min="11261" max="11261" width="9" style="17" customWidth="1"/>
    <col min="11262" max="11263" width="9.85546875" style="17" customWidth="1"/>
    <col min="11264" max="11264" width="11.140625" style="17" customWidth="1"/>
    <col min="11265" max="11265" width="2.85546875" style="17" customWidth="1"/>
    <col min="11266" max="11266" width="3.5703125" style="17" customWidth="1"/>
    <col min="11267" max="11511" width="9.140625" style="17"/>
    <col min="11512" max="11512" width="8.7109375" style="17" customWidth="1"/>
    <col min="11513" max="11513" width="9.85546875" style="17" customWidth="1"/>
    <col min="11514" max="11514" width="14.42578125" style="17" customWidth="1"/>
    <col min="11515" max="11515" width="7.28515625" style="17" customWidth="1"/>
    <col min="11516" max="11516" width="5.5703125" style="17" customWidth="1"/>
    <col min="11517" max="11517" width="9" style="17" customWidth="1"/>
    <col min="11518" max="11519" width="9.85546875" style="17" customWidth="1"/>
    <col min="11520" max="11520" width="11.140625" style="17" customWidth="1"/>
    <col min="11521" max="11521" width="2.85546875" style="17" customWidth="1"/>
    <col min="11522" max="11522" width="3.5703125" style="17" customWidth="1"/>
    <col min="11523" max="11767" width="9.140625" style="17"/>
    <col min="11768" max="11768" width="8.7109375" style="17" customWidth="1"/>
    <col min="11769" max="11769" width="9.85546875" style="17" customWidth="1"/>
    <col min="11770" max="11770" width="14.42578125" style="17" customWidth="1"/>
    <col min="11771" max="11771" width="7.28515625" style="17" customWidth="1"/>
    <col min="11772" max="11772" width="5.5703125" style="17" customWidth="1"/>
    <col min="11773" max="11773" width="9" style="17" customWidth="1"/>
    <col min="11774" max="11775" width="9.85546875" style="17" customWidth="1"/>
    <col min="11776" max="11776" width="11.140625" style="17" customWidth="1"/>
    <col min="11777" max="11777" width="2.85546875" style="17" customWidth="1"/>
    <col min="11778" max="11778" width="3.5703125" style="17" customWidth="1"/>
    <col min="11779" max="12023" width="9.140625" style="17"/>
    <col min="12024" max="12024" width="8.7109375" style="17" customWidth="1"/>
    <col min="12025" max="12025" width="9.85546875" style="17" customWidth="1"/>
    <col min="12026" max="12026" width="14.42578125" style="17" customWidth="1"/>
    <col min="12027" max="12027" width="7.28515625" style="17" customWidth="1"/>
    <col min="12028" max="12028" width="5.5703125" style="17" customWidth="1"/>
    <col min="12029" max="12029" width="9" style="17" customWidth="1"/>
    <col min="12030" max="12031" width="9.85546875" style="17" customWidth="1"/>
    <col min="12032" max="12032" width="11.140625" style="17" customWidth="1"/>
    <col min="12033" max="12033" width="2.85546875" style="17" customWidth="1"/>
    <col min="12034" max="12034" width="3.5703125" style="17" customWidth="1"/>
    <col min="12035" max="12279" width="9.140625" style="17"/>
    <col min="12280" max="12280" width="8.7109375" style="17" customWidth="1"/>
    <col min="12281" max="12281" width="9.85546875" style="17" customWidth="1"/>
    <col min="12282" max="12282" width="14.42578125" style="17" customWidth="1"/>
    <col min="12283" max="12283" width="7.28515625" style="17" customWidth="1"/>
    <col min="12284" max="12284" width="5.5703125" style="17" customWidth="1"/>
    <col min="12285" max="12285" width="9" style="17" customWidth="1"/>
    <col min="12286" max="12287" width="9.85546875" style="17" customWidth="1"/>
    <col min="12288" max="12288" width="11.140625" style="17" customWidth="1"/>
    <col min="12289" max="12289" width="2.85546875" style="17" customWidth="1"/>
    <col min="12290" max="12290" width="3.5703125" style="17" customWidth="1"/>
    <col min="12291" max="12535" width="9.140625" style="17"/>
    <col min="12536" max="12536" width="8.7109375" style="17" customWidth="1"/>
    <col min="12537" max="12537" width="9.85546875" style="17" customWidth="1"/>
    <col min="12538" max="12538" width="14.42578125" style="17" customWidth="1"/>
    <col min="12539" max="12539" width="7.28515625" style="17" customWidth="1"/>
    <col min="12540" max="12540" width="5.5703125" style="17" customWidth="1"/>
    <col min="12541" max="12541" width="9" style="17" customWidth="1"/>
    <col min="12542" max="12543" width="9.85546875" style="17" customWidth="1"/>
    <col min="12544" max="12544" width="11.140625" style="17" customWidth="1"/>
    <col min="12545" max="12545" width="2.85546875" style="17" customWidth="1"/>
    <col min="12546" max="12546" width="3.5703125" style="17" customWidth="1"/>
    <col min="12547" max="12791" width="9.140625" style="17"/>
    <col min="12792" max="12792" width="8.7109375" style="17" customWidth="1"/>
    <col min="12793" max="12793" width="9.85546875" style="17" customWidth="1"/>
    <col min="12794" max="12794" width="14.42578125" style="17" customWidth="1"/>
    <col min="12795" max="12795" width="7.28515625" style="17" customWidth="1"/>
    <col min="12796" max="12796" width="5.5703125" style="17" customWidth="1"/>
    <col min="12797" max="12797" width="9" style="17" customWidth="1"/>
    <col min="12798" max="12799" width="9.85546875" style="17" customWidth="1"/>
    <col min="12800" max="12800" width="11.140625" style="17" customWidth="1"/>
    <col min="12801" max="12801" width="2.85546875" style="17" customWidth="1"/>
    <col min="12802" max="12802" width="3.5703125" style="17" customWidth="1"/>
    <col min="12803" max="13047" width="9.140625" style="17"/>
    <col min="13048" max="13048" width="8.7109375" style="17" customWidth="1"/>
    <col min="13049" max="13049" width="9.85546875" style="17" customWidth="1"/>
    <col min="13050" max="13050" width="14.42578125" style="17" customWidth="1"/>
    <col min="13051" max="13051" width="7.28515625" style="17" customWidth="1"/>
    <col min="13052" max="13052" width="5.5703125" style="17" customWidth="1"/>
    <col min="13053" max="13053" width="9" style="17" customWidth="1"/>
    <col min="13054" max="13055" width="9.85546875" style="17" customWidth="1"/>
    <col min="13056" max="13056" width="11.140625" style="17" customWidth="1"/>
    <col min="13057" max="13057" width="2.85546875" style="17" customWidth="1"/>
    <col min="13058" max="13058" width="3.5703125" style="17" customWidth="1"/>
    <col min="13059" max="13303" width="9.140625" style="17"/>
    <col min="13304" max="13304" width="8.7109375" style="17" customWidth="1"/>
    <col min="13305" max="13305" width="9.85546875" style="17" customWidth="1"/>
    <col min="13306" max="13306" width="14.42578125" style="17" customWidth="1"/>
    <col min="13307" max="13307" width="7.28515625" style="17" customWidth="1"/>
    <col min="13308" max="13308" width="5.5703125" style="17" customWidth="1"/>
    <col min="13309" max="13309" width="9" style="17" customWidth="1"/>
    <col min="13310" max="13311" width="9.85546875" style="17" customWidth="1"/>
    <col min="13312" max="13312" width="11.140625" style="17" customWidth="1"/>
    <col min="13313" max="13313" width="2.85546875" style="17" customWidth="1"/>
    <col min="13314" max="13314" width="3.5703125" style="17" customWidth="1"/>
    <col min="13315" max="13559" width="9.140625" style="17"/>
    <col min="13560" max="13560" width="8.7109375" style="17" customWidth="1"/>
    <col min="13561" max="13561" width="9.85546875" style="17" customWidth="1"/>
    <col min="13562" max="13562" width="14.42578125" style="17" customWidth="1"/>
    <col min="13563" max="13563" width="7.28515625" style="17" customWidth="1"/>
    <col min="13564" max="13564" width="5.5703125" style="17" customWidth="1"/>
    <col min="13565" max="13565" width="9" style="17" customWidth="1"/>
    <col min="13566" max="13567" width="9.85546875" style="17" customWidth="1"/>
    <col min="13568" max="13568" width="11.140625" style="17" customWidth="1"/>
    <col min="13569" max="13569" width="2.85546875" style="17" customWidth="1"/>
    <col min="13570" max="13570" width="3.5703125" style="17" customWidth="1"/>
    <col min="13571" max="13815" width="9.140625" style="17"/>
    <col min="13816" max="13816" width="8.7109375" style="17" customWidth="1"/>
    <col min="13817" max="13817" width="9.85546875" style="17" customWidth="1"/>
    <col min="13818" max="13818" width="14.42578125" style="17" customWidth="1"/>
    <col min="13819" max="13819" width="7.28515625" style="17" customWidth="1"/>
    <col min="13820" max="13820" width="5.5703125" style="17" customWidth="1"/>
    <col min="13821" max="13821" width="9" style="17" customWidth="1"/>
    <col min="13822" max="13823" width="9.85546875" style="17" customWidth="1"/>
    <col min="13824" max="13824" width="11.140625" style="17" customWidth="1"/>
    <col min="13825" max="13825" width="2.85546875" style="17" customWidth="1"/>
    <col min="13826" max="13826" width="3.5703125" style="17" customWidth="1"/>
    <col min="13827" max="14071" width="9.140625" style="17"/>
    <col min="14072" max="14072" width="8.7109375" style="17" customWidth="1"/>
    <col min="14073" max="14073" width="9.85546875" style="17" customWidth="1"/>
    <col min="14074" max="14074" width="14.42578125" style="17" customWidth="1"/>
    <col min="14075" max="14075" width="7.28515625" style="17" customWidth="1"/>
    <col min="14076" max="14076" width="5.5703125" style="17" customWidth="1"/>
    <col min="14077" max="14077" width="9" style="17" customWidth="1"/>
    <col min="14078" max="14079" width="9.85546875" style="17" customWidth="1"/>
    <col min="14080" max="14080" width="11.140625" style="17" customWidth="1"/>
    <col min="14081" max="14081" width="2.85546875" style="17" customWidth="1"/>
    <col min="14082" max="14082" width="3.5703125" style="17" customWidth="1"/>
    <col min="14083" max="14327" width="9.140625" style="17"/>
    <col min="14328" max="14328" width="8.7109375" style="17" customWidth="1"/>
    <col min="14329" max="14329" width="9.85546875" style="17" customWidth="1"/>
    <col min="14330" max="14330" width="14.42578125" style="17" customWidth="1"/>
    <col min="14331" max="14331" width="7.28515625" style="17" customWidth="1"/>
    <col min="14332" max="14332" width="5.5703125" style="17" customWidth="1"/>
    <col min="14333" max="14333" width="9" style="17" customWidth="1"/>
    <col min="14334" max="14335" width="9.85546875" style="17" customWidth="1"/>
    <col min="14336" max="14336" width="11.140625" style="17" customWidth="1"/>
    <col min="14337" max="14337" width="2.85546875" style="17" customWidth="1"/>
    <col min="14338" max="14338" width="3.5703125" style="17" customWidth="1"/>
    <col min="14339" max="14583" width="9.140625" style="17"/>
    <col min="14584" max="14584" width="8.7109375" style="17" customWidth="1"/>
    <col min="14585" max="14585" width="9.85546875" style="17" customWidth="1"/>
    <col min="14586" max="14586" width="14.42578125" style="17" customWidth="1"/>
    <col min="14587" max="14587" width="7.28515625" style="17" customWidth="1"/>
    <col min="14588" max="14588" width="5.5703125" style="17" customWidth="1"/>
    <col min="14589" max="14589" width="9" style="17" customWidth="1"/>
    <col min="14590" max="14591" width="9.85546875" style="17" customWidth="1"/>
    <col min="14592" max="14592" width="11.140625" style="17" customWidth="1"/>
    <col min="14593" max="14593" width="2.85546875" style="17" customWidth="1"/>
    <col min="14594" max="14594" width="3.5703125" style="17" customWidth="1"/>
    <col min="14595" max="14839" width="9.140625" style="17"/>
    <col min="14840" max="14840" width="8.7109375" style="17" customWidth="1"/>
    <col min="14841" max="14841" width="9.85546875" style="17" customWidth="1"/>
    <col min="14842" max="14842" width="14.42578125" style="17" customWidth="1"/>
    <col min="14843" max="14843" width="7.28515625" style="17" customWidth="1"/>
    <col min="14844" max="14844" width="5.5703125" style="17" customWidth="1"/>
    <col min="14845" max="14845" width="9" style="17" customWidth="1"/>
    <col min="14846" max="14847" width="9.85546875" style="17" customWidth="1"/>
    <col min="14848" max="14848" width="11.140625" style="17" customWidth="1"/>
    <col min="14849" max="14849" width="2.85546875" style="17" customWidth="1"/>
    <col min="14850" max="14850" width="3.5703125" style="17" customWidth="1"/>
    <col min="14851" max="15095" width="9.140625" style="17"/>
    <col min="15096" max="15096" width="8.7109375" style="17" customWidth="1"/>
    <col min="15097" max="15097" width="9.85546875" style="17" customWidth="1"/>
    <col min="15098" max="15098" width="14.42578125" style="17" customWidth="1"/>
    <col min="15099" max="15099" width="7.28515625" style="17" customWidth="1"/>
    <col min="15100" max="15100" width="5.5703125" style="17" customWidth="1"/>
    <col min="15101" max="15101" width="9" style="17" customWidth="1"/>
    <col min="15102" max="15103" width="9.85546875" style="17" customWidth="1"/>
    <col min="15104" max="15104" width="11.140625" style="17" customWidth="1"/>
    <col min="15105" max="15105" width="2.85546875" style="17" customWidth="1"/>
    <col min="15106" max="15106" width="3.5703125" style="17" customWidth="1"/>
    <col min="15107" max="15351" width="9.140625" style="17"/>
    <col min="15352" max="15352" width="8.7109375" style="17" customWidth="1"/>
    <col min="15353" max="15353" width="9.85546875" style="17" customWidth="1"/>
    <col min="15354" max="15354" width="14.42578125" style="17" customWidth="1"/>
    <col min="15355" max="15355" width="7.28515625" style="17" customWidth="1"/>
    <col min="15356" max="15356" width="5.5703125" style="17" customWidth="1"/>
    <col min="15357" max="15357" width="9" style="17" customWidth="1"/>
    <col min="15358" max="15359" width="9.85546875" style="17" customWidth="1"/>
    <col min="15360" max="15360" width="11.140625" style="17" customWidth="1"/>
    <col min="15361" max="15361" width="2.85546875" style="17" customWidth="1"/>
    <col min="15362" max="15362" width="3.5703125" style="17" customWidth="1"/>
    <col min="15363" max="15607" width="9.140625" style="17"/>
    <col min="15608" max="15608" width="8.7109375" style="17" customWidth="1"/>
    <col min="15609" max="15609" width="9.85546875" style="17" customWidth="1"/>
    <col min="15610" max="15610" width="14.42578125" style="17" customWidth="1"/>
    <col min="15611" max="15611" width="7.28515625" style="17" customWidth="1"/>
    <col min="15612" max="15612" width="5.5703125" style="17" customWidth="1"/>
    <col min="15613" max="15613" width="9" style="17" customWidth="1"/>
    <col min="15614" max="15615" width="9.85546875" style="17" customWidth="1"/>
    <col min="15616" max="15616" width="11.140625" style="17" customWidth="1"/>
    <col min="15617" max="15617" width="2.85546875" style="17" customWidth="1"/>
    <col min="15618" max="15618" width="3.5703125" style="17" customWidth="1"/>
    <col min="15619" max="15863" width="9.140625" style="17"/>
    <col min="15864" max="15864" width="8.7109375" style="17" customWidth="1"/>
    <col min="15865" max="15865" width="9.85546875" style="17" customWidth="1"/>
    <col min="15866" max="15866" width="14.42578125" style="17" customWidth="1"/>
    <col min="15867" max="15867" width="7.28515625" style="17" customWidth="1"/>
    <col min="15868" max="15868" width="5.5703125" style="17" customWidth="1"/>
    <col min="15869" max="15869" width="9" style="17" customWidth="1"/>
    <col min="15870" max="15871" width="9.85546875" style="17" customWidth="1"/>
    <col min="15872" max="15872" width="11.140625" style="17" customWidth="1"/>
    <col min="15873" max="15873" width="2.85546875" style="17" customWidth="1"/>
    <col min="15874" max="15874" width="3.5703125" style="17" customWidth="1"/>
    <col min="15875" max="16119" width="9.140625" style="17"/>
    <col min="16120" max="16120" width="8.7109375" style="17" customWidth="1"/>
    <col min="16121" max="16121" width="9.85546875" style="17" customWidth="1"/>
    <col min="16122" max="16122" width="14.42578125" style="17" customWidth="1"/>
    <col min="16123" max="16123" width="7.28515625" style="17" customWidth="1"/>
    <col min="16124" max="16124" width="5.5703125" style="17" customWidth="1"/>
    <col min="16125" max="16125" width="9" style="17" customWidth="1"/>
    <col min="16126" max="16127" width="9.85546875" style="17" customWidth="1"/>
    <col min="16128" max="16128" width="11.140625" style="17" customWidth="1"/>
    <col min="16129" max="16129" width="2.85546875" style="17" customWidth="1"/>
    <col min="16130" max="16130" width="3.5703125" style="17" customWidth="1"/>
    <col min="16131" max="16384" width="9.140625" style="17"/>
  </cols>
  <sheetData>
    <row r="1" spans="1:26" ht="46.5" customHeight="1" x14ac:dyDescent="0.25">
      <c r="A1" s="169" t="s">
        <v>366</v>
      </c>
      <c r="B1" s="169"/>
      <c r="C1" s="169"/>
      <c r="D1" s="169"/>
      <c r="E1" s="169"/>
      <c r="F1" s="169"/>
      <c r="G1" s="169"/>
      <c r="H1" s="169"/>
    </row>
    <row r="2" spans="1:26" ht="16.5" customHeight="1" x14ac:dyDescent="0.25">
      <c r="A2" s="170" t="s">
        <v>0</v>
      </c>
      <c r="B2" s="170"/>
      <c r="C2" s="170"/>
      <c r="D2" s="170"/>
      <c r="E2" s="170"/>
      <c r="F2" s="170"/>
      <c r="G2" s="170"/>
      <c r="H2" s="170"/>
    </row>
    <row r="3" spans="1:26" x14ac:dyDescent="0.25">
      <c r="A3" s="171" t="s">
        <v>1</v>
      </c>
      <c r="B3" s="171"/>
      <c r="C3" s="171"/>
      <c r="D3" s="171"/>
      <c r="E3" s="171" t="str">
        <f ca="1">TEXT(TODAY(),"DD/MM/YYYY")</f>
        <v>09/07/2025</v>
      </c>
      <c r="F3" s="171"/>
      <c r="G3" s="171"/>
      <c r="H3" s="171"/>
      <c r="K3" s="47" t="s">
        <v>227</v>
      </c>
      <c r="L3" s="45" t="s">
        <v>225</v>
      </c>
      <c r="M3" s="45" t="s">
        <v>230</v>
      </c>
      <c r="N3" s="45" t="s">
        <v>228</v>
      </c>
      <c r="O3" s="45" t="s">
        <v>229</v>
      </c>
      <c r="P3" s="45" t="s">
        <v>231</v>
      </c>
    </row>
    <row r="4" spans="1:26" ht="15" customHeight="1" x14ac:dyDescent="0.25">
      <c r="A4" s="171" t="s">
        <v>224</v>
      </c>
      <c r="B4" s="171"/>
      <c r="C4" s="171"/>
      <c r="D4" s="171"/>
      <c r="E4" s="173" t="s">
        <v>225</v>
      </c>
      <c r="F4" s="173"/>
      <c r="G4" s="173"/>
      <c r="H4" s="173"/>
      <c r="K4" s="44" t="s">
        <v>226</v>
      </c>
      <c r="L4" s="45" t="s">
        <v>161</v>
      </c>
      <c r="M4" s="45" t="s">
        <v>235</v>
      </c>
      <c r="N4" s="45" t="s">
        <v>237</v>
      </c>
      <c r="O4" s="45" t="s">
        <v>239</v>
      </c>
      <c r="P4" s="45"/>
    </row>
    <row r="5" spans="1:26" ht="15" customHeight="1" x14ac:dyDescent="0.25">
      <c r="A5" s="171" t="s">
        <v>2</v>
      </c>
      <c r="B5" s="171"/>
      <c r="C5" s="171"/>
      <c r="D5" s="171"/>
      <c r="E5" s="173" t="s">
        <v>233</v>
      </c>
      <c r="F5" s="173"/>
      <c r="G5" s="173"/>
      <c r="H5" s="173"/>
      <c r="K5" s="44"/>
      <c r="L5" s="45" t="s">
        <v>232</v>
      </c>
      <c r="M5" s="45" t="s">
        <v>236</v>
      </c>
      <c r="N5" s="45" t="s">
        <v>238</v>
      </c>
      <c r="O5" s="45" t="s">
        <v>240</v>
      </c>
      <c r="P5" s="45"/>
    </row>
    <row r="6" spans="1:26" x14ac:dyDescent="0.25">
      <c r="A6" s="171" t="s">
        <v>3</v>
      </c>
      <c r="B6" s="171"/>
      <c r="C6" s="171"/>
      <c r="D6" s="171"/>
      <c r="E6" s="174">
        <v>45846</v>
      </c>
      <c r="F6" s="171"/>
      <c r="G6" s="171"/>
      <c r="H6" s="171"/>
      <c r="K6" s="44"/>
      <c r="L6" s="45" t="s">
        <v>233</v>
      </c>
      <c r="M6" s="45"/>
      <c r="N6" s="45"/>
      <c r="O6" s="45" t="s">
        <v>241</v>
      </c>
      <c r="P6" s="45"/>
    </row>
    <row r="7" spans="1:26" ht="16.5" customHeight="1" x14ac:dyDescent="0.25">
      <c r="A7" s="171" t="s">
        <v>4</v>
      </c>
      <c r="B7" s="171"/>
      <c r="C7" s="171"/>
      <c r="D7" s="171"/>
      <c r="E7" s="120" t="s">
        <v>378</v>
      </c>
      <c r="F7" s="171"/>
      <c r="G7" s="171"/>
      <c r="H7" s="171"/>
      <c r="K7" s="44"/>
      <c r="L7" s="45" t="s">
        <v>234</v>
      </c>
      <c r="M7" s="45"/>
      <c r="N7" s="45"/>
      <c r="O7" s="45" t="s">
        <v>241</v>
      </c>
      <c r="P7" s="45"/>
    </row>
    <row r="8" spans="1:26" ht="15" customHeight="1" x14ac:dyDescent="0.25">
      <c r="A8" s="171" t="s">
        <v>5</v>
      </c>
      <c r="B8" s="171"/>
      <c r="C8" s="171"/>
      <c r="D8" s="171"/>
      <c r="E8" s="171" t="str">
        <f>E7</f>
        <v xml:space="preserve">Ekdant Emperia LLP
</v>
      </c>
      <c r="F8" s="171"/>
      <c r="G8" s="171"/>
      <c r="H8" s="171"/>
      <c r="K8" s="44"/>
      <c r="L8" s="45"/>
      <c r="M8" s="45"/>
      <c r="N8" s="45"/>
      <c r="O8" s="45" t="s">
        <v>242</v>
      </c>
      <c r="P8" s="45"/>
    </row>
    <row r="9" spans="1:26" x14ac:dyDescent="0.25">
      <c r="A9" s="171" t="s">
        <v>6</v>
      </c>
      <c r="B9" s="171"/>
      <c r="C9" s="171"/>
      <c r="D9" s="171"/>
      <c r="E9" s="172" t="s">
        <v>292</v>
      </c>
      <c r="F9" s="172"/>
      <c r="G9" s="172"/>
      <c r="H9" s="172"/>
      <c r="K9" s="44"/>
      <c r="L9" s="45"/>
      <c r="M9" s="45"/>
      <c r="N9" s="45"/>
      <c r="O9" s="45" t="s">
        <v>243</v>
      </c>
      <c r="P9" s="45"/>
    </row>
    <row r="10" spans="1:26" x14ac:dyDescent="0.25">
      <c r="A10" s="171" t="s">
        <v>158</v>
      </c>
      <c r="B10" s="171"/>
      <c r="C10" s="171"/>
      <c r="D10" s="171"/>
      <c r="E10" s="120" t="s">
        <v>293</v>
      </c>
      <c r="F10" s="171"/>
      <c r="G10" s="171"/>
      <c r="H10" s="171"/>
      <c r="K10" s="44"/>
      <c r="L10" s="45"/>
      <c r="M10" s="45"/>
      <c r="N10" s="45"/>
      <c r="O10" s="45"/>
      <c r="P10" s="45"/>
    </row>
    <row r="11" spans="1:26" hidden="1" x14ac:dyDescent="0.25">
      <c r="A11" s="171" t="s">
        <v>159</v>
      </c>
      <c r="B11" s="171"/>
      <c r="C11" s="171"/>
      <c r="D11" s="171"/>
      <c r="E11" s="171" t="s">
        <v>354</v>
      </c>
      <c r="F11" s="171"/>
      <c r="G11" s="171"/>
      <c r="H11" s="171"/>
    </row>
    <row r="12" spans="1:26" x14ac:dyDescent="0.25">
      <c r="A12" s="171" t="s">
        <v>7</v>
      </c>
      <c r="B12" s="171"/>
      <c r="C12" s="171"/>
      <c r="D12" s="171"/>
      <c r="E12" s="171" t="s">
        <v>294</v>
      </c>
      <c r="F12" s="171"/>
      <c r="G12" s="171"/>
      <c r="H12" s="171"/>
    </row>
    <row r="13" spans="1:26" x14ac:dyDescent="0.25">
      <c r="A13" s="171" t="s">
        <v>162</v>
      </c>
      <c r="B13" s="171"/>
      <c r="C13" s="171"/>
      <c r="D13" s="171"/>
      <c r="E13" s="171" t="s">
        <v>28</v>
      </c>
      <c r="F13" s="171"/>
      <c r="G13" s="171"/>
      <c r="H13" s="171"/>
      <c r="S13" s="45" t="s">
        <v>169</v>
      </c>
      <c r="T13" s="45" t="s">
        <v>179</v>
      </c>
      <c r="U13" s="45" t="s">
        <v>163</v>
      </c>
      <c r="V13" s="45" t="s">
        <v>184</v>
      </c>
      <c r="W13" s="45" t="s">
        <v>202</v>
      </c>
      <c r="X13"/>
      <c r="Y13" t="s">
        <v>184</v>
      </c>
      <c r="Z13" t="e">
        <f ca="1">OFFSET($S$13,1,MATCH($G20,$S$13:$W$13,0)-1,15,1)</f>
        <v>#VALUE!</v>
      </c>
    </row>
    <row r="14" spans="1:26" x14ac:dyDescent="0.25">
      <c r="A14" s="107" t="s">
        <v>270</v>
      </c>
      <c r="B14" s="107"/>
      <c r="C14" s="107"/>
      <c r="D14" s="107"/>
      <c r="E14" s="175" t="s">
        <v>335</v>
      </c>
      <c r="F14" s="175"/>
      <c r="G14" s="175"/>
      <c r="H14" s="175"/>
      <c r="S14" s="45" t="s">
        <v>170</v>
      </c>
      <c r="T14" s="45" t="s">
        <v>177</v>
      </c>
      <c r="U14" s="45" t="s">
        <v>199</v>
      </c>
      <c r="V14" s="45" t="s">
        <v>185</v>
      </c>
      <c r="W14" s="45" t="s">
        <v>203</v>
      </c>
      <c r="X14"/>
      <c r="Y14"/>
      <c r="Z14"/>
    </row>
    <row r="15" spans="1:26" x14ac:dyDescent="0.25">
      <c r="A15" s="107" t="s">
        <v>8</v>
      </c>
      <c r="B15" s="107"/>
      <c r="C15" s="107"/>
      <c r="D15" s="107"/>
      <c r="E15" s="175" t="s">
        <v>323</v>
      </c>
      <c r="F15" s="173"/>
      <c r="G15" s="173"/>
      <c r="H15" s="173"/>
      <c r="I15" s="102" t="e">
        <f ca="1">OFFSET($D$5,1,MATCH($J13,$D$5:$H$5,0)-1,15,1)</f>
        <v>#N/A</v>
      </c>
      <c r="J15" s="103"/>
      <c r="K15" s="103"/>
      <c r="L15" s="103"/>
      <c r="M15" s="103"/>
      <c r="N15" s="103"/>
      <c r="O15" s="103"/>
      <c r="P15" s="103"/>
      <c r="S15" s="45" t="s">
        <v>171</v>
      </c>
      <c r="T15" s="45" t="s">
        <v>178</v>
      </c>
      <c r="U15" s="45" t="s">
        <v>200</v>
      </c>
      <c r="V15" s="45" t="s">
        <v>186</v>
      </c>
      <c r="W15" s="45" t="s">
        <v>216</v>
      </c>
      <c r="X15"/>
      <c r="Y15"/>
      <c r="Z15"/>
    </row>
    <row r="16" spans="1:26" ht="48.75" customHeight="1" x14ac:dyDescent="0.25">
      <c r="A16" s="113" t="s">
        <v>9</v>
      </c>
      <c r="B16" s="113"/>
      <c r="C16" s="113" t="str">
        <f>CONCATENATE((IF(OR(E9="",E9="NA"),"",E9)),", ",(IF(OR(A17="",A17="NA"),"",A17)),".",(IF(OR(C17="",C17="NA"),"",C17)),", near ",(IF(OR(C22="",C22="NA"),"",C22)),", ",(IF(OR(C19="",C19="NA"),"",C19)),", ",(IF(OR(C18="",C18="NA"),"",C18)),", ",(IF(OR(G19="",G19="NA"),"",G19)),", ",(IF(OR(C20="",C20="NA"),"",C20)),", ",(IF(OR(C21="",C21="NA"),"",C21)),", ",(IF(OR(G20="",G20="NA"),"",G20))," - ",(IF(OR(G21="",G21="NA"),"",G21)),".")</f>
        <v>9 Meraki, Gut No.40/3/2/1, 40/3/2/2, 40/4, near Chatrapati Shivaji Maharaj University, Mumbai Pune Highway, Shedung, Shedung, Panvel, Panvel, Raigad - 410216.</v>
      </c>
      <c r="D16" s="113"/>
      <c r="E16" s="113"/>
      <c r="F16" s="113"/>
      <c r="G16" s="113"/>
      <c r="H16" s="113"/>
      <c r="S16" s="45" t="s">
        <v>172</v>
      </c>
      <c r="T16" s="45" t="s">
        <v>180</v>
      </c>
      <c r="U16" s="45" t="s">
        <v>201</v>
      </c>
      <c r="V16" s="45" t="s">
        <v>187</v>
      </c>
      <c r="W16" s="45" t="s">
        <v>204</v>
      </c>
      <c r="X16"/>
      <c r="Y16"/>
      <c r="Z16"/>
    </row>
    <row r="17" spans="1:26" x14ac:dyDescent="0.25">
      <c r="A17" s="175" t="s">
        <v>295</v>
      </c>
      <c r="B17" s="175"/>
      <c r="C17" s="175" t="s">
        <v>296</v>
      </c>
      <c r="D17" s="175"/>
      <c r="E17" s="175"/>
      <c r="F17" s="175"/>
      <c r="G17" s="175"/>
      <c r="H17" s="175"/>
      <c r="S17" s="45" t="s">
        <v>173</v>
      </c>
      <c r="T17" s="45" t="s">
        <v>181</v>
      </c>
      <c r="U17" s="45" t="s">
        <v>163</v>
      </c>
      <c r="V17" s="45" t="s">
        <v>188</v>
      </c>
      <c r="W17" s="45" t="s">
        <v>205</v>
      </c>
      <c r="X17"/>
      <c r="Y17"/>
      <c r="Z17"/>
    </row>
    <row r="18" spans="1:26" ht="15.75" customHeight="1" x14ac:dyDescent="0.25">
      <c r="A18" s="120" t="s">
        <v>154</v>
      </c>
      <c r="B18" s="120"/>
      <c r="C18" s="120" t="s">
        <v>297</v>
      </c>
      <c r="D18" s="120"/>
      <c r="E18" s="120"/>
      <c r="F18" s="120"/>
      <c r="G18" s="120"/>
      <c r="H18" s="120"/>
      <c r="S18" s="45" t="s">
        <v>174</v>
      </c>
      <c r="T18" s="45" t="s">
        <v>179</v>
      </c>
      <c r="U18" s="45"/>
      <c r="V18" s="45" t="s">
        <v>189</v>
      </c>
      <c r="W18" s="45" t="s">
        <v>206</v>
      </c>
      <c r="X18"/>
      <c r="Y18"/>
      <c r="Z18"/>
    </row>
    <row r="19" spans="1:26" ht="15.75" customHeight="1" x14ac:dyDescent="0.25">
      <c r="A19" s="113" t="s">
        <v>10</v>
      </c>
      <c r="B19" s="113"/>
      <c r="C19" s="173" t="s">
        <v>324</v>
      </c>
      <c r="D19" s="173"/>
      <c r="E19" s="175" t="s">
        <v>69</v>
      </c>
      <c r="F19" s="175"/>
      <c r="G19" s="175" t="s">
        <v>297</v>
      </c>
      <c r="H19" s="175"/>
      <c r="S19" s="45" t="s">
        <v>175</v>
      </c>
      <c r="T19" s="45" t="s">
        <v>182</v>
      </c>
      <c r="U19" s="45"/>
      <c r="V19" s="45" t="s">
        <v>190</v>
      </c>
      <c r="W19" s="45" t="s">
        <v>207</v>
      </c>
      <c r="X19"/>
      <c r="Y19"/>
      <c r="Z19"/>
    </row>
    <row r="20" spans="1:26" x14ac:dyDescent="0.25">
      <c r="A20" s="107" t="s">
        <v>12</v>
      </c>
      <c r="B20" s="107"/>
      <c r="C20" s="175" t="s">
        <v>186</v>
      </c>
      <c r="D20" s="175"/>
      <c r="E20" s="175" t="s">
        <v>11</v>
      </c>
      <c r="F20" s="175"/>
      <c r="G20" s="176" t="s">
        <v>184</v>
      </c>
      <c r="H20" s="176"/>
      <c r="S20" s="45" t="s">
        <v>176</v>
      </c>
      <c r="T20" s="45" t="s">
        <v>183</v>
      </c>
      <c r="U20" s="45"/>
      <c r="V20" s="45" t="s">
        <v>191</v>
      </c>
      <c r="W20" s="45" t="s">
        <v>208</v>
      </c>
      <c r="X20"/>
      <c r="Y20"/>
      <c r="Z20"/>
    </row>
    <row r="21" spans="1:26" x14ac:dyDescent="0.25">
      <c r="A21" s="107" t="s">
        <v>70</v>
      </c>
      <c r="B21" s="107"/>
      <c r="C21" s="175" t="s">
        <v>186</v>
      </c>
      <c r="D21" s="175"/>
      <c r="E21" s="175" t="s">
        <v>13</v>
      </c>
      <c r="F21" s="175"/>
      <c r="G21" s="175">
        <v>410216</v>
      </c>
      <c r="H21" s="175"/>
      <c r="S21" s="45"/>
      <c r="T21" s="45"/>
      <c r="U21" s="45"/>
      <c r="V21" s="45" t="s">
        <v>192</v>
      </c>
      <c r="W21" s="45" t="s">
        <v>209</v>
      </c>
      <c r="X21"/>
      <c r="Y21"/>
      <c r="Z21"/>
    </row>
    <row r="22" spans="1:26" ht="32.25" customHeight="1" x14ac:dyDescent="0.25">
      <c r="A22" s="107" t="s">
        <v>114</v>
      </c>
      <c r="B22" s="107"/>
      <c r="C22" s="175" t="s">
        <v>325</v>
      </c>
      <c r="D22" s="175"/>
      <c r="E22" s="175" t="s">
        <v>14</v>
      </c>
      <c r="F22" s="175"/>
      <c r="G22" s="175" t="s">
        <v>336</v>
      </c>
      <c r="H22" s="175"/>
      <c r="S22" s="45"/>
      <c r="T22" s="45"/>
      <c r="U22" s="45"/>
      <c r="V22" s="45" t="s">
        <v>193</v>
      </c>
      <c r="W22" s="45" t="s">
        <v>210</v>
      </c>
      <c r="X22"/>
      <c r="Y22"/>
      <c r="Z22"/>
    </row>
    <row r="23" spans="1:26" ht="15" customHeight="1" x14ac:dyDescent="0.25">
      <c r="A23" s="113" t="s">
        <v>71</v>
      </c>
      <c r="B23" s="113"/>
      <c r="C23" s="113"/>
      <c r="D23" s="113"/>
      <c r="E23" s="171" t="s">
        <v>15</v>
      </c>
      <c r="F23" s="171"/>
      <c r="G23" s="171"/>
      <c r="H23" s="171"/>
      <c r="S23" s="45"/>
      <c r="T23" s="45"/>
      <c r="U23" s="45"/>
      <c r="V23" s="45" t="s">
        <v>194</v>
      </c>
      <c r="W23" s="45" t="s">
        <v>211</v>
      </c>
      <c r="X23"/>
      <c r="Y23"/>
      <c r="Z23"/>
    </row>
    <row r="24" spans="1:26" ht="18.75" customHeight="1" x14ac:dyDescent="0.25">
      <c r="A24" s="113"/>
      <c r="B24" s="113"/>
      <c r="C24" s="113"/>
      <c r="D24" s="113"/>
      <c r="E24" s="171"/>
      <c r="F24" s="171"/>
      <c r="G24" s="171"/>
      <c r="H24" s="171"/>
      <c r="S24" s="45"/>
      <c r="T24" s="45"/>
      <c r="U24" s="45"/>
      <c r="V24" s="45" t="s">
        <v>195</v>
      </c>
      <c r="W24" s="45" t="s">
        <v>212</v>
      </c>
      <c r="X24"/>
      <c r="Y24"/>
      <c r="Z24"/>
    </row>
    <row r="25" spans="1:26" ht="15" customHeight="1" x14ac:dyDescent="0.25">
      <c r="A25" s="113" t="s">
        <v>16</v>
      </c>
      <c r="B25" s="113"/>
      <c r="C25" s="113"/>
      <c r="D25" s="113"/>
      <c r="E25" s="120" t="s">
        <v>17</v>
      </c>
      <c r="F25" s="120"/>
      <c r="G25" s="120"/>
      <c r="H25" s="120"/>
      <c r="S25" s="45"/>
      <c r="T25" s="45"/>
      <c r="U25" s="45"/>
      <c r="V25" s="45" t="s">
        <v>196</v>
      </c>
      <c r="W25" s="45" t="s">
        <v>213</v>
      </c>
      <c r="X25"/>
      <c r="Y25"/>
      <c r="Z25"/>
    </row>
    <row r="26" spans="1:26" ht="15" customHeight="1" x14ac:dyDescent="0.25">
      <c r="A26" s="107" t="s">
        <v>18</v>
      </c>
      <c r="B26" s="107"/>
      <c r="C26" s="107"/>
      <c r="D26" s="107"/>
      <c r="E26" s="120" t="str">
        <f>IF(AND(G20="Mumbai"),"Upper Class","Middle Class")</f>
        <v>Middle Class</v>
      </c>
      <c r="F26" s="120"/>
      <c r="G26" s="120"/>
      <c r="H26" s="120"/>
      <c r="S26" s="45"/>
      <c r="T26" s="45"/>
      <c r="U26" s="45"/>
      <c r="V26" s="45" t="s">
        <v>197</v>
      </c>
      <c r="W26" s="45" t="s">
        <v>214</v>
      </c>
      <c r="X26"/>
      <c r="Y26"/>
      <c r="Z26"/>
    </row>
    <row r="27" spans="1:26" x14ac:dyDescent="0.25">
      <c r="A27" s="107" t="s">
        <v>19</v>
      </c>
      <c r="B27" s="107"/>
      <c r="C27" s="107"/>
      <c r="D27" s="107"/>
      <c r="E27" s="120" t="s">
        <v>20</v>
      </c>
      <c r="F27" s="120"/>
      <c r="G27" s="120"/>
      <c r="H27" s="120"/>
      <c r="S27" s="45"/>
      <c r="T27" s="45"/>
      <c r="U27" s="45"/>
      <c r="V27" s="45" t="s">
        <v>198</v>
      </c>
      <c r="W27" s="45" t="s">
        <v>215</v>
      </c>
      <c r="X27"/>
      <c r="Y27"/>
      <c r="Z27"/>
    </row>
    <row r="28" spans="1:26" ht="15.75" customHeight="1" x14ac:dyDescent="0.25">
      <c r="A28" s="107" t="s">
        <v>21</v>
      </c>
      <c r="B28" s="107"/>
      <c r="C28" s="107"/>
      <c r="D28" s="107"/>
      <c r="E28" s="120" t="str">
        <f>IF(AND(G20="Mumbai"),"Developed","Developing")</f>
        <v>Developing</v>
      </c>
      <c r="F28" s="120"/>
      <c r="G28" s="120"/>
      <c r="H28" s="120"/>
    </row>
    <row r="29" spans="1:26" x14ac:dyDescent="0.25">
      <c r="A29" s="107" t="s">
        <v>22</v>
      </c>
      <c r="B29" s="107"/>
      <c r="C29" s="107"/>
      <c r="D29" s="107"/>
      <c r="E29" s="120" t="s">
        <v>23</v>
      </c>
      <c r="F29" s="120"/>
      <c r="G29" s="120"/>
      <c r="H29" s="120"/>
    </row>
    <row r="30" spans="1:26" ht="15.75" customHeight="1" x14ac:dyDescent="0.25">
      <c r="A30" s="107" t="s">
        <v>76</v>
      </c>
      <c r="B30" s="107"/>
      <c r="C30" s="107"/>
      <c r="D30" s="107"/>
      <c r="E30" s="120" t="s">
        <v>77</v>
      </c>
      <c r="F30" s="120"/>
      <c r="G30" s="120"/>
      <c r="H30" s="120"/>
    </row>
    <row r="31" spans="1:26" ht="15" customHeight="1" x14ac:dyDescent="0.25">
      <c r="A31" s="107" t="s">
        <v>30</v>
      </c>
      <c r="B31" s="107"/>
      <c r="C31" s="107"/>
      <c r="D31" s="107"/>
      <c r="E31" s="120"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20"/>
      <c r="G31" s="120"/>
      <c r="H31" s="120"/>
    </row>
    <row r="32" spans="1:26" ht="15.75" customHeight="1" x14ac:dyDescent="0.25">
      <c r="A32" s="107" t="s">
        <v>88</v>
      </c>
      <c r="B32" s="107"/>
      <c r="C32" s="107"/>
      <c r="D32" s="107"/>
      <c r="E32" s="120" t="s">
        <v>31</v>
      </c>
      <c r="F32" s="120"/>
      <c r="G32" s="120"/>
      <c r="H32" s="120"/>
    </row>
    <row r="33" spans="1:19" s="18" customFormat="1" x14ac:dyDescent="0.25">
      <c r="A33" s="180" t="s">
        <v>89</v>
      </c>
      <c r="B33" s="180"/>
      <c r="C33" s="179" t="s">
        <v>164</v>
      </c>
      <c r="D33" s="179"/>
      <c r="E33" s="179"/>
      <c r="F33" s="179" t="s">
        <v>29</v>
      </c>
      <c r="G33" s="179"/>
      <c r="H33" s="179"/>
      <c r="S33" s="18" t="e">
        <f ca="1">OFFSET($S$13,1,MATCH($G20,$S$13:$W$13,0)-1,15,1)</f>
        <v>#VALUE!</v>
      </c>
    </row>
    <row r="34" spans="1:19" s="18" customFormat="1" x14ac:dyDescent="0.25">
      <c r="A34" s="177" t="s">
        <v>24</v>
      </c>
      <c r="B34" s="177" t="s">
        <v>28</v>
      </c>
      <c r="C34" s="178" t="s">
        <v>328</v>
      </c>
      <c r="D34" s="178"/>
      <c r="E34" s="178"/>
      <c r="F34" s="178" t="s">
        <v>326</v>
      </c>
      <c r="G34" s="178"/>
      <c r="H34" s="178"/>
    </row>
    <row r="35" spans="1:19" x14ac:dyDescent="0.25">
      <c r="A35" s="177" t="s">
        <v>25</v>
      </c>
      <c r="B35" s="177" t="s">
        <v>28</v>
      </c>
      <c r="C35" s="178" t="s">
        <v>10</v>
      </c>
      <c r="D35" s="178"/>
      <c r="E35" s="178"/>
      <c r="F35" s="178" t="s">
        <v>324</v>
      </c>
      <c r="G35" s="178"/>
      <c r="H35" s="178"/>
    </row>
    <row r="36" spans="1:19" s="18" customFormat="1" x14ac:dyDescent="0.25">
      <c r="A36" s="177" t="s">
        <v>27</v>
      </c>
      <c r="B36" s="177" t="s">
        <v>28</v>
      </c>
      <c r="C36" s="178" t="s">
        <v>329</v>
      </c>
      <c r="D36" s="178"/>
      <c r="E36" s="178"/>
      <c r="F36" s="178" t="s">
        <v>326</v>
      </c>
      <c r="G36" s="178"/>
      <c r="H36" s="178"/>
    </row>
    <row r="37" spans="1:19" x14ac:dyDescent="0.25">
      <c r="A37" s="177" t="s">
        <v>26</v>
      </c>
      <c r="B37" s="177" t="s">
        <v>28</v>
      </c>
      <c r="C37" s="178" t="s">
        <v>326</v>
      </c>
      <c r="D37" s="178"/>
      <c r="E37" s="178"/>
      <c r="F37" s="178" t="s">
        <v>327</v>
      </c>
      <c r="G37" s="178"/>
      <c r="H37" s="178"/>
    </row>
    <row r="38" spans="1:19" x14ac:dyDescent="0.25">
      <c r="A38" s="107" t="s">
        <v>271</v>
      </c>
      <c r="B38" s="107"/>
      <c r="C38" s="107"/>
      <c r="D38" s="107"/>
      <c r="E38" s="107"/>
      <c r="F38" s="107"/>
      <c r="G38" s="107"/>
      <c r="H38" s="107"/>
    </row>
    <row r="39" spans="1:19" ht="15.75" customHeight="1" x14ac:dyDescent="0.25">
      <c r="A39" s="107" t="s">
        <v>156</v>
      </c>
      <c r="B39" s="107"/>
      <c r="C39" s="163" t="s">
        <v>331</v>
      </c>
      <c r="D39" s="163"/>
      <c r="E39" s="163"/>
      <c r="F39" s="163"/>
      <c r="G39" s="163"/>
      <c r="H39" s="163"/>
    </row>
    <row r="40" spans="1:19" x14ac:dyDescent="0.25">
      <c r="A40" s="107" t="s">
        <v>153</v>
      </c>
      <c r="B40" s="107"/>
      <c r="C40" s="203" t="s">
        <v>330</v>
      </c>
      <c r="D40" s="120"/>
      <c r="E40" s="120"/>
      <c r="F40" s="120"/>
      <c r="G40" s="120"/>
      <c r="H40" s="120"/>
    </row>
    <row r="41" spans="1:19" x14ac:dyDescent="0.25">
      <c r="A41" s="163" t="s">
        <v>32</v>
      </c>
      <c r="B41" s="163"/>
      <c r="C41" s="163"/>
      <c r="D41" s="163"/>
      <c r="E41" s="163"/>
      <c r="F41" s="163"/>
      <c r="G41" s="163"/>
      <c r="H41" s="163"/>
    </row>
    <row r="42" spans="1:19" x14ac:dyDescent="0.25">
      <c r="A42" s="107" t="s">
        <v>33</v>
      </c>
      <c r="B42" s="107"/>
      <c r="C42" s="107"/>
      <c r="D42" s="107"/>
      <c r="E42" s="187">
        <v>5880.3389999999999</v>
      </c>
      <c r="F42" s="187"/>
      <c r="G42" s="187"/>
      <c r="H42" s="187"/>
    </row>
    <row r="43" spans="1:19" x14ac:dyDescent="0.25">
      <c r="A43" s="107" t="s">
        <v>34</v>
      </c>
      <c r="B43" s="107"/>
      <c r="C43" s="107"/>
      <c r="D43" s="107"/>
      <c r="E43" s="114">
        <f>6468.373/E42</f>
        <v>1.1000000170058222</v>
      </c>
      <c r="F43" s="114"/>
      <c r="G43" s="114"/>
      <c r="H43" s="114"/>
    </row>
    <row r="44" spans="1:19" x14ac:dyDescent="0.25">
      <c r="A44" s="107" t="s">
        <v>35</v>
      </c>
      <c r="B44" s="107"/>
      <c r="C44" s="107"/>
      <c r="D44" s="107"/>
      <c r="E44" s="114">
        <f>E46/E42-E43</f>
        <v>2.3049162641813683</v>
      </c>
      <c r="F44" s="114"/>
      <c r="G44" s="114"/>
      <c r="H44" s="114"/>
    </row>
    <row r="45" spans="1:19" x14ac:dyDescent="0.25">
      <c r="A45" s="107" t="s">
        <v>36</v>
      </c>
      <c r="B45" s="107"/>
      <c r="C45" s="107"/>
      <c r="D45" s="107"/>
      <c r="E45" s="114">
        <f>E43+E44</f>
        <v>3.4049162811871905</v>
      </c>
      <c r="F45" s="114"/>
      <c r="G45" s="114"/>
      <c r="H45" s="114"/>
    </row>
    <row r="46" spans="1:19" x14ac:dyDescent="0.25">
      <c r="A46" s="107" t="s">
        <v>87</v>
      </c>
      <c r="B46" s="107"/>
      <c r="C46" s="107"/>
      <c r="D46" s="107"/>
      <c r="E46" s="181">
        <v>20022.062000000002</v>
      </c>
      <c r="F46" s="181"/>
      <c r="G46" s="181"/>
      <c r="H46" s="181"/>
      <c r="I46" s="17">
        <v>20026.517</v>
      </c>
    </row>
    <row r="47" spans="1:19" x14ac:dyDescent="0.25">
      <c r="A47" s="171" t="s">
        <v>37</v>
      </c>
      <c r="B47" s="171"/>
      <c r="C47" s="171"/>
      <c r="D47" s="171"/>
      <c r="E47" s="182" t="s">
        <v>300</v>
      </c>
      <c r="F47" s="182"/>
      <c r="G47" s="182"/>
      <c r="H47" s="182"/>
    </row>
    <row r="48" spans="1:19" x14ac:dyDescent="0.25">
      <c r="A48" s="163" t="s">
        <v>38</v>
      </c>
      <c r="B48" s="163"/>
      <c r="C48" s="163"/>
      <c r="D48" s="163"/>
      <c r="E48" s="163"/>
      <c r="F48" s="163"/>
      <c r="G48" s="163"/>
      <c r="H48" s="163"/>
    </row>
    <row r="49" spans="1:24" ht="33.75" customHeight="1" x14ac:dyDescent="0.25">
      <c r="A49" s="125" t="s">
        <v>143</v>
      </c>
      <c r="B49" s="126"/>
      <c r="C49" s="209" t="s">
        <v>249</v>
      </c>
      <c r="D49" s="210"/>
      <c r="E49" s="210"/>
      <c r="F49" s="210"/>
      <c r="G49" s="210"/>
      <c r="H49" s="211"/>
      <c r="R49" t="s">
        <v>244</v>
      </c>
      <c r="S49" t="s">
        <v>163</v>
      </c>
      <c r="T49" t="s">
        <v>169</v>
      </c>
      <c r="U49" t="s">
        <v>184</v>
      </c>
      <c r="V49" t="s">
        <v>179</v>
      </c>
    </row>
    <row r="50" spans="1:24" ht="31.5" customHeight="1" x14ac:dyDescent="0.25">
      <c r="A50" s="125" t="s">
        <v>39</v>
      </c>
      <c r="B50" s="126"/>
      <c r="C50" s="125" t="s">
        <v>298</v>
      </c>
      <c r="D50" s="127"/>
      <c r="E50" s="126"/>
      <c r="F50" s="15" t="s">
        <v>40</v>
      </c>
      <c r="G50" s="128">
        <v>45259</v>
      </c>
      <c r="H50" s="126"/>
      <c r="R50"/>
      <c r="S50" t="s">
        <v>245</v>
      </c>
      <c r="T50" t="s">
        <v>250</v>
      </c>
      <c r="U50" t="s">
        <v>261</v>
      </c>
      <c r="V50" t="s">
        <v>266</v>
      </c>
    </row>
    <row r="51" spans="1:24" ht="32.25" customHeight="1" x14ac:dyDescent="0.25">
      <c r="A51" s="125" t="s">
        <v>41</v>
      </c>
      <c r="B51" s="126"/>
      <c r="C51" s="125" t="str">
        <f>C50</f>
        <v>MSRDC/SPA/BP-410/Revised/CC/2023/1960</v>
      </c>
      <c r="D51" s="127"/>
      <c r="E51" s="126"/>
      <c r="F51" s="15" t="s">
        <v>40</v>
      </c>
      <c r="G51" s="128">
        <v>45259</v>
      </c>
      <c r="H51" s="126"/>
      <c r="R51"/>
      <c r="S51" t="s">
        <v>246</v>
      </c>
      <c r="T51" t="s">
        <v>251</v>
      </c>
      <c r="U51" t="s">
        <v>259</v>
      </c>
      <c r="V51" t="s">
        <v>267</v>
      </c>
    </row>
    <row r="52" spans="1:24" s="19" customFormat="1" ht="31.5" customHeight="1" x14ac:dyDescent="0.25">
      <c r="A52" s="137" t="s">
        <v>146</v>
      </c>
      <c r="B52" s="138"/>
      <c r="C52" s="125" t="str">
        <f>C51</f>
        <v>MSRDC/SPA/BP-410/Revised/CC/2023/1960</v>
      </c>
      <c r="D52" s="127"/>
      <c r="E52" s="126"/>
      <c r="F52" s="15" t="s">
        <v>40</v>
      </c>
      <c r="G52" s="128">
        <v>45259</v>
      </c>
      <c r="H52" s="126"/>
      <c r="R52"/>
      <c r="S52" t="s">
        <v>247</v>
      </c>
      <c r="T52" t="s">
        <v>252</v>
      </c>
      <c r="U52" t="s">
        <v>249</v>
      </c>
      <c r="V52" t="s">
        <v>268</v>
      </c>
    </row>
    <row r="53" spans="1:24" s="19" customFormat="1" x14ac:dyDescent="0.25">
      <c r="A53" s="139"/>
      <c r="B53" s="140"/>
      <c r="C53" s="125" t="s">
        <v>334</v>
      </c>
      <c r="D53" s="127"/>
      <c r="E53" s="127"/>
      <c r="F53" s="127"/>
      <c r="G53" s="127"/>
      <c r="H53" s="126"/>
      <c r="R53"/>
      <c r="S53" t="s">
        <v>248</v>
      </c>
      <c r="T53" t="s">
        <v>255</v>
      </c>
      <c r="U53" t="s">
        <v>262</v>
      </c>
    </row>
    <row r="54" spans="1:24" s="19" customFormat="1" hidden="1" x14ac:dyDescent="0.25">
      <c r="A54" s="190" t="s">
        <v>272</v>
      </c>
      <c r="B54" s="191"/>
      <c r="C54" s="125" t="s">
        <v>320</v>
      </c>
      <c r="D54" s="127"/>
      <c r="E54" s="126"/>
      <c r="F54" s="15" t="s">
        <v>40</v>
      </c>
      <c r="G54" s="128">
        <v>45183</v>
      </c>
      <c r="H54" s="126"/>
      <c r="R54"/>
      <c r="S54" t="s">
        <v>247</v>
      </c>
      <c r="T54" t="s">
        <v>252</v>
      </c>
      <c r="U54" t="s">
        <v>249</v>
      </c>
      <c r="V54" t="s">
        <v>268</v>
      </c>
    </row>
    <row r="55" spans="1:24" s="19" customFormat="1" ht="32.25" hidden="1" customHeight="1" x14ac:dyDescent="0.25">
      <c r="A55" s="192"/>
      <c r="B55" s="193"/>
      <c r="C55" s="206" t="s">
        <v>322</v>
      </c>
      <c r="D55" s="207"/>
      <c r="E55" s="207"/>
      <c r="F55" s="207"/>
      <c r="G55" s="207"/>
      <c r="H55" s="208"/>
      <c r="R55"/>
      <c r="S55" t="s">
        <v>249</v>
      </c>
      <c r="T55" t="s">
        <v>253</v>
      </c>
      <c r="U55" t="s">
        <v>263</v>
      </c>
      <c r="V55" s="17"/>
      <c r="W55" s="17"/>
      <c r="X55" s="17"/>
    </row>
    <row r="56" spans="1:24" s="19" customFormat="1" x14ac:dyDescent="0.25">
      <c r="A56" s="129" t="s">
        <v>273</v>
      </c>
      <c r="B56" s="130"/>
      <c r="C56" s="125" t="s">
        <v>355</v>
      </c>
      <c r="D56" s="127"/>
      <c r="E56" s="126"/>
      <c r="F56" s="15" t="s">
        <v>40</v>
      </c>
      <c r="G56" s="128">
        <v>45329</v>
      </c>
      <c r="H56" s="126"/>
      <c r="R56"/>
      <c r="S56" s="17"/>
      <c r="T56" t="s">
        <v>254</v>
      </c>
      <c r="U56" t="s">
        <v>264</v>
      </c>
      <c r="V56" s="17"/>
      <c r="W56" s="17"/>
      <c r="X56" s="17"/>
    </row>
    <row r="57" spans="1:24" s="19" customFormat="1" ht="47.45" customHeight="1" x14ac:dyDescent="0.25">
      <c r="A57" s="131"/>
      <c r="B57" s="132"/>
      <c r="C57" s="125" t="s">
        <v>356</v>
      </c>
      <c r="D57" s="127"/>
      <c r="E57" s="127"/>
      <c r="F57" s="127"/>
      <c r="G57" s="127"/>
      <c r="H57" s="126"/>
      <c r="R57"/>
      <c r="S57" s="17"/>
      <c r="T57" t="s">
        <v>256</v>
      </c>
      <c r="U57" t="s">
        <v>265</v>
      </c>
      <c r="V57" s="17"/>
      <c r="W57" s="17"/>
      <c r="X57" s="17"/>
    </row>
    <row r="58" spans="1:24" s="19" customFormat="1" ht="32.1" customHeight="1" x14ac:dyDescent="0.25">
      <c r="A58" s="133" t="s">
        <v>357</v>
      </c>
      <c r="B58" s="134"/>
      <c r="C58" s="116" t="s">
        <v>358</v>
      </c>
      <c r="D58" s="117"/>
      <c r="E58" s="118"/>
      <c r="F58" s="73" t="s">
        <v>338</v>
      </c>
      <c r="G58" s="119">
        <v>45054</v>
      </c>
      <c r="H58" s="118"/>
      <c r="R58"/>
      <c r="S58" s="17"/>
      <c r="T58" t="s">
        <v>257</v>
      </c>
      <c r="U58" s="17" t="s">
        <v>287</v>
      </c>
      <c r="V58" s="17"/>
      <c r="W58" s="17"/>
      <c r="X58" s="17"/>
    </row>
    <row r="59" spans="1:24" s="19" customFormat="1" x14ac:dyDescent="0.25">
      <c r="A59" s="135"/>
      <c r="B59" s="136"/>
      <c r="C59" s="116" t="s">
        <v>359</v>
      </c>
      <c r="D59" s="117"/>
      <c r="E59" s="117"/>
      <c r="F59" s="117"/>
      <c r="G59" s="117"/>
      <c r="H59" s="118"/>
      <c r="R59"/>
      <c r="S59" s="17"/>
      <c r="T59" t="s">
        <v>258</v>
      </c>
      <c r="U59" s="17"/>
      <c r="V59" s="17"/>
      <c r="W59" s="17"/>
      <c r="X59" s="17"/>
    </row>
    <row r="60" spans="1:24" s="19" customFormat="1" ht="15.75" customHeight="1" x14ac:dyDescent="0.25">
      <c r="A60" s="133" t="s">
        <v>337</v>
      </c>
      <c r="B60" s="134"/>
      <c r="C60" s="116" t="s">
        <v>321</v>
      </c>
      <c r="D60" s="117"/>
      <c r="E60" s="118"/>
      <c r="F60" s="73" t="s">
        <v>338</v>
      </c>
      <c r="G60" s="119" t="s">
        <v>340</v>
      </c>
      <c r="H60" s="118"/>
      <c r="R60"/>
      <c r="S60" s="17"/>
      <c r="T60" t="s">
        <v>257</v>
      </c>
      <c r="U60" s="17" t="s">
        <v>287</v>
      </c>
      <c r="V60" s="17"/>
      <c r="W60" s="17"/>
      <c r="X60" s="17"/>
    </row>
    <row r="61" spans="1:24" s="19" customFormat="1" ht="33.75" customHeight="1" x14ac:dyDescent="0.25">
      <c r="A61" s="135"/>
      <c r="B61" s="136"/>
      <c r="C61" s="116" t="s">
        <v>341</v>
      </c>
      <c r="D61" s="117"/>
      <c r="E61" s="118"/>
      <c r="F61" s="73" t="s">
        <v>339</v>
      </c>
      <c r="G61" s="119">
        <v>47886</v>
      </c>
      <c r="H61" s="118"/>
      <c r="R61"/>
      <c r="S61" s="17"/>
      <c r="T61" t="s">
        <v>258</v>
      </c>
      <c r="U61" s="17"/>
      <c r="V61" s="17"/>
      <c r="W61" s="17"/>
      <c r="X61" s="17"/>
    </row>
    <row r="62" spans="1:24" x14ac:dyDescent="0.25">
      <c r="A62" s="108" t="s">
        <v>42</v>
      </c>
      <c r="B62" s="109"/>
      <c r="C62" s="108" t="s">
        <v>99</v>
      </c>
      <c r="D62" s="110"/>
      <c r="E62" s="109"/>
      <c r="F62" s="39" t="s">
        <v>40</v>
      </c>
      <c r="G62" s="188" t="s">
        <v>28</v>
      </c>
      <c r="H62" s="189"/>
      <c r="R62"/>
      <c r="T62" t="s">
        <v>260</v>
      </c>
    </row>
    <row r="63" spans="1:24" x14ac:dyDescent="0.25">
      <c r="A63" s="166" t="s">
        <v>44</v>
      </c>
      <c r="B63" s="166"/>
      <c r="C63" s="166"/>
      <c r="D63" s="166"/>
      <c r="E63" s="166"/>
      <c r="F63" s="166"/>
      <c r="G63" s="166"/>
      <c r="H63" s="166"/>
      <c r="T63" t="s">
        <v>269</v>
      </c>
    </row>
    <row r="64" spans="1:24" x14ac:dyDescent="0.25">
      <c r="A64" s="113" t="s">
        <v>86</v>
      </c>
      <c r="B64" s="113"/>
      <c r="C64" s="113"/>
      <c r="D64" s="107">
        <f>E46</f>
        <v>20022.062000000002</v>
      </c>
      <c r="E64" s="107"/>
      <c r="F64" s="107"/>
      <c r="G64" s="107"/>
      <c r="H64" s="107"/>
      <c r="R64"/>
    </row>
    <row r="65" spans="1:19" x14ac:dyDescent="0.25">
      <c r="A65" s="120" t="s">
        <v>45</v>
      </c>
      <c r="B65" s="171"/>
      <c r="C65" s="171"/>
      <c r="D65" s="173" t="s">
        <v>332</v>
      </c>
      <c r="E65" s="173"/>
      <c r="F65" s="173"/>
      <c r="G65" s="173"/>
      <c r="H65" s="173"/>
      <c r="I65" s="20"/>
      <c r="R65"/>
    </row>
    <row r="66" spans="1:19" x14ac:dyDescent="0.25">
      <c r="A66" s="120" t="s">
        <v>46</v>
      </c>
      <c r="B66" s="120"/>
      <c r="C66" s="120"/>
      <c r="D66" s="175" t="s">
        <v>342</v>
      </c>
      <c r="E66" s="173"/>
      <c r="F66" s="173"/>
      <c r="G66" s="173"/>
      <c r="H66" s="173"/>
      <c r="R66"/>
    </row>
    <row r="67" spans="1:19" ht="15.75" customHeight="1" x14ac:dyDescent="0.25">
      <c r="A67" s="120" t="s">
        <v>84</v>
      </c>
      <c r="B67" s="120"/>
      <c r="C67" s="120"/>
      <c r="D67" s="175" t="s">
        <v>360</v>
      </c>
      <c r="E67" s="173"/>
      <c r="F67" s="173"/>
      <c r="G67" s="173"/>
      <c r="H67" s="173"/>
      <c r="R67"/>
    </row>
    <row r="68" spans="1:19" x14ac:dyDescent="0.25">
      <c r="A68" s="120"/>
      <c r="B68" s="120"/>
      <c r="C68" s="120"/>
      <c r="D68" s="171" t="s">
        <v>301</v>
      </c>
      <c r="E68" s="171"/>
      <c r="F68" s="171"/>
      <c r="G68" s="171"/>
      <c r="H68" s="171"/>
      <c r="R68"/>
    </row>
    <row r="69" spans="1:19" ht="15.75" customHeight="1" x14ac:dyDescent="0.25">
      <c r="A69" s="107" t="s">
        <v>43</v>
      </c>
      <c r="B69" s="107"/>
      <c r="C69" s="107"/>
      <c r="D69" s="113" t="s">
        <v>299</v>
      </c>
      <c r="E69" s="113"/>
      <c r="F69" s="113"/>
      <c r="G69" s="113"/>
      <c r="H69" s="113"/>
      <c r="J69" s="21"/>
      <c r="K69" s="20"/>
      <c r="N69" s="20"/>
      <c r="S69"/>
    </row>
    <row r="70" spans="1:19" ht="15.75" customHeight="1" x14ac:dyDescent="0.25">
      <c r="A70" s="107" t="s">
        <v>82</v>
      </c>
      <c r="B70" s="107"/>
      <c r="C70" s="107"/>
      <c r="D70" s="124" t="str">
        <f>(IF(G62="NA","60 Years After Completion",IF(G62&lt;&gt;"NA",""&amp;60-ROUNDDOWN((E3-G62)/360,0)&amp;" Years"," ")))</f>
        <v>60 Years After Completion</v>
      </c>
      <c r="E70" s="124"/>
      <c r="F70" s="124"/>
      <c r="G70" s="124"/>
      <c r="H70" s="124"/>
      <c r="N70" s="20"/>
      <c r="S70"/>
    </row>
    <row r="71" spans="1:19" ht="15.75" customHeight="1" x14ac:dyDescent="0.25">
      <c r="A71" s="107" t="s">
        <v>83</v>
      </c>
      <c r="B71" s="107"/>
      <c r="C71" s="107"/>
      <c r="D71" s="113" t="s">
        <v>23</v>
      </c>
      <c r="E71" s="113"/>
      <c r="F71" s="113"/>
      <c r="G71" s="113"/>
      <c r="H71" s="113"/>
      <c r="J71" s="22"/>
      <c r="K71" s="22"/>
      <c r="S71"/>
    </row>
    <row r="72" spans="1:19" ht="36.75" customHeight="1" x14ac:dyDescent="0.25">
      <c r="A72" s="173" t="s">
        <v>344</v>
      </c>
      <c r="B72" s="173"/>
      <c r="C72" s="173"/>
      <c r="D72" s="175" t="s">
        <v>333</v>
      </c>
      <c r="E72" s="175"/>
      <c r="F72" s="175"/>
      <c r="G72" s="175"/>
      <c r="H72" s="175"/>
      <c r="I72" s="17" t="s">
        <v>343</v>
      </c>
      <c r="S72"/>
    </row>
    <row r="73" spans="1:19" x14ac:dyDescent="0.25">
      <c r="A73" s="113" t="s">
        <v>140</v>
      </c>
      <c r="B73" s="113"/>
      <c r="C73" s="113"/>
      <c r="D73" s="113" t="s">
        <v>28</v>
      </c>
      <c r="E73" s="113"/>
      <c r="F73" s="113"/>
      <c r="G73" s="113"/>
      <c r="H73" s="113"/>
      <c r="I73" s="23"/>
      <c r="J73" s="23"/>
      <c r="K73" s="23"/>
      <c r="L73" s="23"/>
      <c r="M73" s="23"/>
      <c r="N73" s="23"/>
    </row>
    <row r="74" spans="1:19" ht="15.75" customHeight="1" x14ac:dyDescent="0.25">
      <c r="A74" s="107" t="s">
        <v>81</v>
      </c>
      <c r="B74" s="107"/>
      <c r="C74" s="107"/>
      <c r="D74" s="120" t="str">
        <f ca="1">(IF(G80&gt;95%,"Nothing",IF(G80&gt;0%,"Cement, Aggregate, Steel, etc",IF(G80=0%,"Work not yet Started"))))</f>
        <v>Cement, Aggregate, Steel, etc</v>
      </c>
      <c r="E74" s="120"/>
      <c r="F74" s="120"/>
      <c r="G74" s="120"/>
      <c r="H74" s="120"/>
      <c r="J74" s="22"/>
      <c r="S74"/>
    </row>
    <row r="75" spans="1:19" ht="33.75" customHeight="1" thickBot="1" x14ac:dyDescent="0.3">
      <c r="A75" s="113" t="s">
        <v>112</v>
      </c>
      <c r="B75" s="113"/>
      <c r="C75" s="113"/>
      <c r="D75" s="120" t="str">
        <f ca="1">(IF(D74="Nothing","Yes",IF(D74="Cement, Aggregate, Steel, etc","Under Construction",IF(D74="Work not yet Started","Work not yet Started"))))</f>
        <v>Under Construction</v>
      </c>
      <c r="E75" s="120"/>
      <c r="F75" s="120" t="str">
        <f ca="1">(IF(D74="Nothing","Yes",IF(D74="Cement, Aggregate, Steel, etc","Under Construction",IF(D74="Work not yet Started","Work not yet Started"))))</f>
        <v>Under Construction</v>
      </c>
      <c r="G75" s="120"/>
      <c r="H75" s="120"/>
      <c r="S75"/>
    </row>
    <row r="76" spans="1:19" ht="15.75" customHeight="1" x14ac:dyDescent="0.25">
      <c r="A76" s="213" t="s">
        <v>132</v>
      </c>
      <c r="B76" s="213"/>
      <c r="C76" s="183" t="str">
        <f>D67</f>
        <v xml:space="preserve">Wing A = G + 1st to 17th Floor
</v>
      </c>
      <c r="D76" s="183"/>
      <c r="E76" s="183"/>
      <c r="F76" s="183"/>
      <c r="G76" s="183"/>
      <c r="H76" s="183"/>
      <c r="I76" s="79" t="str">
        <f ca="1">IF(D89=100%,"All work Completed. Possession granted to the Building.",IF(D88=100%,"All work Completed, Waiting for OC",I77&amp;""&amp;I78&amp;""&amp;J77&amp;""&amp;J76&amp;" "&amp;J78))</f>
        <v>Excavation, Plinth Completed, RCC upto 4 Slab Completed</v>
      </c>
      <c r="J76" s="4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4 Slab</v>
      </c>
      <c r="S76"/>
    </row>
    <row r="77" spans="1:19" x14ac:dyDescent="0.25">
      <c r="A77" s="43" t="s">
        <v>134</v>
      </c>
      <c r="B77" s="43">
        <f>IF(AND(ISNUMBER(SEARCH("1B",C76))),1,IF(AND(ISNUMBER(SEARCH("2B",C76))),2,IF(AND(ISNUMBER(SEARCH("3B",C76))),3,IF(AND(ISNUMBER(SEARCH("4B",C76))),4,IF(ISNUMBER(SEARCH("5B",C76)),5,0)))))</f>
        <v>0</v>
      </c>
      <c r="C77" s="76" t="s">
        <v>68</v>
      </c>
      <c r="D77" s="76">
        <v>1</v>
      </c>
      <c r="E77" s="76" t="s">
        <v>67</v>
      </c>
      <c r="F77" s="76">
        <v>0</v>
      </c>
      <c r="G77" s="76" t="s">
        <v>75</v>
      </c>
      <c r="H77" s="76">
        <f ca="1">--TRIM(RIGHT(SUBSTITUTE(LEFT(C76,_xlfn.AGGREGATE(16,6,FIND({0,1,2,3,4,5,6,7,8,9},C76,ROW(INDIRECT("1:"&amp;LEN(C76)))),1))," ",REPT(" ",LEN(C76))),LEN(C76)))</f>
        <v>17</v>
      </c>
      <c r="I77" s="80" t="str">
        <f ca="1">IF(D80=100%,"Excavation","")&amp;IF(D81=100%,", Plinth","")&amp;IF(D82=100%,", RCC Slab","")&amp;IF(D83=100%,", Brickwork","")&amp;IF(D84=100%,", Internal Plaster","")&amp;IF(D85=100%,", External Plaster","")&amp;IF(D86=100%,", Flooring","")&amp;IF(D87=100%,", Painting","")&amp;IF(D88=100%,", Building common Amenities","")</f>
        <v>Excavation, Plinth</v>
      </c>
      <c r="J77" s="4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212" t="s">
        <v>85</v>
      </c>
      <c r="B78" s="172"/>
      <c r="C78" s="183" t="str">
        <f ca="1">I76</f>
        <v>Excavation, Plinth Completed, RCC upto 4 Slab Completed</v>
      </c>
      <c r="D78" s="183"/>
      <c r="E78" s="183"/>
      <c r="F78" s="183"/>
      <c r="G78" s="183"/>
      <c r="H78" s="184"/>
      <c r="I78" s="41" t="str">
        <f ca="1">IF(I77&lt;&gt;""," Completed","")</f>
        <v xml:space="preserve"> Completed</v>
      </c>
      <c r="J78" s="42" t="str">
        <f ca="1">IF(J76&lt;&gt;"","Completed","")</f>
        <v>Completed</v>
      </c>
      <c r="S78"/>
    </row>
    <row r="79" spans="1:19" ht="15.75" customHeight="1" x14ac:dyDescent="0.25">
      <c r="A79" s="121" t="s">
        <v>47</v>
      </c>
      <c r="B79" s="122"/>
      <c r="C79" s="70" t="s">
        <v>131</v>
      </c>
      <c r="D79" s="70" t="s">
        <v>78</v>
      </c>
      <c r="E79" s="122" t="s">
        <v>80</v>
      </c>
      <c r="F79" s="122"/>
      <c r="G79" s="122" t="s">
        <v>79</v>
      </c>
      <c r="H79" s="123"/>
      <c r="I79" s="13" t="s">
        <v>133</v>
      </c>
      <c r="J79" s="24">
        <f ca="1">H77*25%</f>
        <v>4.25</v>
      </c>
      <c r="S79"/>
    </row>
    <row r="80" spans="1:19" x14ac:dyDescent="0.25">
      <c r="A80" s="121" t="s">
        <v>120</v>
      </c>
      <c r="B80" s="122"/>
      <c r="C80" s="70">
        <f ca="1">J81</f>
        <v>17</v>
      </c>
      <c r="D80" s="16">
        <f ca="1">((100/H77)*C80)/100</f>
        <v>1</v>
      </c>
      <c r="E80" s="197">
        <f ca="1">(((C81/H77*10)+(40/(D77+F77+H77)*C82)+(7.5/(H77)*C83)+(7.5/(H77)*C84)+(10/H77*C85)+(10/H77*C86)+(5/H77*C87)+(5/H77*C88)+(5/H77*C89))/100)</f>
        <v>0.18888888888888888</v>
      </c>
      <c r="F80" s="198"/>
      <c r="G80" s="197">
        <f ca="1">((((C80/H77)*20)+((C81/H77)*25)+(30/(H77+F77+D77)*C82)+(5/H77*C83)+(5/H77*C84)+(5/H77*C85)+(5/H77*C86)+(0/H77*C87)+(0/H77*C88)+(5/H77*C89))/100)</f>
        <v>0.51666666666666661</v>
      </c>
      <c r="H80" s="201"/>
      <c r="I80" s="13" t="s">
        <v>94</v>
      </c>
      <c r="J80" s="25">
        <f ca="1">H77*50%</f>
        <v>8.5</v>
      </c>
    </row>
    <row r="81" spans="1:19" x14ac:dyDescent="0.25">
      <c r="A81" s="121" t="s">
        <v>48</v>
      </c>
      <c r="B81" s="122"/>
      <c r="C81" s="81">
        <f ca="1">J89</f>
        <v>17</v>
      </c>
      <c r="D81" s="16">
        <f ca="1">((100/H77)*C81)/100</f>
        <v>1</v>
      </c>
      <c r="E81" s="199"/>
      <c r="F81" s="200"/>
      <c r="G81" s="199"/>
      <c r="H81" s="202"/>
      <c r="I81" s="13" t="s">
        <v>95</v>
      </c>
      <c r="J81" s="25">
        <f ca="1">H77</f>
        <v>17</v>
      </c>
      <c r="S81"/>
    </row>
    <row r="82" spans="1:19" ht="15.75" customHeight="1" x14ac:dyDescent="0.25">
      <c r="A82" s="121" t="s">
        <v>121</v>
      </c>
      <c r="B82" s="122"/>
      <c r="C82" s="70">
        <v>4</v>
      </c>
      <c r="D82" s="16">
        <f ca="1">((100/(D77+F77+H77))*C82)/100</f>
        <v>0.22222222222222221</v>
      </c>
      <c r="E82" s="199"/>
      <c r="F82" s="200"/>
      <c r="G82" s="199"/>
      <c r="H82" s="202"/>
      <c r="I82" s="13" t="s">
        <v>96</v>
      </c>
      <c r="J82" s="26">
        <f ca="1">(IF(B77&gt;1,(H77/(B77+2)),H77/4))</f>
        <v>4.25</v>
      </c>
      <c r="S82"/>
    </row>
    <row r="83" spans="1:19" ht="15.75" customHeight="1" x14ac:dyDescent="0.25">
      <c r="A83" s="121" t="s">
        <v>128</v>
      </c>
      <c r="B83" s="122" t="s">
        <v>122</v>
      </c>
      <c r="C83" s="70">
        <v>0</v>
      </c>
      <c r="D83" s="16">
        <f ca="1">((100/H77)*C83)/100</f>
        <v>0</v>
      </c>
      <c r="E83" s="199"/>
      <c r="F83" s="200"/>
      <c r="G83" s="199"/>
      <c r="H83" s="202"/>
      <c r="I83" s="13" t="s">
        <v>97</v>
      </c>
      <c r="J83" s="26">
        <f ca="1">(IF(B77&gt;1,(H77/(B77+2)+J82),H77/4+J82))</f>
        <v>8.5</v>
      </c>
    </row>
    <row r="84" spans="1:19" ht="15.75" customHeight="1" x14ac:dyDescent="0.25">
      <c r="A84" s="121" t="s">
        <v>129</v>
      </c>
      <c r="B84" s="122" t="s">
        <v>122</v>
      </c>
      <c r="C84" s="70">
        <v>0</v>
      </c>
      <c r="D84" s="16">
        <f ca="1">((100/H77)*C84)/100</f>
        <v>0</v>
      </c>
      <c r="E84" s="199"/>
      <c r="F84" s="200"/>
      <c r="G84" s="199"/>
      <c r="H84" s="202"/>
      <c r="I84" s="13" t="s">
        <v>138</v>
      </c>
      <c r="J84" s="26">
        <f>(IF(B77&gt;1,(H77/(B77+2)+J83),0))</f>
        <v>0</v>
      </c>
    </row>
    <row r="85" spans="1:19" ht="15" customHeight="1" x14ac:dyDescent="0.25">
      <c r="A85" s="121" t="s">
        <v>127</v>
      </c>
      <c r="B85" s="122" t="s">
        <v>124</v>
      </c>
      <c r="C85" s="70">
        <v>0</v>
      </c>
      <c r="D85" s="16">
        <f ca="1">((100/(H77))*C85)/100</f>
        <v>0</v>
      </c>
      <c r="E85" s="199"/>
      <c r="F85" s="200"/>
      <c r="G85" s="199"/>
      <c r="H85" s="202"/>
      <c r="I85" s="13" t="s">
        <v>135</v>
      </c>
      <c r="J85" s="26">
        <f>(IF(B77&gt;2,(H77/(B77+2)+J84),0))</f>
        <v>0</v>
      </c>
    </row>
    <row r="86" spans="1:19" ht="15.75" customHeight="1" x14ac:dyDescent="0.25">
      <c r="A86" s="121" t="s">
        <v>123</v>
      </c>
      <c r="B86" s="122" t="s">
        <v>123</v>
      </c>
      <c r="C86" s="70">
        <v>0</v>
      </c>
      <c r="D86" s="16">
        <f ca="1">((100/H77)*C86)/100</f>
        <v>0</v>
      </c>
      <c r="E86" s="199"/>
      <c r="F86" s="200"/>
      <c r="G86" s="199"/>
      <c r="H86" s="202"/>
      <c r="I86" s="13" t="s">
        <v>136</v>
      </c>
      <c r="J86" s="27">
        <f>(IF(B77&gt;3,(H77/(B77+2)+J85),0))</f>
        <v>0</v>
      </c>
    </row>
    <row r="87" spans="1:19" ht="15.75" customHeight="1" x14ac:dyDescent="0.25">
      <c r="A87" s="121" t="s">
        <v>130</v>
      </c>
      <c r="B87" s="122"/>
      <c r="C87" s="70">
        <v>0</v>
      </c>
      <c r="D87" s="16">
        <f ca="1">((100/H77)*C87)/100</f>
        <v>0</v>
      </c>
      <c r="E87" s="199"/>
      <c r="F87" s="200"/>
      <c r="G87" s="199"/>
      <c r="H87" s="202"/>
      <c r="I87" s="13" t="s">
        <v>137</v>
      </c>
      <c r="J87" s="26">
        <f>(IF(B77&gt;4,(H77/(B77+2)+J86),0))</f>
        <v>0</v>
      </c>
    </row>
    <row r="88" spans="1:19" ht="15.75" customHeight="1" x14ac:dyDescent="0.25">
      <c r="A88" s="121" t="s">
        <v>125</v>
      </c>
      <c r="B88" s="122" t="s">
        <v>125</v>
      </c>
      <c r="C88" s="70">
        <v>0</v>
      </c>
      <c r="D88" s="16">
        <f ca="1">((100/(H77))*C88)/100</f>
        <v>0</v>
      </c>
      <c r="E88" s="199"/>
      <c r="F88" s="200"/>
      <c r="G88" s="199"/>
      <c r="H88" s="202"/>
      <c r="I88" s="13" t="s">
        <v>139</v>
      </c>
      <c r="J88" s="26">
        <f ca="1">(IF(B77=1,(H77/(B77+3)+J83),IF(B77=0,(H77/4+J83),IF(B77&gt;1,0))))</f>
        <v>12.75</v>
      </c>
    </row>
    <row r="89" spans="1:19" ht="16.5" thickBot="1" x14ac:dyDescent="0.3">
      <c r="A89" s="185" t="s">
        <v>126</v>
      </c>
      <c r="B89" s="186"/>
      <c r="C89" s="85">
        <v>0</v>
      </c>
      <c r="D89" s="86">
        <f ca="1">((100/(H77))*C89)/100</f>
        <v>0</v>
      </c>
      <c r="E89" s="199"/>
      <c r="F89" s="200"/>
      <c r="G89" s="199"/>
      <c r="H89" s="202"/>
      <c r="I89" s="14" t="s">
        <v>98</v>
      </c>
      <c r="J89" s="28">
        <f ca="1">(IF(B77&gt;1.5,(H77/(B77+2)+J83+MAX(0,J84-J83)+MAX(0,J85-J84)+MAX(0,J86-J85)+MAX(0,J87-J86)+MAX(0,J88-J87)),IF(B77=1,(H77/(B77+3)+J88),IF(B77=0,H77/4+J88))))</f>
        <v>17</v>
      </c>
    </row>
    <row r="90" spans="1:19" ht="15.75" customHeight="1" x14ac:dyDescent="0.25">
      <c r="A90" s="115" t="s">
        <v>132</v>
      </c>
      <c r="B90" s="115"/>
      <c r="C90" s="115" t="str">
        <f>D68</f>
        <v>Wing B = G + 1st to 17th Floor</v>
      </c>
      <c r="D90" s="115"/>
      <c r="E90" s="115"/>
      <c r="F90" s="115"/>
      <c r="G90" s="115"/>
      <c r="H90" s="115"/>
      <c r="I90" s="79" t="str">
        <f ca="1">IF(D103=100%,"All work Completed. Possession granted to the Building.",IF(D102=100%,"All work Completed, Waiting for OC",I91&amp;""&amp;I92&amp;""&amp;J91&amp;""&amp;J90&amp;" "&amp;J92))</f>
        <v>Excavation, Plinth Completed, RCC upto 4 Slab Completed</v>
      </c>
      <c r="J90" s="4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4 Slab</v>
      </c>
    </row>
    <row r="91" spans="1:19" x14ac:dyDescent="0.25">
      <c r="A91" s="43" t="s">
        <v>134</v>
      </c>
      <c r="B91" s="43">
        <f>IF(AND(ISNUMBER(SEARCH("1B",C90))),1,IF(AND(ISNUMBER(SEARCH("2B",C90))),2,IF(AND(ISNUMBER(SEARCH("3B",C90))),3,IF(AND(ISNUMBER(SEARCH("4B",C90))),4,IF(ISNUMBER(SEARCH("5B",C90)),5,0)))))</f>
        <v>0</v>
      </c>
      <c r="C91" s="43" t="s">
        <v>68</v>
      </c>
      <c r="D91" s="43">
        <v>1</v>
      </c>
      <c r="E91" s="43" t="s">
        <v>67</v>
      </c>
      <c r="F91" s="43">
        <v>0</v>
      </c>
      <c r="G91" s="43" t="s">
        <v>75</v>
      </c>
      <c r="H91" s="43">
        <f ca="1">--TRIM(RIGHT(SUBSTITUTE(LEFT(C90,_xlfn.AGGREGATE(16,6,FIND({0,1,2,3,4,5,6,7,8,9},C90,ROW(INDIRECT("1:"&amp;LEN(C90)))),1))," ",REPT(" ",LEN(C90))),LEN(C90)))</f>
        <v>17</v>
      </c>
      <c r="I91" s="80" t="str">
        <f ca="1">IF(D94=100%,"Excavation","")&amp;IF(D95=100%,", Plinth","")&amp;IF(D96=100%,", RCC Slab","")&amp;IF(D97=100%,", Brickwork","")&amp;IF(D98=100%,", Internal Plaster","")&amp;IF(D99=100%,", External Plaster","")&amp;IF(D100=100%,", Flooring","")&amp;IF(D101=100%,", Painting","")&amp;IF(D102=100%,", Building common Amenities","")</f>
        <v>Excavation, Plinth</v>
      </c>
      <c r="J91" s="4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x14ac:dyDescent="0.25">
      <c r="A92" s="172" t="s">
        <v>85</v>
      </c>
      <c r="B92" s="172"/>
      <c r="C92" s="115" t="str">
        <f ca="1">(IF($G$62="NA",I90,"All work Completed. OC Received."))</f>
        <v>Excavation, Plinth Completed, RCC upto 4 Slab Completed</v>
      </c>
      <c r="D92" s="115"/>
      <c r="E92" s="115"/>
      <c r="F92" s="115"/>
      <c r="G92" s="115"/>
      <c r="H92" s="115"/>
      <c r="I92" s="80" t="str">
        <f ca="1">IF(I91&lt;&gt;""," Completed","")</f>
        <v xml:space="preserve"> Completed</v>
      </c>
      <c r="J92" s="42" t="str">
        <f ca="1">IF(J90&lt;&gt;"","Completed","")</f>
        <v>Completed</v>
      </c>
    </row>
    <row r="93" spans="1:19" ht="15.75" customHeight="1" x14ac:dyDescent="0.25">
      <c r="A93" s="146" t="s">
        <v>47</v>
      </c>
      <c r="B93" s="146"/>
      <c r="C93" s="82" t="s">
        <v>131</v>
      </c>
      <c r="D93" s="82" t="s">
        <v>78</v>
      </c>
      <c r="E93" s="146" t="s">
        <v>80</v>
      </c>
      <c r="F93" s="146"/>
      <c r="G93" s="146" t="s">
        <v>79</v>
      </c>
      <c r="H93" s="146"/>
      <c r="I93" s="13" t="s">
        <v>133</v>
      </c>
      <c r="J93" s="24">
        <f ca="1">H91*25%</f>
        <v>4.25</v>
      </c>
    </row>
    <row r="94" spans="1:19" x14ac:dyDescent="0.25">
      <c r="A94" s="146" t="s">
        <v>120</v>
      </c>
      <c r="B94" s="146"/>
      <c r="C94" s="82">
        <f ca="1">J95</f>
        <v>17</v>
      </c>
      <c r="D94" s="83">
        <f ca="1">((100/H91)*C94)/100</f>
        <v>1</v>
      </c>
      <c r="E94" s="154">
        <f ca="1">(((C95/H91*10)+(40/(D91+F91+H91)*C96)+(7.5/(H91)*C97)+(7.5/(H91)*C98)+(10/H91*C99)+(10/H91*C100)+(5/H91*C101)+(5/H91*C102)+(5/H91*C103))/100)</f>
        <v>0.18888888888888888</v>
      </c>
      <c r="F94" s="154"/>
      <c r="G94" s="154">
        <f ca="1">((((C94/H91)*20)+((C95/H91)*25)+(30/(H91+F91+D91)*C96)+(5/H91*C97)+(5/H91*C98)+(5/H91*C99)+(5/H91*C100)+(0/H91*C101)+(0/H91*C102)+(5/H91*C103))/100)</f>
        <v>0.51666666666666661</v>
      </c>
      <c r="H94" s="154"/>
      <c r="I94" s="13" t="s">
        <v>94</v>
      </c>
      <c r="J94" s="25">
        <f ca="1">H91*50%</f>
        <v>8.5</v>
      </c>
    </row>
    <row r="95" spans="1:19" x14ac:dyDescent="0.25">
      <c r="A95" s="146" t="s">
        <v>48</v>
      </c>
      <c r="B95" s="146"/>
      <c r="C95" s="84">
        <f ca="1">J103</f>
        <v>17</v>
      </c>
      <c r="D95" s="83">
        <f ca="1">((100/H91)*C95)/100</f>
        <v>1</v>
      </c>
      <c r="E95" s="154"/>
      <c r="F95" s="154"/>
      <c r="G95" s="154"/>
      <c r="H95" s="154"/>
      <c r="I95" s="13" t="s">
        <v>95</v>
      </c>
      <c r="J95" s="25">
        <f ca="1">H91</f>
        <v>17</v>
      </c>
    </row>
    <row r="96" spans="1:19" ht="15.75" customHeight="1" x14ac:dyDescent="0.25">
      <c r="A96" s="146" t="s">
        <v>121</v>
      </c>
      <c r="B96" s="146"/>
      <c r="C96" s="82">
        <v>4</v>
      </c>
      <c r="D96" s="83">
        <f ca="1">((100/(D91+F91+H91))*C96)/100</f>
        <v>0.22222222222222221</v>
      </c>
      <c r="E96" s="154"/>
      <c r="F96" s="154"/>
      <c r="G96" s="154"/>
      <c r="H96" s="154"/>
      <c r="I96" s="13" t="s">
        <v>96</v>
      </c>
      <c r="J96" s="26">
        <f ca="1">(IF(B91&gt;1,(H91/(B91+2)),H91/4))</f>
        <v>4.25</v>
      </c>
    </row>
    <row r="97" spans="1:22" ht="15.75" customHeight="1" x14ac:dyDescent="0.25">
      <c r="A97" s="146" t="s">
        <v>128</v>
      </c>
      <c r="B97" s="146" t="s">
        <v>122</v>
      </c>
      <c r="C97" s="82">
        <v>0</v>
      </c>
      <c r="D97" s="83">
        <f ca="1">((100/H91)*C97)/100</f>
        <v>0</v>
      </c>
      <c r="E97" s="154"/>
      <c r="F97" s="154"/>
      <c r="G97" s="154"/>
      <c r="H97" s="154"/>
      <c r="I97" s="13" t="s">
        <v>97</v>
      </c>
      <c r="J97" s="26">
        <f ca="1">(IF(B91&gt;1,(H91/(B91+2)+J96),H91/4+J96))</f>
        <v>8.5</v>
      </c>
    </row>
    <row r="98" spans="1:22" ht="15.75" customHeight="1" x14ac:dyDescent="0.25">
      <c r="A98" s="146" t="s">
        <v>129</v>
      </c>
      <c r="B98" s="146" t="s">
        <v>122</v>
      </c>
      <c r="C98" s="82">
        <v>0</v>
      </c>
      <c r="D98" s="83">
        <f ca="1">((100/H91)*C98)/100</f>
        <v>0</v>
      </c>
      <c r="E98" s="154"/>
      <c r="F98" s="154"/>
      <c r="G98" s="154"/>
      <c r="H98" s="154"/>
      <c r="I98" s="13" t="s">
        <v>138</v>
      </c>
      <c r="J98" s="26">
        <f>(IF(B91&gt;1,(H91/(B91+2)+J97),0))</f>
        <v>0</v>
      </c>
    </row>
    <row r="99" spans="1:22" ht="15" customHeight="1" x14ac:dyDescent="0.25">
      <c r="A99" s="146" t="s">
        <v>127</v>
      </c>
      <c r="B99" s="146" t="s">
        <v>124</v>
      </c>
      <c r="C99" s="82">
        <v>0</v>
      </c>
      <c r="D99" s="83">
        <f ca="1">((100/(H91))*C99)/100</f>
        <v>0</v>
      </c>
      <c r="E99" s="154"/>
      <c r="F99" s="154"/>
      <c r="G99" s="154"/>
      <c r="H99" s="154"/>
      <c r="I99" s="13" t="s">
        <v>135</v>
      </c>
      <c r="J99" s="26">
        <f>(IF(B91&gt;2,(H91/(B91+2)+J98),0))</f>
        <v>0</v>
      </c>
    </row>
    <row r="100" spans="1:22" ht="15.75" customHeight="1" x14ac:dyDescent="0.25">
      <c r="A100" s="146" t="s">
        <v>123</v>
      </c>
      <c r="B100" s="146" t="s">
        <v>123</v>
      </c>
      <c r="C100" s="82">
        <v>0</v>
      </c>
      <c r="D100" s="83">
        <f ca="1">((100/H91)*C100)/100</f>
        <v>0</v>
      </c>
      <c r="E100" s="154"/>
      <c r="F100" s="154"/>
      <c r="G100" s="154"/>
      <c r="H100" s="154"/>
      <c r="I100" s="13" t="s">
        <v>136</v>
      </c>
      <c r="J100" s="27">
        <f>(IF(B91&gt;3,(H91/(B91+2)+J99),0))</f>
        <v>0</v>
      </c>
    </row>
    <row r="101" spans="1:22" ht="15.75" customHeight="1" x14ac:dyDescent="0.25">
      <c r="A101" s="146" t="s">
        <v>130</v>
      </c>
      <c r="B101" s="146"/>
      <c r="C101" s="82">
        <v>0</v>
      </c>
      <c r="D101" s="83">
        <f ca="1">((100/H91)*C101)/100</f>
        <v>0</v>
      </c>
      <c r="E101" s="154"/>
      <c r="F101" s="154"/>
      <c r="G101" s="154"/>
      <c r="H101" s="154"/>
      <c r="I101" s="13" t="s">
        <v>137</v>
      </c>
      <c r="J101" s="26">
        <f>(IF(B91&gt;4,(H91/(B91+2)+J100),0))</f>
        <v>0</v>
      </c>
    </row>
    <row r="102" spans="1:22" ht="15.75" customHeight="1" x14ac:dyDescent="0.25">
      <c r="A102" s="146" t="s">
        <v>125</v>
      </c>
      <c r="B102" s="146" t="s">
        <v>125</v>
      </c>
      <c r="C102" s="82">
        <v>0</v>
      </c>
      <c r="D102" s="83">
        <f ca="1">((100/(H91))*C102)/100</f>
        <v>0</v>
      </c>
      <c r="E102" s="154"/>
      <c r="F102" s="154"/>
      <c r="G102" s="154"/>
      <c r="H102" s="154"/>
      <c r="I102" s="13" t="s">
        <v>139</v>
      </c>
      <c r="J102" s="26">
        <f ca="1">(IF(B91=1,(H91/(B91+3)+J97),IF(B91=0,(H91/4+J97),IF(B91&gt;1,0))))</f>
        <v>12.75</v>
      </c>
    </row>
    <row r="103" spans="1:22" ht="16.5" thickBot="1" x14ac:dyDescent="0.3">
      <c r="A103" s="146" t="s">
        <v>126</v>
      </c>
      <c r="B103" s="146"/>
      <c r="C103" s="82">
        <v>0</v>
      </c>
      <c r="D103" s="83">
        <f ca="1">((100/(H91))*C103)/100</f>
        <v>0</v>
      </c>
      <c r="E103" s="154"/>
      <c r="F103" s="154"/>
      <c r="G103" s="154"/>
      <c r="H103" s="154"/>
      <c r="I103" s="14" t="s">
        <v>98</v>
      </c>
      <c r="J103" s="28">
        <f ca="1">(IF(B91&gt;1.5,(H91/(B91+2)+J97+MAX(0,J98-J97)+MAX(0,J99-J98)+MAX(0,J100-J99)+MAX(0,J101-J100)+MAX(0,J102-J101)),IF(B91=1,(H91/(B91+3)+J102),IF(B91=0,H91/4+J102))))</f>
        <v>17</v>
      </c>
    </row>
    <row r="104" spans="1:22" x14ac:dyDescent="0.25">
      <c r="A104" s="220" t="s">
        <v>148</v>
      </c>
      <c r="B104" s="220"/>
      <c r="C104" s="220"/>
      <c r="D104" s="220"/>
      <c r="E104" s="220"/>
      <c r="F104" s="219" t="s">
        <v>152</v>
      </c>
      <c r="G104" s="219"/>
      <c r="H104" s="219"/>
      <c r="R104" t="s">
        <v>244</v>
      </c>
      <c r="S104" t="s">
        <v>163</v>
      </c>
      <c r="T104" t="s">
        <v>169</v>
      </c>
      <c r="U104" t="s">
        <v>184</v>
      </c>
      <c r="V104" t="s">
        <v>179</v>
      </c>
    </row>
    <row r="105" spans="1:22" x14ac:dyDescent="0.25">
      <c r="A105" s="107" t="s">
        <v>150</v>
      </c>
      <c r="B105" s="107"/>
      <c r="C105" s="107"/>
      <c r="D105" s="107"/>
      <c r="E105" s="107"/>
      <c r="F105" s="104">
        <v>6400</v>
      </c>
      <c r="G105" s="104"/>
      <c r="H105" s="104"/>
      <c r="I105" s="17" t="s">
        <v>364</v>
      </c>
      <c r="R105"/>
      <c r="S105">
        <v>800000</v>
      </c>
      <c r="T105">
        <v>150000</v>
      </c>
      <c r="U105">
        <v>100000</v>
      </c>
      <c r="V105">
        <v>100000</v>
      </c>
    </row>
    <row r="106" spans="1:22" x14ac:dyDescent="0.25">
      <c r="A106" s="107" t="s">
        <v>149</v>
      </c>
      <c r="B106" s="107"/>
      <c r="C106" s="107"/>
      <c r="D106" s="107"/>
      <c r="E106" s="107"/>
      <c r="F106" s="104">
        <v>8000</v>
      </c>
      <c r="G106" s="104"/>
      <c r="H106" s="104"/>
      <c r="R106"/>
      <c r="S106">
        <v>900000</v>
      </c>
      <c r="T106">
        <v>200000</v>
      </c>
      <c r="U106">
        <v>150000</v>
      </c>
      <c r="V106">
        <v>150000</v>
      </c>
    </row>
    <row r="107" spans="1:22" hidden="1" x14ac:dyDescent="0.25">
      <c r="A107" s="107" t="s">
        <v>151</v>
      </c>
      <c r="B107" s="107"/>
      <c r="C107" s="107"/>
      <c r="D107" s="107"/>
      <c r="E107" s="107"/>
      <c r="F107" s="104"/>
      <c r="G107" s="104"/>
      <c r="H107" s="104"/>
      <c r="R107"/>
      <c r="S107">
        <v>1000000</v>
      </c>
      <c r="T107">
        <v>250000</v>
      </c>
      <c r="U107">
        <v>200000</v>
      </c>
      <c r="V107">
        <v>200000</v>
      </c>
    </row>
    <row r="108" spans="1:22" s="29" customFormat="1" hidden="1" x14ac:dyDescent="0.25">
      <c r="A108" s="107" t="s">
        <v>166</v>
      </c>
      <c r="B108" s="107"/>
      <c r="C108" s="107"/>
      <c r="D108" s="107"/>
      <c r="E108" s="107"/>
      <c r="F108" s="104"/>
      <c r="G108" s="104"/>
      <c r="H108" s="104"/>
      <c r="R108"/>
      <c r="S108">
        <v>1100000</v>
      </c>
      <c r="T108">
        <v>300000</v>
      </c>
      <c r="U108">
        <v>250000</v>
      </c>
      <c r="V108" s="19">
        <v>250000</v>
      </c>
    </row>
    <row r="109" spans="1:22" s="29" customFormat="1" hidden="1" x14ac:dyDescent="0.25">
      <c r="A109" s="107" t="s">
        <v>90</v>
      </c>
      <c r="B109" s="107"/>
      <c r="C109" s="107"/>
      <c r="D109" s="107"/>
      <c r="E109" s="107"/>
      <c r="F109" s="104"/>
      <c r="G109" s="104"/>
      <c r="H109" s="104"/>
      <c r="R109"/>
      <c r="S109">
        <v>1200000</v>
      </c>
      <c r="T109">
        <v>350000</v>
      </c>
      <c r="U109">
        <v>300000</v>
      </c>
      <c r="V109">
        <v>300000</v>
      </c>
    </row>
    <row r="110" spans="1:22" s="29" customFormat="1" x14ac:dyDescent="0.25">
      <c r="A110" s="107" t="s">
        <v>91</v>
      </c>
      <c r="B110" s="107"/>
      <c r="C110" s="107"/>
      <c r="D110" s="107"/>
      <c r="E110" s="107"/>
      <c r="F110" s="104">
        <v>50000</v>
      </c>
      <c r="G110" s="104"/>
      <c r="H110" s="104"/>
      <c r="R110"/>
      <c r="S110">
        <v>1300000</v>
      </c>
      <c r="T110">
        <v>400000</v>
      </c>
      <c r="U110">
        <v>350000</v>
      </c>
      <c r="V110" s="19">
        <v>400000</v>
      </c>
    </row>
    <row r="111" spans="1:22" s="29" customFormat="1" hidden="1" x14ac:dyDescent="0.25">
      <c r="A111" s="107" t="s">
        <v>92</v>
      </c>
      <c r="B111" s="107"/>
      <c r="C111" s="107"/>
      <c r="D111" s="107"/>
      <c r="E111" s="107"/>
      <c r="F111" s="104"/>
      <c r="G111" s="104"/>
      <c r="H111" s="104"/>
      <c r="R111"/>
      <c r="S111">
        <v>1400000</v>
      </c>
      <c r="T111">
        <v>500000</v>
      </c>
      <c r="U111">
        <v>400000</v>
      </c>
      <c r="V111"/>
    </row>
    <row r="112" spans="1:22" s="29" customFormat="1" x14ac:dyDescent="0.25">
      <c r="A112" s="107" t="s">
        <v>351</v>
      </c>
      <c r="B112" s="107"/>
      <c r="C112" s="107"/>
      <c r="D112" s="107"/>
      <c r="E112" s="107"/>
      <c r="F112" s="104">
        <v>200000</v>
      </c>
      <c r="G112" s="104"/>
      <c r="H112" s="104"/>
      <c r="R112"/>
      <c r="S112">
        <v>1500000</v>
      </c>
      <c r="T112">
        <v>600000</v>
      </c>
      <c r="U112">
        <v>500000</v>
      </c>
      <c r="V112" s="19"/>
    </row>
    <row r="113" spans="1:22" s="29" customFormat="1" x14ac:dyDescent="0.25">
      <c r="A113" s="107" t="s">
        <v>352</v>
      </c>
      <c r="B113" s="107"/>
      <c r="C113" s="107"/>
      <c r="D113" s="107"/>
      <c r="E113" s="107"/>
      <c r="F113" s="104">
        <v>50000</v>
      </c>
      <c r="G113" s="104"/>
      <c r="H113" s="104"/>
      <c r="R113"/>
      <c r="S113">
        <v>1600000</v>
      </c>
      <c r="T113">
        <v>700000</v>
      </c>
      <c r="U113">
        <v>600000</v>
      </c>
      <c r="V113"/>
    </row>
    <row r="114" spans="1:22" s="29" customFormat="1" hidden="1" x14ac:dyDescent="0.25">
      <c r="A114" s="107" t="s">
        <v>93</v>
      </c>
      <c r="B114" s="107"/>
      <c r="C114" s="107"/>
      <c r="D114" s="107"/>
      <c r="E114" s="107"/>
      <c r="F114" s="104"/>
      <c r="G114" s="104"/>
      <c r="H114" s="104"/>
      <c r="R114"/>
      <c r="S114">
        <v>1700000</v>
      </c>
      <c r="T114">
        <v>800000</v>
      </c>
      <c r="U114"/>
      <c r="V114" s="19"/>
    </row>
    <row r="115" spans="1:22" x14ac:dyDescent="0.25">
      <c r="A115" s="107" t="s">
        <v>49</v>
      </c>
      <c r="B115" s="107"/>
      <c r="C115" s="107"/>
      <c r="D115" s="107"/>
      <c r="E115" s="107"/>
      <c r="F115" s="162">
        <v>200000</v>
      </c>
      <c r="G115" s="162"/>
      <c r="H115" s="162"/>
      <c r="R115"/>
      <c r="S115">
        <v>1800000</v>
      </c>
      <c r="T115">
        <v>900000</v>
      </c>
      <c r="U115"/>
    </row>
    <row r="116" spans="1:22" s="30" customFormat="1" x14ac:dyDescent="0.25">
      <c r="A116" s="163" t="s">
        <v>50</v>
      </c>
      <c r="B116" s="163"/>
      <c r="C116" s="163"/>
      <c r="D116" s="163"/>
      <c r="E116" s="163"/>
      <c r="F116" s="104">
        <f>F105*0.8</f>
        <v>5120</v>
      </c>
      <c r="G116" s="104"/>
      <c r="H116" s="104"/>
      <c r="R116" s="17"/>
      <c r="S116" s="17"/>
      <c r="T116">
        <v>1000000</v>
      </c>
      <c r="U116"/>
      <c r="V116" s="17"/>
    </row>
    <row r="117" spans="1:22" s="31" customFormat="1" ht="15.75" customHeight="1" x14ac:dyDescent="0.25">
      <c r="A117" s="161" t="s">
        <v>317</v>
      </c>
      <c r="B117" s="161"/>
      <c r="C117" s="161"/>
      <c r="D117" s="161"/>
      <c r="E117" s="161"/>
      <c r="F117" s="161"/>
      <c r="G117" s="161"/>
      <c r="H117" s="161"/>
      <c r="R117"/>
      <c r="S117" s="17"/>
      <c r="T117"/>
      <c r="U117"/>
      <c r="V117" s="17"/>
    </row>
    <row r="118" spans="1:22" s="31" customFormat="1" ht="15.75" customHeight="1" x14ac:dyDescent="0.25">
      <c r="A118" s="106" t="s">
        <v>51</v>
      </c>
      <c r="B118" s="106"/>
      <c r="C118" s="112" t="s">
        <v>73</v>
      </c>
      <c r="D118" s="112"/>
      <c r="E118" s="111" t="s">
        <v>52</v>
      </c>
      <c r="F118" s="111"/>
      <c r="G118" s="106" t="s">
        <v>53</v>
      </c>
      <c r="H118" s="106"/>
      <c r="R118"/>
      <c r="S118" s="17"/>
      <c r="T118"/>
      <c r="U118" s="17"/>
      <c r="V118" s="17"/>
    </row>
    <row r="119" spans="1:22" s="31" customFormat="1" x14ac:dyDescent="0.25">
      <c r="A119" s="165" t="s">
        <v>318</v>
      </c>
      <c r="B119" s="165"/>
      <c r="C119" s="147">
        <f>COUNT(F133:F149)</f>
        <v>17</v>
      </c>
      <c r="D119" s="148"/>
      <c r="E119" s="147">
        <f>SUM(F133:F149)</f>
        <v>24779.007863999999</v>
      </c>
      <c r="F119" s="148"/>
      <c r="G119" s="147">
        <f>SUM(H133:H149)</f>
        <v>38407.462189199992</v>
      </c>
      <c r="H119" s="148"/>
      <c r="R119"/>
      <c r="S119" s="17"/>
      <c r="T119"/>
      <c r="U119" s="17"/>
      <c r="V119" s="17"/>
    </row>
    <row r="120" spans="1:22" s="31" customFormat="1" x14ac:dyDescent="0.25">
      <c r="A120" s="161" t="s">
        <v>142</v>
      </c>
      <c r="B120" s="161"/>
      <c r="C120" s="149">
        <f>SUM(C119)</f>
        <v>17</v>
      </c>
      <c r="D120" s="111"/>
      <c r="E120" s="149">
        <f>SUM(E119)</f>
        <v>24779.007863999999</v>
      </c>
      <c r="F120" s="111"/>
      <c r="G120" s="149">
        <f>SUM(G119)</f>
        <v>38407.462189199992</v>
      </c>
      <c r="H120" s="111"/>
      <c r="R120"/>
      <c r="S120" s="17"/>
      <c r="T120"/>
      <c r="U120" s="17"/>
      <c r="V120" s="17"/>
    </row>
    <row r="121" spans="1:22" s="31" customFormat="1" x14ac:dyDescent="0.25">
      <c r="A121" s="161" t="s">
        <v>319</v>
      </c>
      <c r="B121" s="161"/>
      <c r="C121" s="161"/>
      <c r="D121" s="161"/>
      <c r="E121" s="161"/>
      <c r="F121" s="161"/>
      <c r="G121" s="161"/>
      <c r="H121" s="161"/>
      <c r="T121"/>
    </row>
    <row r="122" spans="1:22" s="31" customFormat="1" ht="15.75" customHeight="1" x14ac:dyDescent="0.25">
      <c r="A122" s="106" t="s">
        <v>51</v>
      </c>
      <c r="B122" s="106"/>
      <c r="C122" s="112" t="s">
        <v>73</v>
      </c>
      <c r="D122" s="112"/>
      <c r="E122" s="111" t="s">
        <v>52</v>
      </c>
      <c r="F122" s="111"/>
      <c r="G122" s="106" t="s">
        <v>53</v>
      </c>
      <c r="H122" s="106"/>
      <c r="T122"/>
    </row>
    <row r="123" spans="1:22" s="31" customFormat="1" x14ac:dyDescent="0.25">
      <c r="A123" s="165" t="s">
        <v>304</v>
      </c>
      <c r="B123" s="165"/>
      <c r="C123" s="147">
        <f>COUNT(F155:F166)+COUNT(F168:F179)*8+COUNT(F182:F192)*2+COUNT(F197:F206)+COUNT(F210:F219)*2+COUNT(F224:F229)</f>
        <v>166</v>
      </c>
      <c r="D123" s="147"/>
      <c r="E123" s="147">
        <f>SUM(F155:F166)+SUM(F168:F179)*8+SUM(F182:F192)*2+SUM(F197:F206)+SUM(F210:F219)*2+SUM(F224:F229)</f>
        <v>70594.165511999992</v>
      </c>
      <c r="F123" s="147"/>
      <c r="G123" s="147">
        <f>SUM(H155:H166)+SUM(H168:H179)*8+SUM(H182:H192)*2+SUM(H197:H206)+SUM(H210:H219)*2+SUM(H224:H229)</f>
        <v>106657.77961799997</v>
      </c>
      <c r="H123" s="147"/>
      <c r="I123" s="78"/>
      <c r="T123"/>
    </row>
    <row r="124" spans="1:22" s="31" customFormat="1" x14ac:dyDescent="0.25">
      <c r="A124" s="165" t="s">
        <v>315</v>
      </c>
      <c r="B124" s="165"/>
      <c r="C124" s="147">
        <f>COUNT(F235:F244)+COUNT(F246:F255)*8+COUNT(F257:F260)*2+COUNT(F262:F266)*2+COUNT(F269:F278)*3+COUNT(F284:F287)</f>
        <v>142</v>
      </c>
      <c r="D124" s="147"/>
      <c r="E124" s="147">
        <f>SUM(F235:F244)+SUM(F246:F255)*8+SUM(F257:F260)*2+SUM(F262:F266)*2+SUM(F269:F278)*3+SUM(F284:F287)</f>
        <v>54249.494363999991</v>
      </c>
      <c r="F124" s="147"/>
      <c r="G124" s="147">
        <f>SUM(H235:H244)+SUM(H246:H255)*8+SUM(H257:H260)*2+SUM(H262:H266)*2+SUM(H269:H278)*3+SUM(H284:H287)</f>
        <v>81759.650602499984</v>
      </c>
      <c r="H124" s="147"/>
      <c r="J124" s="31">
        <f>178+130</f>
        <v>308</v>
      </c>
      <c r="T124"/>
    </row>
    <row r="125" spans="1:22" s="31" customFormat="1" x14ac:dyDescent="0.25">
      <c r="A125" s="161" t="s">
        <v>142</v>
      </c>
      <c r="B125" s="161"/>
      <c r="C125" s="149">
        <f>SUM(C123:C124)</f>
        <v>308</v>
      </c>
      <c r="D125" s="111"/>
      <c r="E125" s="149">
        <f>SUM(E123:E124)</f>
        <v>124843.65987599999</v>
      </c>
      <c r="F125" s="111"/>
      <c r="G125" s="149">
        <f>SUM(G123:G124)</f>
        <v>188417.43022049995</v>
      </c>
      <c r="H125" s="111"/>
      <c r="T125"/>
    </row>
    <row r="126" spans="1:22" s="31" customFormat="1" ht="16.5" thickBot="1" x14ac:dyDescent="0.3">
      <c r="A126" s="215" t="s">
        <v>157</v>
      </c>
      <c r="B126" s="216"/>
      <c r="C126" s="217">
        <f>C120+C125</f>
        <v>325</v>
      </c>
      <c r="D126" s="217"/>
      <c r="E126" s="218">
        <f>E120+E125</f>
        <v>149622.66774</v>
      </c>
      <c r="F126" s="218"/>
      <c r="G126" s="204">
        <f>G120+G125</f>
        <v>226824.89240969994</v>
      </c>
      <c r="H126" s="205"/>
      <c r="T126"/>
    </row>
    <row r="127" spans="1:22" s="30" customFormat="1" x14ac:dyDescent="0.25">
      <c r="A127" s="214" t="s">
        <v>54</v>
      </c>
      <c r="B127" s="214"/>
      <c r="C127" s="214"/>
      <c r="D127" s="214"/>
      <c r="E127" s="214"/>
      <c r="F127" s="214"/>
      <c r="G127" s="214"/>
      <c r="H127" s="214"/>
      <c r="T127" s="31"/>
    </row>
    <row r="128" spans="1:22" x14ac:dyDescent="0.25">
      <c r="A128" s="105" t="s">
        <v>165</v>
      </c>
      <c r="B128" s="105"/>
      <c r="C128" s="105"/>
      <c r="D128" s="105"/>
      <c r="E128" s="105"/>
      <c r="F128" s="105"/>
      <c r="G128" s="105"/>
      <c r="H128" s="105"/>
      <c r="T128" s="31"/>
    </row>
    <row r="129" spans="1:20" ht="47.25" customHeight="1" x14ac:dyDescent="0.25">
      <c r="A129" s="143" t="s">
        <v>345</v>
      </c>
      <c r="B129" s="143" t="s">
        <v>167</v>
      </c>
      <c r="C129" s="143" t="s">
        <v>55</v>
      </c>
      <c r="D129" s="143" t="s">
        <v>223</v>
      </c>
      <c r="E129" s="195" t="s">
        <v>147</v>
      </c>
      <c r="F129" s="143" t="s">
        <v>56</v>
      </c>
      <c r="G129" s="195" t="s">
        <v>57</v>
      </c>
      <c r="H129" s="74" t="s">
        <v>141</v>
      </c>
      <c r="T129" s="31"/>
    </row>
    <row r="130" spans="1:20" s="33" customFormat="1" x14ac:dyDescent="0.25">
      <c r="A130" s="144"/>
      <c r="B130" s="144"/>
      <c r="C130" s="144"/>
      <c r="D130" s="144"/>
      <c r="E130" s="196"/>
      <c r="F130" s="144"/>
      <c r="G130" s="196"/>
      <c r="H130" s="75">
        <v>0.55000000000000004</v>
      </c>
      <c r="T130" s="31"/>
    </row>
    <row r="131" spans="1:20" s="61" customFormat="1" x14ac:dyDescent="0.25">
      <c r="A131" s="150" t="s">
        <v>303</v>
      </c>
      <c r="B131" s="151"/>
      <c r="C131" s="151"/>
      <c r="D131" s="151"/>
      <c r="E131" s="151"/>
      <c r="F131" s="151"/>
      <c r="G131" s="151"/>
      <c r="H131" s="152"/>
      <c r="I131" s="67">
        <f>10.764</f>
        <v>10.763999999999999</v>
      </c>
      <c r="T131" s="31"/>
    </row>
    <row r="132" spans="1:20" s="33" customFormat="1" ht="46.5" customHeight="1" x14ac:dyDescent="0.25">
      <c r="A132" s="93" t="s">
        <v>346</v>
      </c>
      <c r="B132" s="94"/>
      <c r="C132" s="94"/>
      <c r="D132" s="94"/>
      <c r="E132" s="94"/>
      <c r="F132" s="94"/>
      <c r="G132" s="94"/>
      <c r="H132" s="95"/>
      <c r="J132" s="32"/>
      <c r="K132" s="33">
        <v>8000</v>
      </c>
      <c r="T132" s="31"/>
    </row>
    <row r="133" spans="1:20" s="33" customFormat="1" ht="15.75" customHeight="1" x14ac:dyDescent="0.25">
      <c r="A133" s="91">
        <v>1</v>
      </c>
      <c r="B133" s="92"/>
      <c r="C133" s="38" t="s">
        <v>302</v>
      </c>
      <c r="D133" s="67">
        <f>(188.138)*(10.764)</f>
        <v>2025.117432</v>
      </c>
      <c r="E133" s="67">
        <f t="shared" ref="E133:E149" si="0">0*(10.764)</f>
        <v>0</v>
      </c>
      <c r="F133" s="52">
        <f>D133+(IF(E133&lt;201,E133,IF(E133&lt;301,E133/2,E133/3)))</f>
        <v>2025.117432</v>
      </c>
      <c r="G133" s="53">
        <v>0</v>
      </c>
      <c r="H133" s="52">
        <f>(F133+(IF(G133&lt;101,G133,IF(G133&lt;201,G133/2,IF(G133&lt;=301,G133/3,G133/4)))))*(($H$130)+1)</f>
        <v>3138.9320195999999</v>
      </c>
      <c r="I133" s="32">
        <f>7.25*13.2*2</f>
        <v>191.39999999999998</v>
      </c>
      <c r="J133" s="33">
        <f>50000000/H133</f>
        <v>15928.984663507175</v>
      </c>
      <c r="K133" s="33">
        <f>K$132*H133</f>
        <v>25111456.156799998</v>
      </c>
      <c r="L133" s="194"/>
      <c r="M133" s="194"/>
      <c r="N133" s="32"/>
      <c r="T133" s="31"/>
    </row>
    <row r="134" spans="1:20" s="33" customFormat="1" ht="15.75" customHeight="1" x14ac:dyDescent="0.25">
      <c r="A134" s="91">
        <f>A133+1</f>
        <v>2</v>
      </c>
      <c r="B134" s="92"/>
      <c r="C134" s="59" t="s">
        <v>302</v>
      </c>
      <c r="D134" s="67">
        <f>(138.314)*(10.764)</f>
        <v>1488.8118959999999</v>
      </c>
      <c r="E134" s="67">
        <f t="shared" si="0"/>
        <v>0</v>
      </c>
      <c r="F134" s="52">
        <f t="shared" ref="F134:F149" si="1">D134+(IF(E134&lt;201,E134,IF(E134&lt;301,E134/2,E134/3)))</f>
        <v>1488.8118959999999</v>
      </c>
      <c r="G134" s="46">
        <v>0</v>
      </c>
      <c r="H134" s="52">
        <f t="shared" ref="H134:H149" si="2">(F134+(IF(G134&lt;101,G134,IF(G134&lt;201,G134/2,IF(G134&lt;=301,G134/3,G134/4)))))*(($H$130)+1)</f>
        <v>2307.6584388000001</v>
      </c>
      <c r="I134" s="32">
        <f>5.33*13.2*2</f>
        <v>140.71199999999999</v>
      </c>
      <c r="K134" s="72">
        <f t="shared" ref="K134:K149" si="3">K$132*H134</f>
        <v>18461267.510400001</v>
      </c>
      <c r="L134" s="194"/>
      <c r="M134" s="194"/>
      <c r="N134" s="32"/>
      <c r="T134" s="30"/>
    </row>
    <row r="135" spans="1:20" s="33" customFormat="1" ht="15.75" customHeight="1" x14ac:dyDescent="0.25">
      <c r="A135" s="91">
        <f>A134+1</f>
        <v>3</v>
      </c>
      <c r="B135" s="92"/>
      <c r="C135" s="59" t="s">
        <v>302</v>
      </c>
      <c r="D135" s="67">
        <f>(131.047)*(10.764)</f>
        <v>1410.5899079999999</v>
      </c>
      <c r="E135" s="67">
        <f t="shared" si="0"/>
        <v>0</v>
      </c>
      <c r="F135" s="52">
        <f t="shared" si="1"/>
        <v>1410.5899079999999</v>
      </c>
      <c r="G135" s="46">
        <v>0</v>
      </c>
      <c r="H135" s="52">
        <f t="shared" si="2"/>
        <v>2186.4143574</v>
      </c>
      <c r="I135" s="32"/>
      <c r="K135" s="72">
        <f t="shared" si="3"/>
        <v>17491314.859200001</v>
      </c>
      <c r="L135" s="194"/>
      <c r="M135" s="194"/>
      <c r="N135" s="32"/>
      <c r="T135" s="17"/>
    </row>
    <row r="136" spans="1:20" s="33" customFormat="1" ht="15.75" customHeight="1" x14ac:dyDescent="0.25">
      <c r="A136" s="91">
        <f>A135+1</f>
        <v>4</v>
      </c>
      <c r="B136" s="92"/>
      <c r="C136" s="59" t="s">
        <v>302</v>
      </c>
      <c r="D136" s="67">
        <f>(110.288)*(10.764)</f>
        <v>1187.1400319999998</v>
      </c>
      <c r="E136" s="67">
        <f t="shared" si="0"/>
        <v>0</v>
      </c>
      <c r="F136" s="52">
        <f t="shared" si="1"/>
        <v>1187.1400319999998</v>
      </c>
      <c r="G136" s="46">
        <v>0</v>
      </c>
      <c r="H136" s="52">
        <f t="shared" si="2"/>
        <v>1840.0670495999998</v>
      </c>
      <c r="I136" s="32">
        <f>4.25*11.95</f>
        <v>50.787499999999994</v>
      </c>
      <c r="K136" s="72">
        <f t="shared" si="3"/>
        <v>14720536.396799998</v>
      </c>
      <c r="L136" s="194"/>
      <c r="M136" s="194"/>
      <c r="N136" s="32"/>
      <c r="T136" s="17"/>
    </row>
    <row r="137" spans="1:20" s="61" customFormat="1" ht="15.75" customHeight="1" x14ac:dyDescent="0.25">
      <c r="A137" s="91">
        <f t="shared" ref="A137:A146" si="4">A136+1</f>
        <v>5</v>
      </c>
      <c r="B137" s="92"/>
      <c r="C137" s="59" t="s">
        <v>302</v>
      </c>
      <c r="D137" s="67">
        <f>(131.047)*(10.764)</f>
        <v>1410.5899079999999</v>
      </c>
      <c r="E137" s="67">
        <f t="shared" si="0"/>
        <v>0</v>
      </c>
      <c r="F137" s="59">
        <f t="shared" si="1"/>
        <v>1410.5899079999999</v>
      </c>
      <c r="G137" s="59">
        <v>0</v>
      </c>
      <c r="H137" s="59">
        <f t="shared" si="2"/>
        <v>2186.4143574</v>
      </c>
      <c r="I137" s="32"/>
      <c r="K137" s="72">
        <f t="shared" si="3"/>
        <v>17491314.859200001</v>
      </c>
      <c r="N137" s="32"/>
      <c r="T137" s="17"/>
    </row>
    <row r="138" spans="1:20" s="61" customFormat="1" ht="15.75" customHeight="1" x14ac:dyDescent="0.25">
      <c r="A138" s="91">
        <f t="shared" si="4"/>
        <v>6</v>
      </c>
      <c r="B138" s="92"/>
      <c r="C138" s="59" t="s">
        <v>302</v>
      </c>
      <c r="D138" s="67">
        <f>(138.313)*(10.764)</f>
        <v>1488.8011319999998</v>
      </c>
      <c r="E138" s="67">
        <f t="shared" si="0"/>
        <v>0</v>
      </c>
      <c r="F138" s="59">
        <f t="shared" si="1"/>
        <v>1488.8011319999998</v>
      </c>
      <c r="G138" s="59">
        <v>0</v>
      </c>
      <c r="H138" s="59">
        <f t="shared" si="2"/>
        <v>2307.6417545999998</v>
      </c>
      <c r="I138" s="32"/>
      <c r="K138" s="72">
        <f t="shared" si="3"/>
        <v>18461134.036799997</v>
      </c>
      <c r="N138" s="32"/>
      <c r="T138" s="17"/>
    </row>
    <row r="139" spans="1:20" s="61" customFormat="1" ht="15.75" customHeight="1" x14ac:dyDescent="0.25">
      <c r="A139" s="91">
        <f t="shared" si="4"/>
        <v>7</v>
      </c>
      <c r="B139" s="92"/>
      <c r="C139" s="59" t="s">
        <v>302</v>
      </c>
      <c r="D139" s="67">
        <f>(131.048)*(10.764)</f>
        <v>1410.600672</v>
      </c>
      <c r="E139" s="67">
        <f t="shared" si="0"/>
        <v>0</v>
      </c>
      <c r="F139" s="59">
        <f t="shared" si="1"/>
        <v>1410.600672</v>
      </c>
      <c r="G139" s="59">
        <v>0</v>
      </c>
      <c r="H139" s="59">
        <f t="shared" si="2"/>
        <v>2186.4310416000003</v>
      </c>
      <c r="I139" s="32"/>
      <c r="K139" s="72">
        <f t="shared" si="3"/>
        <v>17491448.332800001</v>
      </c>
      <c r="N139" s="32"/>
      <c r="T139" s="17"/>
    </row>
    <row r="140" spans="1:20" s="61" customFormat="1" ht="15.75" customHeight="1" x14ac:dyDescent="0.25">
      <c r="A140" s="91">
        <f t="shared" si="4"/>
        <v>8</v>
      </c>
      <c r="B140" s="92"/>
      <c r="C140" s="59" t="s">
        <v>302</v>
      </c>
      <c r="D140" s="67">
        <f>(110.288)*(10.764)</f>
        <v>1187.1400319999998</v>
      </c>
      <c r="E140" s="67">
        <f t="shared" si="0"/>
        <v>0</v>
      </c>
      <c r="F140" s="59">
        <f t="shared" si="1"/>
        <v>1187.1400319999998</v>
      </c>
      <c r="G140" s="59">
        <v>0</v>
      </c>
      <c r="H140" s="59">
        <f t="shared" si="2"/>
        <v>1840.0670495999998</v>
      </c>
      <c r="I140" s="32"/>
      <c r="K140" s="72">
        <f t="shared" si="3"/>
        <v>14720536.396799998</v>
      </c>
      <c r="N140" s="32"/>
      <c r="T140" s="17"/>
    </row>
    <row r="141" spans="1:20" s="61" customFormat="1" ht="15.75" customHeight="1" x14ac:dyDescent="0.25">
      <c r="A141" s="91">
        <f t="shared" si="4"/>
        <v>9</v>
      </c>
      <c r="B141" s="92"/>
      <c r="C141" s="59" t="s">
        <v>302</v>
      </c>
      <c r="D141" s="67">
        <f>(131.048)*(10.764)</f>
        <v>1410.600672</v>
      </c>
      <c r="E141" s="67">
        <f t="shared" si="0"/>
        <v>0</v>
      </c>
      <c r="F141" s="59">
        <f t="shared" si="1"/>
        <v>1410.600672</v>
      </c>
      <c r="G141" s="59">
        <v>0</v>
      </c>
      <c r="H141" s="59">
        <f t="shared" si="2"/>
        <v>2186.4310416000003</v>
      </c>
      <c r="I141" s="32"/>
      <c r="K141" s="72">
        <f t="shared" si="3"/>
        <v>17491448.332800001</v>
      </c>
      <c r="N141" s="32"/>
      <c r="T141" s="17"/>
    </row>
    <row r="142" spans="1:20" s="61" customFormat="1" ht="15.75" customHeight="1" x14ac:dyDescent="0.25">
      <c r="A142" s="91">
        <f t="shared" si="4"/>
        <v>10</v>
      </c>
      <c r="B142" s="92"/>
      <c r="C142" s="59" t="s">
        <v>302</v>
      </c>
      <c r="D142" s="67">
        <f>(138.314)*(10.764)</f>
        <v>1488.8118959999999</v>
      </c>
      <c r="E142" s="67">
        <f t="shared" si="0"/>
        <v>0</v>
      </c>
      <c r="F142" s="59">
        <f t="shared" si="1"/>
        <v>1488.8118959999999</v>
      </c>
      <c r="G142" s="59">
        <v>0</v>
      </c>
      <c r="H142" s="59">
        <f t="shared" si="2"/>
        <v>2307.6584388000001</v>
      </c>
      <c r="I142" s="32"/>
      <c r="K142" s="72">
        <f t="shared" si="3"/>
        <v>18461267.510400001</v>
      </c>
      <c r="N142" s="32"/>
      <c r="T142" s="17"/>
    </row>
    <row r="143" spans="1:20" s="61" customFormat="1" ht="15.75" customHeight="1" x14ac:dyDescent="0.25">
      <c r="A143" s="91">
        <f t="shared" si="4"/>
        <v>11</v>
      </c>
      <c r="B143" s="92"/>
      <c r="C143" s="59" t="s">
        <v>302</v>
      </c>
      <c r="D143" s="67">
        <f>(131.047)*(10.764)</f>
        <v>1410.5899079999999</v>
      </c>
      <c r="E143" s="67">
        <f t="shared" si="0"/>
        <v>0</v>
      </c>
      <c r="F143" s="59">
        <f t="shared" si="1"/>
        <v>1410.5899079999999</v>
      </c>
      <c r="G143" s="59">
        <v>0</v>
      </c>
      <c r="H143" s="59">
        <f t="shared" si="2"/>
        <v>2186.4143574</v>
      </c>
      <c r="I143" s="32"/>
      <c r="K143" s="72">
        <f t="shared" si="3"/>
        <v>17491314.859200001</v>
      </c>
      <c r="N143" s="32"/>
      <c r="T143" s="17"/>
    </row>
    <row r="144" spans="1:20" s="61" customFormat="1" ht="15.75" customHeight="1" x14ac:dyDescent="0.25">
      <c r="A144" s="91">
        <f t="shared" si="4"/>
        <v>12</v>
      </c>
      <c r="B144" s="92"/>
      <c r="C144" s="59" t="s">
        <v>302</v>
      </c>
      <c r="D144" s="67">
        <f>(110.287)*(10.764)</f>
        <v>1187.1292679999999</v>
      </c>
      <c r="E144" s="67">
        <f t="shared" si="0"/>
        <v>0</v>
      </c>
      <c r="F144" s="59">
        <f t="shared" si="1"/>
        <v>1187.1292679999999</v>
      </c>
      <c r="G144" s="59">
        <v>0</v>
      </c>
      <c r="H144" s="59">
        <f t="shared" si="2"/>
        <v>1840.0503653999999</v>
      </c>
      <c r="I144" s="32"/>
      <c r="K144" s="72">
        <f t="shared" si="3"/>
        <v>14720402.9232</v>
      </c>
      <c r="N144" s="32"/>
      <c r="T144" s="17"/>
    </row>
    <row r="145" spans="1:20" s="61" customFormat="1" ht="15.75" customHeight="1" x14ac:dyDescent="0.25">
      <c r="A145" s="91">
        <f t="shared" si="4"/>
        <v>13</v>
      </c>
      <c r="B145" s="92"/>
      <c r="C145" s="59" t="s">
        <v>302</v>
      </c>
      <c r="D145" s="67">
        <f>(131.047)*(10.764)</f>
        <v>1410.5899079999999</v>
      </c>
      <c r="E145" s="67">
        <f t="shared" si="0"/>
        <v>0</v>
      </c>
      <c r="F145" s="59">
        <f t="shared" si="1"/>
        <v>1410.5899079999999</v>
      </c>
      <c r="G145" s="59">
        <v>0</v>
      </c>
      <c r="H145" s="59">
        <f t="shared" si="2"/>
        <v>2186.4143574</v>
      </c>
      <c r="I145" s="32"/>
      <c r="K145" s="72">
        <f t="shared" si="3"/>
        <v>17491314.859200001</v>
      </c>
      <c r="N145" s="32"/>
      <c r="T145" s="17"/>
    </row>
    <row r="146" spans="1:20" s="61" customFormat="1" ht="15.75" customHeight="1" x14ac:dyDescent="0.25">
      <c r="A146" s="91">
        <f t="shared" si="4"/>
        <v>14</v>
      </c>
      <c r="B146" s="92"/>
      <c r="C146" s="59" t="s">
        <v>302</v>
      </c>
      <c r="D146" s="67">
        <f>(138.314)*(10.764)</f>
        <v>1488.8118959999999</v>
      </c>
      <c r="E146" s="67">
        <f t="shared" si="0"/>
        <v>0</v>
      </c>
      <c r="F146" s="59">
        <f t="shared" si="1"/>
        <v>1488.8118959999999</v>
      </c>
      <c r="G146" s="59">
        <v>0</v>
      </c>
      <c r="H146" s="59">
        <f t="shared" si="2"/>
        <v>2307.6584388000001</v>
      </c>
      <c r="I146" s="32"/>
      <c r="K146" s="72">
        <f t="shared" si="3"/>
        <v>18461267.510400001</v>
      </c>
      <c r="N146" s="32"/>
      <c r="T146" s="17"/>
    </row>
    <row r="147" spans="1:20" s="61" customFormat="1" ht="15.75" customHeight="1" x14ac:dyDescent="0.25">
      <c r="A147" s="91">
        <f>A146+1</f>
        <v>15</v>
      </c>
      <c r="B147" s="92"/>
      <c r="C147" s="59" t="s">
        <v>302</v>
      </c>
      <c r="D147" s="67">
        <f>(131.048)*(10.764)</f>
        <v>1410.600672</v>
      </c>
      <c r="E147" s="67">
        <f t="shared" si="0"/>
        <v>0</v>
      </c>
      <c r="F147" s="59">
        <f t="shared" si="1"/>
        <v>1410.600672</v>
      </c>
      <c r="G147" s="59">
        <v>0</v>
      </c>
      <c r="H147" s="59">
        <f t="shared" si="2"/>
        <v>2186.4310416000003</v>
      </c>
      <c r="I147" s="32"/>
      <c r="K147" s="72">
        <f t="shared" si="3"/>
        <v>17491448.332800001</v>
      </c>
      <c r="N147" s="32"/>
      <c r="T147" s="17"/>
    </row>
    <row r="148" spans="1:20" s="61" customFormat="1" ht="15.75" customHeight="1" x14ac:dyDescent="0.25">
      <c r="A148" s="91">
        <f t="shared" ref="A148:A149" si="5">A147+1</f>
        <v>16</v>
      </c>
      <c r="B148" s="92"/>
      <c r="C148" s="59" t="s">
        <v>302</v>
      </c>
      <c r="D148" s="67">
        <f>(124.3)*(10.764)</f>
        <v>1337.9651999999999</v>
      </c>
      <c r="E148" s="67">
        <f t="shared" si="0"/>
        <v>0</v>
      </c>
      <c r="F148" s="59">
        <f t="shared" si="1"/>
        <v>1337.9651999999999</v>
      </c>
      <c r="G148" s="59">
        <v>0</v>
      </c>
      <c r="H148" s="59">
        <f t="shared" si="2"/>
        <v>2073.8460599999999</v>
      </c>
      <c r="I148" s="32"/>
      <c r="K148" s="72">
        <f t="shared" si="3"/>
        <v>16590768.479999999</v>
      </c>
      <c r="N148" s="32"/>
      <c r="T148" s="17"/>
    </row>
    <row r="149" spans="1:20" s="61" customFormat="1" ht="15.75" customHeight="1" x14ac:dyDescent="0.25">
      <c r="A149" s="91">
        <f t="shared" si="5"/>
        <v>17</v>
      </c>
      <c r="B149" s="92"/>
      <c r="C149" s="59" t="s">
        <v>302</v>
      </c>
      <c r="D149" s="67">
        <f>(188.138)*(10.764)</f>
        <v>2025.117432</v>
      </c>
      <c r="E149" s="67">
        <f t="shared" si="0"/>
        <v>0</v>
      </c>
      <c r="F149" s="59">
        <f t="shared" si="1"/>
        <v>2025.117432</v>
      </c>
      <c r="G149" s="59">
        <v>0</v>
      </c>
      <c r="H149" s="59">
        <f t="shared" si="2"/>
        <v>3138.9320195999999</v>
      </c>
      <c r="I149" s="32"/>
      <c r="K149" s="72">
        <f t="shared" si="3"/>
        <v>25111456.156799998</v>
      </c>
      <c r="N149" s="32"/>
      <c r="T149" s="17"/>
    </row>
    <row r="150" spans="1:20" s="33" customFormat="1" x14ac:dyDescent="0.25">
      <c r="A150" s="91"/>
      <c r="B150" s="97"/>
      <c r="C150" s="97"/>
      <c r="D150" s="97"/>
      <c r="E150" s="97"/>
      <c r="F150" s="97"/>
      <c r="G150" s="97"/>
      <c r="H150" s="92"/>
      <c r="I150" s="32"/>
      <c r="N150" s="32"/>
    </row>
    <row r="151" spans="1:20" ht="47.25" customHeight="1" x14ac:dyDescent="0.25">
      <c r="A151" s="141" t="s">
        <v>113</v>
      </c>
      <c r="B151" s="167" t="s">
        <v>168</v>
      </c>
      <c r="C151" s="167" t="s">
        <v>55</v>
      </c>
      <c r="D151" s="143" t="s">
        <v>223</v>
      </c>
      <c r="E151" s="143" t="s">
        <v>222</v>
      </c>
      <c r="F151" s="143" t="s">
        <v>56</v>
      </c>
      <c r="G151" s="195" t="s">
        <v>57</v>
      </c>
      <c r="H151" s="74" t="s">
        <v>141</v>
      </c>
      <c r="I151" s="32"/>
      <c r="T151" s="33"/>
    </row>
    <row r="152" spans="1:20" s="33" customFormat="1" x14ac:dyDescent="0.25">
      <c r="A152" s="142"/>
      <c r="B152" s="168"/>
      <c r="C152" s="168"/>
      <c r="D152" s="144"/>
      <c r="E152" s="144"/>
      <c r="F152" s="144"/>
      <c r="G152" s="196"/>
      <c r="H152" s="75">
        <v>0.5</v>
      </c>
      <c r="I152" s="32"/>
    </row>
    <row r="153" spans="1:20" s="61" customFormat="1" x14ac:dyDescent="0.25">
      <c r="A153" s="153" t="s">
        <v>304</v>
      </c>
      <c r="B153" s="153"/>
      <c r="C153" s="153"/>
      <c r="D153" s="153"/>
      <c r="E153" s="153"/>
      <c r="F153" s="153"/>
      <c r="G153" s="153"/>
      <c r="H153" s="153"/>
      <c r="I153" s="32"/>
    </row>
    <row r="154" spans="1:20" s="33" customFormat="1" x14ac:dyDescent="0.25">
      <c r="A154" s="164" t="s">
        <v>305</v>
      </c>
      <c r="B154" s="164"/>
      <c r="C154" s="164"/>
      <c r="D154" s="164"/>
      <c r="E154" s="164"/>
      <c r="F154" s="164"/>
      <c r="G154" s="164"/>
      <c r="H154" s="164"/>
      <c r="I154" s="32"/>
      <c r="L154" s="194"/>
      <c r="M154" s="194"/>
    </row>
    <row r="155" spans="1:20" s="33" customFormat="1" x14ac:dyDescent="0.25">
      <c r="A155" s="96">
        <v>1</v>
      </c>
      <c r="B155" s="96"/>
      <c r="C155" s="77" t="s">
        <v>306</v>
      </c>
      <c r="D155" s="67">
        <f>(29.835)*(10.764)</f>
        <v>321.14393999999999</v>
      </c>
      <c r="E155" s="67">
        <f t="shared" ref="E155:E166" si="6">0*(10.764)</f>
        <v>0</v>
      </c>
      <c r="F155" s="77">
        <f>D155+E155</f>
        <v>321.14393999999999</v>
      </c>
      <c r="G155" s="68">
        <v>0</v>
      </c>
      <c r="H155" s="77">
        <f>F155*(($H$152)+1)+(IF(G155&lt;101,G155,IF(G155&lt;201,G155/2,IF(G155&lt;=301,G155/3,G155/4))))</f>
        <v>481.71591000000001</v>
      </c>
      <c r="I155" s="32">
        <f>(3.95*2.75+2.07*2.1+2.75*2.2+1.75*1.1+1.1*1.6+0.9*1.2+3.015*1)</f>
        <v>29.039500000000004</v>
      </c>
      <c r="J155" s="33">
        <f>568/F155</f>
        <v>1.7686773102428774</v>
      </c>
      <c r="N155" s="32"/>
    </row>
    <row r="156" spans="1:20" s="33" customFormat="1" x14ac:dyDescent="0.25">
      <c r="A156" s="91">
        <f>A155+1</f>
        <v>2</v>
      </c>
      <c r="B156" s="92"/>
      <c r="C156" s="77" t="s">
        <v>306</v>
      </c>
      <c r="D156" s="67">
        <f>(29.835)*(10.764)</f>
        <v>321.14393999999999</v>
      </c>
      <c r="E156" s="67">
        <f t="shared" si="6"/>
        <v>0</v>
      </c>
      <c r="F156" s="77">
        <f>D156+E156</f>
        <v>321.14393999999999</v>
      </c>
      <c r="G156" s="77">
        <v>0</v>
      </c>
      <c r="H156" s="77">
        <f>F156*(($H$152)+1)+(IF(G156&lt;101,G156,IF(G156&lt;201,G156/2,IF(G156&lt;=301,G156/3,G156/4))))</f>
        <v>481.71591000000001</v>
      </c>
      <c r="I156" s="32"/>
      <c r="J156" s="72">
        <f t="shared" ref="J156:J166" si="7">568/F156</f>
        <v>1.7686773102428774</v>
      </c>
      <c r="N156" s="32"/>
    </row>
    <row r="157" spans="1:20" s="33" customFormat="1" x14ac:dyDescent="0.25">
      <c r="A157" s="91">
        <f>A156+1</f>
        <v>3</v>
      </c>
      <c r="B157" s="92"/>
      <c r="C157" s="77" t="s">
        <v>306</v>
      </c>
      <c r="D157" s="67">
        <f>(29.835)*(10.764)</f>
        <v>321.14393999999999</v>
      </c>
      <c r="E157" s="67">
        <f t="shared" si="6"/>
        <v>0</v>
      </c>
      <c r="F157" s="77">
        <f>D157+E157</f>
        <v>321.14393999999999</v>
      </c>
      <c r="G157" s="77">
        <v>0</v>
      </c>
      <c r="H157" s="77">
        <f>F157*(($H$152)+1)+(IF(G157&lt;101,G157,IF(G157&lt;201,G157/2,IF(G157&lt;=301,G157/3,G157/4))))</f>
        <v>481.71591000000001</v>
      </c>
      <c r="I157" s="32">
        <f>F158*1.5+511/4</f>
        <v>860.1325599999999</v>
      </c>
      <c r="J157" s="72">
        <f t="shared" si="7"/>
        <v>1.7686773102428774</v>
      </c>
      <c r="N157" s="32"/>
    </row>
    <row r="158" spans="1:20" s="33" customFormat="1" x14ac:dyDescent="0.25">
      <c r="A158" s="91">
        <f>A157+1</f>
        <v>4</v>
      </c>
      <c r="B158" s="92"/>
      <c r="C158" s="77" t="s">
        <v>307</v>
      </c>
      <c r="D158" s="67">
        <f t="shared" ref="D158:D162" si="8">(45.36)*(10.764)</f>
        <v>488.25503999999995</v>
      </c>
      <c r="E158" s="67">
        <f t="shared" si="6"/>
        <v>0</v>
      </c>
      <c r="F158" s="77">
        <f>D158+E158</f>
        <v>488.25503999999995</v>
      </c>
      <c r="G158" s="67">
        <f>((10.14*2.85+2.125*3.45+2.665*3.45+2.25*0.9))*(10.764)</f>
        <v>510.74641799999989</v>
      </c>
      <c r="H158" s="77">
        <f>F158*(($H$152)+1)+(IF(G158&lt;101,G158,IF(G158&lt;201,G158/2,IF(G158&lt;=301,G158/3,G158/4))))</f>
        <v>860.06916449999983</v>
      </c>
      <c r="I158" s="32">
        <f>((7.34*3.85+1.425*1.65+10.14*2.85+2.125*3.45+2.665*3.45+2.25*0.9))*(10.764)</f>
        <v>840.23514900000009</v>
      </c>
      <c r="J158" s="72">
        <f>(1604)/(F158+G158/4)</f>
        <v>2.6041428020377997</v>
      </c>
      <c r="N158" s="32"/>
    </row>
    <row r="159" spans="1:20" s="33" customFormat="1" x14ac:dyDescent="0.25">
      <c r="A159" s="91">
        <f>A158+1</f>
        <v>5</v>
      </c>
      <c r="B159" s="92"/>
      <c r="C159" s="77" t="s">
        <v>307</v>
      </c>
      <c r="D159" s="67">
        <f t="shared" si="8"/>
        <v>488.25503999999995</v>
      </c>
      <c r="E159" s="67">
        <f t="shared" si="6"/>
        <v>0</v>
      </c>
      <c r="F159" s="77">
        <f t="shared" ref="F159:F166" si="9">D159+E159</f>
        <v>488.25503999999995</v>
      </c>
      <c r="G159" s="67">
        <f>(10.14*2.85+2.25*0.9+2.665*3.45+2.125*3.45)*(10.764)</f>
        <v>510.74641799999995</v>
      </c>
      <c r="H159" s="77">
        <f t="shared" ref="H159:H166" si="10">F159*(($H$152)+1)+(IF(G159&lt;101,G159,IF(G159&lt;201,G159/2,IF(G159&lt;=301,G159/3,G159/4))))</f>
        <v>860.06916449999994</v>
      </c>
      <c r="I159" s="32">
        <f>1604/488+511/4</f>
        <v>131.03688524590163</v>
      </c>
      <c r="J159" s="72">
        <f t="shared" ref="J159:J163" si="11">(1604)/(F159+G159/4)</f>
        <v>2.6041428020377997</v>
      </c>
      <c r="N159" s="32"/>
    </row>
    <row r="160" spans="1:20" s="61" customFormat="1" x14ac:dyDescent="0.25">
      <c r="A160" s="91">
        <f t="shared" ref="A160:A163" si="12">A159+1</f>
        <v>6</v>
      </c>
      <c r="B160" s="92"/>
      <c r="C160" s="77" t="s">
        <v>307</v>
      </c>
      <c r="D160" s="67">
        <f t="shared" si="8"/>
        <v>488.25503999999995</v>
      </c>
      <c r="E160" s="67">
        <f t="shared" si="6"/>
        <v>0</v>
      </c>
      <c r="F160" s="77">
        <f t="shared" si="9"/>
        <v>488.25503999999995</v>
      </c>
      <c r="G160" s="67">
        <f>((10.14*2.85+2.665*3.45+2.125*3.45+2.05*0.9))*(10.764)</f>
        <v>508.80889799999989</v>
      </c>
      <c r="H160" s="77">
        <f t="shared" si="10"/>
        <v>859.58478449999984</v>
      </c>
      <c r="I160" s="32">
        <f>(4.89*2.75+2.1*2.45+2.75*3.35+3.65*2.75+1.2*2+1.25*1.75+0.8*1.25)</f>
        <v>43.43</v>
      </c>
      <c r="J160" s="72">
        <f t="shared" si="11"/>
        <v>2.6061923264535616</v>
      </c>
      <c r="N160" s="32"/>
    </row>
    <row r="161" spans="1:14" s="61" customFormat="1" x14ac:dyDescent="0.25">
      <c r="A161" s="91">
        <f t="shared" si="12"/>
        <v>7</v>
      </c>
      <c r="B161" s="92"/>
      <c r="C161" s="77" t="s">
        <v>307</v>
      </c>
      <c r="D161" s="67">
        <f t="shared" si="8"/>
        <v>488.25503999999995</v>
      </c>
      <c r="E161" s="67">
        <f t="shared" si="6"/>
        <v>0</v>
      </c>
      <c r="F161" s="77">
        <f t="shared" si="9"/>
        <v>488.25503999999995</v>
      </c>
      <c r="G161" s="67">
        <f>((10.14*2.85+2.125*3.45+2.665*3.45+2.05*0.9))*(10.764)</f>
        <v>508.80889799999989</v>
      </c>
      <c r="H161" s="77">
        <f t="shared" si="10"/>
        <v>859.58478449999984</v>
      </c>
      <c r="I161" s="32"/>
      <c r="J161" s="72">
        <f t="shared" si="11"/>
        <v>2.6061923264535616</v>
      </c>
      <c r="N161" s="32"/>
    </row>
    <row r="162" spans="1:14" s="61" customFormat="1" x14ac:dyDescent="0.25">
      <c r="A162" s="91">
        <f t="shared" si="12"/>
        <v>8</v>
      </c>
      <c r="B162" s="92"/>
      <c r="C162" s="59" t="s">
        <v>307</v>
      </c>
      <c r="D162" s="67">
        <f t="shared" si="8"/>
        <v>488.25503999999995</v>
      </c>
      <c r="E162" s="67">
        <f t="shared" si="6"/>
        <v>0</v>
      </c>
      <c r="F162" s="59">
        <f t="shared" si="9"/>
        <v>488.25503999999995</v>
      </c>
      <c r="G162" s="67">
        <f>(10.14*2.85+2.665*3.45+2.125*3.45+2.05*0.9)*(10.764)</f>
        <v>508.80889799999989</v>
      </c>
      <c r="H162" s="59">
        <f t="shared" si="10"/>
        <v>859.58478449999984</v>
      </c>
      <c r="I162" s="32"/>
      <c r="J162" s="72">
        <f t="shared" si="11"/>
        <v>2.6061923264535616</v>
      </c>
      <c r="N162" s="32"/>
    </row>
    <row r="163" spans="1:14" s="61" customFormat="1" x14ac:dyDescent="0.25">
      <c r="A163" s="91">
        <f t="shared" si="12"/>
        <v>9</v>
      </c>
      <c r="B163" s="92"/>
      <c r="C163" s="59" t="s">
        <v>307</v>
      </c>
      <c r="D163" s="67">
        <f>(45.3)*(10.764)</f>
        <v>487.60919999999993</v>
      </c>
      <c r="E163" s="67">
        <f t="shared" si="6"/>
        <v>0</v>
      </c>
      <c r="F163" s="59">
        <f t="shared" si="9"/>
        <v>487.60919999999993</v>
      </c>
      <c r="G163" s="67">
        <f>((10.295*2.85+2.25*3.45+2.665*3.45+2.05*0.9))*(10.764)</f>
        <v>518.20587</v>
      </c>
      <c r="H163" s="59">
        <f t="shared" si="10"/>
        <v>860.96526749999998</v>
      </c>
      <c r="I163" s="32"/>
      <c r="J163" s="72">
        <f t="shared" si="11"/>
        <v>2.5989990685853295</v>
      </c>
      <c r="N163" s="32"/>
    </row>
    <row r="164" spans="1:14" s="61" customFormat="1" x14ac:dyDescent="0.25">
      <c r="A164" s="91">
        <f>A163+1</f>
        <v>10</v>
      </c>
      <c r="B164" s="92"/>
      <c r="C164" s="60" t="s">
        <v>306</v>
      </c>
      <c r="D164" s="67">
        <f>(29.835)*(10.764)</f>
        <v>321.14393999999999</v>
      </c>
      <c r="E164" s="67">
        <f t="shared" si="6"/>
        <v>0</v>
      </c>
      <c r="F164" s="59">
        <f t="shared" si="9"/>
        <v>321.14393999999999</v>
      </c>
      <c r="G164" s="59">
        <v>0</v>
      </c>
      <c r="H164" s="59">
        <f t="shared" si="10"/>
        <v>481.71591000000001</v>
      </c>
      <c r="I164" s="32"/>
      <c r="J164" s="72">
        <f t="shared" si="7"/>
        <v>1.7686773102428774</v>
      </c>
      <c r="N164" s="32"/>
    </row>
    <row r="165" spans="1:14" s="61" customFormat="1" x14ac:dyDescent="0.25">
      <c r="A165" s="91">
        <f t="shared" ref="A165" si="13">A164+1</f>
        <v>11</v>
      </c>
      <c r="B165" s="92"/>
      <c r="C165" s="60" t="s">
        <v>306</v>
      </c>
      <c r="D165" s="67">
        <f>(29.835)*(10.764)</f>
        <v>321.14393999999999</v>
      </c>
      <c r="E165" s="67">
        <f t="shared" si="6"/>
        <v>0</v>
      </c>
      <c r="F165" s="59">
        <f t="shared" si="9"/>
        <v>321.14393999999999</v>
      </c>
      <c r="G165" s="59">
        <v>0</v>
      </c>
      <c r="H165" s="59">
        <f t="shared" si="10"/>
        <v>481.71591000000001</v>
      </c>
      <c r="I165" s="32"/>
      <c r="J165" s="72">
        <f t="shared" si="7"/>
        <v>1.7686773102428774</v>
      </c>
      <c r="N165" s="32"/>
    </row>
    <row r="166" spans="1:14" s="61" customFormat="1" x14ac:dyDescent="0.25">
      <c r="A166" s="91">
        <f t="shared" ref="A166" si="14">A165+1</f>
        <v>12</v>
      </c>
      <c r="B166" s="92"/>
      <c r="C166" s="60" t="s">
        <v>306</v>
      </c>
      <c r="D166" s="67">
        <f>(29.835)*(10.764)</f>
        <v>321.14393999999999</v>
      </c>
      <c r="E166" s="67">
        <f t="shared" si="6"/>
        <v>0</v>
      </c>
      <c r="F166" s="59">
        <f t="shared" si="9"/>
        <v>321.14393999999999</v>
      </c>
      <c r="G166" s="59">
        <v>0</v>
      </c>
      <c r="H166" s="59">
        <f t="shared" si="10"/>
        <v>481.71591000000001</v>
      </c>
      <c r="I166" s="32"/>
      <c r="J166" s="72">
        <f t="shared" si="7"/>
        <v>1.7686773102428774</v>
      </c>
      <c r="N166" s="32"/>
    </row>
    <row r="167" spans="1:14" s="61" customFormat="1" x14ac:dyDescent="0.25">
      <c r="A167" s="93" t="s">
        <v>311</v>
      </c>
      <c r="B167" s="94"/>
      <c r="C167" s="94"/>
      <c r="D167" s="94"/>
      <c r="E167" s="94"/>
      <c r="F167" s="94"/>
      <c r="G167" s="94"/>
      <c r="H167" s="95"/>
      <c r="I167" s="32"/>
      <c r="N167" s="32"/>
    </row>
    <row r="168" spans="1:14" s="61" customFormat="1" ht="15.75" customHeight="1" x14ac:dyDescent="0.25">
      <c r="A168" s="96">
        <v>1</v>
      </c>
      <c r="B168" s="96"/>
      <c r="C168" s="59" t="s">
        <v>306</v>
      </c>
      <c r="D168" s="67">
        <f>(29.835)*(10.764)</f>
        <v>321.14393999999999</v>
      </c>
      <c r="E168" s="67">
        <f>0*(10.764)</f>
        <v>0</v>
      </c>
      <c r="F168" s="59">
        <f>D168+E168</f>
        <v>321.14393999999999</v>
      </c>
      <c r="G168" s="59">
        <v>0</v>
      </c>
      <c r="H168" s="59">
        <f>F168*(($H$152)+1)+(IF(G168&lt;101,G168,IF(G168&lt;201,G168/2,IF(G168&lt;=301,G168/3,G168/4))))</f>
        <v>481.71591000000001</v>
      </c>
      <c r="I168" s="32">
        <f>3.95*2.75+2.07*2.1+2.75*2.2+3.015*1+1.75*1.1+1.1*1.6+0.9*1.1</f>
        <v>28.949500000000004</v>
      </c>
      <c r="J168" s="61">
        <f>568/F168</f>
        <v>1.7686773102428774</v>
      </c>
      <c r="N168" s="32"/>
    </row>
    <row r="169" spans="1:14" s="61" customFormat="1" ht="15.75" customHeight="1" x14ac:dyDescent="0.25">
      <c r="A169" s="91">
        <f>A168+1</f>
        <v>2</v>
      </c>
      <c r="B169" s="92"/>
      <c r="C169" s="59" t="s">
        <v>306</v>
      </c>
      <c r="D169" s="67">
        <f>(29.835)*(10.764)</f>
        <v>321.14393999999999</v>
      </c>
      <c r="E169" s="67">
        <f>0*(10.764)</f>
        <v>0</v>
      </c>
      <c r="F169" s="59">
        <f>D169+E169</f>
        <v>321.14393999999999</v>
      </c>
      <c r="G169" s="59">
        <v>0</v>
      </c>
      <c r="H169" s="58">
        <f>F169*(($H$152)+1)+(IF(G169&lt;101,G169,IF(G169&lt;201,G169/2,IF(G169&lt;=301,G169/3,G169/4))))</f>
        <v>481.71591000000001</v>
      </c>
      <c r="I169" s="66">
        <f>(3.95*2.75+2.07*2.1+2.75*2.2+1.75*1.1+1.1*1.6+0.8*1.8+3.015*1)</f>
        <v>29.399500000000007</v>
      </c>
      <c r="N169" s="32"/>
    </row>
    <row r="170" spans="1:14" s="61" customFormat="1" ht="15.75" customHeight="1" x14ac:dyDescent="0.25">
      <c r="A170" s="91">
        <f>A169+1</f>
        <v>3</v>
      </c>
      <c r="B170" s="92"/>
      <c r="C170" s="59" t="s">
        <v>306</v>
      </c>
      <c r="D170" s="67">
        <f>(29.835)*(10.764)</f>
        <v>321.14393999999999</v>
      </c>
      <c r="E170" s="67">
        <f>0*(10.764)</f>
        <v>0</v>
      </c>
      <c r="F170" s="59">
        <f>D170+E170</f>
        <v>321.14393999999999</v>
      </c>
      <c r="G170" s="59">
        <v>0</v>
      </c>
      <c r="H170" s="59">
        <f>F170*(($H$152)+1)+(IF(G170&lt;101,G170,IF(G170&lt;201,G170/2,IF(G170&lt;=301,G170/3,G170/4))))</f>
        <v>481.71591000000001</v>
      </c>
      <c r="I170" s="32"/>
      <c r="N170" s="32"/>
    </row>
    <row r="171" spans="1:14" s="61" customFormat="1" ht="15.75" customHeight="1" x14ac:dyDescent="0.25">
      <c r="A171" s="91">
        <f>A170+1</f>
        <v>4</v>
      </c>
      <c r="B171" s="92"/>
      <c r="C171" s="59" t="s">
        <v>307</v>
      </c>
      <c r="D171" s="67">
        <f>(45.803)*(10.764)</f>
        <v>493.02349199999992</v>
      </c>
      <c r="E171" s="67">
        <f t="shared" ref="E171:E176" si="15">(2.05)*(10.764)</f>
        <v>22.066199999999998</v>
      </c>
      <c r="F171" s="59">
        <f>D171+E171</f>
        <v>515.0896919999999</v>
      </c>
      <c r="G171" s="59">
        <v>0</v>
      </c>
      <c r="H171" s="59">
        <f>F171*(($H$152)+1)+(IF(G171&lt;101,G171,IF(G171&lt;201,G171/2,IF(G171&lt;=301,G171/3,G171/4))))</f>
        <v>772.63453799999979</v>
      </c>
      <c r="I171" s="32"/>
      <c r="J171" s="61">
        <f>1604/F171</f>
        <v>3.1140207713572345</v>
      </c>
      <c r="N171" s="32"/>
    </row>
    <row r="172" spans="1:14" s="61" customFormat="1" ht="15.75" customHeight="1" x14ac:dyDescent="0.25">
      <c r="A172" s="91">
        <f>A171+1</f>
        <v>5</v>
      </c>
      <c r="B172" s="92"/>
      <c r="C172" s="59" t="s">
        <v>307</v>
      </c>
      <c r="D172" s="67">
        <f>(45.803)*(10.764)</f>
        <v>493.02349199999992</v>
      </c>
      <c r="E172" s="67">
        <f t="shared" si="15"/>
        <v>22.066199999999998</v>
      </c>
      <c r="F172" s="71">
        <f>D172+E172</f>
        <v>515.0896919999999</v>
      </c>
      <c r="G172" s="59">
        <v>0</v>
      </c>
      <c r="H172" s="58">
        <f t="shared" ref="H172:H179" si="16">F172*(($H$152)+1)+(IF(G172&lt;101,G172,IF(G172&lt;201,G172/2,IF(G172&lt;=301,G172/3,G172/4))))</f>
        <v>772.63453799999979</v>
      </c>
      <c r="I172" s="66">
        <f>(4.89*2.75+2.1*2.45+2.75*3.35+3.65*2.75+1.25*1.75+1.2*2.1+0.8*1.3)</f>
        <v>43.59</v>
      </c>
      <c r="N172" s="32"/>
    </row>
    <row r="173" spans="1:14" s="61" customFormat="1" ht="15.75" customHeight="1" x14ac:dyDescent="0.25">
      <c r="A173" s="91">
        <f t="shared" ref="A173:A176" si="17">A172+1</f>
        <v>6</v>
      </c>
      <c r="B173" s="92"/>
      <c r="C173" s="59" t="s">
        <v>307</v>
      </c>
      <c r="D173" s="67">
        <f>(45.803)*(10.764)</f>
        <v>493.02349199999992</v>
      </c>
      <c r="E173" s="67">
        <f t="shared" si="15"/>
        <v>22.066199999999998</v>
      </c>
      <c r="F173" s="59">
        <f t="shared" ref="F173:F179" si="18">D173+E173</f>
        <v>515.0896919999999</v>
      </c>
      <c r="G173" s="59">
        <v>0</v>
      </c>
      <c r="H173" s="59">
        <f t="shared" si="16"/>
        <v>772.63453799999979</v>
      </c>
      <c r="I173" s="32"/>
      <c r="N173" s="32"/>
    </row>
    <row r="174" spans="1:14" s="61" customFormat="1" ht="15.75" customHeight="1" x14ac:dyDescent="0.25">
      <c r="A174" s="91">
        <f t="shared" si="17"/>
        <v>7</v>
      </c>
      <c r="B174" s="92"/>
      <c r="C174" s="59" t="s">
        <v>307</v>
      </c>
      <c r="D174" s="67">
        <f>(45.803)*(10.764)</f>
        <v>493.02349199999992</v>
      </c>
      <c r="E174" s="67">
        <f t="shared" si="15"/>
        <v>22.066199999999998</v>
      </c>
      <c r="F174" s="59">
        <f t="shared" si="18"/>
        <v>515.0896919999999</v>
      </c>
      <c r="G174" s="59">
        <v>0</v>
      </c>
      <c r="H174" s="59">
        <f t="shared" si="16"/>
        <v>772.63453799999979</v>
      </c>
      <c r="I174" s="32"/>
      <c r="N174" s="32"/>
    </row>
    <row r="175" spans="1:14" s="61" customFormat="1" ht="15.75" customHeight="1" x14ac:dyDescent="0.25">
      <c r="A175" s="91">
        <f t="shared" si="17"/>
        <v>8</v>
      </c>
      <c r="B175" s="92"/>
      <c r="C175" s="59" t="s">
        <v>307</v>
      </c>
      <c r="D175" s="67">
        <f>(45.803)*(10.764)</f>
        <v>493.02349199999992</v>
      </c>
      <c r="E175" s="67">
        <f t="shared" si="15"/>
        <v>22.066199999999998</v>
      </c>
      <c r="F175" s="59">
        <f t="shared" si="18"/>
        <v>515.0896919999999</v>
      </c>
      <c r="G175" s="59">
        <v>0</v>
      </c>
      <c r="H175" s="59">
        <f t="shared" si="16"/>
        <v>772.63453799999979</v>
      </c>
      <c r="I175" s="32"/>
      <c r="N175" s="32"/>
    </row>
    <row r="176" spans="1:14" s="61" customFormat="1" ht="15.75" customHeight="1" x14ac:dyDescent="0.25">
      <c r="A176" s="91">
        <f t="shared" si="17"/>
        <v>9</v>
      </c>
      <c r="B176" s="92"/>
      <c r="C176" s="59" t="s">
        <v>307</v>
      </c>
      <c r="D176" s="67">
        <f>(45.742)*(10.764)</f>
        <v>492.36688799999996</v>
      </c>
      <c r="E176" s="67">
        <f t="shared" si="15"/>
        <v>22.066199999999998</v>
      </c>
      <c r="F176" s="59">
        <f t="shared" si="18"/>
        <v>514.433088</v>
      </c>
      <c r="G176" s="59">
        <v>0</v>
      </c>
      <c r="H176" s="59">
        <f t="shared" si="16"/>
        <v>771.649632</v>
      </c>
      <c r="I176" s="32"/>
      <c r="N176" s="32"/>
    </row>
    <row r="177" spans="1:14" s="61" customFormat="1" ht="15.75" customHeight="1" x14ac:dyDescent="0.25">
      <c r="A177" s="91">
        <f>A176+1</f>
        <v>10</v>
      </c>
      <c r="B177" s="92"/>
      <c r="C177" s="60" t="s">
        <v>306</v>
      </c>
      <c r="D177" s="67">
        <f>(29.835)*(10.764)</f>
        <v>321.14393999999999</v>
      </c>
      <c r="E177" s="67">
        <f>0*(10.764)</f>
        <v>0</v>
      </c>
      <c r="F177" s="59">
        <f t="shared" si="18"/>
        <v>321.14393999999999</v>
      </c>
      <c r="G177" s="59">
        <v>0</v>
      </c>
      <c r="H177" s="59">
        <f t="shared" si="16"/>
        <v>481.71591000000001</v>
      </c>
      <c r="I177" s="32"/>
      <c r="J177" s="61">
        <f>3600000/H177</f>
        <v>7473.2844094769462</v>
      </c>
      <c r="N177" s="32"/>
    </row>
    <row r="178" spans="1:14" s="61" customFormat="1" ht="15.75" customHeight="1" x14ac:dyDescent="0.25">
      <c r="A178" s="91">
        <f t="shared" ref="A178:A179" si="19">A177+1</f>
        <v>11</v>
      </c>
      <c r="B178" s="92"/>
      <c r="C178" s="60" t="s">
        <v>306</v>
      </c>
      <c r="D178" s="67">
        <f>(29.835)*(10.764)</f>
        <v>321.14393999999999</v>
      </c>
      <c r="E178" s="67">
        <f>0*(10.764)</f>
        <v>0</v>
      </c>
      <c r="F178" s="59">
        <f t="shared" si="18"/>
        <v>321.14393999999999</v>
      </c>
      <c r="G178" s="59">
        <v>0</v>
      </c>
      <c r="H178" s="59">
        <f t="shared" si="16"/>
        <v>481.71591000000001</v>
      </c>
      <c r="I178" s="32"/>
      <c r="N178" s="32"/>
    </row>
    <row r="179" spans="1:14" s="61" customFormat="1" ht="15.75" customHeight="1" x14ac:dyDescent="0.25">
      <c r="A179" s="91">
        <f t="shared" si="19"/>
        <v>12</v>
      </c>
      <c r="B179" s="92"/>
      <c r="C179" s="60" t="s">
        <v>306</v>
      </c>
      <c r="D179" s="67">
        <f>(29.835)*(10.764)</f>
        <v>321.14393999999999</v>
      </c>
      <c r="E179" s="67">
        <f>0*(10.764)</f>
        <v>0</v>
      </c>
      <c r="F179" s="59">
        <f t="shared" si="18"/>
        <v>321.14393999999999</v>
      </c>
      <c r="G179" s="59">
        <v>0</v>
      </c>
      <c r="H179" s="59">
        <f t="shared" si="16"/>
        <v>481.71591000000001</v>
      </c>
      <c r="I179" s="32"/>
      <c r="N179" s="32"/>
    </row>
    <row r="180" spans="1:14" s="61" customFormat="1" x14ac:dyDescent="0.25">
      <c r="A180" s="93" t="s">
        <v>308</v>
      </c>
      <c r="B180" s="94"/>
      <c r="C180" s="94"/>
      <c r="D180" s="94"/>
      <c r="E180" s="94"/>
      <c r="F180" s="94"/>
      <c r="G180" s="94"/>
      <c r="H180" s="95"/>
      <c r="I180" s="32"/>
      <c r="N180" s="32"/>
    </row>
    <row r="181" spans="1:14" s="61" customFormat="1" ht="15.75" customHeight="1" x14ac:dyDescent="0.25">
      <c r="A181" s="96">
        <v>1</v>
      </c>
      <c r="B181" s="96"/>
      <c r="C181" s="91" t="s">
        <v>309</v>
      </c>
      <c r="D181" s="97"/>
      <c r="E181" s="97"/>
      <c r="F181" s="97"/>
      <c r="G181" s="97"/>
      <c r="H181" s="92"/>
      <c r="I181" s="32"/>
      <c r="N181" s="32"/>
    </row>
    <row r="182" spans="1:14" s="61" customFormat="1" ht="15.75" customHeight="1" x14ac:dyDescent="0.25">
      <c r="A182" s="91">
        <f>A181+1</f>
        <v>2</v>
      </c>
      <c r="B182" s="92"/>
      <c r="C182" s="65" t="s">
        <v>306</v>
      </c>
      <c r="D182" s="67">
        <f>(29.835)*(10.764)</f>
        <v>321.14393999999999</v>
      </c>
      <c r="E182" s="67">
        <f>0*(10.764)</f>
        <v>0</v>
      </c>
      <c r="F182" s="59">
        <f>D182+E182</f>
        <v>321.14393999999999</v>
      </c>
      <c r="G182" s="59">
        <v>0</v>
      </c>
      <c r="H182" s="62">
        <f>F182*(($H$152)+1)+(IF(G182&lt;101,G182,IF(G182&lt;201,G182/2,IF(G182&lt;=301,G182/3,G182/4))))</f>
        <v>481.71591000000001</v>
      </c>
      <c r="I182" s="66"/>
      <c r="N182" s="32"/>
    </row>
    <row r="183" spans="1:14" s="61" customFormat="1" ht="15.75" customHeight="1" x14ac:dyDescent="0.25">
      <c r="A183" s="91">
        <f>A182+1</f>
        <v>3</v>
      </c>
      <c r="B183" s="92"/>
      <c r="C183" s="65" t="s">
        <v>306</v>
      </c>
      <c r="D183" s="67">
        <f>(29.835)*(10.764)</f>
        <v>321.14393999999999</v>
      </c>
      <c r="E183" s="67">
        <f>0*(10.764)</f>
        <v>0</v>
      </c>
      <c r="F183" s="59">
        <f>D183+E183</f>
        <v>321.14393999999999</v>
      </c>
      <c r="G183" s="59">
        <v>0</v>
      </c>
      <c r="H183" s="62">
        <f>F183*(($H$152)+1)+(IF(G183&lt;101,G183,IF(G183&lt;201,G183/2,IF(G183&lt;=301,G183/3,G183/4))))</f>
        <v>481.71591000000001</v>
      </c>
      <c r="I183" s="66">
        <f>(3.95*2.75+2.07*2.1+2.75*3.05+1.75*1.1+1.1*1.6+0.9*1.3)</f>
        <v>28.452000000000005</v>
      </c>
      <c r="N183" s="32"/>
    </row>
    <row r="184" spans="1:14" s="61" customFormat="1" ht="15.75" customHeight="1" x14ac:dyDescent="0.25">
      <c r="A184" s="91">
        <f>A183+1</f>
        <v>4</v>
      </c>
      <c r="B184" s="92"/>
      <c r="C184" s="63" t="s">
        <v>307</v>
      </c>
      <c r="D184" s="67">
        <f>(45.803)*(10.764)</f>
        <v>493.02349199999992</v>
      </c>
      <c r="E184" s="67">
        <f>2.05*(10.764)</f>
        <v>22.066199999999998</v>
      </c>
      <c r="F184" s="59">
        <f>D184+E184</f>
        <v>515.0896919999999</v>
      </c>
      <c r="G184" s="59">
        <v>0</v>
      </c>
      <c r="H184" s="59">
        <f>F184*(($H$152)+1)+(IF(G184&lt;101,G184,IF(G184&lt;201,G184/2,IF(G184&lt;=301,G184/3,G184/4))))</f>
        <v>772.63453799999979</v>
      </c>
      <c r="I184" s="32"/>
      <c r="N184" s="32"/>
    </row>
    <row r="185" spans="1:14" s="61" customFormat="1" ht="15.75" customHeight="1" x14ac:dyDescent="0.25">
      <c r="A185" s="91">
        <f>A184+1</f>
        <v>5</v>
      </c>
      <c r="B185" s="92"/>
      <c r="C185" s="63" t="s">
        <v>307</v>
      </c>
      <c r="D185" s="67">
        <f>(45.803)*(10.764)</f>
        <v>493.02349199999992</v>
      </c>
      <c r="E185" s="67">
        <f>(2.05)*(10.764)</f>
        <v>22.066199999999998</v>
      </c>
      <c r="F185" s="59">
        <f t="shared" ref="F185:F192" si="20">D185+E185</f>
        <v>515.0896919999999</v>
      </c>
      <c r="G185" s="59">
        <v>0</v>
      </c>
      <c r="H185" s="59">
        <f t="shared" ref="H185:H192" si="21">F185*(($H$152)+1)+(IF(G185&lt;101,G185,IF(G185&lt;201,G185/2,IF(G185&lt;=301,G185/3,G185/4))))</f>
        <v>772.63453799999979</v>
      </c>
      <c r="I185" s="32"/>
      <c r="N185" s="32"/>
    </row>
    <row r="186" spans="1:14" s="61" customFormat="1" ht="15.75" customHeight="1" x14ac:dyDescent="0.25">
      <c r="A186" s="91">
        <f t="shared" ref="A186:A189" si="22">A185+1</f>
        <v>6</v>
      </c>
      <c r="B186" s="92"/>
      <c r="C186" s="63" t="s">
        <v>307</v>
      </c>
      <c r="D186" s="67">
        <f>(45.803)*(10.764)</f>
        <v>493.02349199999992</v>
      </c>
      <c r="E186" s="67">
        <f>(2.05)*(10.764)</f>
        <v>22.066199999999998</v>
      </c>
      <c r="F186" s="59">
        <f t="shared" si="20"/>
        <v>515.0896919999999</v>
      </c>
      <c r="G186" s="59">
        <v>0</v>
      </c>
      <c r="H186" s="59">
        <f t="shared" si="21"/>
        <v>772.63453799999979</v>
      </c>
      <c r="I186" s="32"/>
      <c r="N186" s="32"/>
    </row>
    <row r="187" spans="1:14" s="61" customFormat="1" ht="15.75" customHeight="1" x14ac:dyDescent="0.25">
      <c r="A187" s="91">
        <f t="shared" si="22"/>
        <v>7</v>
      </c>
      <c r="B187" s="92"/>
      <c r="C187" s="63" t="s">
        <v>307</v>
      </c>
      <c r="D187" s="67">
        <f>(45.803)*(10.764)</f>
        <v>493.02349199999992</v>
      </c>
      <c r="E187" s="67">
        <f>(2.05)*(10.764)</f>
        <v>22.066199999999998</v>
      </c>
      <c r="F187" s="59">
        <f t="shared" si="20"/>
        <v>515.0896919999999</v>
      </c>
      <c r="G187" s="59">
        <v>0</v>
      </c>
      <c r="H187" s="59">
        <f t="shared" si="21"/>
        <v>772.63453799999979</v>
      </c>
      <c r="I187" s="32">
        <f>(4.89*2.75+2.1*2.45+2.75*3.35+3.65*2.75+1.25*1.75+1.2*2.16+0.9*1.25)</f>
        <v>43.747</v>
      </c>
      <c r="J187" s="32">
        <f>2.05*1</f>
        <v>2.0499999999999998</v>
      </c>
      <c r="N187" s="32"/>
    </row>
    <row r="188" spans="1:14" s="61" customFormat="1" ht="15.75" customHeight="1" x14ac:dyDescent="0.25">
      <c r="A188" s="91">
        <f t="shared" si="22"/>
        <v>8</v>
      </c>
      <c r="B188" s="92"/>
      <c r="C188" s="63" t="s">
        <v>307</v>
      </c>
      <c r="D188" s="67">
        <f>(45.803)*(10.764)</f>
        <v>493.02349199999992</v>
      </c>
      <c r="E188" s="67">
        <f>(2.05)*(10.764)</f>
        <v>22.066199999999998</v>
      </c>
      <c r="F188" s="59">
        <f t="shared" si="20"/>
        <v>515.0896919999999</v>
      </c>
      <c r="G188" s="59">
        <v>0</v>
      </c>
      <c r="H188" s="59">
        <f t="shared" si="21"/>
        <v>772.63453799999979</v>
      </c>
      <c r="I188" s="32"/>
      <c r="N188" s="32"/>
    </row>
    <row r="189" spans="1:14" s="61" customFormat="1" ht="15.75" customHeight="1" x14ac:dyDescent="0.25">
      <c r="A189" s="91">
        <f t="shared" si="22"/>
        <v>9</v>
      </c>
      <c r="B189" s="92"/>
      <c r="C189" s="63" t="s">
        <v>307</v>
      </c>
      <c r="D189" s="67">
        <f>(45.742)*(10.764)</f>
        <v>492.36688799999996</v>
      </c>
      <c r="E189" s="67">
        <f>(2.05)*(10.764)</f>
        <v>22.066199999999998</v>
      </c>
      <c r="F189" s="59">
        <f t="shared" si="20"/>
        <v>514.433088</v>
      </c>
      <c r="G189" s="59">
        <v>0</v>
      </c>
      <c r="H189" s="59">
        <f t="shared" si="21"/>
        <v>771.649632</v>
      </c>
      <c r="I189" s="32"/>
      <c r="N189" s="32"/>
    </row>
    <row r="190" spans="1:14" s="61" customFormat="1" ht="15.75" customHeight="1" x14ac:dyDescent="0.25">
      <c r="A190" s="91">
        <f>A189+1</f>
        <v>10</v>
      </c>
      <c r="B190" s="92"/>
      <c r="C190" s="65" t="s">
        <v>306</v>
      </c>
      <c r="D190" s="67">
        <f>(29.835)*(10.764)</f>
        <v>321.14393999999999</v>
      </c>
      <c r="E190" s="67">
        <f>0*(10.764)</f>
        <v>0</v>
      </c>
      <c r="F190" s="59">
        <f t="shared" si="20"/>
        <v>321.14393999999999</v>
      </c>
      <c r="G190" s="59">
        <v>0</v>
      </c>
      <c r="H190" s="59">
        <f t="shared" si="21"/>
        <v>481.71591000000001</v>
      </c>
      <c r="I190" s="32"/>
      <c r="N190" s="32"/>
    </row>
    <row r="191" spans="1:14" s="61" customFormat="1" ht="15.75" customHeight="1" x14ac:dyDescent="0.25">
      <c r="A191" s="91">
        <f t="shared" ref="A191:A192" si="23">A190+1</f>
        <v>11</v>
      </c>
      <c r="B191" s="92"/>
      <c r="C191" s="65" t="s">
        <v>306</v>
      </c>
      <c r="D191" s="67">
        <f>(29.835)*(10.764)</f>
        <v>321.14393999999999</v>
      </c>
      <c r="E191" s="67">
        <f>0*(10.764)</f>
        <v>0</v>
      </c>
      <c r="F191" s="59">
        <f t="shared" si="20"/>
        <v>321.14393999999999</v>
      </c>
      <c r="G191" s="59">
        <v>0</v>
      </c>
      <c r="H191" s="59">
        <f t="shared" si="21"/>
        <v>481.71591000000001</v>
      </c>
      <c r="I191" s="32"/>
      <c r="N191" s="32"/>
    </row>
    <row r="192" spans="1:14" s="61" customFormat="1" ht="15.75" customHeight="1" x14ac:dyDescent="0.25">
      <c r="A192" s="91">
        <f t="shared" si="23"/>
        <v>12</v>
      </c>
      <c r="B192" s="92"/>
      <c r="C192" s="65" t="s">
        <v>306</v>
      </c>
      <c r="D192" s="67">
        <f>(29.835)*(10.764)</f>
        <v>321.14393999999999</v>
      </c>
      <c r="E192" s="67">
        <f>0*(10.764)</f>
        <v>0</v>
      </c>
      <c r="F192" s="59">
        <f t="shared" si="20"/>
        <v>321.14393999999999</v>
      </c>
      <c r="G192" s="59">
        <v>0</v>
      </c>
      <c r="H192" s="59">
        <f t="shared" si="21"/>
        <v>481.71591000000001</v>
      </c>
      <c r="I192" s="32"/>
      <c r="N192" s="32"/>
    </row>
    <row r="193" spans="1:14" s="61" customFormat="1" ht="15.75" customHeight="1" x14ac:dyDescent="0.25">
      <c r="A193" s="164" t="s">
        <v>310</v>
      </c>
      <c r="B193" s="164"/>
      <c r="C193" s="164"/>
      <c r="D193" s="164"/>
      <c r="E193" s="164"/>
      <c r="F193" s="164"/>
      <c r="G193" s="164"/>
      <c r="H193" s="164"/>
      <c r="I193" s="32"/>
      <c r="N193" s="32"/>
    </row>
    <row r="194" spans="1:14" s="61" customFormat="1" x14ac:dyDescent="0.25">
      <c r="A194" s="164" t="s">
        <v>347</v>
      </c>
      <c r="B194" s="164"/>
      <c r="C194" s="164"/>
      <c r="D194" s="164"/>
      <c r="E194" s="164"/>
      <c r="F194" s="164"/>
      <c r="G194" s="164"/>
      <c r="H194" s="164"/>
      <c r="I194" s="32"/>
      <c r="N194" s="32"/>
    </row>
    <row r="195" spans="1:14" s="61" customFormat="1" x14ac:dyDescent="0.25">
      <c r="A195" s="96">
        <v>1</v>
      </c>
      <c r="B195" s="96"/>
      <c r="C195" s="96" t="s">
        <v>312</v>
      </c>
      <c r="D195" s="96"/>
      <c r="E195" s="96"/>
      <c r="F195" s="96"/>
      <c r="G195" s="96"/>
      <c r="H195" s="96"/>
      <c r="I195" s="32"/>
      <c r="N195" s="32"/>
    </row>
    <row r="196" spans="1:14" s="61" customFormat="1" x14ac:dyDescent="0.25">
      <c r="A196" s="91">
        <f>A195+1</f>
        <v>2</v>
      </c>
      <c r="B196" s="92"/>
      <c r="C196" s="96" t="s">
        <v>313</v>
      </c>
      <c r="D196" s="96"/>
      <c r="E196" s="96"/>
      <c r="F196" s="96"/>
      <c r="G196" s="96"/>
      <c r="H196" s="96"/>
      <c r="I196" s="32"/>
      <c r="N196" s="32"/>
    </row>
    <row r="197" spans="1:14" s="61" customFormat="1" ht="15.75" customHeight="1" x14ac:dyDescent="0.25">
      <c r="A197" s="91">
        <f>A196+1</f>
        <v>3</v>
      </c>
      <c r="B197" s="92"/>
      <c r="C197" s="77" t="s">
        <v>306</v>
      </c>
      <c r="D197" s="67">
        <f>(29.835)*(10.764)</f>
        <v>321.14393999999999</v>
      </c>
      <c r="E197" s="67">
        <f>0*(10.764)</f>
        <v>0</v>
      </c>
      <c r="F197" s="77">
        <f>D197+E197</f>
        <v>321.14393999999999</v>
      </c>
      <c r="G197" s="77">
        <v>0</v>
      </c>
      <c r="H197" s="77">
        <f>F197*(($H$152)+1)+(IF(G197&lt;101,G197,IF(G197&lt;201,G197/2,IF(G197&lt;=301,G197/3,G197/4))))</f>
        <v>481.71591000000001</v>
      </c>
      <c r="I197" s="32"/>
      <c r="N197" s="32"/>
    </row>
    <row r="198" spans="1:14" s="61" customFormat="1" ht="15.75" customHeight="1" x14ac:dyDescent="0.25">
      <c r="A198" s="91">
        <f>A197+1</f>
        <v>4</v>
      </c>
      <c r="B198" s="92"/>
      <c r="C198" s="77" t="s">
        <v>307</v>
      </c>
      <c r="D198" s="67">
        <f>(45.803)*(10.764)</f>
        <v>493.02349199999992</v>
      </c>
      <c r="E198" s="67">
        <f t="shared" ref="E198:E203" si="24">(2.05)*(10.764)</f>
        <v>22.066199999999998</v>
      </c>
      <c r="F198" s="77">
        <f>D198+E198</f>
        <v>515.0896919999999</v>
      </c>
      <c r="G198" s="77">
        <v>0</v>
      </c>
      <c r="H198" s="77">
        <f>F198*(($H$152)+1)+(IF(G198&lt;101,G198,IF(G198&lt;201,G198/2,IF(G198&lt;=301,G198/3,G198/4))))</f>
        <v>772.63453799999979</v>
      </c>
      <c r="I198" s="32"/>
      <c r="N198" s="32"/>
    </row>
    <row r="199" spans="1:14" s="61" customFormat="1" ht="15.75" customHeight="1" x14ac:dyDescent="0.25">
      <c r="A199" s="91">
        <f>A198+1</f>
        <v>5</v>
      </c>
      <c r="B199" s="92"/>
      <c r="C199" s="77" t="s">
        <v>307</v>
      </c>
      <c r="D199" s="67">
        <f>(45.803)*(10.764)</f>
        <v>493.02349199999992</v>
      </c>
      <c r="E199" s="67">
        <f t="shared" si="24"/>
        <v>22.066199999999998</v>
      </c>
      <c r="F199" s="77">
        <f>D199+E199</f>
        <v>515.0896919999999</v>
      </c>
      <c r="G199" s="77">
        <v>0</v>
      </c>
      <c r="H199" s="77">
        <f>F199*(($H$152)+1)+(IF(G199&lt;101,G199,IF(G199&lt;201,G199/2,IF(G199&lt;=301,G199/3,G199/4))))</f>
        <v>772.63453799999979</v>
      </c>
      <c r="I199" s="32"/>
      <c r="N199" s="32"/>
    </row>
    <row r="200" spans="1:14" s="61" customFormat="1" ht="15.75" customHeight="1" x14ac:dyDescent="0.25">
      <c r="A200" s="91">
        <f t="shared" ref="A200:A203" si="25">A199+1</f>
        <v>6</v>
      </c>
      <c r="B200" s="92"/>
      <c r="C200" s="77" t="s">
        <v>307</v>
      </c>
      <c r="D200" s="67">
        <f>(45.803)*(10.764)</f>
        <v>493.02349199999992</v>
      </c>
      <c r="E200" s="67">
        <f t="shared" si="24"/>
        <v>22.066199999999998</v>
      </c>
      <c r="F200" s="77">
        <f t="shared" ref="F200:F206" si="26">D200+E200</f>
        <v>515.0896919999999</v>
      </c>
      <c r="G200" s="77">
        <v>0</v>
      </c>
      <c r="H200" s="77">
        <f t="shared" ref="H200:H206" si="27">F200*(($H$152)+1)+(IF(G200&lt;101,G200,IF(G200&lt;201,G200/2,IF(G200&lt;=301,G200/3,G200/4))))</f>
        <v>772.63453799999979</v>
      </c>
      <c r="I200" s="32"/>
      <c r="N200" s="32"/>
    </row>
    <row r="201" spans="1:14" s="61" customFormat="1" ht="15.75" customHeight="1" x14ac:dyDescent="0.25">
      <c r="A201" s="91">
        <f t="shared" si="25"/>
        <v>7</v>
      </c>
      <c r="B201" s="92"/>
      <c r="C201" s="77" t="s">
        <v>307</v>
      </c>
      <c r="D201" s="67">
        <f>(45.803)*(10.764)</f>
        <v>493.02349199999992</v>
      </c>
      <c r="E201" s="67">
        <f t="shared" si="24"/>
        <v>22.066199999999998</v>
      </c>
      <c r="F201" s="77">
        <f t="shared" si="26"/>
        <v>515.0896919999999</v>
      </c>
      <c r="G201" s="77">
        <v>0</v>
      </c>
      <c r="H201" s="77">
        <f t="shared" si="27"/>
        <v>772.63453799999979</v>
      </c>
      <c r="I201" s="32"/>
      <c r="N201" s="32"/>
    </row>
    <row r="202" spans="1:14" s="61" customFormat="1" ht="15.75" customHeight="1" x14ac:dyDescent="0.25">
      <c r="A202" s="91">
        <f t="shared" si="25"/>
        <v>8</v>
      </c>
      <c r="B202" s="92"/>
      <c r="C202" s="77" t="s">
        <v>307</v>
      </c>
      <c r="D202" s="67">
        <f>(45.803)*(10.764)</f>
        <v>493.02349199999992</v>
      </c>
      <c r="E202" s="67">
        <f t="shared" si="24"/>
        <v>22.066199999999998</v>
      </c>
      <c r="F202" s="77">
        <f t="shared" si="26"/>
        <v>515.0896919999999</v>
      </c>
      <c r="G202" s="77">
        <v>0</v>
      </c>
      <c r="H202" s="77">
        <f t="shared" si="27"/>
        <v>772.63453799999979</v>
      </c>
      <c r="I202" s="32"/>
      <c r="N202" s="32"/>
    </row>
    <row r="203" spans="1:14" s="61" customFormat="1" ht="15.75" customHeight="1" x14ac:dyDescent="0.25">
      <c r="A203" s="91">
        <f t="shared" si="25"/>
        <v>9</v>
      </c>
      <c r="B203" s="92"/>
      <c r="C203" s="63" t="s">
        <v>307</v>
      </c>
      <c r="D203" s="67">
        <f>(45.742)*(10.764)</f>
        <v>492.36688799999996</v>
      </c>
      <c r="E203" s="67">
        <f t="shared" si="24"/>
        <v>22.066199999999998</v>
      </c>
      <c r="F203" s="63">
        <f t="shared" si="26"/>
        <v>514.433088</v>
      </c>
      <c r="G203" s="63">
        <v>0</v>
      </c>
      <c r="H203" s="63">
        <f t="shared" si="27"/>
        <v>771.649632</v>
      </c>
      <c r="I203" s="32">
        <f>(4.89*2.75+2.1*2.45+2.75*3.35+3.65*2.75+1.25*1.75+1.2*2.05+1.3*0.9)</f>
        <v>43.660000000000004</v>
      </c>
      <c r="J203" s="32">
        <f>2.05*1</f>
        <v>2.0499999999999998</v>
      </c>
      <c r="N203" s="32"/>
    </row>
    <row r="204" spans="1:14" s="61" customFormat="1" x14ac:dyDescent="0.25">
      <c r="A204" s="91">
        <f>A203+1</f>
        <v>10</v>
      </c>
      <c r="B204" s="92"/>
      <c r="C204" s="65" t="s">
        <v>306</v>
      </c>
      <c r="D204" s="67">
        <f>(29.835)*(10.764)</f>
        <v>321.14393999999999</v>
      </c>
      <c r="E204" s="67">
        <f>0*(10.764)</f>
        <v>0</v>
      </c>
      <c r="F204" s="63">
        <f t="shared" si="26"/>
        <v>321.14393999999999</v>
      </c>
      <c r="G204" s="63">
        <v>0</v>
      </c>
      <c r="H204" s="63">
        <f t="shared" si="27"/>
        <v>481.71591000000001</v>
      </c>
      <c r="I204" s="32"/>
      <c r="N204" s="32"/>
    </row>
    <row r="205" spans="1:14" s="61" customFormat="1" x14ac:dyDescent="0.25">
      <c r="A205" s="91">
        <f t="shared" ref="A205:A206" si="28">A204+1</f>
        <v>11</v>
      </c>
      <c r="B205" s="92"/>
      <c r="C205" s="65" t="s">
        <v>306</v>
      </c>
      <c r="D205" s="67">
        <f>(29.835)*(10.764)</f>
        <v>321.14393999999999</v>
      </c>
      <c r="E205" s="67">
        <f>0*(10.764)</f>
        <v>0</v>
      </c>
      <c r="F205" s="63">
        <f t="shared" si="26"/>
        <v>321.14393999999999</v>
      </c>
      <c r="G205" s="63">
        <v>0</v>
      </c>
      <c r="H205" s="63">
        <f t="shared" si="27"/>
        <v>481.71591000000001</v>
      </c>
      <c r="I205" s="32"/>
      <c r="N205" s="32"/>
    </row>
    <row r="206" spans="1:14" s="61" customFormat="1" x14ac:dyDescent="0.25">
      <c r="A206" s="91">
        <f t="shared" si="28"/>
        <v>12</v>
      </c>
      <c r="B206" s="92"/>
      <c r="C206" s="65" t="s">
        <v>306</v>
      </c>
      <c r="D206" s="67">
        <f>(29.835)*(10.764)</f>
        <v>321.14393999999999</v>
      </c>
      <c r="E206" s="67">
        <f>0*(10.764)</f>
        <v>0</v>
      </c>
      <c r="F206" s="63">
        <f t="shared" si="26"/>
        <v>321.14393999999999</v>
      </c>
      <c r="G206" s="63">
        <v>0</v>
      </c>
      <c r="H206" s="63">
        <f t="shared" si="27"/>
        <v>481.71591000000001</v>
      </c>
      <c r="I206" s="32"/>
      <c r="N206" s="32"/>
    </row>
    <row r="207" spans="1:14" s="72" customFormat="1" x14ac:dyDescent="0.25">
      <c r="A207" s="93" t="s">
        <v>348</v>
      </c>
      <c r="B207" s="94"/>
      <c r="C207" s="94"/>
      <c r="D207" s="94"/>
      <c r="E207" s="94"/>
      <c r="F207" s="94"/>
      <c r="G207" s="94"/>
      <c r="H207" s="95"/>
      <c r="I207" s="32"/>
      <c r="N207" s="32"/>
    </row>
    <row r="208" spans="1:14" s="72" customFormat="1" ht="15.75" customHeight="1" x14ac:dyDescent="0.25">
      <c r="A208" s="96">
        <v>1</v>
      </c>
      <c r="B208" s="96"/>
      <c r="C208" s="91" t="s">
        <v>312</v>
      </c>
      <c r="D208" s="97"/>
      <c r="E208" s="97"/>
      <c r="F208" s="97"/>
      <c r="G208" s="97"/>
      <c r="H208" s="92"/>
      <c r="I208" s="32"/>
      <c r="N208" s="32"/>
    </row>
    <row r="209" spans="1:14" s="72" customFormat="1" ht="15.75" customHeight="1" x14ac:dyDescent="0.25">
      <c r="A209" s="91">
        <f>A208+1</f>
        <v>2</v>
      </c>
      <c r="B209" s="92"/>
      <c r="C209" s="91" t="s">
        <v>349</v>
      </c>
      <c r="D209" s="97"/>
      <c r="E209" s="97"/>
      <c r="F209" s="97"/>
      <c r="G209" s="97"/>
      <c r="H209" s="92"/>
      <c r="I209" s="32"/>
      <c r="J209" s="72">
        <v>6200</v>
      </c>
      <c r="N209" s="32"/>
    </row>
    <row r="210" spans="1:14" s="72" customFormat="1" ht="15.75" customHeight="1" x14ac:dyDescent="0.25">
      <c r="A210" s="91">
        <f>A209+1</f>
        <v>3</v>
      </c>
      <c r="B210" s="92"/>
      <c r="C210" s="69" t="s">
        <v>306</v>
      </c>
      <c r="D210" s="67">
        <f>(29.835)*(10.764)</f>
        <v>321.14393999999999</v>
      </c>
      <c r="E210" s="67">
        <f>0*(10.764)</f>
        <v>0</v>
      </c>
      <c r="F210" s="71">
        <f>D210+E210</f>
        <v>321.14393999999999</v>
      </c>
      <c r="G210" s="71">
        <v>0</v>
      </c>
      <c r="H210" s="71">
        <f>F210*(($H$152)+1)+(IF(G210&lt;101,G210,IF(G210&lt;201,G210/2,IF(G210&lt;=301,G210/3,G210/4))))</f>
        <v>481.71591000000001</v>
      </c>
      <c r="I210" s="32"/>
      <c r="J210" s="72">
        <f>J$209*H210</f>
        <v>2986638.642</v>
      </c>
      <c r="K210" s="72">
        <f>J210+300000</f>
        <v>3286638.642</v>
      </c>
      <c r="N210" s="32"/>
    </row>
    <row r="211" spans="1:14" s="72" customFormat="1" ht="15.75" customHeight="1" x14ac:dyDescent="0.25">
      <c r="A211" s="91">
        <f>A210+1</f>
        <v>4</v>
      </c>
      <c r="B211" s="92"/>
      <c r="C211" s="71" t="s">
        <v>307</v>
      </c>
      <c r="D211" s="67">
        <f>(45.803)*(10.764)</f>
        <v>493.02349199999992</v>
      </c>
      <c r="E211" s="67">
        <f t="shared" ref="E211:E216" si="29">(2.05)*(10.764)</f>
        <v>22.066199999999998</v>
      </c>
      <c r="F211" s="71">
        <f>D211+E211</f>
        <v>515.0896919999999</v>
      </c>
      <c r="G211" s="71">
        <v>0</v>
      </c>
      <c r="H211" s="71">
        <f>F211*(($H$152)+1)+(IF(G211&lt;101,G211,IF(G211&lt;201,G211/2,IF(G211&lt;=301,G211/3,G211/4))))</f>
        <v>772.63453799999979</v>
      </c>
      <c r="I211" s="32"/>
      <c r="J211" s="72">
        <f t="shared" ref="J211:J219" si="30">J$209*H211</f>
        <v>4790334.1355999988</v>
      </c>
      <c r="K211" s="72">
        <f t="shared" ref="K211:K219" si="31">J211+300000</f>
        <v>5090334.1355999988</v>
      </c>
      <c r="N211" s="32"/>
    </row>
    <row r="212" spans="1:14" s="72" customFormat="1" ht="15.75" customHeight="1" x14ac:dyDescent="0.25">
      <c r="A212" s="91">
        <f>A211+1</f>
        <v>5</v>
      </c>
      <c r="B212" s="92"/>
      <c r="C212" s="71" t="s">
        <v>307</v>
      </c>
      <c r="D212" s="67">
        <f>(45.803)*(10.764)</f>
        <v>493.02349199999992</v>
      </c>
      <c r="E212" s="67">
        <f t="shared" si="29"/>
        <v>22.066199999999998</v>
      </c>
      <c r="F212" s="71">
        <f>D212+E212</f>
        <v>515.0896919999999</v>
      </c>
      <c r="G212" s="71">
        <v>0</v>
      </c>
      <c r="H212" s="71">
        <f>F212*(($H$152)+1)+(IF(G212&lt;101,G212,IF(G212&lt;201,G212/2,IF(G212&lt;=301,G212/3,G212/4))))</f>
        <v>772.63453799999979</v>
      </c>
      <c r="I212" s="32"/>
      <c r="J212" s="72">
        <f t="shared" si="30"/>
        <v>4790334.1355999988</v>
      </c>
      <c r="K212" s="72">
        <f t="shared" si="31"/>
        <v>5090334.1355999988</v>
      </c>
      <c r="N212" s="32"/>
    </row>
    <row r="213" spans="1:14" s="72" customFormat="1" ht="15.75" customHeight="1" x14ac:dyDescent="0.25">
      <c r="A213" s="91">
        <f t="shared" ref="A213:A216" si="32">A212+1</f>
        <v>6</v>
      </c>
      <c r="B213" s="92"/>
      <c r="C213" s="71" t="s">
        <v>307</v>
      </c>
      <c r="D213" s="67">
        <f>(45.803)*(10.764)</f>
        <v>493.02349199999992</v>
      </c>
      <c r="E213" s="67">
        <f t="shared" si="29"/>
        <v>22.066199999999998</v>
      </c>
      <c r="F213" s="71">
        <f t="shared" ref="F213:F219" si="33">D213+E213</f>
        <v>515.0896919999999</v>
      </c>
      <c r="G213" s="71">
        <v>0</v>
      </c>
      <c r="H213" s="71">
        <f t="shared" ref="H213:H219" si="34">F213*(($H$152)+1)+(IF(G213&lt;101,G213,IF(G213&lt;201,G213/2,IF(G213&lt;=301,G213/3,G213/4))))</f>
        <v>772.63453799999979</v>
      </c>
      <c r="I213" s="32"/>
      <c r="J213" s="72">
        <f t="shared" si="30"/>
        <v>4790334.1355999988</v>
      </c>
      <c r="K213" s="72">
        <f t="shared" si="31"/>
        <v>5090334.1355999988</v>
      </c>
      <c r="N213" s="32"/>
    </row>
    <row r="214" spans="1:14" s="72" customFormat="1" ht="15.75" customHeight="1" x14ac:dyDescent="0.25">
      <c r="A214" s="91">
        <f t="shared" si="32"/>
        <v>7</v>
      </c>
      <c r="B214" s="92"/>
      <c r="C214" s="71" t="s">
        <v>307</v>
      </c>
      <c r="D214" s="67">
        <f>(45.803)*(10.764)</f>
        <v>493.02349199999992</v>
      </c>
      <c r="E214" s="67">
        <f t="shared" si="29"/>
        <v>22.066199999999998</v>
      </c>
      <c r="F214" s="71">
        <f t="shared" si="33"/>
        <v>515.0896919999999</v>
      </c>
      <c r="G214" s="71">
        <v>0</v>
      </c>
      <c r="H214" s="71">
        <f t="shared" si="34"/>
        <v>772.63453799999979</v>
      </c>
      <c r="I214" s="32"/>
      <c r="J214" s="72">
        <f t="shared" si="30"/>
        <v>4790334.1355999988</v>
      </c>
      <c r="K214" s="72">
        <f t="shared" si="31"/>
        <v>5090334.1355999988</v>
      </c>
      <c r="N214" s="32"/>
    </row>
    <row r="215" spans="1:14" s="72" customFormat="1" ht="15.75" customHeight="1" x14ac:dyDescent="0.25">
      <c r="A215" s="91">
        <f t="shared" si="32"/>
        <v>8</v>
      </c>
      <c r="B215" s="92"/>
      <c r="C215" s="71" t="s">
        <v>307</v>
      </c>
      <c r="D215" s="67">
        <f>(45.803)*(10.764)</f>
        <v>493.02349199999992</v>
      </c>
      <c r="E215" s="67">
        <f t="shared" si="29"/>
        <v>22.066199999999998</v>
      </c>
      <c r="F215" s="71">
        <f t="shared" si="33"/>
        <v>515.0896919999999</v>
      </c>
      <c r="G215" s="71">
        <v>0</v>
      </c>
      <c r="H215" s="71">
        <f t="shared" si="34"/>
        <v>772.63453799999979</v>
      </c>
      <c r="I215" s="32"/>
      <c r="J215" s="72">
        <f t="shared" si="30"/>
        <v>4790334.1355999988</v>
      </c>
      <c r="K215" s="72">
        <f t="shared" si="31"/>
        <v>5090334.1355999988</v>
      </c>
      <c r="N215" s="32"/>
    </row>
    <row r="216" spans="1:14" s="72" customFormat="1" ht="15.75" customHeight="1" x14ac:dyDescent="0.25">
      <c r="A216" s="91">
        <f t="shared" si="32"/>
        <v>9</v>
      </c>
      <c r="B216" s="92"/>
      <c r="C216" s="71" t="s">
        <v>307</v>
      </c>
      <c r="D216" s="67">
        <f>(45.742)*(10.764)</f>
        <v>492.36688799999996</v>
      </c>
      <c r="E216" s="67">
        <f t="shared" si="29"/>
        <v>22.066199999999998</v>
      </c>
      <c r="F216" s="71">
        <f t="shared" si="33"/>
        <v>514.433088</v>
      </c>
      <c r="G216" s="71">
        <v>0</v>
      </c>
      <c r="H216" s="71">
        <f t="shared" si="34"/>
        <v>771.649632</v>
      </c>
      <c r="I216" s="32">
        <f>(4.89*2.75+2.1*2.45+2.75*3.35+3.65*2.75+1.25*1.75+1.2*2.05+1.3*0.9)</f>
        <v>43.660000000000004</v>
      </c>
      <c r="J216" s="72">
        <f t="shared" si="30"/>
        <v>4784227.7183999997</v>
      </c>
      <c r="K216" s="72">
        <f t="shared" si="31"/>
        <v>5084227.7183999997</v>
      </c>
      <c r="N216" s="32"/>
    </row>
    <row r="217" spans="1:14" s="72" customFormat="1" ht="15.75" customHeight="1" x14ac:dyDescent="0.25">
      <c r="A217" s="91">
        <f>A216+1</f>
        <v>10</v>
      </c>
      <c r="B217" s="92"/>
      <c r="C217" s="69" t="s">
        <v>306</v>
      </c>
      <c r="D217" s="67">
        <f>(29.835)*(10.764)</f>
        <v>321.14393999999999</v>
      </c>
      <c r="E217" s="67">
        <f>0*(10.764)</f>
        <v>0</v>
      </c>
      <c r="F217" s="71">
        <f t="shared" si="33"/>
        <v>321.14393999999999</v>
      </c>
      <c r="G217" s="71">
        <v>0</v>
      </c>
      <c r="H217" s="71">
        <f t="shared" si="34"/>
        <v>481.71591000000001</v>
      </c>
      <c r="I217" s="32"/>
      <c r="J217" s="72">
        <f t="shared" si="30"/>
        <v>2986638.642</v>
      </c>
      <c r="K217" s="72">
        <f t="shared" si="31"/>
        <v>3286638.642</v>
      </c>
      <c r="N217" s="32"/>
    </row>
    <row r="218" spans="1:14" s="72" customFormat="1" ht="15.75" customHeight="1" x14ac:dyDescent="0.25">
      <c r="A218" s="91">
        <f t="shared" ref="A218:A219" si="35">A217+1</f>
        <v>11</v>
      </c>
      <c r="B218" s="92"/>
      <c r="C218" s="69" t="s">
        <v>306</v>
      </c>
      <c r="D218" s="67">
        <f>(29.835)*(10.764)</f>
        <v>321.14393999999999</v>
      </c>
      <c r="E218" s="67">
        <f>0*(10.764)</f>
        <v>0</v>
      </c>
      <c r="F218" s="71">
        <f t="shared" si="33"/>
        <v>321.14393999999999</v>
      </c>
      <c r="G218" s="71">
        <v>0</v>
      </c>
      <c r="H218" s="71">
        <f t="shared" si="34"/>
        <v>481.71591000000001</v>
      </c>
      <c r="I218" s="32"/>
      <c r="J218" s="72">
        <f t="shared" si="30"/>
        <v>2986638.642</v>
      </c>
      <c r="K218" s="72">
        <f t="shared" si="31"/>
        <v>3286638.642</v>
      </c>
      <c r="N218" s="32"/>
    </row>
    <row r="219" spans="1:14" s="72" customFormat="1" ht="15.75" customHeight="1" x14ac:dyDescent="0.25">
      <c r="A219" s="91">
        <f t="shared" si="35"/>
        <v>12</v>
      </c>
      <c r="B219" s="92"/>
      <c r="C219" s="69" t="s">
        <v>306</v>
      </c>
      <c r="D219" s="67">
        <f>(29.835)*(10.764)</f>
        <v>321.14393999999999</v>
      </c>
      <c r="E219" s="67">
        <f>0*(10.764)</f>
        <v>0</v>
      </c>
      <c r="F219" s="71">
        <f t="shared" si="33"/>
        <v>321.14393999999999</v>
      </c>
      <c r="G219" s="71">
        <v>0</v>
      </c>
      <c r="H219" s="71">
        <f t="shared" si="34"/>
        <v>481.71591000000001</v>
      </c>
      <c r="I219" s="32"/>
      <c r="J219" s="72">
        <f t="shared" si="30"/>
        <v>2986638.642</v>
      </c>
      <c r="K219" s="72">
        <f t="shared" si="31"/>
        <v>3286638.642</v>
      </c>
      <c r="N219" s="32"/>
    </row>
    <row r="220" spans="1:14" s="64" customFormat="1" x14ac:dyDescent="0.25">
      <c r="A220" s="164" t="s">
        <v>314</v>
      </c>
      <c r="B220" s="164"/>
      <c r="C220" s="164"/>
      <c r="D220" s="164"/>
      <c r="E220" s="164"/>
      <c r="F220" s="164"/>
      <c r="G220" s="164"/>
      <c r="H220" s="164"/>
      <c r="I220" s="32"/>
      <c r="N220" s="32"/>
    </row>
    <row r="221" spans="1:14" s="64" customFormat="1" x14ac:dyDescent="0.25">
      <c r="A221" s="96">
        <v>1</v>
      </c>
      <c r="B221" s="96"/>
      <c r="C221" s="221" t="s">
        <v>312</v>
      </c>
      <c r="D221" s="222"/>
      <c r="E221" s="222"/>
      <c r="F221" s="222"/>
      <c r="G221" s="222"/>
      <c r="H221" s="223"/>
      <c r="I221" s="32"/>
      <c r="N221" s="32"/>
    </row>
    <row r="222" spans="1:14" s="64" customFormat="1" x14ac:dyDescent="0.25">
      <c r="A222" s="91">
        <f>A221+1</f>
        <v>2</v>
      </c>
      <c r="B222" s="92"/>
      <c r="C222" s="224"/>
      <c r="D222" s="225"/>
      <c r="E222" s="225"/>
      <c r="F222" s="225"/>
      <c r="G222" s="225"/>
      <c r="H222" s="226"/>
      <c r="I222" s="32"/>
      <c r="N222" s="32"/>
    </row>
    <row r="223" spans="1:14" s="64" customFormat="1" x14ac:dyDescent="0.25">
      <c r="A223" s="91">
        <f>A222+1</f>
        <v>3</v>
      </c>
      <c r="B223" s="92"/>
      <c r="C223" s="96" t="s">
        <v>313</v>
      </c>
      <c r="D223" s="96"/>
      <c r="E223" s="96"/>
      <c r="F223" s="96"/>
      <c r="G223" s="96"/>
      <c r="H223" s="96"/>
      <c r="I223" s="32"/>
      <c r="N223" s="32"/>
    </row>
    <row r="224" spans="1:14" s="64" customFormat="1" x14ac:dyDescent="0.25">
      <c r="A224" s="91">
        <f>A223+1</f>
        <v>4</v>
      </c>
      <c r="B224" s="92"/>
      <c r="C224" s="63" t="s">
        <v>307</v>
      </c>
      <c r="D224" s="67">
        <f>(45.803)*(10.764)</f>
        <v>493.02349199999992</v>
      </c>
      <c r="E224" s="67">
        <f t="shared" ref="E224:E229" si="36">(2.05)*(10.764)</f>
        <v>22.066199999999998</v>
      </c>
      <c r="F224" s="63">
        <f>D224+E224</f>
        <v>515.0896919999999</v>
      </c>
      <c r="G224" s="63">
        <v>0</v>
      </c>
      <c r="H224" s="63">
        <f>F224*(($H$152)+1)+(IF(G224&lt;101,G224,IF(G224&lt;201,G224/2,IF(G224&lt;=301,G224/3,G224/4))))</f>
        <v>772.63453799999979</v>
      </c>
      <c r="I224" s="32"/>
      <c r="J224" s="64">
        <f>6500000/H224</f>
        <v>8412.7743199592787</v>
      </c>
      <c r="N224" s="32"/>
    </row>
    <row r="225" spans="1:14" s="64" customFormat="1" x14ac:dyDescent="0.25">
      <c r="A225" s="91">
        <f>A224+1</f>
        <v>5</v>
      </c>
      <c r="B225" s="92"/>
      <c r="C225" s="63" t="s">
        <v>307</v>
      </c>
      <c r="D225" s="67">
        <f>(45.803)*(10.764)</f>
        <v>493.02349199999992</v>
      </c>
      <c r="E225" s="67">
        <f t="shared" si="36"/>
        <v>22.066199999999998</v>
      </c>
      <c r="F225" s="63">
        <f t="shared" ref="F225:F229" si="37">D225+E225</f>
        <v>515.0896919999999</v>
      </c>
      <c r="G225" s="63">
        <v>0</v>
      </c>
      <c r="H225" s="63">
        <f t="shared" ref="H225:H229" si="38">F225*(($H$152)+1)+(IF(G225&lt;101,G225,IF(G225&lt;201,G225/2,IF(G225&lt;=301,G225/3,G225/4))))</f>
        <v>772.63453799999979</v>
      </c>
      <c r="I225" s="32"/>
      <c r="N225" s="32"/>
    </row>
    <row r="226" spans="1:14" s="64" customFormat="1" x14ac:dyDescent="0.25">
      <c r="A226" s="91">
        <f t="shared" ref="A226:A229" si="39">A225+1</f>
        <v>6</v>
      </c>
      <c r="B226" s="92"/>
      <c r="C226" s="63" t="s">
        <v>307</v>
      </c>
      <c r="D226" s="67">
        <f>(45.803)*(10.764)</f>
        <v>493.02349199999992</v>
      </c>
      <c r="E226" s="67">
        <f t="shared" si="36"/>
        <v>22.066199999999998</v>
      </c>
      <c r="F226" s="63">
        <f t="shared" si="37"/>
        <v>515.0896919999999</v>
      </c>
      <c r="G226" s="63">
        <v>0</v>
      </c>
      <c r="H226" s="63">
        <f t="shared" si="38"/>
        <v>772.63453799999979</v>
      </c>
      <c r="I226" s="32"/>
      <c r="N226" s="32"/>
    </row>
    <row r="227" spans="1:14" s="64" customFormat="1" x14ac:dyDescent="0.25">
      <c r="A227" s="91">
        <f t="shared" si="39"/>
        <v>7</v>
      </c>
      <c r="B227" s="92"/>
      <c r="C227" s="63" t="s">
        <v>307</v>
      </c>
      <c r="D227" s="67">
        <f>(45.803)*(10.764)</f>
        <v>493.02349199999992</v>
      </c>
      <c r="E227" s="67">
        <f t="shared" si="36"/>
        <v>22.066199999999998</v>
      </c>
      <c r="F227" s="63">
        <f t="shared" si="37"/>
        <v>515.0896919999999</v>
      </c>
      <c r="G227" s="63">
        <v>0</v>
      </c>
      <c r="H227" s="63">
        <f t="shared" si="38"/>
        <v>772.63453799999979</v>
      </c>
      <c r="I227" s="32"/>
      <c r="N227" s="32"/>
    </row>
    <row r="228" spans="1:14" s="64" customFormat="1" x14ac:dyDescent="0.25">
      <c r="A228" s="91">
        <f t="shared" si="39"/>
        <v>8</v>
      </c>
      <c r="B228" s="92"/>
      <c r="C228" s="63" t="s">
        <v>307</v>
      </c>
      <c r="D228" s="67">
        <f>(45.803)*(10.764)</f>
        <v>493.02349199999992</v>
      </c>
      <c r="E228" s="67">
        <f t="shared" si="36"/>
        <v>22.066199999999998</v>
      </c>
      <c r="F228" s="63">
        <f t="shared" si="37"/>
        <v>515.0896919999999</v>
      </c>
      <c r="G228" s="63">
        <v>0</v>
      </c>
      <c r="H228" s="63">
        <f t="shared" si="38"/>
        <v>772.63453799999979</v>
      </c>
      <c r="I228" s="32"/>
      <c r="N228" s="32"/>
    </row>
    <row r="229" spans="1:14" s="64" customFormat="1" x14ac:dyDescent="0.25">
      <c r="A229" s="91">
        <f t="shared" si="39"/>
        <v>9</v>
      </c>
      <c r="B229" s="92"/>
      <c r="C229" s="63" t="s">
        <v>307</v>
      </c>
      <c r="D229" s="67">
        <f>(45.742)*(10.764)</f>
        <v>492.36688799999996</v>
      </c>
      <c r="E229" s="67">
        <f t="shared" si="36"/>
        <v>22.066199999999998</v>
      </c>
      <c r="F229" s="63">
        <f t="shared" si="37"/>
        <v>514.433088</v>
      </c>
      <c r="G229" s="63">
        <v>0</v>
      </c>
      <c r="H229" s="63">
        <f t="shared" si="38"/>
        <v>771.649632</v>
      </c>
      <c r="I229" s="32"/>
      <c r="N229" s="32"/>
    </row>
    <row r="230" spans="1:14" s="64" customFormat="1" x14ac:dyDescent="0.25">
      <c r="A230" s="91">
        <f>A229+1</f>
        <v>10</v>
      </c>
      <c r="B230" s="92"/>
      <c r="C230" s="221" t="s">
        <v>313</v>
      </c>
      <c r="D230" s="222"/>
      <c r="E230" s="222"/>
      <c r="F230" s="222"/>
      <c r="G230" s="222"/>
      <c r="H230" s="223"/>
      <c r="I230" s="32"/>
      <c r="N230" s="32"/>
    </row>
    <row r="231" spans="1:14" s="64" customFormat="1" x14ac:dyDescent="0.25">
      <c r="A231" s="91">
        <f t="shared" ref="A231:A232" si="40">A230+1</f>
        <v>11</v>
      </c>
      <c r="B231" s="92"/>
      <c r="C231" s="224"/>
      <c r="D231" s="225"/>
      <c r="E231" s="225"/>
      <c r="F231" s="225"/>
      <c r="G231" s="225"/>
      <c r="H231" s="226"/>
      <c r="I231" s="32"/>
      <c r="N231" s="32"/>
    </row>
    <row r="232" spans="1:14" s="64" customFormat="1" x14ac:dyDescent="0.25">
      <c r="A232" s="91">
        <f t="shared" si="40"/>
        <v>12</v>
      </c>
      <c r="B232" s="92"/>
      <c r="C232" s="227"/>
      <c r="D232" s="228"/>
      <c r="E232" s="228"/>
      <c r="F232" s="228"/>
      <c r="G232" s="228"/>
      <c r="H232" s="229"/>
      <c r="I232" s="32"/>
      <c r="N232" s="32"/>
    </row>
    <row r="233" spans="1:14" s="64" customFormat="1" x14ac:dyDescent="0.25">
      <c r="A233" s="153" t="s">
        <v>315</v>
      </c>
      <c r="B233" s="153"/>
      <c r="C233" s="153"/>
      <c r="D233" s="153"/>
      <c r="E233" s="153"/>
      <c r="F233" s="153"/>
      <c r="G233" s="153"/>
      <c r="H233" s="153"/>
      <c r="I233" s="32"/>
      <c r="N233" s="32"/>
    </row>
    <row r="234" spans="1:14" s="64" customFormat="1" x14ac:dyDescent="0.25">
      <c r="A234" s="164" t="s">
        <v>305</v>
      </c>
      <c r="B234" s="164"/>
      <c r="C234" s="164"/>
      <c r="D234" s="164"/>
      <c r="E234" s="164"/>
      <c r="F234" s="164"/>
      <c r="G234" s="164"/>
      <c r="H234" s="164"/>
      <c r="I234" s="32"/>
      <c r="N234" s="32"/>
    </row>
    <row r="235" spans="1:14" s="64" customFormat="1" x14ac:dyDescent="0.25">
      <c r="A235" s="96">
        <v>1</v>
      </c>
      <c r="B235" s="96"/>
      <c r="C235" s="77" t="s">
        <v>306</v>
      </c>
      <c r="D235" s="67">
        <f>(29.835)*(10.764)</f>
        <v>321.14393999999999</v>
      </c>
      <c r="E235" s="67">
        <f t="shared" ref="E235:E244" si="41">0*(10.764)</f>
        <v>0</v>
      </c>
      <c r="F235" s="77">
        <f>D235+E235</f>
        <v>321.14393999999999</v>
      </c>
      <c r="G235" s="77">
        <v>0</v>
      </c>
      <c r="H235" s="77">
        <f>F235*(($H$152)+1)+(IF(G235&lt;101,G235,IF(G235&lt;201,G235/2,IF(G235&lt;=301,G235/3,G235/4))))</f>
        <v>481.71591000000001</v>
      </c>
      <c r="I235" s="32">
        <f>(2.75*3.95+2.1*2.07+3.05*2.75+1.1*1.75+1.6*1.1+0.9*1.3)</f>
        <v>28.452000000000005</v>
      </c>
      <c r="N235" s="32"/>
    </row>
    <row r="236" spans="1:14" s="64" customFormat="1" x14ac:dyDescent="0.25">
      <c r="A236" s="91">
        <f>A235+1</f>
        <v>2</v>
      </c>
      <c r="B236" s="92"/>
      <c r="C236" s="77" t="s">
        <v>306</v>
      </c>
      <c r="D236" s="67">
        <f>(29.835)*(10.764)</f>
        <v>321.14393999999999</v>
      </c>
      <c r="E236" s="67">
        <f t="shared" si="41"/>
        <v>0</v>
      </c>
      <c r="F236" s="77">
        <f>D236+E236</f>
        <v>321.14393999999999</v>
      </c>
      <c r="G236" s="77">
        <v>0</v>
      </c>
      <c r="H236" s="77">
        <f>F236*(($H$152)+1)+(IF(G236&lt;101,G236,IF(G236&lt;201,G236/2,IF(G236&lt;=301,G236/3,G236/4))))</f>
        <v>481.71591000000001</v>
      </c>
      <c r="I236" s="32"/>
      <c r="N236" s="32"/>
    </row>
    <row r="237" spans="1:14" s="64" customFormat="1" x14ac:dyDescent="0.25">
      <c r="A237" s="91">
        <f>A236+1</f>
        <v>3</v>
      </c>
      <c r="B237" s="92"/>
      <c r="C237" s="77" t="s">
        <v>306</v>
      </c>
      <c r="D237" s="67">
        <f>(29.835)*(10.764)</f>
        <v>321.14393999999999</v>
      </c>
      <c r="E237" s="67">
        <f t="shared" si="41"/>
        <v>0</v>
      </c>
      <c r="F237" s="77">
        <f>D237+E237</f>
        <v>321.14393999999999</v>
      </c>
      <c r="G237" s="77">
        <v>0</v>
      </c>
      <c r="H237" s="77">
        <f>F237*(($H$152)+1)+(IF(G237&lt;101,G237,IF(G237&lt;201,G237/2,IF(G237&lt;=301,G237/3,G237/4))))</f>
        <v>481.71591000000001</v>
      </c>
      <c r="I237" s="32"/>
      <c r="N237" s="32"/>
    </row>
    <row r="238" spans="1:14" s="64" customFormat="1" x14ac:dyDescent="0.25">
      <c r="A238" s="91">
        <f>A237+1</f>
        <v>4</v>
      </c>
      <c r="B238" s="92"/>
      <c r="C238" s="77" t="s">
        <v>306</v>
      </c>
      <c r="D238" s="67">
        <f>(29.835)*(10.764)</f>
        <v>321.14393999999999</v>
      </c>
      <c r="E238" s="67">
        <f t="shared" si="41"/>
        <v>0</v>
      </c>
      <c r="F238" s="77">
        <f>D238+E238</f>
        <v>321.14393999999999</v>
      </c>
      <c r="G238" s="77">
        <v>0</v>
      </c>
      <c r="H238" s="77">
        <f>F238*(($H$152)+1)+(IF(G238&lt;101,G238,IF(G238&lt;201,G238/2,IF(G238&lt;=301,G238/3,G238/4))))</f>
        <v>481.71591000000001</v>
      </c>
      <c r="I238" s="32"/>
      <c r="N238" s="32"/>
    </row>
    <row r="239" spans="1:14" s="64" customFormat="1" x14ac:dyDescent="0.25">
      <c r="A239" s="91">
        <f>A238+1</f>
        <v>5</v>
      </c>
      <c r="B239" s="92"/>
      <c r="C239" s="77" t="s">
        <v>306</v>
      </c>
      <c r="D239" s="67">
        <f>(29.835)*(10.764)</f>
        <v>321.14393999999999</v>
      </c>
      <c r="E239" s="67">
        <f t="shared" si="41"/>
        <v>0</v>
      </c>
      <c r="F239" s="77">
        <f t="shared" ref="F239:F244" si="42">D239+E239</f>
        <v>321.14393999999999</v>
      </c>
      <c r="G239" s="77">
        <v>0</v>
      </c>
      <c r="H239" s="77">
        <f t="shared" ref="H239:H244" si="43">F239*(($H$152)+1)+(IF(G239&lt;101,G239,IF(G239&lt;201,G239/2,IF(G239&lt;=301,G239/3,G239/4))))</f>
        <v>481.71591000000001</v>
      </c>
      <c r="I239" s="32"/>
      <c r="N239" s="32"/>
    </row>
    <row r="240" spans="1:14" s="64" customFormat="1" x14ac:dyDescent="0.25">
      <c r="A240" s="91">
        <f t="shared" ref="A240:A243" si="44">A239+1</f>
        <v>6</v>
      </c>
      <c r="B240" s="92"/>
      <c r="C240" s="77" t="s">
        <v>307</v>
      </c>
      <c r="D240" s="67">
        <f>(45.36)*(10.764)</f>
        <v>488.25503999999995</v>
      </c>
      <c r="E240" s="67">
        <f t="shared" si="41"/>
        <v>0</v>
      </c>
      <c r="F240" s="77">
        <f t="shared" si="42"/>
        <v>488.25503999999995</v>
      </c>
      <c r="G240" s="67">
        <f>((10.295*2.85+2.25*3.45+2.665*3.45+2.25*0.9))*(10.764)</f>
        <v>520.14338999999995</v>
      </c>
      <c r="H240" s="77">
        <f t="shared" si="43"/>
        <v>862.41840749999983</v>
      </c>
      <c r="I240" s="32">
        <f>(4.89*2.75+2.1*2.45+2.75*3.35+3.65*2.75+1.2*2.1+1.25*1.75+0.9*1.3)</f>
        <v>43.720000000000006</v>
      </c>
      <c r="J240" s="64">
        <f>((6.99*2.05+5.42*1.57+1.58*1.57+10.295*2.86+2.25*3.45+2.665*3.45))*(10.764)</f>
        <v>771.99354179999989</v>
      </c>
      <c r="N240" s="32"/>
    </row>
    <row r="241" spans="1:14" s="64" customFormat="1" x14ac:dyDescent="0.25">
      <c r="A241" s="91">
        <f t="shared" si="44"/>
        <v>7</v>
      </c>
      <c r="B241" s="92"/>
      <c r="C241" s="77" t="s">
        <v>307</v>
      </c>
      <c r="D241" s="67">
        <f>(45.36)*(10.764)</f>
        <v>488.25503999999995</v>
      </c>
      <c r="E241" s="67">
        <f t="shared" si="41"/>
        <v>0</v>
      </c>
      <c r="F241" s="77">
        <f t="shared" si="42"/>
        <v>488.25503999999995</v>
      </c>
      <c r="G241" s="67">
        <f>((10.14*2.85+2.665*3.45+2.125*3.45+2.25*0.9))*(10.764)</f>
        <v>510.74641799999989</v>
      </c>
      <c r="H241" s="77">
        <f t="shared" si="43"/>
        <v>860.06916449999983</v>
      </c>
      <c r="I241" s="32"/>
      <c r="N241" s="32"/>
    </row>
    <row r="242" spans="1:14" s="64" customFormat="1" x14ac:dyDescent="0.25">
      <c r="A242" s="91">
        <f t="shared" si="44"/>
        <v>8</v>
      </c>
      <c r="B242" s="92"/>
      <c r="C242" s="77" t="s">
        <v>307</v>
      </c>
      <c r="D242" s="67">
        <f>(45.36)*(10.764)</f>
        <v>488.25503999999995</v>
      </c>
      <c r="E242" s="67">
        <f t="shared" si="41"/>
        <v>0</v>
      </c>
      <c r="F242" s="77">
        <f t="shared" si="42"/>
        <v>488.25503999999995</v>
      </c>
      <c r="G242" s="67">
        <f>((10.14*2.85+2.665*3.45+2.125*3.45+2.25*0.9))*(10.764)</f>
        <v>510.74641799999989</v>
      </c>
      <c r="H242" s="77">
        <f t="shared" si="43"/>
        <v>860.06916449999983</v>
      </c>
      <c r="I242" s="32"/>
      <c r="N242" s="32"/>
    </row>
    <row r="243" spans="1:14" s="64" customFormat="1" x14ac:dyDescent="0.25">
      <c r="A243" s="91">
        <f t="shared" si="44"/>
        <v>9</v>
      </c>
      <c r="B243" s="92"/>
      <c r="C243" s="77" t="s">
        <v>306</v>
      </c>
      <c r="D243" s="67">
        <f>(29.835)*(10.764)</f>
        <v>321.14393999999999</v>
      </c>
      <c r="E243" s="67">
        <f t="shared" si="41"/>
        <v>0</v>
      </c>
      <c r="F243" s="77">
        <f t="shared" si="42"/>
        <v>321.14393999999999</v>
      </c>
      <c r="G243" s="77">
        <v>0</v>
      </c>
      <c r="H243" s="77">
        <f t="shared" si="43"/>
        <v>481.71591000000001</v>
      </c>
      <c r="I243" s="32"/>
      <c r="N243" s="32"/>
    </row>
    <row r="244" spans="1:14" s="64" customFormat="1" x14ac:dyDescent="0.25">
      <c r="A244" s="91">
        <f>A243+1</f>
        <v>10</v>
      </c>
      <c r="B244" s="92"/>
      <c r="C244" s="77" t="s">
        <v>306</v>
      </c>
      <c r="D244" s="67">
        <f>(29.835)*(10.764)</f>
        <v>321.14393999999999</v>
      </c>
      <c r="E244" s="67">
        <f t="shared" si="41"/>
        <v>0</v>
      </c>
      <c r="F244" s="77">
        <f t="shared" si="42"/>
        <v>321.14393999999999</v>
      </c>
      <c r="G244" s="77">
        <v>0</v>
      </c>
      <c r="H244" s="77">
        <f t="shared" si="43"/>
        <v>481.71591000000001</v>
      </c>
      <c r="I244" s="32"/>
      <c r="N244" s="32"/>
    </row>
    <row r="245" spans="1:14" s="64" customFormat="1" x14ac:dyDescent="0.25">
      <c r="A245" s="93" t="s">
        <v>311</v>
      </c>
      <c r="B245" s="94"/>
      <c r="C245" s="94"/>
      <c r="D245" s="94"/>
      <c r="E245" s="94"/>
      <c r="F245" s="94"/>
      <c r="G245" s="94"/>
      <c r="H245" s="95"/>
      <c r="I245" s="32"/>
      <c r="N245" s="32"/>
    </row>
    <row r="246" spans="1:14" s="64" customFormat="1" ht="15.75" customHeight="1" x14ac:dyDescent="0.25">
      <c r="A246" s="96">
        <v>1</v>
      </c>
      <c r="B246" s="96"/>
      <c r="C246" s="63" t="s">
        <v>306</v>
      </c>
      <c r="D246" s="67">
        <f>(29.835)*(10.764)</f>
        <v>321.14393999999999</v>
      </c>
      <c r="E246" s="67">
        <f t="shared" ref="E246:E255" si="45">0*(10.764)</f>
        <v>0</v>
      </c>
      <c r="F246" s="63">
        <f>D246+E246</f>
        <v>321.14393999999999</v>
      </c>
      <c r="G246" s="63">
        <v>0</v>
      </c>
      <c r="H246" s="63">
        <f>F246*(($H$152)+1)+(IF(G246&lt;101,G246,IF(G246&lt;201,G246/2,IF(G246&lt;=301,G246/3,G246/4))))</f>
        <v>481.71591000000001</v>
      </c>
      <c r="I246" s="32"/>
      <c r="N246" s="32"/>
    </row>
    <row r="247" spans="1:14" s="64" customFormat="1" ht="15.75" customHeight="1" x14ac:dyDescent="0.25">
      <c r="A247" s="91">
        <f>A246+1</f>
        <v>2</v>
      </c>
      <c r="B247" s="92"/>
      <c r="C247" s="63" t="s">
        <v>306</v>
      </c>
      <c r="D247" s="67">
        <f>(29.835)*(10.764)</f>
        <v>321.14393999999999</v>
      </c>
      <c r="E247" s="67">
        <f t="shared" si="45"/>
        <v>0</v>
      </c>
      <c r="F247" s="63">
        <f>D247+E247</f>
        <v>321.14393999999999</v>
      </c>
      <c r="G247" s="63">
        <v>0</v>
      </c>
      <c r="H247" s="62">
        <f>F247*(($H$152)+1)+(IF(G247&lt;101,G247,IF(G247&lt;201,G247/2,IF(G247&lt;=301,G247/3,G247/4))))</f>
        <v>481.71591000000001</v>
      </c>
      <c r="I247" s="32"/>
      <c r="N247" s="32"/>
    </row>
    <row r="248" spans="1:14" s="64" customFormat="1" ht="15.75" customHeight="1" x14ac:dyDescent="0.25">
      <c r="A248" s="91">
        <f>A247+1</f>
        <v>3</v>
      </c>
      <c r="B248" s="92"/>
      <c r="C248" s="63" t="s">
        <v>306</v>
      </c>
      <c r="D248" s="67">
        <f>(29.835)*(10.764)</f>
        <v>321.14393999999999</v>
      </c>
      <c r="E248" s="67">
        <f t="shared" si="45"/>
        <v>0</v>
      </c>
      <c r="F248" s="63">
        <f>D248+E248</f>
        <v>321.14393999999999</v>
      </c>
      <c r="G248" s="63">
        <v>0</v>
      </c>
      <c r="H248" s="63">
        <f>F248*(($H$152)+1)+(IF(G248&lt;101,G248,IF(G248&lt;201,G248/2,IF(G248&lt;=301,G248/3,G248/4))))</f>
        <v>481.71591000000001</v>
      </c>
      <c r="I248" s="32"/>
      <c r="N248" s="32"/>
    </row>
    <row r="249" spans="1:14" s="64" customFormat="1" ht="15.75" customHeight="1" x14ac:dyDescent="0.25">
      <c r="A249" s="91">
        <f>A248+1</f>
        <v>4</v>
      </c>
      <c r="B249" s="92"/>
      <c r="C249" s="63" t="s">
        <v>306</v>
      </c>
      <c r="D249" s="67">
        <f>(29.835)*(10.764)</f>
        <v>321.14393999999999</v>
      </c>
      <c r="E249" s="67">
        <f t="shared" si="45"/>
        <v>0</v>
      </c>
      <c r="F249" s="63">
        <f>D249+E249</f>
        <v>321.14393999999999</v>
      </c>
      <c r="G249" s="63">
        <v>0</v>
      </c>
      <c r="H249" s="63">
        <f>F249*(($H$152)+1)+(IF(G249&lt;101,G249,IF(G249&lt;201,G249/2,IF(G249&lt;=301,G249/3,G249/4))))</f>
        <v>481.71591000000001</v>
      </c>
      <c r="I249" s="32"/>
      <c r="N249" s="32"/>
    </row>
    <row r="250" spans="1:14" s="64" customFormat="1" ht="15.75" customHeight="1" x14ac:dyDescent="0.25">
      <c r="A250" s="91">
        <f>A249+1</f>
        <v>5</v>
      </c>
      <c r="B250" s="92"/>
      <c r="C250" s="63" t="s">
        <v>306</v>
      </c>
      <c r="D250" s="67">
        <f>(29.835)*(10.764)</f>
        <v>321.14393999999999</v>
      </c>
      <c r="E250" s="67">
        <f t="shared" si="45"/>
        <v>0</v>
      </c>
      <c r="F250" s="63">
        <f>D250+E250</f>
        <v>321.14393999999999</v>
      </c>
      <c r="G250" s="63">
        <v>0</v>
      </c>
      <c r="H250" s="62">
        <f t="shared" ref="H250:H255" si="46">F250*(($H$152)+1)+(IF(G250&lt;101,G250,IF(G250&lt;201,G250/2,IF(G250&lt;=301,G250/3,G250/4))))</f>
        <v>481.71591000000001</v>
      </c>
      <c r="I250" s="32"/>
      <c r="N250" s="32"/>
    </row>
    <row r="251" spans="1:14" s="64" customFormat="1" ht="15.75" customHeight="1" x14ac:dyDescent="0.25">
      <c r="A251" s="91">
        <f t="shared" ref="A251:A254" si="47">A250+1</f>
        <v>6</v>
      </c>
      <c r="B251" s="92"/>
      <c r="C251" s="63" t="s">
        <v>307</v>
      </c>
      <c r="D251" s="67">
        <f>(45.803)*(10.764)</f>
        <v>493.02349199999992</v>
      </c>
      <c r="E251" s="67">
        <f>2.05*(10.764)</f>
        <v>22.066199999999998</v>
      </c>
      <c r="F251" s="63">
        <f t="shared" ref="F251:F255" si="48">D251+E251</f>
        <v>515.0896919999999</v>
      </c>
      <c r="G251" s="63">
        <v>0</v>
      </c>
      <c r="H251" s="63">
        <f t="shared" si="46"/>
        <v>772.63453799999979</v>
      </c>
      <c r="I251" s="32"/>
      <c r="N251" s="32"/>
    </row>
    <row r="252" spans="1:14" s="64" customFormat="1" ht="15.75" customHeight="1" x14ac:dyDescent="0.25">
      <c r="A252" s="91">
        <f t="shared" si="47"/>
        <v>7</v>
      </c>
      <c r="B252" s="92"/>
      <c r="C252" s="63" t="s">
        <v>307</v>
      </c>
      <c r="D252" s="67">
        <f>(45.803)*(10.764)</f>
        <v>493.02349199999992</v>
      </c>
      <c r="E252" s="67">
        <f>2.05*(10.764)</f>
        <v>22.066199999999998</v>
      </c>
      <c r="F252" s="63">
        <f t="shared" si="48"/>
        <v>515.0896919999999</v>
      </c>
      <c r="G252" s="63">
        <v>0</v>
      </c>
      <c r="H252" s="63">
        <f t="shared" si="46"/>
        <v>772.63453799999979</v>
      </c>
      <c r="I252" s="32">
        <f>(4.89*2.75+2.1*2.45+2.75*3.35+3.65*2.75+1.2*2.1+1.25*1.75+0.9*1.3)</f>
        <v>43.720000000000006</v>
      </c>
      <c r="N252" s="32"/>
    </row>
    <row r="253" spans="1:14" s="64" customFormat="1" ht="15.75" customHeight="1" x14ac:dyDescent="0.25">
      <c r="A253" s="91">
        <f t="shared" si="47"/>
        <v>8</v>
      </c>
      <c r="B253" s="92"/>
      <c r="C253" s="63" t="s">
        <v>307</v>
      </c>
      <c r="D253" s="67">
        <f>(45.803)*(10.764)</f>
        <v>493.02349199999992</v>
      </c>
      <c r="E253" s="67">
        <f>2.05*(10.764)</f>
        <v>22.066199999999998</v>
      </c>
      <c r="F253" s="63">
        <f t="shared" si="48"/>
        <v>515.0896919999999</v>
      </c>
      <c r="G253" s="63">
        <v>0</v>
      </c>
      <c r="H253" s="63">
        <f t="shared" si="46"/>
        <v>772.63453799999979</v>
      </c>
      <c r="I253" s="32"/>
      <c r="N253" s="32"/>
    </row>
    <row r="254" spans="1:14" s="64" customFormat="1" ht="15.75" customHeight="1" x14ac:dyDescent="0.25">
      <c r="A254" s="91">
        <f t="shared" si="47"/>
        <v>9</v>
      </c>
      <c r="B254" s="92"/>
      <c r="C254" s="65" t="s">
        <v>306</v>
      </c>
      <c r="D254" s="67">
        <f>(29.835)*(10.764)</f>
        <v>321.14393999999999</v>
      </c>
      <c r="E254" s="67">
        <f t="shared" si="45"/>
        <v>0</v>
      </c>
      <c r="F254" s="63">
        <f t="shared" si="48"/>
        <v>321.14393999999999</v>
      </c>
      <c r="G254" s="63">
        <v>0</v>
      </c>
      <c r="H254" s="63">
        <f t="shared" si="46"/>
        <v>481.71591000000001</v>
      </c>
      <c r="I254" s="32"/>
      <c r="N254" s="32"/>
    </row>
    <row r="255" spans="1:14" s="64" customFormat="1" ht="15.75" customHeight="1" x14ac:dyDescent="0.25">
      <c r="A255" s="91">
        <f>A254+1</f>
        <v>10</v>
      </c>
      <c r="B255" s="92"/>
      <c r="C255" s="65" t="s">
        <v>306</v>
      </c>
      <c r="D255" s="67">
        <f>(29.835)*(10.764)</f>
        <v>321.14393999999999</v>
      </c>
      <c r="E255" s="67">
        <f t="shared" si="45"/>
        <v>0</v>
      </c>
      <c r="F255" s="63">
        <f t="shared" si="48"/>
        <v>321.14393999999999</v>
      </c>
      <c r="G255" s="63">
        <v>0</v>
      </c>
      <c r="H255" s="63">
        <f t="shared" si="46"/>
        <v>481.71591000000001</v>
      </c>
      <c r="I255" s="32"/>
      <c r="N255" s="32"/>
    </row>
    <row r="256" spans="1:14" s="64" customFormat="1" x14ac:dyDescent="0.25">
      <c r="A256" s="93" t="s">
        <v>308</v>
      </c>
      <c r="B256" s="94"/>
      <c r="C256" s="94"/>
      <c r="D256" s="94"/>
      <c r="E256" s="94"/>
      <c r="F256" s="94"/>
      <c r="G256" s="94"/>
      <c r="H256" s="95"/>
      <c r="I256" s="32"/>
      <c r="N256" s="32"/>
    </row>
    <row r="257" spans="1:14" s="64" customFormat="1" ht="15.75" customHeight="1" x14ac:dyDescent="0.25">
      <c r="A257" s="96">
        <v>1</v>
      </c>
      <c r="B257" s="96"/>
      <c r="C257" s="63" t="s">
        <v>306</v>
      </c>
      <c r="D257" s="67">
        <f>(29.835)*(10.764)</f>
        <v>321.14393999999999</v>
      </c>
      <c r="E257" s="67">
        <f>0*(10.764)</f>
        <v>0</v>
      </c>
      <c r="F257" s="63">
        <f>D257+E257</f>
        <v>321.14393999999999</v>
      </c>
      <c r="G257" s="63">
        <v>0</v>
      </c>
      <c r="H257" s="62">
        <f>F257*(($H$152)+1)+(IF(G257&lt;101,G257,IF(G257&lt;201,G257/2,IF(G257&lt;=301,G257/3,G257/4))))</f>
        <v>481.71591000000001</v>
      </c>
      <c r="I257" s="32"/>
      <c r="N257" s="32"/>
    </row>
    <row r="258" spans="1:14" s="64" customFormat="1" ht="15.75" customHeight="1" x14ac:dyDescent="0.25">
      <c r="A258" s="91">
        <f>A257+1</f>
        <v>2</v>
      </c>
      <c r="B258" s="92"/>
      <c r="C258" s="63" t="s">
        <v>306</v>
      </c>
      <c r="D258" s="67">
        <f>(29.835)*(10.764)</f>
        <v>321.14393999999999</v>
      </c>
      <c r="E258" s="67">
        <f>0*(10.764)</f>
        <v>0</v>
      </c>
      <c r="F258" s="63">
        <f>D258+E258</f>
        <v>321.14393999999999</v>
      </c>
      <c r="G258" s="63">
        <v>0</v>
      </c>
      <c r="H258" s="62">
        <f>F258*(($H$152)+1)+(IF(G258&lt;101,G258,IF(G258&lt;201,G258/2,IF(G258&lt;=301,G258/3,G258/4))))</f>
        <v>481.71591000000001</v>
      </c>
      <c r="I258" s="32"/>
      <c r="N258" s="32"/>
    </row>
    <row r="259" spans="1:14" s="64" customFormat="1" ht="15.75" customHeight="1" x14ac:dyDescent="0.25">
      <c r="A259" s="91">
        <f>A258+1</f>
        <v>3</v>
      </c>
      <c r="B259" s="92"/>
      <c r="C259" s="63" t="s">
        <v>306</v>
      </c>
      <c r="D259" s="67">
        <f>(29.835)*(10.764)</f>
        <v>321.14393999999999</v>
      </c>
      <c r="E259" s="67">
        <f>0*(10.764)</f>
        <v>0</v>
      </c>
      <c r="F259" s="63">
        <f>D259+E259</f>
        <v>321.14393999999999</v>
      </c>
      <c r="G259" s="63">
        <v>0</v>
      </c>
      <c r="H259" s="62">
        <f>F259*(($H$152)+1)+(IF(G259&lt;101,G259,IF(G259&lt;201,G259/2,IF(G259&lt;=301,G259/3,G259/4))))</f>
        <v>481.71591000000001</v>
      </c>
      <c r="I259" s="32"/>
      <c r="N259" s="32"/>
    </row>
    <row r="260" spans="1:14" s="64" customFormat="1" ht="15.75" customHeight="1" x14ac:dyDescent="0.25">
      <c r="A260" s="91">
        <f>A259+1</f>
        <v>4</v>
      </c>
      <c r="B260" s="92"/>
      <c r="C260" s="63" t="s">
        <v>306</v>
      </c>
      <c r="D260" s="67">
        <f>(29.835)*(10.764)</f>
        <v>321.14393999999999</v>
      </c>
      <c r="E260" s="67">
        <f>0*(10.764)</f>
        <v>0</v>
      </c>
      <c r="F260" s="63">
        <f>D260+E260</f>
        <v>321.14393999999999</v>
      </c>
      <c r="G260" s="63">
        <v>0</v>
      </c>
      <c r="H260" s="63">
        <f>F260*(($H$152)+1)+(IF(G260&lt;101,G260,IF(G260&lt;201,G260/2,IF(G260&lt;=301,G260/3,G260/4))))</f>
        <v>481.71591000000001</v>
      </c>
      <c r="I260" s="32"/>
      <c r="N260" s="32"/>
    </row>
    <row r="261" spans="1:14" s="64" customFormat="1" ht="15.75" customHeight="1" x14ac:dyDescent="0.25">
      <c r="A261" s="91">
        <f>A260+1</f>
        <v>5</v>
      </c>
      <c r="B261" s="92"/>
      <c r="C261" s="91" t="s">
        <v>309</v>
      </c>
      <c r="D261" s="97"/>
      <c r="E261" s="97"/>
      <c r="F261" s="97"/>
      <c r="G261" s="97"/>
      <c r="H261" s="92"/>
      <c r="I261" s="32"/>
      <c r="N261" s="32"/>
    </row>
    <row r="262" spans="1:14" s="64" customFormat="1" ht="15.75" customHeight="1" x14ac:dyDescent="0.25">
      <c r="A262" s="91">
        <f t="shared" ref="A262:A265" si="49">A261+1</f>
        <v>6</v>
      </c>
      <c r="B262" s="92"/>
      <c r="C262" s="63" t="s">
        <v>307</v>
      </c>
      <c r="D262" s="67">
        <f>(45.803)*(10.764)</f>
        <v>493.02349199999992</v>
      </c>
      <c r="E262" s="67">
        <f>(2.05)*(10.764)</f>
        <v>22.066199999999998</v>
      </c>
      <c r="F262" s="63">
        <f>D262+E262</f>
        <v>515.0896919999999</v>
      </c>
      <c r="G262" s="63">
        <v>0</v>
      </c>
      <c r="H262" s="63">
        <f t="shared" ref="H262:H266" si="50">F262*(($H$152)+1)+(IF(G262&lt;101,G262,IF(G262&lt;201,G262/2,IF(G262&lt;=301,G262/3,G262/4))))</f>
        <v>772.63453799999979</v>
      </c>
      <c r="I262" s="32"/>
      <c r="N262" s="32"/>
    </row>
    <row r="263" spans="1:14" s="64" customFormat="1" ht="15.75" customHeight="1" x14ac:dyDescent="0.25">
      <c r="A263" s="91">
        <f t="shared" si="49"/>
        <v>7</v>
      </c>
      <c r="B263" s="92"/>
      <c r="C263" s="63" t="s">
        <v>307</v>
      </c>
      <c r="D263" s="67">
        <f>(45.803)*(10.764)</f>
        <v>493.02349199999992</v>
      </c>
      <c r="E263" s="67">
        <f>(2.05)*(10.764)</f>
        <v>22.066199999999998</v>
      </c>
      <c r="F263" s="63">
        <f t="shared" ref="F263:F266" si="51">D263+E263</f>
        <v>515.0896919999999</v>
      </c>
      <c r="G263" s="63">
        <v>0</v>
      </c>
      <c r="H263" s="63">
        <f t="shared" si="50"/>
        <v>772.63453799999979</v>
      </c>
      <c r="I263" s="32"/>
      <c r="N263" s="32"/>
    </row>
    <row r="264" spans="1:14" s="64" customFormat="1" ht="15.75" customHeight="1" x14ac:dyDescent="0.25">
      <c r="A264" s="91">
        <f t="shared" si="49"/>
        <v>8</v>
      </c>
      <c r="B264" s="92"/>
      <c r="C264" s="63" t="s">
        <v>307</v>
      </c>
      <c r="D264" s="67">
        <f>(45.803)*(10.764)</f>
        <v>493.02349199999992</v>
      </c>
      <c r="E264" s="67">
        <f>(2.05)*(10.764)</f>
        <v>22.066199999999998</v>
      </c>
      <c r="F264" s="63">
        <f>D264+E264</f>
        <v>515.0896919999999</v>
      </c>
      <c r="G264" s="63">
        <v>0</v>
      </c>
      <c r="H264" s="63">
        <f t="shared" si="50"/>
        <v>772.63453799999979</v>
      </c>
      <c r="I264" s="32"/>
      <c r="N264" s="32"/>
    </row>
    <row r="265" spans="1:14" s="64" customFormat="1" ht="15.75" customHeight="1" x14ac:dyDescent="0.25">
      <c r="A265" s="91">
        <f t="shared" si="49"/>
        <v>9</v>
      </c>
      <c r="B265" s="92"/>
      <c r="C265" s="65" t="s">
        <v>306</v>
      </c>
      <c r="D265" s="67">
        <f>(29.835)*(10.764)</f>
        <v>321.14393999999999</v>
      </c>
      <c r="E265" s="67">
        <f>0*(10.764)</f>
        <v>0</v>
      </c>
      <c r="F265" s="63">
        <f t="shared" si="51"/>
        <v>321.14393999999999</v>
      </c>
      <c r="G265" s="63">
        <v>0</v>
      </c>
      <c r="H265" s="63">
        <f t="shared" si="50"/>
        <v>481.71591000000001</v>
      </c>
      <c r="I265" s="32"/>
      <c r="N265" s="32"/>
    </row>
    <row r="266" spans="1:14" s="64" customFormat="1" ht="15.75" customHeight="1" x14ac:dyDescent="0.25">
      <c r="A266" s="91">
        <f>A265+1</f>
        <v>10</v>
      </c>
      <c r="B266" s="92"/>
      <c r="C266" s="65" t="s">
        <v>306</v>
      </c>
      <c r="D266" s="67">
        <f>(29.835)*(10.764)</f>
        <v>321.14393999999999</v>
      </c>
      <c r="E266" s="67">
        <f>0*(10.764)</f>
        <v>0</v>
      </c>
      <c r="F266" s="63">
        <f t="shared" si="51"/>
        <v>321.14393999999999</v>
      </c>
      <c r="G266" s="63">
        <v>0</v>
      </c>
      <c r="H266" s="63">
        <f t="shared" si="50"/>
        <v>481.71591000000001</v>
      </c>
      <c r="I266" s="32"/>
      <c r="N266" s="32"/>
    </row>
    <row r="267" spans="1:14" s="64" customFormat="1" x14ac:dyDescent="0.25">
      <c r="A267" s="93" t="s">
        <v>310</v>
      </c>
      <c r="B267" s="94"/>
      <c r="C267" s="94"/>
      <c r="D267" s="94"/>
      <c r="E267" s="94"/>
      <c r="F267" s="94"/>
      <c r="G267" s="94"/>
      <c r="H267" s="95"/>
      <c r="I267" s="32"/>
      <c r="N267" s="32"/>
    </row>
    <row r="268" spans="1:14" s="64" customFormat="1" x14ac:dyDescent="0.25">
      <c r="A268" s="93" t="s">
        <v>316</v>
      </c>
      <c r="B268" s="94"/>
      <c r="C268" s="94"/>
      <c r="D268" s="94"/>
      <c r="E268" s="94"/>
      <c r="F268" s="94"/>
      <c r="G268" s="94"/>
      <c r="H268" s="95"/>
      <c r="I268" s="32"/>
      <c r="N268" s="32"/>
    </row>
    <row r="269" spans="1:14" s="64" customFormat="1" ht="15.75" customHeight="1" x14ac:dyDescent="0.25">
      <c r="A269" s="96">
        <v>1</v>
      </c>
      <c r="B269" s="96"/>
      <c r="C269" s="63" t="s">
        <v>306</v>
      </c>
      <c r="D269" s="67">
        <f>(29.835)*(10.764)</f>
        <v>321.14393999999999</v>
      </c>
      <c r="E269" s="67">
        <f>0*(10.764)</f>
        <v>0</v>
      </c>
      <c r="F269" s="63">
        <f t="shared" ref="F269:F270" si="52">D269+E269</f>
        <v>321.14393999999999</v>
      </c>
      <c r="G269" s="63">
        <v>0</v>
      </c>
      <c r="H269" s="63">
        <f t="shared" ref="H269:H270" si="53">F269*(($H$152)+1)+(IF(G269&lt;101,G269,IF(G269&lt;201,G269/2,IF(G269&lt;=301,G269/3,G269/4))))</f>
        <v>481.71591000000001</v>
      </c>
      <c r="I269" s="32"/>
      <c r="N269" s="32"/>
    </row>
    <row r="270" spans="1:14" s="64" customFormat="1" ht="15.75" customHeight="1" x14ac:dyDescent="0.25">
      <c r="A270" s="91">
        <f>A269+1</f>
        <v>2</v>
      </c>
      <c r="B270" s="92"/>
      <c r="C270" s="63" t="s">
        <v>306</v>
      </c>
      <c r="D270" s="67">
        <f>(29.835)*(10.764)</f>
        <v>321.14393999999999</v>
      </c>
      <c r="E270" s="67">
        <f>0*(10.764)</f>
        <v>0</v>
      </c>
      <c r="F270" s="63">
        <f t="shared" si="52"/>
        <v>321.14393999999999</v>
      </c>
      <c r="G270" s="63">
        <v>0</v>
      </c>
      <c r="H270" s="63">
        <f t="shared" si="53"/>
        <v>481.71591000000001</v>
      </c>
      <c r="I270" s="32"/>
      <c r="N270" s="32"/>
    </row>
    <row r="271" spans="1:14" s="64" customFormat="1" ht="15.75" customHeight="1" x14ac:dyDescent="0.25">
      <c r="A271" s="91">
        <f>A270+1</f>
        <v>3</v>
      </c>
      <c r="B271" s="92"/>
      <c r="C271" s="63" t="s">
        <v>306</v>
      </c>
      <c r="D271" s="67">
        <f>(29.835)*(10.764)</f>
        <v>321.14393999999999</v>
      </c>
      <c r="E271" s="67">
        <f>0*(10.764)</f>
        <v>0</v>
      </c>
      <c r="F271" s="63">
        <f>D271+E271</f>
        <v>321.14393999999999</v>
      </c>
      <c r="G271" s="63">
        <v>0</v>
      </c>
      <c r="H271" s="63">
        <f>F271*(($H$152)+1)+(IF(G271&lt;101,G271,IF(G271&lt;201,G271/2,IF(G271&lt;=301,G271/3,G271/4))))</f>
        <v>481.71591000000001</v>
      </c>
      <c r="I271" s="32"/>
      <c r="N271" s="32"/>
    </row>
    <row r="272" spans="1:14" s="64" customFormat="1" ht="15.75" customHeight="1" x14ac:dyDescent="0.25">
      <c r="A272" s="91">
        <f>A271+1</f>
        <v>4</v>
      </c>
      <c r="B272" s="92"/>
      <c r="C272" s="63" t="s">
        <v>306</v>
      </c>
      <c r="D272" s="67">
        <f>(29.835)*(10.764)</f>
        <v>321.14393999999999</v>
      </c>
      <c r="E272" s="67">
        <f>0*(10.764)</f>
        <v>0</v>
      </c>
      <c r="F272" s="63">
        <f>D272+E272</f>
        <v>321.14393999999999</v>
      </c>
      <c r="G272" s="63">
        <v>0</v>
      </c>
      <c r="H272" s="63">
        <f>F272*(($H$152)+1)+(IF(G272&lt;101,G272,IF(G272&lt;201,G272/2,IF(G272&lt;=301,G272/3,G272/4))))</f>
        <v>481.71591000000001</v>
      </c>
      <c r="I272" s="32"/>
      <c r="N272" s="32"/>
    </row>
    <row r="273" spans="1:14" s="64" customFormat="1" ht="15.75" customHeight="1" x14ac:dyDescent="0.25">
      <c r="A273" s="91">
        <f>A272+1</f>
        <v>5</v>
      </c>
      <c r="B273" s="92"/>
      <c r="C273" s="63" t="s">
        <v>306</v>
      </c>
      <c r="D273" s="67">
        <f>(29.835)*(10.764)</f>
        <v>321.14393999999999</v>
      </c>
      <c r="E273" s="67">
        <f>0*(10.764)</f>
        <v>0</v>
      </c>
      <c r="F273" s="63">
        <f>D273+E273</f>
        <v>321.14393999999999</v>
      </c>
      <c r="G273" s="63">
        <v>0</v>
      </c>
      <c r="H273" s="63">
        <f>F273*(($H$152)+1)+(IF(G273&lt;101,G273,IF(G273&lt;201,G273/2,IF(G273&lt;=301,G273/3,G273/4))))</f>
        <v>481.71591000000001</v>
      </c>
      <c r="I273" s="32"/>
      <c r="N273" s="32"/>
    </row>
    <row r="274" spans="1:14" s="64" customFormat="1" ht="15.75" customHeight="1" x14ac:dyDescent="0.25">
      <c r="A274" s="91">
        <f t="shared" ref="A274:A277" si="54">A273+1</f>
        <v>6</v>
      </c>
      <c r="B274" s="92"/>
      <c r="C274" s="63" t="s">
        <v>307</v>
      </c>
      <c r="D274" s="67">
        <f>(45.803)*(10.764)</f>
        <v>493.02349199999992</v>
      </c>
      <c r="E274" s="67">
        <f>(2.05)*(10.764)</f>
        <v>22.066199999999998</v>
      </c>
      <c r="F274" s="63">
        <f t="shared" ref="F274:F278" si="55">D274+E274</f>
        <v>515.0896919999999</v>
      </c>
      <c r="G274" s="63">
        <v>0</v>
      </c>
      <c r="H274" s="63">
        <f t="shared" ref="H274:H278" si="56">F274*(($H$152)+1)+(IF(G274&lt;101,G274,IF(G274&lt;201,G274/2,IF(G274&lt;=301,G274/3,G274/4))))</f>
        <v>772.63453799999979</v>
      </c>
      <c r="I274" s="32"/>
      <c r="N274" s="32"/>
    </row>
    <row r="275" spans="1:14" s="64" customFormat="1" ht="15.75" customHeight="1" x14ac:dyDescent="0.25">
      <c r="A275" s="91">
        <f t="shared" si="54"/>
        <v>7</v>
      </c>
      <c r="B275" s="92"/>
      <c r="C275" s="63" t="s">
        <v>307</v>
      </c>
      <c r="D275" s="67">
        <f>(45.803)*(10.764)</f>
        <v>493.02349199999992</v>
      </c>
      <c r="E275" s="67">
        <f>(2.05)*(10.764)</f>
        <v>22.066199999999998</v>
      </c>
      <c r="F275" s="63">
        <f t="shared" si="55"/>
        <v>515.0896919999999</v>
      </c>
      <c r="G275" s="63">
        <v>0</v>
      </c>
      <c r="H275" s="63">
        <f t="shared" si="56"/>
        <v>772.63453799999979</v>
      </c>
      <c r="I275" s="32"/>
      <c r="N275" s="32"/>
    </row>
    <row r="276" spans="1:14" s="64" customFormat="1" ht="15.75" customHeight="1" x14ac:dyDescent="0.25">
      <c r="A276" s="91">
        <f t="shared" si="54"/>
        <v>8</v>
      </c>
      <c r="B276" s="92"/>
      <c r="C276" s="63" t="s">
        <v>307</v>
      </c>
      <c r="D276" s="67">
        <f>(45.803)*(10.764)</f>
        <v>493.02349199999992</v>
      </c>
      <c r="E276" s="67">
        <f>(2.05)*(10.764)</f>
        <v>22.066199999999998</v>
      </c>
      <c r="F276" s="63">
        <f t="shared" si="55"/>
        <v>515.0896919999999</v>
      </c>
      <c r="G276" s="63">
        <v>0</v>
      </c>
      <c r="H276" s="63">
        <f t="shared" si="56"/>
        <v>772.63453799999979</v>
      </c>
      <c r="I276" s="32"/>
      <c r="N276" s="32"/>
    </row>
    <row r="277" spans="1:14" s="64" customFormat="1" ht="15.75" customHeight="1" x14ac:dyDescent="0.25">
      <c r="A277" s="91">
        <f t="shared" si="54"/>
        <v>9</v>
      </c>
      <c r="B277" s="92"/>
      <c r="C277" s="65" t="s">
        <v>306</v>
      </c>
      <c r="D277" s="67">
        <f>(29.835)*(10.764)</f>
        <v>321.14393999999999</v>
      </c>
      <c r="E277" s="67">
        <f>0*(10.764)</f>
        <v>0</v>
      </c>
      <c r="F277" s="63">
        <f t="shared" si="55"/>
        <v>321.14393999999999</v>
      </c>
      <c r="G277" s="63">
        <v>0</v>
      </c>
      <c r="H277" s="63">
        <f t="shared" si="56"/>
        <v>481.71591000000001</v>
      </c>
      <c r="I277" s="32"/>
      <c r="N277" s="32"/>
    </row>
    <row r="278" spans="1:14" s="64" customFormat="1" ht="15.75" customHeight="1" x14ac:dyDescent="0.25">
      <c r="A278" s="91">
        <f>A277+1</f>
        <v>10</v>
      </c>
      <c r="B278" s="92"/>
      <c r="C278" s="65" t="s">
        <v>306</v>
      </c>
      <c r="D278" s="67">
        <f>(29.835)*(10.764)</f>
        <v>321.14393999999999</v>
      </c>
      <c r="E278" s="67">
        <f>0*(10.764)</f>
        <v>0</v>
      </c>
      <c r="F278" s="63">
        <f t="shared" si="55"/>
        <v>321.14393999999999</v>
      </c>
      <c r="G278" s="63">
        <v>0</v>
      </c>
      <c r="H278" s="63">
        <f t="shared" si="56"/>
        <v>481.71591000000001</v>
      </c>
      <c r="I278" s="32"/>
      <c r="N278" s="32"/>
    </row>
    <row r="279" spans="1:14" s="64" customFormat="1" x14ac:dyDescent="0.25">
      <c r="A279" s="164" t="s">
        <v>314</v>
      </c>
      <c r="B279" s="164"/>
      <c r="C279" s="164"/>
      <c r="D279" s="164"/>
      <c r="E279" s="164"/>
      <c r="F279" s="164"/>
      <c r="G279" s="164"/>
      <c r="H279" s="164"/>
      <c r="I279" s="32"/>
      <c r="N279" s="32"/>
    </row>
    <row r="280" spans="1:14" s="64" customFormat="1" x14ac:dyDescent="0.25">
      <c r="A280" s="96">
        <v>1</v>
      </c>
      <c r="B280" s="96"/>
      <c r="C280" s="96" t="s">
        <v>313</v>
      </c>
      <c r="D280" s="96"/>
      <c r="E280" s="96"/>
      <c r="F280" s="96"/>
      <c r="G280" s="96"/>
      <c r="H280" s="96"/>
      <c r="I280" s="32"/>
      <c r="N280" s="32"/>
    </row>
    <row r="281" spans="1:14" s="64" customFormat="1" x14ac:dyDescent="0.25">
      <c r="A281" s="91">
        <f>A280+1</f>
        <v>2</v>
      </c>
      <c r="B281" s="92"/>
      <c r="C281" s="96"/>
      <c r="D281" s="96"/>
      <c r="E281" s="96"/>
      <c r="F281" s="96"/>
      <c r="G281" s="96"/>
      <c r="H281" s="96"/>
      <c r="I281" s="32"/>
      <c r="N281" s="32"/>
    </row>
    <row r="282" spans="1:14" s="64" customFormat="1" x14ac:dyDescent="0.25">
      <c r="A282" s="91">
        <f>A281+1</f>
        <v>3</v>
      </c>
      <c r="B282" s="92"/>
      <c r="C282" s="96"/>
      <c r="D282" s="96"/>
      <c r="E282" s="96"/>
      <c r="F282" s="96"/>
      <c r="G282" s="96"/>
      <c r="H282" s="96"/>
      <c r="I282" s="32"/>
      <c r="N282" s="32"/>
    </row>
    <row r="283" spans="1:14" s="64" customFormat="1" x14ac:dyDescent="0.25">
      <c r="A283" s="91">
        <f>A282+1</f>
        <v>4</v>
      </c>
      <c r="B283" s="92"/>
      <c r="C283" s="96"/>
      <c r="D283" s="96"/>
      <c r="E283" s="96"/>
      <c r="F283" s="96"/>
      <c r="G283" s="96"/>
      <c r="H283" s="96"/>
      <c r="I283" s="32"/>
      <c r="N283" s="32"/>
    </row>
    <row r="284" spans="1:14" s="64" customFormat="1" x14ac:dyDescent="0.25">
      <c r="A284" s="91">
        <f>A283+1</f>
        <v>5</v>
      </c>
      <c r="B284" s="92"/>
      <c r="C284" s="77" t="s">
        <v>306</v>
      </c>
      <c r="D284" s="67">
        <f>(29.835)*(10.764)</f>
        <v>321.14393999999999</v>
      </c>
      <c r="E284" s="67">
        <f>0*(10.764)</f>
        <v>0</v>
      </c>
      <c r="F284" s="77">
        <f t="shared" ref="F284:F287" si="57">D284+E284</f>
        <v>321.14393999999999</v>
      </c>
      <c r="G284" s="77">
        <v>0</v>
      </c>
      <c r="H284" s="77">
        <f>F284*(($H$152)+1)+(IF(G284&lt;101,G284,IF(G284&lt;201,G284/2,IF(G284&lt;=301,G284/3,G284/4))))</f>
        <v>481.71591000000001</v>
      </c>
      <c r="I284" s="32"/>
      <c r="N284" s="32"/>
    </row>
    <row r="285" spans="1:14" s="64" customFormat="1" x14ac:dyDescent="0.25">
      <c r="A285" s="91">
        <f t="shared" ref="A285:A288" si="58">A284+1</f>
        <v>6</v>
      </c>
      <c r="B285" s="92"/>
      <c r="C285" s="77" t="s">
        <v>307</v>
      </c>
      <c r="D285" s="67">
        <f>(45.803)*(10.764)</f>
        <v>493.02349199999992</v>
      </c>
      <c r="E285" s="67">
        <f>(2.05)*(10.764)</f>
        <v>22.066199999999998</v>
      </c>
      <c r="F285" s="77">
        <f t="shared" si="57"/>
        <v>515.0896919999999</v>
      </c>
      <c r="G285" s="77">
        <v>0</v>
      </c>
      <c r="H285" s="77">
        <f>F285*(($H$152)+1)+(IF(G285&lt;101,G285,IF(G285&lt;201,G285/2,IF(G285&lt;=301,G285/3,G285/4))))</f>
        <v>772.63453799999979</v>
      </c>
      <c r="I285" s="32"/>
      <c r="N285" s="32"/>
    </row>
    <row r="286" spans="1:14" s="64" customFormat="1" x14ac:dyDescent="0.25">
      <c r="A286" s="91">
        <f t="shared" si="58"/>
        <v>7</v>
      </c>
      <c r="B286" s="92"/>
      <c r="C286" s="77" t="s">
        <v>307</v>
      </c>
      <c r="D286" s="67">
        <f>(45.803)*(10.764)</f>
        <v>493.02349199999992</v>
      </c>
      <c r="E286" s="67">
        <f>(2.05)*(10.764)</f>
        <v>22.066199999999998</v>
      </c>
      <c r="F286" s="77">
        <f t="shared" si="57"/>
        <v>515.0896919999999</v>
      </c>
      <c r="G286" s="77">
        <v>0</v>
      </c>
      <c r="H286" s="77">
        <f>F286*(($H$152)+1)+(IF(G286&lt;101,G286,IF(G286&lt;201,G286/2,IF(G286&lt;=301,G286/3,G286/4))))</f>
        <v>772.63453799999979</v>
      </c>
      <c r="I286" s="32"/>
      <c r="N286" s="32"/>
    </row>
    <row r="287" spans="1:14" s="64" customFormat="1" x14ac:dyDescent="0.25">
      <c r="A287" s="91">
        <f t="shared" si="58"/>
        <v>8</v>
      </c>
      <c r="B287" s="92"/>
      <c r="C287" s="77" t="s">
        <v>307</v>
      </c>
      <c r="D287" s="67">
        <f>(45.803)*(10.764)</f>
        <v>493.02349199999992</v>
      </c>
      <c r="E287" s="67">
        <f>(2.05)*(10.764)</f>
        <v>22.066199999999998</v>
      </c>
      <c r="F287" s="77">
        <f t="shared" si="57"/>
        <v>515.0896919999999</v>
      </c>
      <c r="G287" s="77">
        <v>0</v>
      </c>
      <c r="H287" s="77">
        <f>F287*(($H$152)+1)+(IF(G287&lt;101,G287,IF(G287&lt;201,G287/2,IF(G287&lt;=301,G287/3,G287/4))))</f>
        <v>772.63453799999979</v>
      </c>
      <c r="I287" s="32"/>
      <c r="N287" s="32"/>
    </row>
    <row r="288" spans="1:14" s="64" customFormat="1" x14ac:dyDescent="0.25">
      <c r="A288" s="91">
        <f t="shared" si="58"/>
        <v>9</v>
      </c>
      <c r="B288" s="92"/>
      <c r="C288" s="96" t="s">
        <v>313</v>
      </c>
      <c r="D288" s="96"/>
      <c r="E288" s="96"/>
      <c r="F288" s="96"/>
      <c r="G288" s="96"/>
      <c r="H288" s="96"/>
      <c r="I288" s="32"/>
      <c r="N288" s="32"/>
    </row>
    <row r="289" spans="1:20" s="64" customFormat="1" x14ac:dyDescent="0.25">
      <c r="A289" s="91">
        <f>A288+1</f>
        <v>10</v>
      </c>
      <c r="B289" s="92"/>
      <c r="C289" s="96"/>
      <c r="D289" s="96"/>
      <c r="E289" s="96"/>
      <c r="F289" s="96"/>
      <c r="G289" s="96"/>
      <c r="H289" s="96"/>
      <c r="I289" s="32"/>
      <c r="N289" s="32"/>
    </row>
    <row r="290" spans="1:20" s="31" customFormat="1" x14ac:dyDescent="0.25">
      <c r="A290" s="98" t="s">
        <v>65</v>
      </c>
      <c r="B290" s="98"/>
      <c r="C290" s="98"/>
      <c r="D290" s="98"/>
      <c r="E290" s="98"/>
      <c r="F290" s="98"/>
      <c r="G290" s="98"/>
      <c r="H290" s="98"/>
      <c r="T290" s="33"/>
    </row>
    <row r="291" spans="1:20" s="31" customFormat="1" x14ac:dyDescent="0.25">
      <c r="A291" s="87">
        <v>1</v>
      </c>
      <c r="B291" s="88" t="s">
        <v>361</v>
      </c>
      <c r="C291" s="89"/>
      <c r="D291" s="89"/>
      <c r="E291" s="89"/>
      <c r="F291" s="89"/>
      <c r="G291" s="89"/>
      <c r="H291" s="90"/>
      <c r="T291" s="33"/>
    </row>
    <row r="292" spans="1:20" s="31" customFormat="1" x14ac:dyDescent="0.25">
      <c r="A292" s="87">
        <f>A291+1</f>
        <v>2</v>
      </c>
      <c r="B292" s="155" t="str">
        <f>(IF(H151="Saleable area Loading :","We have considered Saleable area of Flats as per our Calculation.","We considered Saleable area of Flat as per Builder area Sheet."))</f>
        <v>We have considered Saleable area of Flats as per our Calculation.</v>
      </c>
      <c r="C292" s="156"/>
      <c r="D292" s="156"/>
      <c r="E292" s="156"/>
      <c r="F292" s="156"/>
      <c r="G292" s="156"/>
      <c r="H292" s="157"/>
      <c r="T292" s="33"/>
    </row>
    <row r="293" spans="1:20" s="31" customFormat="1" x14ac:dyDescent="0.25">
      <c r="A293" s="87">
        <f t="shared" ref="A293:A302" si="59">A292+1</f>
        <v>3</v>
      </c>
      <c r="B293" s="155" t="str">
        <f>(IF(H129="Saleable area Loading :","We have considered Saleable area of Commercial as per our Calculation.","We considered Saleable area of Commercial as per Builder area Sheet."))</f>
        <v>We have considered Saleable area of Commercial as per our Calculation.</v>
      </c>
      <c r="C293" s="156"/>
      <c r="D293" s="156"/>
      <c r="E293" s="156"/>
      <c r="F293" s="156"/>
      <c r="G293" s="156"/>
      <c r="H293" s="157"/>
      <c r="T293" s="33"/>
    </row>
    <row r="294" spans="1:20" s="31" customFormat="1" x14ac:dyDescent="0.25">
      <c r="A294" s="87">
        <f t="shared" si="59"/>
        <v>4</v>
      </c>
      <c r="B294" s="99" t="s">
        <v>115</v>
      </c>
      <c r="C294" s="100"/>
      <c r="D294" s="100"/>
      <c r="E294" s="100"/>
      <c r="F294" s="100"/>
      <c r="G294" s="100"/>
      <c r="H294" s="101"/>
      <c r="T294" s="33"/>
    </row>
    <row r="295" spans="1:20" s="31" customFormat="1" x14ac:dyDescent="0.25">
      <c r="A295" s="87">
        <f t="shared" si="59"/>
        <v>5</v>
      </c>
      <c r="B295" s="99" t="s">
        <v>350</v>
      </c>
      <c r="C295" s="100"/>
      <c r="D295" s="100"/>
      <c r="E295" s="100"/>
      <c r="F295" s="100"/>
      <c r="G295" s="100"/>
      <c r="H295" s="101"/>
      <c r="T295" s="33"/>
    </row>
    <row r="296" spans="1:20" s="31" customFormat="1" x14ac:dyDescent="0.25">
      <c r="A296" s="87">
        <f t="shared" si="59"/>
        <v>6</v>
      </c>
      <c r="B296" s="99" t="s">
        <v>144</v>
      </c>
      <c r="C296" s="100"/>
      <c r="D296" s="100"/>
      <c r="E296" s="100"/>
      <c r="F296" s="100"/>
      <c r="G296" s="100"/>
      <c r="H296" s="101"/>
    </row>
    <row r="297" spans="1:20" s="31" customFormat="1" x14ac:dyDescent="0.25">
      <c r="A297" s="87">
        <f t="shared" si="59"/>
        <v>7</v>
      </c>
      <c r="B297" s="99" t="s">
        <v>116</v>
      </c>
      <c r="C297" s="100"/>
      <c r="D297" s="100"/>
      <c r="E297" s="100"/>
      <c r="F297" s="100"/>
      <c r="G297" s="100"/>
      <c r="H297" s="101"/>
    </row>
    <row r="298" spans="1:20" s="31" customFormat="1" ht="34.5" hidden="1" customHeight="1" x14ac:dyDescent="0.25">
      <c r="A298" s="87">
        <f t="shared" si="59"/>
        <v>8</v>
      </c>
      <c r="B298" s="99" t="s">
        <v>145</v>
      </c>
      <c r="C298" s="100"/>
      <c r="D298" s="100"/>
      <c r="E298" s="100"/>
      <c r="F298" s="100"/>
      <c r="G298" s="100"/>
      <c r="H298" s="101"/>
    </row>
    <row r="299" spans="1:20" s="31" customFormat="1" x14ac:dyDescent="0.25">
      <c r="A299" s="87">
        <f t="shared" si="59"/>
        <v>9</v>
      </c>
      <c r="B299" s="99" t="s">
        <v>117</v>
      </c>
      <c r="C299" s="100"/>
      <c r="D299" s="100"/>
      <c r="E299" s="100"/>
      <c r="F299" s="100"/>
      <c r="G299" s="100"/>
      <c r="H299" s="101"/>
    </row>
    <row r="300" spans="1:20" s="31" customFormat="1" x14ac:dyDescent="0.25">
      <c r="A300" s="87">
        <f t="shared" si="59"/>
        <v>10</v>
      </c>
      <c r="B300" s="88" t="s">
        <v>362</v>
      </c>
      <c r="C300" s="89"/>
      <c r="D300" s="89"/>
      <c r="E300" s="89"/>
      <c r="F300" s="89"/>
      <c r="G300" s="89"/>
      <c r="H300" s="90"/>
    </row>
    <row r="301" spans="1:20" s="31" customFormat="1" ht="30.75" customHeight="1" x14ac:dyDescent="0.25">
      <c r="A301" s="87">
        <f t="shared" si="59"/>
        <v>11</v>
      </c>
      <c r="B301" s="88" t="s">
        <v>353</v>
      </c>
      <c r="C301" s="89"/>
      <c r="D301" s="89"/>
      <c r="E301" s="89"/>
      <c r="F301" s="89"/>
      <c r="G301" s="89"/>
      <c r="H301" s="90"/>
    </row>
    <row r="302" spans="1:20" s="31" customFormat="1" x14ac:dyDescent="0.25">
      <c r="A302" s="87">
        <f t="shared" si="59"/>
        <v>12</v>
      </c>
      <c r="B302" s="88" t="s">
        <v>365</v>
      </c>
      <c r="C302" s="89"/>
      <c r="D302" s="89"/>
      <c r="E302" s="89"/>
      <c r="F302" s="89"/>
      <c r="G302" s="89"/>
      <c r="H302" s="90"/>
    </row>
    <row r="303" spans="1:20" s="31" customFormat="1" ht="31.5" customHeight="1" x14ac:dyDescent="0.25">
      <c r="A303" s="234">
        <v>13</v>
      </c>
      <c r="B303" s="230" t="s">
        <v>367</v>
      </c>
      <c r="C303" s="231"/>
      <c r="D303" s="232"/>
      <c r="E303" s="230" t="s">
        <v>368</v>
      </c>
      <c r="F303" s="231"/>
      <c r="G303" s="231"/>
      <c r="H303" s="232"/>
    </row>
    <row r="304" spans="1:20" s="31" customFormat="1" x14ac:dyDescent="0.25">
      <c r="A304" s="235"/>
      <c r="B304" s="230" t="s">
        <v>369</v>
      </c>
      <c r="C304" s="231"/>
      <c r="D304" s="232"/>
      <c r="E304" s="230" t="s">
        <v>370</v>
      </c>
      <c r="F304" s="231"/>
      <c r="G304" s="231"/>
      <c r="H304" s="232"/>
    </row>
    <row r="305" spans="1:20" s="31" customFormat="1" x14ac:dyDescent="0.25">
      <c r="A305" s="235"/>
      <c r="B305" s="230" t="s">
        <v>371</v>
      </c>
      <c r="C305" s="231"/>
      <c r="D305" s="232"/>
      <c r="E305" s="230" t="s">
        <v>372</v>
      </c>
      <c r="F305" s="231"/>
      <c r="G305" s="231"/>
      <c r="H305" s="232"/>
    </row>
    <row r="306" spans="1:20" s="31" customFormat="1" x14ac:dyDescent="0.25">
      <c r="A306" s="235"/>
      <c r="B306" s="230" t="s">
        <v>373</v>
      </c>
      <c r="C306" s="231"/>
      <c r="D306" s="232"/>
      <c r="E306" s="230" t="s">
        <v>312</v>
      </c>
      <c r="F306" s="231"/>
      <c r="G306" s="231"/>
      <c r="H306" s="232"/>
    </row>
    <row r="307" spans="1:20" s="31" customFormat="1" x14ac:dyDescent="0.25">
      <c r="A307" s="236"/>
      <c r="B307" s="230" t="s">
        <v>374</v>
      </c>
      <c r="C307" s="231"/>
      <c r="D307" s="232"/>
      <c r="E307" s="230" t="s">
        <v>375</v>
      </c>
      <c r="F307" s="231"/>
      <c r="G307" s="231"/>
      <c r="H307" s="232"/>
    </row>
    <row r="308" spans="1:20" s="31" customFormat="1" ht="31.5" customHeight="1" x14ac:dyDescent="0.25">
      <c r="A308" s="87">
        <v>14</v>
      </c>
      <c r="B308" s="88" t="s">
        <v>376</v>
      </c>
      <c r="C308" s="89"/>
      <c r="D308" s="89"/>
      <c r="E308" s="89"/>
      <c r="F308" s="89"/>
      <c r="G308" s="89"/>
      <c r="H308" s="90"/>
    </row>
    <row r="309" spans="1:20" x14ac:dyDescent="0.25">
      <c r="A309" s="166" t="s">
        <v>58</v>
      </c>
      <c r="B309" s="166"/>
      <c r="C309" s="166"/>
      <c r="D309" s="166"/>
      <c r="E309" s="166"/>
      <c r="F309" s="166"/>
      <c r="G309" s="166"/>
      <c r="H309" s="166"/>
      <c r="T309" s="31"/>
    </row>
    <row r="310" spans="1:20" x14ac:dyDescent="0.25">
      <c r="A310" s="107" t="s">
        <v>59</v>
      </c>
      <c r="B310" s="107"/>
      <c r="C310" s="107"/>
      <c r="D310" s="107"/>
      <c r="E310" s="107"/>
      <c r="F310" s="107"/>
      <c r="G310" s="107"/>
      <c r="H310" s="107"/>
      <c r="T310" s="31"/>
    </row>
    <row r="311" spans="1:20" ht="15.75" customHeight="1" x14ac:dyDescent="0.25">
      <c r="A311" s="145" t="s">
        <v>60</v>
      </c>
      <c r="B311" s="145"/>
      <c r="C311" s="145"/>
      <c r="D311" s="145"/>
      <c r="E311" s="145"/>
      <c r="F311" s="145"/>
      <c r="G311" s="145"/>
      <c r="H311" s="145"/>
      <c r="T311" s="31"/>
    </row>
    <row r="312" spans="1:20" x14ac:dyDescent="0.25">
      <c r="A312" s="107" t="s">
        <v>61</v>
      </c>
      <c r="B312" s="107"/>
      <c r="C312" s="107"/>
      <c r="D312" s="107"/>
      <c r="E312" s="107"/>
      <c r="F312" s="107"/>
      <c r="G312" s="107"/>
      <c r="H312" s="107"/>
      <c r="T312" s="31"/>
    </row>
    <row r="313" spans="1:20" x14ac:dyDescent="0.25">
      <c r="A313" s="107" t="s">
        <v>62</v>
      </c>
      <c r="B313" s="107"/>
      <c r="C313" s="107"/>
      <c r="D313" s="107"/>
      <c r="E313" s="107"/>
      <c r="F313" s="107"/>
      <c r="G313" s="107"/>
      <c r="H313" s="107"/>
      <c r="T313" s="31"/>
    </row>
    <row r="314" spans="1:20" x14ac:dyDescent="0.25">
      <c r="A314" s="107" t="s">
        <v>118</v>
      </c>
      <c r="B314" s="107"/>
      <c r="C314" s="107"/>
      <c r="D314" s="107"/>
      <c r="E314" s="107"/>
      <c r="F314" s="107"/>
      <c r="G314" s="107"/>
      <c r="H314" s="107"/>
      <c r="T314" s="31"/>
    </row>
    <row r="315" spans="1:20" ht="33.950000000000003" customHeight="1" x14ac:dyDescent="0.25">
      <c r="A315" s="113" t="s">
        <v>119</v>
      </c>
      <c r="B315" s="113"/>
      <c r="C315" s="113"/>
      <c r="D315" s="113"/>
      <c r="E315" s="113"/>
      <c r="F315" s="113"/>
      <c r="G315" s="113"/>
      <c r="H315" s="113"/>
    </row>
    <row r="316" spans="1:20" x14ac:dyDescent="0.25">
      <c r="A316" s="159" t="s">
        <v>72</v>
      </c>
      <c r="B316" s="159"/>
      <c r="C316" s="159" t="s">
        <v>363</v>
      </c>
      <c r="D316" s="159"/>
      <c r="E316" s="159" t="s">
        <v>100</v>
      </c>
      <c r="F316" s="159"/>
      <c r="G316" s="160" t="s">
        <v>379</v>
      </c>
      <c r="H316" s="160"/>
    </row>
    <row r="317" spans="1:20" x14ac:dyDescent="0.25">
      <c r="A317" s="158" t="s">
        <v>74</v>
      </c>
      <c r="B317" s="158"/>
      <c r="C317" s="158"/>
      <c r="D317" s="158"/>
      <c r="E317" s="158"/>
      <c r="F317" s="158"/>
      <c r="G317" s="158"/>
      <c r="H317" s="158"/>
    </row>
    <row r="318" spans="1:20" x14ac:dyDescent="0.25">
      <c r="A318" s="158"/>
      <c r="B318" s="158"/>
      <c r="C318" s="158"/>
      <c r="D318" s="158"/>
      <c r="E318" s="158"/>
      <c r="F318" s="158"/>
      <c r="G318" s="158"/>
      <c r="H318" s="158"/>
    </row>
    <row r="319" spans="1:20" x14ac:dyDescent="0.25">
      <c r="A319" s="158"/>
      <c r="B319" s="158"/>
      <c r="C319" s="158"/>
      <c r="D319" s="158"/>
      <c r="E319" s="158"/>
      <c r="F319" s="158"/>
      <c r="G319" s="158"/>
      <c r="H319" s="158"/>
    </row>
    <row r="320" spans="1:20" x14ac:dyDescent="0.25">
      <c r="A320" s="158"/>
      <c r="B320" s="158"/>
      <c r="C320" s="158"/>
      <c r="D320" s="158"/>
      <c r="E320" s="158"/>
      <c r="F320" s="158"/>
      <c r="G320" s="158"/>
      <c r="H320" s="158"/>
    </row>
    <row r="321" spans="1:8" x14ac:dyDescent="0.25">
      <c r="A321" s="34" t="s">
        <v>63</v>
      </c>
      <c r="B321" s="35"/>
      <c r="C321" s="35"/>
      <c r="D321" s="34" t="str">
        <f>E9</f>
        <v>9 Meraki</v>
      </c>
      <c r="F321" s="35"/>
      <c r="G321" s="35"/>
      <c r="H321" s="35"/>
    </row>
    <row r="322" spans="1:8" x14ac:dyDescent="0.25">
      <c r="A322" s="35"/>
      <c r="B322" s="35"/>
      <c r="C322" s="35"/>
      <c r="D322" s="35"/>
      <c r="E322" s="35"/>
      <c r="F322" s="35"/>
      <c r="G322" s="35"/>
      <c r="H322" s="35"/>
    </row>
    <row r="323" spans="1:8" x14ac:dyDescent="0.25">
      <c r="A323" s="35"/>
      <c r="B323" s="35"/>
      <c r="C323" s="35"/>
      <c r="D323" s="35"/>
      <c r="E323" s="35"/>
      <c r="F323" s="35"/>
      <c r="G323" s="35"/>
      <c r="H323" s="35"/>
    </row>
    <row r="324" spans="1:8" ht="15" customHeight="1" x14ac:dyDescent="0.25"/>
    <row r="364" spans="1:1" x14ac:dyDescent="0.25">
      <c r="A364" s="37" t="s">
        <v>377</v>
      </c>
    </row>
    <row r="407" spans="1:1" x14ac:dyDescent="0.25">
      <c r="A407" s="37" t="s">
        <v>377</v>
      </c>
    </row>
    <row r="450" spans="1:1" x14ac:dyDescent="0.25">
      <c r="A450" s="37" t="s">
        <v>377</v>
      </c>
    </row>
    <row r="493" spans="1:1" x14ac:dyDescent="0.25">
      <c r="A493" s="37" t="s">
        <v>377</v>
      </c>
    </row>
    <row r="536" spans="1:1" x14ac:dyDescent="0.25">
      <c r="A536" s="37" t="s">
        <v>377</v>
      </c>
    </row>
    <row r="579" spans="1:1" x14ac:dyDescent="0.25">
      <c r="A579" s="37" t="s">
        <v>377</v>
      </c>
    </row>
    <row r="622" spans="1:1" x14ac:dyDescent="0.25">
      <c r="A622" s="37" t="s">
        <v>377</v>
      </c>
    </row>
    <row r="665" spans="1:1" x14ac:dyDescent="0.25">
      <c r="A665" s="37" t="s">
        <v>377</v>
      </c>
    </row>
    <row r="708" spans="1:1" x14ac:dyDescent="0.25">
      <c r="A708" s="37" t="s">
        <v>155</v>
      </c>
    </row>
    <row r="751" spans="1:1" x14ac:dyDescent="0.25">
      <c r="A751" s="37" t="s">
        <v>64</v>
      </c>
    </row>
  </sheetData>
  <mergeCells count="483">
    <mergeCell ref="B305:D305"/>
    <mergeCell ref="E305:H305"/>
    <mergeCell ref="B306:D306"/>
    <mergeCell ref="E306:H306"/>
    <mergeCell ref="B307:D307"/>
    <mergeCell ref="E307:H307"/>
    <mergeCell ref="B308:H308"/>
    <mergeCell ref="B303:D303"/>
    <mergeCell ref="E303:H303"/>
    <mergeCell ref="B304:D304"/>
    <mergeCell ref="E304:H304"/>
    <mergeCell ref="A303:A307"/>
    <mergeCell ref="A58:B59"/>
    <mergeCell ref="C58:E58"/>
    <mergeCell ref="G58:H58"/>
    <mergeCell ref="C59:H59"/>
    <mergeCell ref="A283:B283"/>
    <mergeCell ref="A284:B284"/>
    <mergeCell ref="A285:B285"/>
    <mergeCell ref="A286:B286"/>
    <mergeCell ref="A287:B287"/>
    <mergeCell ref="A268:H268"/>
    <mergeCell ref="A269:B269"/>
    <mergeCell ref="A270:B270"/>
    <mergeCell ref="A271:B271"/>
    <mergeCell ref="A272:B272"/>
    <mergeCell ref="A273:B273"/>
    <mergeCell ref="A274:B274"/>
    <mergeCell ref="A260:B260"/>
    <mergeCell ref="A261:B261"/>
    <mergeCell ref="A262:B262"/>
    <mergeCell ref="A263:B263"/>
    <mergeCell ref="A264:B264"/>
    <mergeCell ref="A265:B265"/>
    <mergeCell ref="A266:B266"/>
    <mergeCell ref="C261:H261"/>
    <mergeCell ref="A288:B288"/>
    <mergeCell ref="A289:B289"/>
    <mergeCell ref="C280:H283"/>
    <mergeCell ref="C288:H289"/>
    <mergeCell ref="A275:B275"/>
    <mergeCell ref="A276:B276"/>
    <mergeCell ref="A277:B277"/>
    <mergeCell ref="A278:B278"/>
    <mergeCell ref="A279:H279"/>
    <mergeCell ref="A280:B280"/>
    <mergeCell ref="A281:B281"/>
    <mergeCell ref="A282:B282"/>
    <mergeCell ref="A267:H267"/>
    <mergeCell ref="A252:B252"/>
    <mergeCell ref="A253:B253"/>
    <mergeCell ref="A254:B254"/>
    <mergeCell ref="A255:B255"/>
    <mergeCell ref="A256:H256"/>
    <mergeCell ref="A257:B257"/>
    <mergeCell ref="A258:B258"/>
    <mergeCell ref="A259:B259"/>
    <mergeCell ref="A243:B243"/>
    <mergeCell ref="A244:B244"/>
    <mergeCell ref="A245:H245"/>
    <mergeCell ref="A246:B246"/>
    <mergeCell ref="A247:B247"/>
    <mergeCell ref="A248:B248"/>
    <mergeCell ref="A249:B249"/>
    <mergeCell ref="A250:B250"/>
    <mergeCell ref="A251:B251"/>
    <mergeCell ref="A234:H234"/>
    <mergeCell ref="A235:B235"/>
    <mergeCell ref="A236:B236"/>
    <mergeCell ref="A237:B237"/>
    <mergeCell ref="A238:B238"/>
    <mergeCell ref="A239:B239"/>
    <mergeCell ref="A240:B240"/>
    <mergeCell ref="A241:B241"/>
    <mergeCell ref="A242:B242"/>
    <mergeCell ref="C221:H222"/>
    <mergeCell ref="C223:H223"/>
    <mergeCell ref="C230:H232"/>
    <mergeCell ref="A233:H233"/>
    <mergeCell ref="A220:H220"/>
    <mergeCell ref="A221:B221"/>
    <mergeCell ref="A222:B222"/>
    <mergeCell ref="A223:B223"/>
    <mergeCell ref="A224:B224"/>
    <mergeCell ref="A225:B225"/>
    <mergeCell ref="A226:B226"/>
    <mergeCell ref="A227:B227"/>
    <mergeCell ref="A228:B228"/>
    <mergeCell ref="A199:B199"/>
    <mergeCell ref="A200:B200"/>
    <mergeCell ref="A201:B201"/>
    <mergeCell ref="A202:B202"/>
    <mergeCell ref="A203:B203"/>
    <mergeCell ref="A204:B204"/>
    <mergeCell ref="A205:B205"/>
    <mergeCell ref="A206:B206"/>
    <mergeCell ref="C195:H195"/>
    <mergeCell ref="C196:H196"/>
    <mergeCell ref="A195:B195"/>
    <mergeCell ref="A196:B196"/>
    <mergeCell ref="A197:B197"/>
    <mergeCell ref="A198:B198"/>
    <mergeCell ref="A103:B103"/>
    <mergeCell ref="A125:B125"/>
    <mergeCell ref="E125:F125"/>
    <mergeCell ref="A114:E114"/>
    <mergeCell ref="G125:H125"/>
    <mergeCell ref="C120:D120"/>
    <mergeCell ref="G120:H120"/>
    <mergeCell ref="A120:B120"/>
    <mergeCell ref="E120:F120"/>
    <mergeCell ref="A124:B124"/>
    <mergeCell ref="C124:D124"/>
    <mergeCell ref="E124:F124"/>
    <mergeCell ref="G124:H124"/>
    <mergeCell ref="F104:H104"/>
    <mergeCell ref="F109:H109"/>
    <mergeCell ref="E122:F122"/>
    <mergeCell ref="A109:E109"/>
    <mergeCell ref="G94:H103"/>
    <mergeCell ref="A108:E108"/>
    <mergeCell ref="A107:E107"/>
    <mergeCell ref="A104:E104"/>
    <mergeCell ref="F108:H108"/>
    <mergeCell ref="A127:H127"/>
    <mergeCell ref="A126:B126"/>
    <mergeCell ref="C126:D126"/>
    <mergeCell ref="E126:F126"/>
    <mergeCell ref="A193:H193"/>
    <mergeCell ref="A137:B137"/>
    <mergeCell ref="A138:B138"/>
    <mergeCell ref="A139:B139"/>
    <mergeCell ref="A140:B140"/>
    <mergeCell ref="A141:B141"/>
    <mergeCell ref="A142:B142"/>
    <mergeCell ref="A143:B143"/>
    <mergeCell ref="A144:B144"/>
    <mergeCell ref="A145:B145"/>
    <mergeCell ref="A192:B192"/>
    <mergeCell ref="A181:B181"/>
    <mergeCell ref="A182:B182"/>
    <mergeCell ref="A183:B183"/>
    <mergeCell ref="A184:B184"/>
    <mergeCell ref="A185:B185"/>
    <mergeCell ref="A158:B158"/>
    <mergeCell ref="D129:D130"/>
    <mergeCell ref="A191:B191"/>
    <mergeCell ref="A174:B174"/>
    <mergeCell ref="L154:M154"/>
    <mergeCell ref="A159:B159"/>
    <mergeCell ref="A156:B156"/>
    <mergeCell ref="A157:B157"/>
    <mergeCell ref="A40:B40"/>
    <mergeCell ref="C40:H40"/>
    <mergeCell ref="F129:F130"/>
    <mergeCell ref="C119:D119"/>
    <mergeCell ref="E119:F119"/>
    <mergeCell ref="B129:B130"/>
    <mergeCell ref="A129:A130"/>
    <mergeCell ref="C151:C152"/>
    <mergeCell ref="G151:G152"/>
    <mergeCell ref="G126:H126"/>
    <mergeCell ref="C55:H55"/>
    <mergeCell ref="A79:B79"/>
    <mergeCell ref="A49:B49"/>
    <mergeCell ref="C49:H49"/>
    <mergeCell ref="A82:B82"/>
    <mergeCell ref="A78:B78"/>
    <mergeCell ref="A76:B76"/>
    <mergeCell ref="A95:B95"/>
    <mergeCell ref="A88:B88"/>
    <mergeCell ref="G129:G130"/>
    <mergeCell ref="A39:B39"/>
    <mergeCell ref="C39:H39"/>
    <mergeCell ref="A46:D46"/>
    <mergeCell ref="L136:M136"/>
    <mergeCell ref="L135:M135"/>
    <mergeCell ref="L134:M134"/>
    <mergeCell ref="L133:M133"/>
    <mergeCell ref="A87:B87"/>
    <mergeCell ref="C123:D123"/>
    <mergeCell ref="E123:F123"/>
    <mergeCell ref="G123:H123"/>
    <mergeCell ref="A105:E105"/>
    <mergeCell ref="A132:H132"/>
    <mergeCell ref="E129:E130"/>
    <mergeCell ref="A94:B94"/>
    <mergeCell ref="A47:D47"/>
    <mergeCell ref="A48:H48"/>
    <mergeCell ref="D66:H66"/>
    <mergeCell ref="A66:C66"/>
    <mergeCell ref="A86:B86"/>
    <mergeCell ref="C92:H92"/>
    <mergeCell ref="A45:D45"/>
    <mergeCell ref="E80:F89"/>
    <mergeCell ref="G80:H89"/>
    <mergeCell ref="A38:H38"/>
    <mergeCell ref="A37:B37"/>
    <mergeCell ref="C37:E37"/>
    <mergeCell ref="A42:D42"/>
    <mergeCell ref="E42:H42"/>
    <mergeCell ref="A41:H41"/>
    <mergeCell ref="A69:C69"/>
    <mergeCell ref="A70:C70"/>
    <mergeCell ref="D69:H69"/>
    <mergeCell ref="F37:H37"/>
    <mergeCell ref="A67:C68"/>
    <mergeCell ref="D67:H67"/>
    <mergeCell ref="D68:H68"/>
    <mergeCell ref="C51:E51"/>
    <mergeCell ref="G52:H52"/>
    <mergeCell ref="A51:B51"/>
    <mergeCell ref="A63:H63"/>
    <mergeCell ref="A64:C64"/>
    <mergeCell ref="A65:C65"/>
    <mergeCell ref="D65:H65"/>
    <mergeCell ref="G62:H62"/>
    <mergeCell ref="A54:B55"/>
    <mergeCell ref="C54:E54"/>
    <mergeCell ref="G54:H54"/>
    <mergeCell ref="A44:D44"/>
    <mergeCell ref="E44:H44"/>
    <mergeCell ref="E45:H45"/>
    <mergeCell ref="E46:H46"/>
    <mergeCell ref="A93:B93"/>
    <mergeCell ref="E47:H47"/>
    <mergeCell ref="C57:H57"/>
    <mergeCell ref="A92:B92"/>
    <mergeCell ref="C76:H76"/>
    <mergeCell ref="A84:B84"/>
    <mergeCell ref="A71:C71"/>
    <mergeCell ref="D71:H71"/>
    <mergeCell ref="C78:H78"/>
    <mergeCell ref="A81:B81"/>
    <mergeCell ref="A83:B83"/>
    <mergeCell ref="E79:F79"/>
    <mergeCell ref="A72:C72"/>
    <mergeCell ref="D72:H72"/>
    <mergeCell ref="A75:C75"/>
    <mergeCell ref="D75:H75"/>
    <mergeCell ref="A73:C73"/>
    <mergeCell ref="C90:H90"/>
    <mergeCell ref="A85:B85"/>
    <mergeCell ref="A89:B8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17:H320"/>
    <mergeCell ref="A316:B316"/>
    <mergeCell ref="E316:F316"/>
    <mergeCell ref="C316:D316"/>
    <mergeCell ref="G316:H316"/>
    <mergeCell ref="A117:H117"/>
    <mergeCell ref="A115:E115"/>
    <mergeCell ref="F115:H115"/>
    <mergeCell ref="A116:E116"/>
    <mergeCell ref="F116:H116"/>
    <mergeCell ref="A154:H154"/>
    <mergeCell ref="A123:B123"/>
    <mergeCell ref="A119:B119"/>
    <mergeCell ref="A312:H312"/>
    <mergeCell ref="A121:H121"/>
    <mergeCell ref="A315:H315"/>
    <mergeCell ref="A313:H313"/>
    <mergeCell ref="A309:H309"/>
    <mergeCell ref="G122:H122"/>
    <mergeCell ref="C129:C130"/>
    <mergeCell ref="B151:B152"/>
    <mergeCell ref="A194:H194"/>
    <mergeCell ref="B301:H301"/>
    <mergeCell ref="B298:H298"/>
    <mergeCell ref="A310:H310"/>
    <mergeCell ref="A136:B136"/>
    <mergeCell ref="A135:B135"/>
    <mergeCell ref="E93:F93"/>
    <mergeCell ref="G93:H93"/>
    <mergeCell ref="A110:E110"/>
    <mergeCell ref="F110:H110"/>
    <mergeCell ref="A112:E112"/>
    <mergeCell ref="F107:H107"/>
    <mergeCell ref="A111:E111"/>
    <mergeCell ref="E94:F103"/>
    <mergeCell ref="A101:B101"/>
    <mergeCell ref="A102:B102"/>
    <mergeCell ref="A96:B96"/>
    <mergeCell ref="A97:B97"/>
    <mergeCell ref="F106:H106"/>
    <mergeCell ref="A106:E106"/>
    <mergeCell ref="B299:H299"/>
    <mergeCell ref="B297:H297"/>
    <mergeCell ref="B293:H293"/>
    <mergeCell ref="B291:H291"/>
    <mergeCell ref="B292:H292"/>
    <mergeCell ref="B294:H294"/>
    <mergeCell ref="A173:B173"/>
    <mergeCell ref="A176:B176"/>
    <mergeCell ref="A177:B177"/>
    <mergeCell ref="A178:B178"/>
    <mergeCell ref="A179:B179"/>
    <mergeCell ref="A180:H180"/>
    <mergeCell ref="A190:B190"/>
    <mergeCell ref="A164:B164"/>
    <mergeCell ref="A165:B165"/>
    <mergeCell ref="A166:B166"/>
    <mergeCell ref="A167:H167"/>
    <mergeCell ref="A168:B168"/>
    <mergeCell ref="A169:B169"/>
    <mergeCell ref="A170:B170"/>
    <mergeCell ref="A171:B171"/>
    <mergeCell ref="A172:B172"/>
    <mergeCell ref="A314:H314"/>
    <mergeCell ref="A311:H311"/>
    <mergeCell ref="A155:B155"/>
    <mergeCell ref="A122:B122"/>
    <mergeCell ref="D151:D152"/>
    <mergeCell ref="E151:E152"/>
    <mergeCell ref="A98:B98"/>
    <mergeCell ref="A99:B99"/>
    <mergeCell ref="A100:B100"/>
    <mergeCell ref="F105:H105"/>
    <mergeCell ref="G119:H119"/>
    <mergeCell ref="F111:H111"/>
    <mergeCell ref="C118:D118"/>
    <mergeCell ref="C125:D125"/>
    <mergeCell ref="A133:B133"/>
    <mergeCell ref="A146:B146"/>
    <mergeCell ref="A147:B147"/>
    <mergeCell ref="A148:B148"/>
    <mergeCell ref="A149:B149"/>
    <mergeCell ref="A131:H131"/>
    <mergeCell ref="A153:H153"/>
    <mergeCell ref="A160:B160"/>
    <mergeCell ref="A161:B161"/>
    <mergeCell ref="A162:B162"/>
    <mergeCell ref="D70:H70"/>
    <mergeCell ref="A186:B186"/>
    <mergeCell ref="A187:B187"/>
    <mergeCell ref="A188:B188"/>
    <mergeCell ref="A189:B189"/>
    <mergeCell ref="C181:H181"/>
    <mergeCell ref="A50:B50"/>
    <mergeCell ref="C50:E50"/>
    <mergeCell ref="G50:H50"/>
    <mergeCell ref="A56:B57"/>
    <mergeCell ref="C56:E56"/>
    <mergeCell ref="G56:H56"/>
    <mergeCell ref="A60:B61"/>
    <mergeCell ref="C60:E60"/>
    <mergeCell ref="G60:H60"/>
    <mergeCell ref="G51:H51"/>
    <mergeCell ref="A52:B53"/>
    <mergeCell ref="C52:E52"/>
    <mergeCell ref="C53:H53"/>
    <mergeCell ref="A150:H150"/>
    <mergeCell ref="A151:A152"/>
    <mergeCell ref="F151:F152"/>
    <mergeCell ref="A163:B163"/>
    <mergeCell ref="A175:B175"/>
    <mergeCell ref="I15:P15"/>
    <mergeCell ref="F114:H114"/>
    <mergeCell ref="F112:H112"/>
    <mergeCell ref="A128:H128"/>
    <mergeCell ref="G118:H118"/>
    <mergeCell ref="A113:E113"/>
    <mergeCell ref="A134:B134"/>
    <mergeCell ref="A62:B62"/>
    <mergeCell ref="C62:E62"/>
    <mergeCell ref="D64:H64"/>
    <mergeCell ref="F113:H113"/>
    <mergeCell ref="E118:F118"/>
    <mergeCell ref="A118:B118"/>
    <mergeCell ref="C122:D122"/>
    <mergeCell ref="D73:H73"/>
    <mergeCell ref="A74:C74"/>
    <mergeCell ref="E43:H43"/>
    <mergeCell ref="A43:D43"/>
    <mergeCell ref="A90:B90"/>
    <mergeCell ref="C61:E61"/>
    <mergeCell ref="G61:H61"/>
    <mergeCell ref="D74:H74"/>
    <mergeCell ref="A80:B80"/>
    <mergeCell ref="G79:H79"/>
    <mergeCell ref="B302:H302"/>
    <mergeCell ref="A214:B214"/>
    <mergeCell ref="A215:B215"/>
    <mergeCell ref="A216:B216"/>
    <mergeCell ref="A217:B217"/>
    <mergeCell ref="A218:B218"/>
    <mergeCell ref="A219:B219"/>
    <mergeCell ref="B300:H300"/>
    <mergeCell ref="A207:H207"/>
    <mergeCell ref="A208:B208"/>
    <mergeCell ref="C208:H208"/>
    <mergeCell ref="A209:B209"/>
    <mergeCell ref="C209:H209"/>
    <mergeCell ref="A210:B210"/>
    <mergeCell ref="A211:B211"/>
    <mergeCell ref="A212:B212"/>
    <mergeCell ref="A213:B213"/>
    <mergeCell ref="A290:H290"/>
    <mergeCell ref="B295:H295"/>
    <mergeCell ref="B296:H296"/>
    <mergeCell ref="A229:B229"/>
    <mergeCell ref="A230:B230"/>
    <mergeCell ref="A231:B231"/>
    <mergeCell ref="A232:B23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316:H316">
      <formula1>"Kunal Kadam,Pranita Mhatre,Shruti Fule,Pooja Kawale,Neha Dhokale,Shruti Tathare, Hitakshi Mhatre, Sachin Sawant"</formula1>
    </dataValidation>
    <dataValidation type="list" allowBlank="1" showInputMessage="1" showErrorMessage="1" sqref="F104:H104">
      <formula1>"On Saleable Area,On Builtup Area,On Carpet Area,On Plot Area"</formula1>
    </dataValidation>
    <dataValidation type="list" allowBlank="1" showInputMessage="1" showErrorMessage="1" sqref="F115:H115">
      <formula1>OFFSET($S$104,1,MATCH($G20,$S$104:$W$104,0)-1,15,1)</formula1>
    </dataValidation>
    <dataValidation type="list" allowBlank="1" showInputMessage="1" showErrorMessage="1" sqref="B129:B130">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30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formula1>0</formula1>
      <formula2>H77</formula2>
    </dataValidation>
    <dataValidation type="list" allowBlank="1" showInputMessage="1" showErrorMessage="1" sqref="H129 H151">
      <formula1>"Saleable area Loading :,Builder Saleable Area"</formula1>
    </dataValidation>
    <dataValidation type="list" allowBlank="1" showInputMessage="1" showErrorMessage="1" sqref="D129:D130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13" manualBreakCount="13">
    <brk id="75" max="7" man="1"/>
    <brk id="289" max="7" man="1"/>
    <brk id="320" max="16383" man="1"/>
    <brk id="363" max="16383" man="1"/>
    <brk id="406" max="16383" man="1"/>
    <brk id="449" max="16383" man="1"/>
    <brk id="492" max="16383" man="1"/>
    <brk id="535" max="16383" man="1"/>
    <brk id="578" max="16383" man="1"/>
    <brk id="621" max="16383" man="1"/>
    <brk id="664" max="16383" man="1"/>
    <brk id="707" max="16383" man="1"/>
    <brk id="75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3" t="s">
        <v>101</v>
      </c>
      <c r="C3" s="233"/>
      <c r="D3" s="233"/>
      <c r="E3" s="233"/>
      <c r="F3" s="233"/>
      <c r="G3" s="233"/>
      <c r="H3" s="233"/>
    </row>
    <row r="4" spans="1:9" x14ac:dyDescent="0.25">
      <c r="A4" s="2"/>
      <c r="B4" s="3" t="s">
        <v>102</v>
      </c>
      <c r="C4" s="3" t="s">
        <v>103</v>
      </c>
      <c r="D4" s="3" t="s">
        <v>66</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4"/>
      <c r="C4" s="44" t="s">
        <v>11</v>
      </c>
      <c r="D4" s="45" t="s">
        <v>169</v>
      </c>
      <c r="E4" s="45" t="s">
        <v>179</v>
      </c>
      <c r="F4" s="45" t="s">
        <v>163</v>
      </c>
      <c r="G4" s="45" t="s">
        <v>184</v>
      </c>
      <c r="H4" s="45" t="s">
        <v>202</v>
      </c>
      <c r="J4" t="s">
        <v>184</v>
      </c>
      <c r="K4" t="s">
        <v>200</v>
      </c>
    </row>
    <row r="5" spans="2:11" x14ac:dyDescent="0.25">
      <c r="B5" s="44"/>
      <c r="C5" s="44"/>
      <c r="D5" s="45" t="s">
        <v>170</v>
      </c>
      <c r="E5" s="45" t="s">
        <v>177</v>
      </c>
      <c r="F5" s="45" t="s">
        <v>199</v>
      </c>
      <c r="G5" s="45" t="s">
        <v>185</v>
      </c>
      <c r="H5" s="45" t="s">
        <v>203</v>
      </c>
    </row>
    <row r="6" spans="2:11" x14ac:dyDescent="0.25">
      <c r="B6" s="44"/>
      <c r="C6" s="44"/>
      <c r="D6" s="45" t="s">
        <v>171</v>
      </c>
      <c r="E6" s="45" t="s">
        <v>178</v>
      </c>
      <c r="F6" s="45" t="s">
        <v>200</v>
      </c>
      <c r="G6" s="45" t="s">
        <v>186</v>
      </c>
      <c r="H6" s="45" t="s">
        <v>216</v>
      </c>
    </row>
    <row r="7" spans="2:11" x14ac:dyDescent="0.25">
      <c r="B7" s="44"/>
      <c r="C7" s="44"/>
      <c r="D7" s="45" t="s">
        <v>172</v>
      </c>
      <c r="E7" s="45" t="s">
        <v>180</v>
      </c>
      <c r="F7" s="45" t="s">
        <v>201</v>
      </c>
      <c r="G7" s="45" t="s">
        <v>187</v>
      </c>
      <c r="H7" s="45" t="s">
        <v>204</v>
      </c>
    </row>
    <row r="8" spans="2:11" x14ac:dyDescent="0.25">
      <c r="B8" s="44"/>
      <c r="C8" s="44"/>
      <c r="D8" s="45" t="s">
        <v>173</v>
      </c>
      <c r="E8" s="45" t="s">
        <v>181</v>
      </c>
      <c r="F8" s="45"/>
      <c r="G8" s="45" t="s">
        <v>188</v>
      </c>
      <c r="H8" s="45" t="s">
        <v>205</v>
      </c>
    </row>
    <row r="9" spans="2:11" x14ac:dyDescent="0.25">
      <c r="B9" s="44"/>
      <c r="C9" s="44"/>
      <c r="D9" s="45" t="s">
        <v>174</v>
      </c>
      <c r="E9" s="45" t="s">
        <v>179</v>
      </c>
      <c r="F9" s="45"/>
      <c r="G9" s="45" t="s">
        <v>189</v>
      </c>
      <c r="H9" s="45" t="s">
        <v>206</v>
      </c>
    </row>
    <row r="10" spans="2:11" x14ac:dyDescent="0.25">
      <c r="B10" s="44"/>
      <c r="C10" s="44"/>
      <c r="D10" s="45" t="s">
        <v>175</v>
      </c>
      <c r="E10" s="45" t="s">
        <v>182</v>
      </c>
      <c r="F10" s="45"/>
      <c r="G10" s="45" t="s">
        <v>190</v>
      </c>
      <c r="H10" s="45" t="s">
        <v>207</v>
      </c>
    </row>
    <row r="11" spans="2:11" x14ac:dyDescent="0.25">
      <c r="B11" s="44"/>
      <c r="C11" s="44"/>
      <c r="D11" s="45" t="s">
        <v>176</v>
      </c>
      <c r="E11" s="45" t="s">
        <v>183</v>
      </c>
      <c r="F11" s="45"/>
      <c r="G11" s="45" t="s">
        <v>191</v>
      </c>
      <c r="H11" s="45" t="s">
        <v>208</v>
      </c>
    </row>
    <row r="12" spans="2:11" x14ac:dyDescent="0.25">
      <c r="B12" s="44"/>
      <c r="C12" s="44"/>
      <c r="D12" s="45"/>
      <c r="E12" s="45"/>
      <c r="F12" s="45"/>
      <c r="G12" s="45" t="s">
        <v>192</v>
      </c>
      <c r="H12" s="45" t="s">
        <v>209</v>
      </c>
    </row>
    <row r="13" spans="2:11" x14ac:dyDescent="0.25">
      <c r="B13" s="44"/>
      <c r="C13" s="44"/>
      <c r="D13" s="45"/>
      <c r="E13" s="45"/>
      <c r="F13" s="45"/>
      <c r="G13" s="45" t="s">
        <v>193</v>
      </c>
      <c r="H13" s="45" t="s">
        <v>210</v>
      </c>
    </row>
    <row r="14" spans="2:11" x14ac:dyDescent="0.25">
      <c r="B14" s="44"/>
      <c r="C14" s="44"/>
      <c r="D14" s="45"/>
      <c r="E14" s="45"/>
      <c r="F14" s="45"/>
      <c r="G14" s="45" t="s">
        <v>194</v>
      </c>
      <c r="H14" s="45" t="s">
        <v>211</v>
      </c>
    </row>
    <row r="15" spans="2:11" x14ac:dyDescent="0.25">
      <c r="B15" s="44"/>
      <c r="C15" s="44"/>
      <c r="D15" s="45"/>
      <c r="E15" s="45"/>
      <c r="F15" s="45"/>
      <c r="G15" s="45" t="s">
        <v>195</v>
      </c>
      <c r="H15" s="45" t="s">
        <v>212</v>
      </c>
    </row>
    <row r="16" spans="2:11" x14ac:dyDescent="0.25">
      <c r="B16" s="44"/>
      <c r="C16" s="44"/>
      <c r="D16" s="45"/>
      <c r="E16" s="45"/>
      <c r="F16" s="45"/>
      <c r="G16" s="45" t="s">
        <v>196</v>
      </c>
      <c r="H16" s="45" t="s">
        <v>213</v>
      </c>
    </row>
    <row r="17" spans="2:8" x14ac:dyDescent="0.25">
      <c r="B17" s="44"/>
      <c r="C17" s="44"/>
      <c r="D17" s="45"/>
      <c r="E17" s="45"/>
      <c r="F17" s="45"/>
      <c r="G17" s="45" t="s">
        <v>197</v>
      </c>
      <c r="H17" s="45" t="s">
        <v>214</v>
      </c>
    </row>
    <row r="18" spans="2:8" x14ac:dyDescent="0.25">
      <c r="B18" s="44"/>
      <c r="C18" s="44"/>
      <c r="D18" s="45"/>
      <c r="E18" s="45"/>
      <c r="F18" s="45"/>
      <c r="G18" s="45" t="s">
        <v>198</v>
      </c>
      <c r="H18" s="45" t="s">
        <v>215</v>
      </c>
    </row>
    <row r="24" spans="2:8" x14ac:dyDescent="0.25">
      <c r="C24" t="s">
        <v>160</v>
      </c>
    </row>
    <row r="25" spans="2:8" x14ac:dyDescent="0.25">
      <c r="C25" t="s">
        <v>217</v>
      </c>
    </row>
    <row r="26" spans="2:8" x14ac:dyDescent="0.25">
      <c r="C26" t="s">
        <v>218</v>
      </c>
    </row>
    <row r="27" spans="2:8" x14ac:dyDescent="0.25">
      <c r="C27" t="s">
        <v>219</v>
      </c>
    </row>
    <row r="28" spans="2:8" x14ac:dyDescent="0.25">
      <c r="C28" t="s">
        <v>220</v>
      </c>
    </row>
    <row r="29" spans="2:8" x14ac:dyDescent="0.25">
      <c r="C29" t="s">
        <v>221</v>
      </c>
    </row>
    <row r="30" spans="2:8" x14ac:dyDescent="0.25">
      <c r="C30" t="s">
        <v>160</v>
      </c>
    </row>
    <row r="33" spans="3:11" x14ac:dyDescent="0.25">
      <c r="J33">
        <v>1</v>
      </c>
      <c r="K33">
        <v>2</v>
      </c>
    </row>
    <row r="34" spans="3:11" x14ac:dyDescent="0.25">
      <c r="C34" s="47" t="s">
        <v>227</v>
      </c>
      <c r="D34" s="45" t="s">
        <v>225</v>
      </c>
      <c r="E34" s="45" t="s">
        <v>230</v>
      </c>
      <c r="F34" s="45" t="s">
        <v>228</v>
      </c>
      <c r="G34" s="45" t="s">
        <v>229</v>
      </c>
      <c r="H34" s="45" t="s">
        <v>231</v>
      </c>
      <c r="J34" t="s">
        <v>184</v>
      </c>
      <c r="K34" t="s">
        <v>200</v>
      </c>
    </row>
    <row r="35" spans="3:11" x14ac:dyDescent="0.25">
      <c r="C35" s="44" t="s">
        <v>226</v>
      </c>
      <c r="D35" s="45" t="s">
        <v>161</v>
      </c>
      <c r="E35" s="45" t="s">
        <v>235</v>
      </c>
      <c r="F35" s="45" t="s">
        <v>237</v>
      </c>
      <c r="G35" s="45" t="s">
        <v>239</v>
      </c>
      <c r="H35" s="45"/>
    </row>
    <row r="36" spans="3:11" x14ac:dyDescent="0.25">
      <c r="C36" s="44"/>
      <c r="D36" s="45" t="s">
        <v>232</v>
      </c>
      <c r="E36" s="45" t="s">
        <v>236</v>
      </c>
      <c r="F36" s="45" t="s">
        <v>238</v>
      </c>
      <c r="G36" s="45" t="s">
        <v>240</v>
      </c>
      <c r="H36" s="45"/>
    </row>
    <row r="37" spans="3:11" x14ac:dyDescent="0.25">
      <c r="C37" s="44"/>
      <c r="D37" s="45" t="s">
        <v>233</v>
      </c>
      <c r="E37" s="45"/>
      <c r="F37" s="45"/>
      <c r="G37" s="45" t="s">
        <v>241</v>
      </c>
      <c r="H37" s="45"/>
    </row>
    <row r="38" spans="3:11" x14ac:dyDescent="0.25">
      <c r="C38" s="44"/>
      <c r="D38" s="45" t="s">
        <v>234</v>
      </c>
      <c r="E38" s="45"/>
      <c r="F38" s="45"/>
      <c r="G38" s="45" t="s">
        <v>241</v>
      </c>
      <c r="H38" s="45"/>
    </row>
    <row r="39" spans="3:11" x14ac:dyDescent="0.25">
      <c r="C39" s="44"/>
      <c r="D39" s="45"/>
      <c r="E39" s="45"/>
      <c r="F39" s="45"/>
      <c r="G39" s="45" t="s">
        <v>242</v>
      </c>
      <c r="H39" s="45"/>
    </row>
    <row r="40" spans="3:11" x14ac:dyDescent="0.25">
      <c r="C40" s="44"/>
      <c r="D40" s="45"/>
      <c r="E40" s="45"/>
      <c r="F40" s="45"/>
      <c r="G40" s="45" t="s">
        <v>243</v>
      </c>
      <c r="H40" s="45"/>
    </row>
    <row r="41" spans="3:11" x14ac:dyDescent="0.25">
      <c r="C41" s="44"/>
      <c r="D41" s="45"/>
      <c r="E41" s="45"/>
      <c r="F41" s="45"/>
      <c r="G41" s="45"/>
      <c r="H41" s="45"/>
    </row>
    <row r="43" spans="3:11" x14ac:dyDescent="0.25">
      <c r="C43" t="s">
        <v>244</v>
      </c>
    </row>
    <row r="44" spans="3:11" x14ac:dyDescent="0.25">
      <c r="C44" t="s">
        <v>163</v>
      </c>
      <c r="D44" t="s">
        <v>245</v>
      </c>
    </row>
    <row r="45" spans="3:11" x14ac:dyDescent="0.25">
      <c r="D45" t="s">
        <v>246</v>
      </c>
    </row>
    <row r="46" spans="3:11" x14ac:dyDescent="0.25">
      <c r="D46" t="s">
        <v>247</v>
      </c>
    </row>
    <row r="47" spans="3:11" x14ac:dyDescent="0.25">
      <c r="D47" t="s">
        <v>248</v>
      </c>
    </row>
    <row r="48" spans="3:11" x14ac:dyDescent="0.25">
      <c r="D48" t="s">
        <v>249</v>
      </c>
    </row>
    <row r="49" spans="3:4" x14ac:dyDescent="0.25">
      <c r="C49" t="s">
        <v>169</v>
      </c>
      <c r="D49" t="s">
        <v>250</v>
      </c>
    </row>
    <row r="50" spans="3:4" x14ac:dyDescent="0.25">
      <c r="D50" t="s">
        <v>251</v>
      </c>
    </row>
    <row r="51" spans="3:4" x14ac:dyDescent="0.25">
      <c r="D51" t="s">
        <v>252</v>
      </c>
    </row>
    <row r="52" spans="3:4" x14ac:dyDescent="0.25">
      <c r="D52" t="s">
        <v>255</v>
      </c>
    </row>
    <row r="53" spans="3:4" x14ac:dyDescent="0.25">
      <c r="D53" t="s">
        <v>253</v>
      </c>
    </row>
    <row r="54" spans="3:4" x14ac:dyDescent="0.25">
      <c r="D54" t="s">
        <v>254</v>
      </c>
    </row>
    <row r="55" spans="3:4" x14ac:dyDescent="0.25">
      <c r="D55" t="s">
        <v>256</v>
      </c>
    </row>
    <row r="56" spans="3:4" x14ac:dyDescent="0.25">
      <c r="D56" t="s">
        <v>257</v>
      </c>
    </row>
    <row r="57" spans="3:4" x14ac:dyDescent="0.25">
      <c r="D57" t="s">
        <v>258</v>
      </c>
    </row>
    <row r="58" spans="3:4" x14ac:dyDescent="0.25">
      <c r="D58" t="s">
        <v>260</v>
      </c>
    </row>
    <row r="59" spans="3:4" x14ac:dyDescent="0.25">
      <c r="D59" t="s">
        <v>269</v>
      </c>
    </row>
    <row r="60" spans="3:4" x14ac:dyDescent="0.25">
      <c r="C60" t="s">
        <v>184</v>
      </c>
      <c r="D60" t="s">
        <v>261</v>
      </c>
    </row>
    <row r="61" spans="3:4" x14ac:dyDescent="0.25">
      <c r="D61" t="s">
        <v>259</v>
      </c>
    </row>
    <row r="62" spans="3:4" x14ac:dyDescent="0.25">
      <c r="D62" t="s">
        <v>249</v>
      </c>
    </row>
    <row r="63" spans="3:4" x14ac:dyDescent="0.25">
      <c r="D63" t="s">
        <v>262</v>
      </c>
    </row>
    <row r="64" spans="3:4" x14ac:dyDescent="0.25">
      <c r="D64" t="s">
        <v>263</v>
      </c>
    </row>
    <row r="65" spans="3:4" x14ac:dyDescent="0.25">
      <c r="D65" t="s">
        <v>264</v>
      </c>
    </row>
    <row r="66" spans="3:4" x14ac:dyDescent="0.25">
      <c r="D66" t="s">
        <v>265</v>
      </c>
    </row>
    <row r="67" spans="3:4" x14ac:dyDescent="0.25">
      <c r="C67" t="s">
        <v>179</v>
      </c>
      <c r="D67" t="s">
        <v>266</v>
      </c>
    </row>
    <row r="68" spans="3:4" x14ac:dyDescent="0.25">
      <c r="D68" t="s">
        <v>267</v>
      </c>
    </row>
    <row r="69" spans="3:4" x14ac:dyDescent="0.25">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48">
        <v>1</v>
      </c>
      <c r="C2" s="51" t="s">
        <v>274</v>
      </c>
    </row>
    <row r="3" spans="2:3" x14ac:dyDescent="0.25">
      <c r="B3" s="48">
        <v>2</v>
      </c>
      <c r="C3" s="49" t="s">
        <v>275</v>
      </c>
    </row>
    <row r="4" spans="2:3" x14ac:dyDescent="0.25">
      <c r="B4" s="48">
        <v>3</v>
      </c>
      <c r="C4" s="50" t="s">
        <v>276</v>
      </c>
    </row>
    <row r="5" spans="2:3" ht="30" x14ac:dyDescent="0.25">
      <c r="B5" s="48">
        <v>4</v>
      </c>
      <c r="C5" s="49" t="s">
        <v>277</v>
      </c>
    </row>
    <row r="6" spans="2:3" x14ac:dyDescent="0.25">
      <c r="B6" s="48">
        <v>5</v>
      </c>
      <c r="C6" s="50" t="s">
        <v>278</v>
      </c>
    </row>
    <row r="7" spans="2:3" ht="30" x14ac:dyDescent="0.25">
      <c r="B7" s="48">
        <v>6</v>
      </c>
      <c r="C7" s="49" t="s">
        <v>279</v>
      </c>
    </row>
    <row r="8" spans="2:3" ht="90" x14ac:dyDescent="0.25">
      <c r="B8" s="48">
        <v>7</v>
      </c>
      <c r="C8" s="49" t="s">
        <v>280</v>
      </c>
    </row>
    <row r="9" spans="2:3" x14ac:dyDescent="0.25">
      <c r="B9" s="48">
        <v>8</v>
      </c>
      <c r="C9" s="50" t="s">
        <v>281</v>
      </c>
    </row>
    <row r="10" spans="2:3" x14ac:dyDescent="0.25">
      <c r="B10" s="48">
        <v>9</v>
      </c>
      <c r="C10" s="50" t="s">
        <v>282</v>
      </c>
    </row>
    <row r="11" spans="2:3" x14ac:dyDescent="0.25">
      <c r="B11" s="48">
        <v>10</v>
      </c>
      <c r="C11" s="50" t="s">
        <v>283</v>
      </c>
    </row>
    <row r="12" spans="2:3" x14ac:dyDescent="0.25">
      <c r="B12" s="48">
        <v>11</v>
      </c>
      <c r="C12" s="50" t="s">
        <v>284</v>
      </c>
    </row>
    <row r="13" spans="2:3" x14ac:dyDescent="0.25">
      <c r="B13" s="48">
        <v>12</v>
      </c>
      <c r="C13" s="50" t="s">
        <v>285</v>
      </c>
    </row>
    <row r="14" spans="2:3" x14ac:dyDescent="0.25">
      <c r="B14" s="48">
        <v>13</v>
      </c>
      <c r="C14" s="50" t="s">
        <v>286</v>
      </c>
    </row>
    <row r="15" spans="2:3" x14ac:dyDescent="0.25">
      <c r="B15" s="48">
        <v>14</v>
      </c>
      <c r="C15" s="50" t="s">
        <v>276</v>
      </c>
    </row>
    <row r="16" spans="2:3" x14ac:dyDescent="0.25">
      <c r="B16" s="48">
        <v>15</v>
      </c>
      <c r="C16" s="50" t="s">
        <v>288</v>
      </c>
    </row>
    <row r="17" spans="2:3" ht="31.5" customHeight="1" x14ac:dyDescent="0.25">
      <c r="B17" s="54">
        <v>16</v>
      </c>
      <c r="C17" s="56" t="s">
        <v>289</v>
      </c>
    </row>
    <row r="18" spans="2:3" x14ac:dyDescent="0.25">
      <c r="B18" s="55">
        <v>17</v>
      </c>
      <c r="C18" s="56" t="s">
        <v>290</v>
      </c>
    </row>
    <row r="19" spans="2:3" x14ac:dyDescent="0.25">
      <c r="B19" s="54">
        <v>18</v>
      </c>
      <c r="C19" s="48" t="s">
        <v>291</v>
      </c>
    </row>
    <row r="20" spans="2:3" x14ac:dyDescent="0.25">
      <c r="B20" s="55">
        <v>19</v>
      </c>
      <c r="C20" s="48"/>
    </row>
    <row r="21" spans="2:3" x14ac:dyDescent="0.25">
      <c r="B21" s="57">
        <v>20</v>
      </c>
      <c r="C21" s="48"/>
    </row>
    <row r="22" spans="2:3" x14ac:dyDescent="0.25">
      <c r="B22" s="48"/>
      <c r="C22" s="48"/>
    </row>
    <row r="23" spans="2:3" x14ac:dyDescent="0.25">
      <c r="B23" s="48"/>
      <c r="C23" s="48"/>
    </row>
    <row r="24" spans="2:3" x14ac:dyDescent="0.25">
      <c r="B24" s="48"/>
      <c r="C24" s="48"/>
    </row>
    <row r="25" spans="2:3" x14ac:dyDescent="0.25">
      <c r="B25" s="48"/>
      <c r="C25" s="48"/>
    </row>
    <row r="26" spans="2:3" x14ac:dyDescent="0.25">
      <c r="B26" s="48"/>
      <c r="C26" s="4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2025-07-09T06:48:16Z</cp:lastPrinted>
  <dcterms:created xsi:type="dcterms:W3CDTF">2019-07-16T09:29:46Z</dcterms:created>
  <dcterms:modified xsi:type="dcterms:W3CDTF">2025-07-09T06:48:41Z</dcterms:modified>
</cp:coreProperties>
</file>