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prani\Downloads\11.07 Dump\"/>
    </mc:Choice>
  </mc:AlternateContent>
  <xr:revisionPtr revIDLastSave="0" documentId="13_ncr:1_{FAAC3342-460F-4630-BA27-9F2C76295B58}"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Report!$A$1:$H$686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7" i="1" l="1"/>
  <c r="C138" i="1" s="1"/>
  <c r="C112" i="1" l="1"/>
  <c r="C103" i="1" l="1"/>
  <c r="C110" i="1"/>
  <c r="D492" i="1" l="1"/>
  <c r="F492" i="1" s="1"/>
  <c r="D491" i="1"/>
  <c r="F491" i="1" s="1"/>
  <c r="D490" i="1"/>
  <c r="F490" i="1" s="1"/>
  <c r="D489" i="1"/>
  <c r="F489" i="1" s="1"/>
  <c r="D488" i="1"/>
  <c r="F488" i="1" s="1"/>
  <c r="D487" i="1"/>
  <c r="F487" i="1" s="1"/>
  <c r="D486" i="1"/>
  <c r="F486" i="1" s="1"/>
  <c r="D485" i="1"/>
  <c r="F485" i="1" s="1"/>
  <c r="D481" i="1"/>
  <c r="F481" i="1" s="1"/>
  <c r="D480" i="1"/>
  <c r="F480" i="1" s="1"/>
  <c r="D479" i="1"/>
  <c r="F479" i="1" s="1"/>
  <c r="D478" i="1"/>
  <c r="F478" i="1" s="1"/>
  <c r="D477" i="1"/>
  <c r="F477" i="1" s="1"/>
  <c r="D476" i="1"/>
  <c r="F476" i="1" s="1"/>
  <c r="D475" i="1"/>
  <c r="F475" i="1" s="1"/>
  <c r="D474" i="1"/>
  <c r="F474" i="1" s="1"/>
  <c r="D473" i="1"/>
  <c r="F473" i="1" s="1"/>
  <c r="A473" i="1"/>
  <c r="G472" i="1"/>
  <c r="D472" i="1"/>
  <c r="F472" i="1" s="1"/>
  <c r="D470" i="1"/>
  <c r="F470" i="1" s="1"/>
  <c r="D467" i="1"/>
  <c r="F467" i="1" s="1"/>
  <c r="D466" i="1"/>
  <c r="F466" i="1" s="1"/>
  <c r="D468" i="1"/>
  <c r="F468" i="1" s="1"/>
  <c r="D465" i="1"/>
  <c r="F465" i="1" s="1"/>
  <c r="D464" i="1"/>
  <c r="F464" i="1" s="1"/>
  <c r="D469" i="1"/>
  <c r="F469" i="1" s="1"/>
  <c r="D463" i="1"/>
  <c r="F463" i="1" s="1"/>
  <c r="D462" i="1"/>
  <c r="F462" i="1" s="1"/>
  <c r="D461" i="1"/>
  <c r="G483" i="1"/>
  <c r="A462" i="1"/>
  <c r="G461" i="1"/>
  <c r="D287" i="1"/>
  <c r="F287" i="1" s="1"/>
  <c r="D286" i="1"/>
  <c r="F286" i="1" s="1"/>
  <c r="D285" i="1"/>
  <c r="F285" i="1" s="1"/>
  <c r="A286" i="1"/>
  <c r="A287" i="1" s="1"/>
  <c r="G285" i="1"/>
  <c r="C131" i="1"/>
  <c r="J143" i="1"/>
  <c r="J142" i="1"/>
  <c r="J141" i="1"/>
  <c r="J140" i="1"/>
  <c r="H132" i="1"/>
  <c r="C204" i="1" l="1"/>
  <c r="F461" i="1"/>
  <c r="G204" i="1" s="1"/>
  <c r="G194" i="1"/>
  <c r="E204" i="1"/>
  <c r="E194" i="1"/>
  <c r="D139" i="1"/>
  <c r="D137" i="1"/>
  <c r="J135" i="1"/>
  <c r="J134" i="1"/>
  <c r="D143" i="1"/>
  <c r="D141" i="1"/>
  <c r="J136" i="1"/>
  <c r="D144" i="1"/>
  <c r="D142" i="1"/>
  <c r="J137" i="1"/>
  <c r="J138" i="1" s="1"/>
  <c r="D136" i="1"/>
  <c r="D135" i="1"/>
  <c r="C124" i="1"/>
  <c r="D512" i="1"/>
  <c r="F512" i="1" s="1"/>
  <c r="D511" i="1"/>
  <c r="F511" i="1" s="1"/>
  <c r="D510" i="1"/>
  <c r="F510" i="1" s="1"/>
  <c r="D509" i="1"/>
  <c r="F509" i="1" s="1"/>
  <c r="D504" i="1"/>
  <c r="F504" i="1" s="1"/>
  <c r="D503" i="1"/>
  <c r="F503" i="1" s="1"/>
  <c r="D499" i="1"/>
  <c r="F499" i="1" s="1"/>
  <c r="D498" i="1"/>
  <c r="F498" i="1" s="1"/>
  <c r="D497" i="1"/>
  <c r="F497" i="1" s="1"/>
  <c r="D500" i="1"/>
  <c r="F500" i="1" s="1"/>
  <c r="D496" i="1"/>
  <c r="F496" i="1" s="1"/>
  <c r="A509" i="1"/>
  <c r="A510" i="1" s="1"/>
  <c r="A511" i="1" s="1"/>
  <c r="A512" i="1" s="1"/>
  <c r="G508" i="1"/>
  <c r="D506" i="1"/>
  <c r="F506" i="1" s="1"/>
  <c r="D505" i="1"/>
  <c r="F505" i="1" s="1"/>
  <c r="A503" i="1"/>
  <c r="A504" i="1" s="1"/>
  <c r="A505" i="1" s="1"/>
  <c r="A506" i="1" s="1"/>
  <c r="G502" i="1"/>
  <c r="A497" i="1"/>
  <c r="A498" i="1" s="1"/>
  <c r="A499" i="1" s="1"/>
  <c r="A500" i="1" s="1"/>
  <c r="G496" i="1"/>
  <c r="D298" i="1"/>
  <c r="F298" i="1" s="1"/>
  <c r="D297" i="1"/>
  <c r="F297" i="1" s="1"/>
  <c r="D295" i="1"/>
  <c r="F295" i="1" s="1"/>
  <c r="D294" i="1"/>
  <c r="F294" i="1" s="1"/>
  <c r="D292" i="1"/>
  <c r="F292" i="1" s="1"/>
  <c r="D291" i="1"/>
  <c r="G297" i="1"/>
  <c r="G294" i="1"/>
  <c r="G291" i="1"/>
  <c r="D58" i="1"/>
  <c r="C159" i="1"/>
  <c r="J171" i="1"/>
  <c r="J170" i="1"/>
  <c r="J169" i="1"/>
  <c r="J168" i="1"/>
  <c r="D138" i="1" l="1"/>
  <c r="D140" i="1"/>
  <c r="F291" i="1"/>
  <c r="G195" i="1" s="1"/>
  <c r="E195" i="1"/>
  <c r="C205" i="1"/>
  <c r="G205" i="1"/>
  <c r="E205" i="1"/>
  <c r="J139" i="1"/>
  <c r="J144" i="1" s="1"/>
  <c r="C195" i="1"/>
  <c r="C145" i="1"/>
  <c r="J157" i="1"/>
  <c r="J156" i="1"/>
  <c r="J155" i="1"/>
  <c r="J154" i="1"/>
  <c r="D532" i="1"/>
  <c r="F532" i="1" s="1"/>
  <c r="D531" i="1"/>
  <c r="F531" i="1" s="1"/>
  <c r="A529" i="1"/>
  <c r="A530" i="1" s="1"/>
  <c r="A531" i="1" s="1"/>
  <c r="A532" i="1" s="1"/>
  <c r="G528" i="1"/>
  <c r="D528" i="1"/>
  <c r="F528" i="1" s="1"/>
  <c r="D526" i="1"/>
  <c r="F526" i="1" s="1"/>
  <c r="D525" i="1"/>
  <c r="F525" i="1" s="1"/>
  <c r="A523" i="1"/>
  <c r="A524" i="1" s="1"/>
  <c r="A525" i="1" s="1"/>
  <c r="A526" i="1" s="1"/>
  <c r="G522" i="1"/>
  <c r="D522" i="1"/>
  <c r="F522" i="1" s="1"/>
  <c r="D520" i="1"/>
  <c r="F520" i="1" s="1"/>
  <c r="D519" i="1"/>
  <c r="F519" i="1" s="1"/>
  <c r="D518" i="1"/>
  <c r="F518" i="1" s="1"/>
  <c r="D517" i="1"/>
  <c r="F517" i="1" s="1"/>
  <c r="D516" i="1"/>
  <c r="F516" i="1" s="1"/>
  <c r="A517" i="1"/>
  <c r="A518" i="1" s="1"/>
  <c r="A519" i="1" s="1"/>
  <c r="A520" i="1" s="1"/>
  <c r="G516" i="1"/>
  <c r="D318" i="1"/>
  <c r="F318" i="1" s="1"/>
  <c r="D317" i="1"/>
  <c r="F317" i="1" s="1"/>
  <c r="D316" i="1"/>
  <c r="F316" i="1" s="1"/>
  <c r="D315" i="1"/>
  <c r="F315" i="1" s="1"/>
  <c r="D314" i="1"/>
  <c r="F314" i="1" s="1"/>
  <c r="A318" i="1"/>
  <c r="G314" i="1"/>
  <c r="D312" i="1"/>
  <c r="F312" i="1" s="1"/>
  <c r="D311" i="1"/>
  <c r="F311" i="1" s="1"/>
  <c r="D310" i="1"/>
  <c r="F310" i="1" s="1"/>
  <c r="D309" i="1"/>
  <c r="F309" i="1" s="1"/>
  <c r="D308" i="1"/>
  <c r="F308" i="1" s="1"/>
  <c r="A312" i="1"/>
  <c r="G308" i="1"/>
  <c r="D306" i="1"/>
  <c r="F306" i="1" s="1"/>
  <c r="D305" i="1"/>
  <c r="F305" i="1" s="1"/>
  <c r="D304" i="1"/>
  <c r="F304" i="1" s="1"/>
  <c r="D303" i="1"/>
  <c r="F303" i="1" s="1"/>
  <c r="D302" i="1"/>
  <c r="F302" i="1" s="1"/>
  <c r="A306" i="1"/>
  <c r="G302" i="1"/>
  <c r="G135" i="1" l="1"/>
  <c r="I132" i="1"/>
  <c r="I133" i="1" s="1"/>
  <c r="J131" i="1"/>
  <c r="J133" i="1" s="1"/>
  <c r="E135" i="1"/>
  <c r="J132" i="1"/>
  <c r="G196" i="1"/>
  <c r="G206" i="1"/>
  <c r="E196" i="1"/>
  <c r="C196" i="1"/>
  <c r="E206" i="1"/>
  <c r="C206" i="1"/>
  <c r="D338" i="1"/>
  <c r="F338" i="1" s="1"/>
  <c r="D337" i="1"/>
  <c r="F337" i="1" s="1"/>
  <c r="D335" i="1"/>
  <c r="F335" i="1" s="1"/>
  <c r="D333" i="1"/>
  <c r="F333" i="1" s="1"/>
  <c r="D332" i="1"/>
  <c r="F332" i="1" s="1"/>
  <c r="D330" i="1"/>
  <c r="F330" i="1" s="1"/>
  <c r="D328" i="1"/>
  <c r="F328" i="1" s="1"/>
  <c r="D327" i="1"/>
  <c r="F327" i="1" s="1"/>
  <c r="D326" i="1"/>
  <c r="F326" i="1" s="1"/>
  <c r="D325" i="1"/>
  <c r="F325" i="1" s="1"/>
  <c r="A336" i="1"/>
  <c r="A337" i="1" s="1"/>
  <c r="A338" i="1" s="1"/>
  <c r="G335" i="1"/>
  <c r="G336" i="1" s="1"/>
  <c r="G337" i="1" s="1"/>
  <c r="G338" i="1" s="1"/>
  <c r="A331" i="1"/>
  <c r="A332" i="1" s="1"/>
  <c r="A333" i="1" s="1"/>
  <c r="G330" i="1"/>
  <c r="A326" i="1"/>
  <c r="A327" i="1" s="1"/>
  <c r="A328" i="1" s="1"/>
  <c r="G325" i="1"/>
  <c r="D236" i="1"/>
  <c r="F236" i="1" s="1"/>
  <c r="D237" i="1"/>
  <c r="F237" i="1" s="1"/>
  <c r="D235" i="1"/>
  <c r="F235" i="1" s="1"/>
  <c r="D234" i="1"/>
  <c r="F234" i="1" s="1"/>
  <c r="D233" i="1"/>
  <c r="F233" i="1" s="1"/>
  <c r="D232" i="1"/>
  <c r="F232" i="1" s="1"/>
  <c r="D231" i="1"/>
  <c r="F231" i="1" s="1"/>
  <c r="D229" i="1"/>
  <c r="F229" i="1" s="1"/>
  <c r="D228" i="1"/>
  <c r="F228" i="1" s="1"/>
  <c r="D227" i="1"/>
  <c r="F227" i="1" s="1"/>
  <c r="D226" i="1"/>
  <c r="F226" i="1" s="1"/>
  <c r="D224" i="1"/>
  <c r="F224" i="1" s="1"/>
  <c r="D225" i="1"/>
  <c r="F225" i="1" s="1"/>
  <c r="D223" i="1"/>
  <c r="F223" i="1" s="1"/>
  <c r="D221" i="1"/>
  <c r="F221" i="1" s="1"/>
  <c r="D220" i="1"/>
  <c r="F220" i="1" s="1"/>
  <c r="D219" i="1"/>
  <c r="F219" i="1" s="1"/>
  <c r="D218" i="1"/>
  <c r="F218" i="1" s="1"/>
  <c r="D217" i="1"/>
  <c r="F217" i="1" s="1"/>
  <c r="D216" i="1"/>
  <c r="F216" i="1" s="1"/>
  <c r="A217" i="1"/>
  <c r="A218" i="1" s="1"/>
  <c r="A219" i="1" s="1"/>
  <c r="A220" i="1" s="1"/>
  <c r="A221" i="1" s="1"/>
  <c r="G216" i="1"/>
  <c r="A232" i="1"/>
  <c r="A233" i="1" s="1"/>
  <c r="A234" i="1" s="1"/>
  <c r="A235" i="1" s="1"/>
  <c r="A236" i="1" s="1"/>
  <c r="A237" i="1" s="1"/>
  <c r="G231" i="1"/>
  <c r="A224" i="1"/>
  <c r="A225" i="1" s="1"/>
  <c r="A226" i="1" s="1"/>
  <c r="A227" i="1" s="1"/>
  <c r="A228" i="1" s="1"/>
  <c r="A229" i="1" s="1"/>
  <c r="G223" i="1"/>
  <c r="C75" i="1"/>
  <c r="J87" i="1"/>
  <c r="J86" i="1"/>
  <c r="J85" i="1"/>
  <c r="J84" i="1"/>
  <c r="D427" i="1"/>
  <c r="F427" i="1" s="1"/>
  <c r="D428" i="1"/>
  <c r="F428" i="1" s="1"/>
  <c r="D450" i="1"/>
  <c r="F450" i="1" s="1"/>
  <c r="D457" i="1"/>
  <c r="D456" i="1"/>
  <c r="D455" i="1"/>
  <c r="D454" i="1"/>
  <c r="D453" i="1"/>
  <c r="D452" i="1"/>
  <c r="D448" i="1"/>
  <c r="F448" i="1" s="1"/>
  <c r="D447" i="1"/>
  <c r="F447" i="1" s="1"/>
  <c r="D446" i="1"/>
  <c r="F446" i="1" s="1"/>
  <c r="A446" i="1"/>
  <c r="A447" i="1" s="1"/>
  <c r="A448" i="1" s="1"/>
  <c r="D445" i="1"/>
  <c r="F445" i="1" s="1"/>
  <c r="D444" i="1"/>
  <c r="F444" i="1" s="1"/>
  <c r="D443" i="1"/>
  <c r="F443" i="1" s="1"/>
  <c r="A443" i="1"/>
  <c r="A444" i="1" s="1"/>
  <c r="G441" i="1"/>
  <c r="D439" i="1"/>
  <c r="D438" i="1"/>
  <c r="D437" i="1"/>
  <c r="D436" i="1"/>
  <c r="D435" i="1"/>
  <c r="D434" i="1"/>
  <c r="D433" i="1"/>
  <c r="D432" i="1"/>
  <c r="A428" i="1"/>
  <c r="A429" i="1" s="1"/>
  <c r="A430" i="1" s="1"/>
  <c r="D426" i="1"/>
  <c r="F426" i="1" s="1"/>
  <c r="D425" i="1"/>
  <c r="F425" i="1" s="1"/>
  <c r="D424" i="1"/>
  <c r="F424" i="1" s="1"/>
  <c r="A424" i="1"/>
  <c r="G423" i="1"/>
  <c r="D423" i="1"/>
  <c r="F423" i="1" s="1"/>
  <c r="D418" i="1"/>
  <c r="D417" i="1"/>
  <c r="D416" i="1"/>
  <c r="D415" i="1"/>
  <c r="D414" i="1"/>
  <c r="D410" i="1"/>
  <c r="D409" i="1"/>
  <c r="D408" i="1"/>
  <c r="D407" i="1"/>
  <c r="D406" i="1"/>
  <c r="D404" i="1"/>
  <c r="F404" i="1" s="1"/>
  <c r="D402" i="1"/>
  <c r="D401" i="1"/>
  <c r="D400" i="1"/>
  <c r="D399" i="1"/>
  <c r="D398" i="1"/>
  <c r="D394" i="1"/>
  <c r="D393" i="1"/>
  <c r="D392" i="1"/>
  <c r="D391" i="1"/>
  <c r="D390" i="1"/>
  <c r="D389" i="1"/>
  <c r="D388" i="1"/>
  <c r="D378" i="1"/>
  <c r="D377" i="1"/>
  <c r="D376" i="1"/>
  <c r="D375" i="1"/>
  <c r="F375" i="1" s="1"/>
  <c r="D373" i="1"/>
  <c r="D372" i="1"/>
  <c r="D370" i="1"/>
  <c r="F370" i="1" s="1"/>
  <c r="D369" i="1"/>
  <c r="F369" i="1" s="1"/>
  <c r="D368" i="1"/>
  <c r="F368" i="1" s="1"/>
  <c r="D364" i="1"/>
  <c r="F364" i="1" s="1"/>
  <c r="D386" i="1"/>
  <c r="F386" i="1" s="1"/>
  <c r="D385" i="1"/>
  <c r="F385" i="1" s="1"/>
  <c r="D384" i="1"/>
  <c r="F384" i="1" s="1"/>
  <c r="D383" i="1"/>
  <c r="F383" i="1" s="1"/>
  <c r="E382" i="1"/>
  <c r="D382" i="1"/>
  <c r="D381" i="1"/>
  <c r="F381" i="1" s="1"/>
  <c r="D380" i="1"/>
  <c r="F380" i="1" s="1"/>
  <c r="A385" i="1"/>
  <c r="A386" i="1" s="1"/>
  <c r="A382" i="1"/>
  <c r="A383" i="1" s="1"/>
  <c r="G380" i="1"/>
  <c r="G372" i="1"/>
  <c r="A369" i="1"/>
  <c r="A370" i="1" s="1"/>
  <c r="A365" i="1"/>
  <c r="A366" i="1" s="1"/>
  <c r="A367" i="1" s="1"/>
  <c r="G364" i="1"/>
  <c r="D360" i="1"/>
  <c r="F360" i="1" s="1"/>
  <c r="D359" i="1"/>
  <c r="F359" i="1" s="1"/>
  <c r="A358" i="1"/>
  <c r="A359" i="1" s="1"/>
  <c r="A360" i="1" s="1"/>
  <c r="G357" i="1"/>
  <c r="G358" i="1" s="1"/>
  <c r="G359" i="1" s="1"/>
  <c r="G360" i="1" s="1"/>
  <c r="D357" i="1"/>
  <c r="F357" i="1" s="1"/>
  <c r="D355" i="1"/>
  <c r="D354" i="1"/>
  <c r="D352" i="1"/>
  <c r="D350" i="1"/>
  <c r="D349" i="1"/>
  <c r="D348" i="1"/>
  <c r="D347" i="1"/>
  <c r="D345" i="1"/>
  <c r="F345" i="1" s="1"/>
  <c r="D344" i="1"/>
  <c r="F344" i="1" s="1"/>
  <c r="D343" i="1"/>
  <c r="F343" i="1" s="1"/>
  <c r="D342" i="1"/>
  <c r="F342" i="1" s="1"/>
  <c r="A343" i="1"/>
  <c r="A344" i="1" s="1"/>
  <c r="A345" i="1" s="1"/>
  <c r="G342" i="1"/>
  <c r="D280" i="1"/>
  <c r="D279" i="1"/>
  <c r="D278" i="1"/>
  <c r="D277" i="1"/>
  <c r="D276" i="1"/>
  <c r="D275" i="1"/>
  <c r="D274" i="1"/>
  <c r="D269" i="1"/>
  <c r="D268" i="1"/>
  <c r="D267" i="1"/>
  <c r="D266" i="1"/>
  <c r="D265" i="1"/>
  <c r="D264" i="1"/>
  <c r="D262" i="1"/>
  <c r="D263" i="1"/>
  <c r="D257" i="1"/>
  <c r="D256" i="1"/>
  <c r="D255" i="1"/>
  <c r="D254" i="1"/>
  <c r="D253" i="1"/>
  <c r="D252" i="1"/>
  <c r="D250" i="1"/>
  <c r="D251" i="1"/>
  <c r="D247" i="1"/>
  <c r="D248" i="1"/>
  <c r="D246" i="1"/>
  <c r="D245" i="1"/>
  <c r="D243" i="1"/>
  <c r="D244" i="1"/>
  <c r="D242" i="1"/>
  <c r="D241" i="1"/>
  <c r="H76" i="1"/>
  <c r="I131" i="1" l="1"/>
  <c r="C133" i="1" s="1"/>
  <c r="G189" i="1"/>
  <c r="G190" i="1"/>
  <c r="G200" i="1"/>
  <c r="C200" i="1"/>
  <c r="E200" i="1"/>
  <c r="E189" i="1"/>
  <c r="E190" i="1"/>
  <c r="C189" i="1"/>
  <c r="C190" i="1"/>
  <c r="E203" i="1"/>
  <c r="C203" i="1"/>
  <c r="J75" i="1"/>
  <c r="J77" i="1" s="1"/>
  <c r="D88" i="1"/>
  <c r="D84" i="1"/>
  <c r="J81" i="1"/>
  <c r="J82" i="1" s="1"/>
  <c r="J78" i="1"/>
  <c r="D81" i="1"/>
  <c r="D87" i="1"/>
  <c r="J80" i="1"/>
  <c r="C79" i="1" s="1"/>
  <c r="D83" i="1"/>
  <c r="D82" i="1"/>
  <c r="D86" i="1"/>
  <c r="J79" i="1"/>
  <c r="D85" i="1"/>
  <c r="C193" i="1"/>
  <c r="E192" i="1"/>
  <c r="F382" i="1"/>
  <c r="C192" i="1"/>
  <c r="E202" i="1"/>
  <c r="C201" i="1"/>
  <c r="C202" i="1"/>
  <c r="E191" i="1"/>
  <c r="E201" i="1"/>
  <c r="C191" i="1"/>
  <c r="D79" i="1" l="1"/>
  <c r="C197" i="1"/>
  <c r="C207" i="1"/>
  <c r="E207" i="1"/>
  <c r="J83" i="1"/>
  <c r="J115" i="1"/>
  <c r="J114" i="1"/>
  <c r="J113" i="1"/>
  <c r="H146" i="1"/>
  <c r="H160" i="1"/>
  <c r="J88" i="1" l="1"/>
  <c r="C80" i="1" s="1"/>
  <c r="C208" i="1"/>
  <c r="D172" i="1"/>
  <c r="D166" i="1"/>
  <c r="D170" i="1"/>
  <c r="J163" i="1"/>
  <c r="J159" i="1"/>
  <c r="J161" i="1" s="1"/>
  <c r="J165" i="1"/>
  <c r="J162" i="1"/>
  <c r="D171" i="1"/>
  <c r="D165" i="1"/>
  <c r="J164" i="1"/>
  <c r="C163" i="1" s="1"/>
  <c r="D169" i="1"/>
  <c r="D168" i="1"/>
  <c r="D167" i="1"/>
  <c r="J145" i="1"/>
  <c r="J147" i="1" s="1"/>
  <c r="D151" i="1"/>
  <c r="D158" i="1"/>
  <c r="D154" i="1"/>
  <c r="J151" i="1"/>
  <c r="J152" i="1" s="1"/>
  <c r="J148" i="1"/>
  <c r="J149" i="1"/>
  <c r="D157" i="1"/>
  <c r="J150" i="1"/>
  <c r="C149" i="1" s="1"/>
  <c r="D153" i="1"/>
  <c r="D155" i="1"/>
  <c r="D152" i="1"/>
  <c r="D156" i="1"/>
  <c r="G241" i="1"/>
  <c r="G250" i="1"/>
  <c r="G262" i="1"/>
  <c r="G274" i="1"/>
  <c r="G400" i="1"/>
  <c r="G397" i="1"/>
  <c r="G398" i="1" s="1"/>
  <c r="G399" i="1" s="1"/>
  <c r="G410" i="1"/>
  <c r="G409" i="1"/>
  <c r="G408" i="1"/>
  <c r="G407" i="1"/>
  <c r="G406" i="1"/>
  <c r="G405" i="1"/>
  <c r="G457" i="1"/>
  <c r="G456" i="1"/>
  <c r="G455" i="1"/>
  <c r="G454" i="1"/>
  <c r="G453" i="1"/>
  <c r="G452" i="1"/>
  <c r="G451" i="1"/>
  <c r="F457" i="1"/>
  <c r="F456" i="1"/>
  <c r="F455" i="1"/>
  <c r="A455" i="1"/>
  <c r="A456" i="1" s="1"/>
  <c r="A457" i="1" s="1"/>
  <c r="F454" i="1"/>
  <c r="F453" i="1"/>
  <c r="F452" i="1"/>
  <c r="A452" i="1"/>
  <c r="A453" i="1" s="1"/>
  <c r="F439" i="1"/>
  <c r="F438" i="1"/>
  <c r="F437" i="1"/>
  <c r="F436" i="1"/>
  <c r="F435" i="1"/>
  <c r="F434" i="1"/>
  <c r="F433" i="1"/>
  <c r="F432" i="1"/>
  <c r="F418" i="1"/>
  <c r="F417" i="1"/>
  <c r="F416" i="1"/>
  <c r="F415" i="1"/>
  <c r="F414" i="1"/>
  <c r="G450" i="1"/>
  <c r="A437" i="1"/>
  <c r="A438" i="1" s="1"/>
  <c r="A439" i="1" s="1"/>
  <c r="A434" i="1"/>
  <c r="A435" i="1" s="1"/>
  <c r="G432" i="1"/>
  <c r="A419" i="1"/>
  <c r="A420" i="1" s="1"/>
  <c r="A421" i="1" s="1"/>
  <c r="A415" i="1"/>
  <c r="G414" i="1"/>
  <c r="F280" i="1"/>
  <c r="F279" i="1"/>
  <c r="F278" i="1"/>
  <c r="F277" i="1"/>
  <c r="F276" i="1"/>
  <c r="F275" i="1"/>
  <c r="F274" i="1"/>
  <c r="A275" i="1"/>
  <c r="A276" i="1" s="1"/>
  <c r="A277" i="1" s="1"/>
  <c r="A278" i="1" s="1"/>
  <c r="A279" i="1" s="1"/>
  <c r="A280" i="1" s="1"/>
  <c r="F410" i="1"/>
  <c r="I410" i="1" s="1"/>
  <c r="F409" i="1"/>
  <c r="A409" i="1"/>
  <c r="A410" i="1" s="1"/>
  <c r="F408" i="1"/>
  <c r="F407" i="1"/>
  <c r="F406" i="1"/>
  <c r="A406" i="1"/>
  <c r="A407" i="1" s="1"/>
  <c r="G404" i="1"/>
  <c r="F402" i="1"/>
  <c r="F401" i="1"/>
  <c r="A401" i="1"/>
  <c r="A402" i="1" s="1"/>
  <c r="F400" i="1"/>
  <c r="F399" i="1"/>
  <c r="F398" i="1"/>
  <c r="A398" i="1"/>
  <c r="A399" i="1" s="1"/>
  <c r="G396" i="1"/>
  <c r="F391" i="1"/>
  <c r="F390" i="1"/>
  <c r="F389" i="1"/>
  <c r="F388" i="1"/>
  <c r="F394" i="1"/>
  <c r="F393" i="1"/>
  <c r="A393" i="1"/>
  <c r="A394" i="1" s="1"/>
  <c r="F392" i="1"/>
  <c r="F378" i="1"/>
  <c r="F377" i="1"/>
  <c r="F376" i="1"/>
  <c r="F373" i="1"/>
  <c r="F372" i="1"/>
  <c r="A377" i="1"/>
  <c r="A378" i="1" s="1"/>
  <c r="A390" i="1"/>
  <c r="A391" i="1" s="1"/>
  <c r="G388" i="1"/>
  <c r="A373" i="1"/>
  <c r="A374" i="1" s="1"/>
  <c r="A375" i="1" s="1"/>
  <c r="F269" i="1"/>
  <c r="F268" i="1"/>
  <c r="F267" i="1"/>
  <c r="F266" i="1"/>
  <c r="F265" i="1"/>
  <c r="F264" i="1"/>
  <c r="F263" i="1"/>
  <c r="A263" i="1"/>
  <c r="A264" i="1" s="1"/>
  <c r="A265" i="1" s="1"/>
  <c r="A266" i="1" s="1"/>
  <c r="A267" i="1" s="1"/>
  <c r="A268" i="1" s="1"/>
  <c r="A269" i="1" s="1"/>
  <c r="F262" i="1"/>
  <c r="F257" i="1"/>
  <c r="F256" i="1"/>
  <c r="F255" i="1"/>
  <c r="F254" i="1"/>
  <c r="D149" i="1" l="1"/>
  <c r="D163" i="1"/>
  <c r="J166" i="1"/>
  <c r="E79" i="1"/>
  <c r="D80" i="1"/>
  <c r="I76" i="1" s="1"/>
  <c r="G79" i="1"/>
  <c r="D73" i="1" s="1"/>
  <c r="J76" i="1"/>
  <c r="J153" i="1"/>
  <c r="G192" i="1"/>
  <c r="G203" i="1"/>
  <c r="G202" i="1"/>
  <c r="G401" i="1"/>
  <c r="G402" i="1" s="1"/>
  <c r="G193" i="1"/>
  <c r="E193" i="1"/>
  <c r="E197" i="1" s="1"/>
  <c r="E208" i="1" s="1"/>
  <c r="F253" i="1"/>
  <c r="F252" i="1"/>
  <c r="F251" i="1"/>
  <c r="F250" i="1"/>
  <c r="F248" i="1"/>
  <c r="F247" i="1"/>
  <c r="F246" i="1"/>
  <c r="F245" i="1"/>
  <c r="J158" i="1" l="1"/>
  <c r="C150" i="1"/>
  <c r="J167" i="1"/>
  <c r="I77" i="1"/>
  <c r="I75" i="1" s="1"/>
  <c r="C77" i="1" s="1"/>
  <c r="B536" i="1"/>
  <c r="J146" i="1" l="1"/>
  <c r="J172" i="1"/>
  <c r="C164" i="1"/>
  <c r="D164" i="1" s="1"/>
  <c r="I160" i="1" s="1"/>
  <c r="I161" i="1" s="1"/>
  <c r="D150" i="1"/>
  <c r="I146" i="1" s="1"/>
  <c r="E149" i="1"/>
  <c r="G149" i="1"/>
  <c r="E163" i="1"/>
  <c r="C13" i="1"/>
  <c r="J160" i="1" l="1"/>
  <c r="I159" i="1" s="1"/>
  <c r="C161" i="1" s="1"/>
  <c r="G163" i="1"/>
  <c r="I147" i="1"/>
  <c r="I145" i="1" s="1"/>
  <c r="C147" i="1" s="1"/>
  <c r="E28" i="1"/>
  <c r="F348" i="1" l="1"/>
  <c r="F349" i="1"/>
  <c r="F350" i="1"/>
  <c r="F347" i="1"/>
  <c r="A348" i="1"/>
  <c r="A349" i="1" s="1"/>
  <c r="A350" i="1" s="1"/>
  <c r="G347" i="1"/>
  <c r="F186" i="1" l="1"/>
  <c r="F242" i="1" l="1"/>
  <c r="F243" i="1"/>
  <c r="F244" i="1"/>
  <c r="F241" i="1"/>
  <c r="G191" i="1" l="1"/>
  <c r="G197" i="1" s="1"/>
  <c r="B535" i="1"/>
  <c r="F355" i="1" l="1"/>
  <c r="F352" i="1"/>
  <c r="F354" i="1"/>
  <c r="G201" i="1" l="1"/>
  <c r="G207" i="1" s="1"/>
  <c r="G208" i="1" s="1"/>
  <c r="F11" i="5"/>
  <c r="G11" i="5" s="1"/>
  <c r="F10" i="5"/>
  <c r="G10" i="5" s="1"/>
  <c r="F9" i="5"/>
  <c r="G9" i="5" s="1"/>
  <c r="F8" i="5"/>
  <c r="G8" i="5" s="1"/>
  <c r="F7" i="5"/>
  <c r="G7" i="5" s="1"/>
  <c r="F6" i="5"/>
  <c r="G6" i="5" s="1"/>
  <c r="F5" i="5"/>
  <c r="G5" i="5" s="1"/>
  <c r="G12" i="5" s="1"/>
  <c r="D562" i="1"/>
  <c r="G352" i="1"/>
  <c r="A353" i="1"/>
  <c r="A354" i="1" s="1"/>
  <c r="A355" i="1" s="1"/>
  <c r="A242" i="1"/>
  <c r="A243" i="1" s="1"/>
  <c r="A244" i="1" s="1"/>
  <c r="A245" i="1" s="1"/>
  <c r="A246" i="1" s="1"/>
  <c r="A247" i="1" s="1"/>
  <c r="A248" i="1" s="1"/>
  <c r="A251" i="1" s="1"/>
  <c r="A252" i="1" s="1"/>
  <c r="A253" i="1" s="1"/>
  <c r="A254" i="1" s="1"/>
  <c r="A255" i="1" s="1"/>
  <c r="A256" i="1" s="1"/>
  <c r="A257" i="1" s="1"/>
  <c r="J128" i="1"/>
  <c r="J127" i="1"/>
  <c r="C117" i="1"/>
  <c r="J100" i="1"/>
  <c r="J99" i="1"/>
  <c r="C89" i="1"/>
  <c r="G48" i="1"/>
  <c r="C48" i="1"/>
  <c r="E41" i="1"/>
  <c r="E42" i="1" s="1"/>
  <c r="E25" i="1"/>
  <c r="E23" i="1"/>
  <c r="E7" i="1"/>
  <c r="E3" i="1"/>
  <c r="H90" i="1"/>
  <c r="H118" i="1"/>
  <c r="I69" i="1" l="1"/>
  <c r="D128" i="1"/>
  <c r="D129" i="1"/>
  <c r="D130" i="1"/>
  <c r="D124" i="1"/>
  <c r="D125" i="1"/>
  <c r="D126" i="1"/>
  <c r="D127" i="1"/>
  <c r="J117" i="1"/>
  <c r="D102" i="1"/>
  <c r="D100" i="1"/>
  <c r="D99" i="1"/>
  <c r="D98" i="1"/>
  <c r="D96" i="1"/>
  <c r="J89" i="1"/>
  <c r="D101" i="1"/>
  <c r="D97" i="1"/>
  <c r="J93" i="1"/>
  <c r="J94" i="1"/>
  <c r="C93" i="1" s="1"/>
  <c r="J92" i="1"/>
  <c r="J95" i="1"/>
  <c r="J96" i="1" s="1"/>
  <c r="J101" i="1" s="1"/>
  <c r="J123" i="1"/>
  <c r="J124" i="1" s="1"/>
  <c r="J129" i="1" s="1"/>
  <c r="J121" i="1"/>
  <c r="J122" i="1"/>
  <c r="C121" i="1" s="1"/>
  <c r="J120" i="1"/>
  <c r="J125" i="1" l="1"/>
  <c r="J126" i="1" s="1"/>
  <c r="J97" i="1"/>
  <c r="J98" i="1" s="1"/>
  <c r="D123" i="1"/>
  <c r="J119" i="1"/>
  <c r="D95" i="1"/>
  <c r="J91" i="1"/>
  <c r="D93" i="1"/>
  <c r="D121" i="1"/>
  <c r="J130" i="1" l="1"/>
  <c r="J102" i="1"/>
  <c r="C122" i="1" l="1"/>
  <c r="J118" i="1" s="1"/>
  <c r="C94" i="1"/>
  <c r="J90" i="1" s="1"/>
  <c r="G121" i="1" l="1"/>
  <c r="E121" i="1"/>
  <c r="D122" i="1"/>
  <c r="I118" i="1" s="1"/>
  <c r="I119" i="1" s="1"/>
  <c r="I117" i="1" s="1"/>
  <c r="C119" i="1" s="1"/>
  <c r="G93" i="1"/>
  <c r="E93" i="1"/>
  <c r="D94" i="1"/>
  <c r="I90" i="1" s="1"/>
  <c r="I91" i="1" s="1"/>
  <c r="H104" i="1"/>
  <c r="I89" i="1" l="1"/>
  <c r="F74" i="1"/>
  <c r="D74" i="1"/>
  <c r="J103" i="1"/>
  <c r="J105" i="1" s="1"/>
  <c r="J109" i="1"/>
  <c r="J110" i="1" s="1"/>
  <c r="J111" i="1" s="1"/>
  <c r="J112" i="1" s="1"/>
  <c r="J107" i="1"/>
  <c r="J106" i="1"/>
  <c r="D115" i="1"/>
  <c r="D113" i="1"/>
  <c r="D111" i="1"/>
  <c r="D109" i="1"/>
  <c r="J108" i="1"/>
  <c r="C107" i="1" s="1"/>
  <c r="D116" i="1"/>
  <c r="D114" i="1"/>
  <c r="D112" i="1"/>
  <c r="D110" i="1"/>
  <c r="D107" i="1" l="1"/>
  <c r="J116" i="1"/>
  <c r="C108" i="1" l="1"/>
  <c r="J104" i="1" s="1"/>
  <c r="E107" i="1" l="1"/>
  <c r="D108" i="1"/>
  <c r="I104" i="1" s="1"/>
  <c r="G107" i="1"/>
  <c r="I105" i="1" l="1"/>
  <c r="I103" i="1" s="1"/>
  <c r="C105" i="1" s="1"/>
</calcChain>
</file>

<file path=xl/sharedStrings.xml><?xml version="1.0" encoding="utf-8"?>
<sst xmlns="http://schemas.openxmlformats.org/spreadsheetml/2006/main" count="781" uniqueCount="300">
  <si>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</si>
  <si>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</si>
  <si>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</si>
  <si>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</si>
  <si>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</si>
  <si>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</si>
  <si>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</si>
  <si>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</si>
  <si>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</si>
  <si>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</si>
  <si>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</si>
  <si>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</si>
  <si>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</si>
  <si>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</si>
  <si>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</si>
  <si>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</si>
  <si>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</si>
  <si>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</si>
  <si>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</si>
  <si>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</si>
  <si>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</si>
  <si>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</si>
  <si>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</si>
  <si>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</si>
  <si>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</si>
  <si>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</si>
  <si>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</si>
  <si>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</si>
  <si>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</si>
  <si>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</si>
  <si>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</si>
  <si>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</si>
  <si>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</si>
  <si>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</si>
  <si>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</si>
  <si>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</si>
  <si>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</si>
  <si>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</si>
  <si>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</si>
  <si>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</si>
  <si>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</si>
  <si>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</si>
  <si>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</si>
  <si>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</si>
  <si>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</si>
  <si>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</si>
  <si>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</si>
  <si>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</si>
  <si>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</si>
  <si>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</si>
  <si>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</si>
  <si>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</si>
  <si>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</si>
  <si>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</si>
  <si>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</si>
  <si>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</si>
  <si>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</si>
  <si>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</si>
  <si>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</si>
  <si>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</si>
  <si>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</si>
  <si>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</si>
  <si>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</si>
  <si>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</si>
  <si>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</si>
  <si>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</si>
  <si>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</si>
  <si>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</si>
  <si>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</si>
  <si>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</si>
  <si>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</si>
  <si>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</si>
  <si>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</si>
  <si>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</si>
  <si>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</si>
  <si>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</si>
  <si>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</si>
  <si>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</si>
  <si>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</si>
  <si>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</si>
  <si>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</si>
  <si>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</si>
  <si>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</si>
  <si>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</si>
  <si>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</si>
  <si>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</si>
  <si>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</si>
  <si>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</si>
  <si>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</si>
  <si>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</si>
  <si>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</si>
  <si>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</si>
  <si>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</si>
  <si>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</si>
  <si>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</si>
  <si>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</si>
  <si>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</si>
  <si>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</si>
  <si>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</si>
  <si>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</si>
  <si>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</si>
  <si>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</si>
  <si>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</si>
  <si>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</si>
  <si>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</si>
  <si>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</si>
  <si>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</si>
  <si>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</si>
  <si>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</si>
  <si>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</si>
  <si>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</si>
  <si>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</si>
  <si>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</si>
  <si>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</si>
  <si>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</si>
  <si>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</si>
  <si>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</si>
  <si>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</si>
  <si>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</si>
  <si>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</si>
  <si>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</si>
  <si>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</si>
  <si>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</si>
  <si>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</si>
  <si>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</si>
  <si>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</si>
  <si>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</si>
  <si>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</si>
  <si>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</si>
  <si>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</si>
  <si>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</si>
  <si>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</si>
  <si>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</si>
  <si>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</si>
  <si>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</si>
  <si>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</si>
  <si>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</si>
  <si>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</si>
  <si>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</si>
  <si>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</si>
  <si>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</si>
  <si>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</si>
  <si>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</si>
  <si>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</si>
  <si>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</si>
  <si>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</si>
  <si>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</si>
  <si>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</si>
  <si>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</si>
  <si>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Vitrified tiles flooring, Kitchen Platform, Decorative</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</si>
  <si>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</si>
  <si>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</si>
  <si>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</si>
  <si>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</si>
  <si>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</si>
  <si>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</si>
  <si>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</si>
  <si>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</si>
  <si>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</si>
  <si>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</si>
  <si>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</si>
  <si>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Shop Per Sq. Ft.</t>
  </si>
  <si>
    <t>Recommended rate of the Flat Per Sq. Ft.</t>
  </si>
  <si>
    <t>On Saleable Area</t>
  </si>
  <si>
    <t>Legal Charges</t>
  </si>
  <si>
    <t>Location Link</t>
  </si>
  <si>
    <t>Locality</t>
  </si>
  <si>
    <t>Village</t>
  </si>
  <si>
    <t xml:space="preserve">O. Certificate No.: 
Approved upto : </t>
  </si>
  <si>
    <t>Axis Goregaon</t>
  </si>
  <si>
    <t>Mr. Chirag - 9867798744</t>
  </si>
  <si>
    <t>Tower 2 - Cafer</t>
  </si>
  <si>
    <t>CTS No</t>
  </si>
  <si>
    <t>Krishna Nagar</t>
  </si>
  <si>
    <t>87(PT.)</t>
  </si>
  <si>
    <t>Paspol</t>
  </si>
  <si>
    <t>Mumbai</t>
  </si>
  <si>
    <t>A M Naik Tower</t>
  </si>
  <si>
    <t>Kurla</t>
  </si>
  <si>
    <t>Saki Vihar Road</t>
  </si>
  <si>
    <t>Kanjurmarg West</t>
  </si>
  <si>
    <t>Approved Plans, CC</t>
  </si>
  <si>
    <t>Larsen &amp; Toubro Defence (IC) office</t>
  </si>
  <si>
    <t>Internal Road</t>
  </si>
  <si>
    <t>Open Plot</t>
  </si>
  <si>
    <t xml:space="preserve">Municipal Corporation Of Greater Mumbai (MCGM)
</t>
  </si>
  <si>
    <t>3rd &amp; 2nd Basement For Parking</t>
  </si>
  <si>
    <t>1st pt Basement/pt. lower Gr For Parking &amp; Commercial</t>
  </si>
  <si>
    <t>Retail</t>
  </si>
  <si>
    <t>Upper Ground / 1st podium For Parking &amp; Commercial</t>
  </si>
  <si>
    <t>Stilt Floor For Parking</t>
  </si>
  <si>
    <t>Refuge Area</t>
  </si>
  <si>
    <t>Tower 3 - Iora</t>
  </si>
  <si>
    <t>Void</t>
  </si>
  <si>
    <t>Tower 4 - Atthis</t>
  </si>
  <si>
    <t>Residential Area Details : Flats</t>
  </si>
  <si>
    <t>Tower 2 - Cafer Retail</t>
  </si>
  <si>
    <t xml:space="preserve">Commercial Area Details : </t>
  </si>
  <si>
    <t>Recommended rate of the Retail Per Sq. Ft.</t>
  </si>
  <si>
    <t xml:space="preserve"> we have assumed that rEtail is below Ground level</t>
  </si>
  <si>
    <t>M/s. Larsen &amp; Toubro Ltd. (Realty Division)</t>
  </si>
  <si>
    <t>10L to 12L parking</t>
  </si>
  <si>
    <t xml:space="preserve">Office No. 1031, Wing J, Akshar Business Park, Plot No. 03 Sector 25, Near APMC Market,
Vashi, Navi Mumbai, Maharashtra 400703 TEL: 022-46090378/79/80                                                                                                     Email : vsjcapf@gmail.com. Web site : www.vsjadon.com
</t>
  </si>
  <si>
    <t>22000 TO 23500 by trupti &amp; cost sheet on 11/01/2024</t>
  </si>
  <si>
    <t>CHE/ES/2335/S/337(NEW)/FCC/3/Amend</t>
  </si>
  <si>
    <t>Latitude,Longitude</t>
  </si>
  <si>
    <t>19.128954,72.894303</t>
  </si>
  <si>
    <t>https://maps.app.goo.gl/oMB9KvX4vrvRKDUcA</t>
  </si>
  <si>
    <t>CHE/ES/2335/S/337(NEW)/IOD/1/NEW</t>
  </si>
  <si>
    <t>1st pt Basement/Gr For Parking &amp; Commercial</t>
  </si>
  <si>
    <t>1st Floor for Residentail</t>
  </si>
  <si>
    <t>2nd to 4th, 6th to 11th, 13th to 18th &amp; 20th to 24th Floor for Residentail</t>
  </si>
  <si>
    <t>5th &amp; 12th Floor (Part Refuge Area)</t>
  </si>
  <si>
    <t>19th Floor (Part Refuge Area)</t>
  </si>
  <si>
    <t>3BHK</t>
  </si>
  <si>
    <t>2BHK</t>
  </si>
  <si>
    <t>2nd Floor for Residentail</t>
  </si>
  <si>
    <t>3rd Floor</t>
  </si>
  <si>
    <t>4th, 6th to 11th, 13th to 18th &amp; 20th to 22nd Floor</t>
  </si>
  <si>
    <t>2nd Floor</t>
  </si>
  <si>
    <t>3rd to 4th, 6th to 11th, 13th to 18th, 21st &amp; 22nd Floor</t>
  </si>
  <si>
    <t>We considered Gross carpet area = Net carpet + Balcony.</t>
  </si>
  <si>
    <t>Layout :</t>
  </si>
  <si>
    <t>Grand Total</t>
  </si>
  <si>
    <t>5.40KM from Kanjurmarg Railway Station</t>
  </si>
  <si>
    <t>Tower 3 - Iora Retail</t>
  </si>
  <si>
    <t>Tower 4 - Atthis Retail</t>
  </si>
  <si>
    <t>Tower 1 - Cygnus</t>
  </si>
  <si>
    <t>Tower 1 - Cygnus Retail</t>
  </si>
  <si>
    <t>2nd pt Basement/Gr For Parking &amp; Commercial</t>
  </si>
  <si>
    <t>3rd Basement For Parking</t>
  </si>
  <si>
    <t>Shop</t>
  </si>
  <si>
    <t>Tower 1 - Cygnus Shop</t>
  </si>
  <si>
    <t>1st to 4th, 6th to 11th, 13th to 18th &amp; 20th to 26th Floor for Residentail</t>
  </si>
  <si>
    <t>Total Shops</t>
  </si>
  <si>
    <t>Tower 10 - Dove</t>
  </si>
  <si>
    <t>3rd Basement Floor For Parking</t>
  </si>
  <si>
    <t>2nd pt Basement Floor for Meter Room, NTA Panel Room, Commercial &amp; parking</t>
  </si>
  <si>
    <t>1st pt Basement Floor for Meter Room, Fire Control Room, NTA Meter Room, Commercial &amp; Parking</t>
  </si>
  <si>
    <t>Upper Ground / 1st podium For Commercial</t>
  </si>
  <si>
    <t>1st to 4th, 6th to 11th, 13th to 18th &amp; 20th to 26th Floor for Residential</t>
  </si>
  <si>
    <t>4BHK</t>
  </si>
  <si>
    <t>Tower 10 - Dove Shop</t>
  </si>
  <si>
    <r>
      <t xml:space="preserve">Plinth C.C. up to top of parking level (up to + 9.50M Level) for wing </t>
    </r>
    <r>
      <rPr>
        <b/>
        <sz val="12"/>
        <color indexed="8"/>
        <rFont val="Times New Roman"/>
        <family val="1"/>
      </rPr>
      <t>T1, T6,T9 &amp; T10</t>
    </r>
    <r>
      <rPr>
        <sz val="12"/>
        <color indexed="8"/>
        <rFont val="Times New Roman"/>
        <family val="1"/>
      </rPr>
      <t xml:space="preserve"> and re-endorsement of C.C. up to top of parking level for wing </t>
    </r>
    <r>
      <rPr>
        <b/>
        <sz val="12"/>
        <color indexed="8"/>
        <rFont val="Times New Roman"/>
        <family val="1"/>
      </rPr>
      <t>T5</t>
    </r>
    <r>
      <rPr>
        <sz val="12"/>
        <color indexed="8"/>
        <rFont val="Times New Roman"/>
        <family val="1"/>
      </rPr>
      <t xml:space="preserve"> and Full C.C up to top of 24th upper floor + LMR &amp; OHT i.e. total ht. of 119.62 Mt. AMSL for Wing </t>
    </r>
    <r>
      <rPr>
        <b/>
        <sz val="12"/>
        <color indexed="8"/>
        <rFont val="Times New Roman"/>
        <family val="1"/>
      </rPr>
      <t>T2</t>
    </r>
    <r>
      <rPr>
        <sz val="12"/>
        <color indexed="8"/>
        <rFont val="Times New Roman"/>
        <family val="1"/>
      </rPr>
      <t xml:space="preserve"> and Full C.C up to top of 22nd upper floor + LMR &amp; OHT i.e. total ht. of 113.62 Mt. AMSL for Wing </t>
    </r>
    <r>
      <rPr>
        <b/>
        <sz val="12"/>
        <color indexed="8"/>
        <rFont val="Times New Roman"/>
        <family val="1"/>
      </rPr>
      <t>T3</t>
    </r>
    <r>
      <rPr>
        <sz val="12"/>
        <color indexed="8"/>
        <rFont val="Times New Roman"/>
        <family val="1"/>
      </rPr>
      <t xml:space="preserve"> &amp; Full C.C up to top of 22nd upper floor + LMR &amp; OHT i.e. total ht. of 113.52 Mt. AMSL for wing </t>
    </r>
    <r>
      <rPr>
        <b/>
        <sz val="12"/>
        <color indexed="8"/>
        <rFont val="Times New Roman"/>
        <family val="1"/>
      </rPr>
      <t>T4</t>
    </r>
    <r>
      <rPr>
        <sz val="12"/>
        <color indexed="8"/>
        <rFont val="Times New Roman"/>
        <family val="1"/>
      </rPr>
      <t xml:space="preserve"> and Full C.C. for Club House/Fitness centre as per approved amended plan dtd. 01.03.2024.</t>
    </r>
  </si>
  <si>
    <t>Tower 1 = B3 + B2 + B1/LG + UG/P1 + St + 1st to 26th Floor</t>
  </si>
  <si>
    <t>Expected Completion As per RERA</t>
  </si>
  <si>
    <t>8 + 9</t>
  </si>
  <si>
    <t>10 + 11</t>
  </si>
  <si>
    <t>17 + 18</t>
  </si>
  <si>
    <t>19 + 20</t>
  </si>
  <si>
    <t>35 + 36</t>
  </si>
  <si>
    <t>37 + 38</t>
  </si>
  <si>
    <t>We have updated approved plans for Tower 1, 2, 3 &amp; 4 (on 16/05/2024).</t>
  </si>
  <si>
    <t>Tower 10 = 3B + UG + Stilt Floor + 1st to 26th Floor</t>
  </si>
  <si>
    <t>Tower 2 - Cafer
Tower 4 - Atthis
Tower 10 - Dove</t>
  </si>
  <si>
    <t>Tower 9 - Prinia</t>
  </si>
  <si>
    <t>Tower 9 - Prinia Shop</t>
  </si>
  <si>
    <t>We have updated approved plans for Tower 9 &amp; 10 (On 12/08/2024).</t>
  </si>
  <si>
    <t>Tower 9 = B3 + B2 + B1/LG + UG/P1 + St + 1st to 26th Floor</t>
  </si>
  <si>
    <t>15 + 16</t>
  </si>
  <si>
    <t>24 + 25</t>
  </si>
  <si>
    <t>42 + 43</t>
  </si>
  <si>
    <t xml:space="preserve">Tower 1 - Cygnus
Tower 3 - Iora
Tower 5 - Ibis
Tower 9 - Prinia
</t>
  </si>
  <si>
    <t>Cygnus - P51800055987
Cafer - P51800034053
Iora - P51800033984
Atthis - P51800033618
Ibis - P51800055830
Prinia - P51800055625
Dove - P51800055488</t>
  </si>
  <si>
    <t>L and T Realty Elixir Reserve (Cygnus, Cafer, Iora, Atthis,  Ibis, Dove, Prinia)</t>
  </si>
  <si>
    <t>07 Buildings</t>
  </si>
  <si>
    <t>Tower 1 = B3 + B2 + B1/LG + UG/P1 + St + 1st to 26th Floor
Tower 2 = B3 + B2 + B1/LG + UG/P1 + St + 1st to 24th Floor
Tower 3 = B3 + B2 + B1/LG + UG/P1 + St + 1st to 22nd Floor
Tower 4 = B3 + B2 + B1/LG + UG/P1 + St + 1st to 22nd Floor
Tower 5 = B3 + B2 + B1/LG + UG/P1 + St/P2 + 1st to 25th Floor
Tower 9 = B3 + B2 + B1/LG + UG/P1 + St + 1st to 26th Floor
Tower 10 = 3B + UG + Stilt Floor + 1st to 26th Floor</t>
  </si>
  <si>
    <t>Tower 5 = B3 + B2 + B1/LG + UG/P1 + St + 1st to 25th Floor</t>
  </si>
  <si>
    <t>CHE/ES/2335/S/337(NEW)/FCC/4/Amend</t>
  </si>
  <si>
    <t xml:space="preserve">Fire NOC No.: 
Approved upto : </t>
  </si>
  <si>
    <t>Tower-1 is having 1st to 26th upper residential floors with a total height of 91.70mtrs. Tower- 2 is having 1st to 24th upper residential floors having height 85.40mtrs.  Towers- 3 &amp; 4 are having 1st to 22nd upper residential floors having height of 79.40mtrs. Tower- 5 is having 1st to 25th upper residential floors having height of 88.70mtrs. Tower-9 &amp; Tower-10 having 1st floor to 26th upper residential floors with a total height of 91.70mtrs.</t>
  </si>
  <si>
    <t xml:space="preserve">CHE/ES/2335/S/337(NEW)-CFO </t>
  </si>
  <si>
    <t>Tower 5 - Ibis</t>
  </si>
  <si>
    <t>Stilt/P2 Floor For Parking</t>
  </si>
  <si>
    <t>1BHK</t>
  </si>
  <si>
    <t>2nd to 4th, 6th to 11th, 13th to 18th, 20th to 25th Floor</t>
  </si>
  <si>
    <t>5th, 12th &amp; 19th Floor (Part Refuge Area)</t>
  </si>
  <si>
    <t>Flats - 1000, Comercials = 75</t>
  </si>
  <si>
    <t>We have updated approved plans for Tower 5 (On 25/09/2024).</t>
  </si>
  <si>
    <r>
      <t xml:space="preserve">Full C.C. is granted for wing </t>
    </r>
    <r>
      <rPr>
        <b/>
        <sz val="12"/>
        <color indexed="8"/>
        <rFont val="Times New Roman"/>
        <family val="1"/>
      </rPr>
      <t>T5</t>
    </r>
    <r>
      <rPr>
        <sz val="12"/>
        <color indexed="8"/>
        <rFont val="Times New Roman"/>
        <family val="1"/>
      </rPr>
      <t xml:space="preserve"> as per amended approved plan dated 01.03.2024 and as  per height permitted by Civil Aviation Authority subject to timely renewal of B.G, SWM NOC, Workmen’s compensation policy and taking all sorts of precautions during construction and for air pollution.</t>
    </r>
  </si>
  <si>
    <t>Since internal visit were not permitted, we were unable to determine building progress from an external visit; so, we are maintaining the same progress as in the previous report.</t>
  </si>
  <si>
    <t>pics dtd. 12/02/2025.</t>
  </si>
  <si>
    <t xml:space="preserve"> </t>
  </si>
  <si>
    <t>Tower 3 = B3 + B2 + B1/LG + UG/P1 + St + 1st to 22nd Floor</t>
  </si>
  <si>
    <t>Tower 4 = B3 + B2 + B1/LG + UG/P1 + St + 1st to 22nd Floor</t>
  </si>
  <si>
    <t>Tower 2 = B3 + B2 + B1/LG + UG/P1 + St + 1st to 24th Floor</t>
  </si>
  <si>
    <t>23500 to 25000</t>
  </si>
  <si>
    <t>Akash Mote</t>
  </si>
  <si>
    <t>Recommended Rates/Other Charges of the Property have been revised on 11/01/2024 &amp; 26/03/2025.</t>
  </si>
  <si>
    <t>Validity of CC is expired on 13/03/2025. Please provide revised CC.</t>
  </si>
  <si>
    <t>CHE/ES/2335/S/337(NEW)/OCC/1/New</t>
  </si>
  <si>
    <t>Part Occupation for building No.2 (i.e. full Occupation of Wing T2) comprising of 3rd basement for parking + 2nd pt. basement/1st pt. basement for partly parking &amp; partly retail shop + 1st pt. basement/ground for partly parking &amp; partly retail + upper ground/1st pt. podium for partly parking &amp; partly retail + stilt for parking + 1st to 24th upper floors for Residential user.</t>
  </si>
  <si>
    <t>We have updated OC for Tower 2 from MCGM site (On 02/05/2025).</t>
  </si>
  <si>
    <t>60 Years After Completion</t>
  </si>
  <si>
    <t>Pranita Mhatre</t>
  </si>
  <si>
    <t>Cygnus - 30/04/2028, 
Cafer - Completed
Iora - 31/05/2025, 
Atthis - 30/06/2025, 
Ibis - 30/12/2026
Prinia - 30/07/2029
Dove - 30/08/2028</t>
  </si>
  <si>
    <t>All work Completed. OC Received.</t>
  </si>
  <si>
    <t>As per RERA, completion period of project L and T Elixir Reserve (Tower 3) is expired on 31/05/2025 &amp; (Tower 4) is expired on 30/06/2025 but still project is under construction.</t>
  </si>
  <si>
    <t>Ganesh Wadkar</t>
  </si>
  <si>
    <t>Tower 1, 3, 4, 5, 9 &amp; 10 = Construction work is in process at the time of Visit. Internal Visit was not allowed. 
Tower 2 = All work Completed. OC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</si>
</sst>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_(* #,##0.00_);_(* \(#,##0.00\);_(* &quot;-&quot;??_);_(@_)"/>
    <numFmt numFmtId="167" formatCode="_(* #,##0_);_(* \(#,##0\);_(* &quot;-&quot;??_);_(@_)"/>
    <numFmt numFmtId="168" formatCode="_ * #,##0_ ;_ * \-#,##0_ ;_ * &quot;-&quot;??_ ;_ @_ "/>
    <numFmt numFmtId="169" formatCode="[&gt;0]0&quot;BHK&quot;;&quot;1RK&quot;"/>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0" fillId="0" borderId="0"/>
    <xf numFmtId="9" fontId="21" fillId="0" borderId="0" applyFont="0" applyFill="0" applyBorder="0" applyAlignment="0" applyProtection="0"/>
    <xf numFmtId="164" fontId="21" fillId="0" borderId="0" applyFont="0" applyFill="0" applyBorder="0" applyAlignment="0" applyProtection="0"/>
    <xf numFmtId="0" fontId="26" fillId="0" borderId="0" applyNumberFormat="0" applyFill="0" applyBorder="0" applyAlignment="0" applyProtection="0"/>
  </cellStyleXfs>
  <cellXfs count="25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0" fontId="8" fillId="0" borderId="1" xfId="1" applyFont="1" applyBorder="1" applyAlignment="1" applyProtection="1">
      <alignment vertical="top"/>
      <protection locked="0"/>
    </xf>
    <xf numFmtId="169" fontId="6" fillId="0" borderId="1" xfId="1" applyNumberFormat="1" applyFont="1" applyBorder="1" applyAlignment="1" applyProtection="1">
      <alignment horizontal="center" vertical="center" wrapText="1"/>
      <protection locked="0"/>
    </xf>
    <xf numFmtId="0" fontId="7" fillId="0" borderId="0" xfId="1" applyFont="1" applyAlignment="1">
      <alignment horizontal="left" vertical="center"/>
    </xf>
    <xf numFmtId="0" fontId="12" fillId="0" borderId="1" xfId="1" applyFont="1" applyBorder="1" applyAlignment="1" applyProtection="1">
      <alignment horizontal="center" vertical="top"/>
      <protection locked="0"/>
    </xf>
    <xf numFmtId="0" fontId="24" fillId="0" borderId="1" xfId="0" applyFont="1" applyBorder="1"/>
    <xf numFmtId="0" fontId="24" fillId="0" borderId="4" xfId="0" applyFont="1" applyBorder="1"/>
    <xf numFmtId="0" fontId="10" fillId="0" borderId="0" xfId="0" applyFont="1" applyAlignment="1">
      <alignment horizontal="center" vertical="center"/>
    </xf>
    <xf numFmtId="1" fontId="7" fillId="0" borderId="1" xfId="1"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0" fontId="12" fillId="0" borderId="0" xfId="0" applyFont="1" applyAlignment="1">
      <alignment horizontal="center" vertical="center"/>
    </xf>
    <xf numFmtId="1" fontId="12" fillId="0" borderId="1" xfId="1" applyNumberFormat="1" applyFont="1" applyBorder="1" applyAlignment="1" applyProtection="1">
      <alignment horizontal="center" vertical="top" wrapText="1"/>
      <protection locked="0"/>
    </xf>
    <xf numFmtId="0" fontId="7" fillId="0" borderId="0" xfId="0" applyFont="1" applyAlignment="1">
      <alignment horizontal="left"/>
    </xf>
    <xf numFmtId="1" fontId="6" fillId="3" borderId="1" xfId="0" applyNumberFormat="1" applyFont="1" applyFill="1" applyBorder="1" applyAlignment="1" applyProtection="1">
      <alignment horizontal="center" vertical="center" wrapText="1"/>
      <protection locked="0"/>
    </xf>
    <xf numFmtId="0" fontId="25" fillId="0" borderId="8" xfId="0" applyFont="1" applyBorder="1"/>
    <xf numFmtId="1" fontId="8" fillId="0" borderId="7" xfId="0" applyNumberFormat="1" applyFont="1" applyBorder="1" applyAlignment="1" applyProtection="1">
      <alignment horizontal="left" vertical="top" wrapText="1"/>
      <protection locked="0"/>
    </xf>
    <xf numFmtId="1" fontId="8" fillId="0" borderId="20" xfId="0" applyNumberFormat="1" applyFont="1" applyBorder="1" applyAlignment="1" applyProtection="1">
      <alignment horizontal="left" vertical="top" wrapText="1"/>
      <protection locked="0"/>
    </xf>
    <xf numFmtId="1" fontId="8" fillId="0" borderId="8" xfId="0"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8" fillId="3" borderId="7" xfId="1" applyNumberFormat="1" applyFont="1" applyFill="1" applyBorder="1" applyAlignment="1" applyProtection="1">
      <alignment horizontal="center" vertical="center" wrapText="1"/>
      <protection locked="0"/>
    </xf>
    <xf numFmtId="1" fontId="8" fillId="3" borderId="20"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13" fillId="3" borderId="7" xfId="0" applyNumberFormat="1" applyFont="1" applyFill="1" applyBorder="1" applyAlignment="1" applyProtection="1">
      <alignment vertical="top" wrapText="1"/>
      <protection locked="0"/>
    </xf>
    <xf numFmtId="1" fontId="13" fillId="3" borderId="20" xfId="0" applyNumberFormat="1" applyFont="1" applyFill="1" applyBorder="1" applyAlignment="1" applyProtection="1">
      <alignment vertical="top" wrapText="1"/>
      <protection locked="0"/>
    </xf>
    <xf numFmtId="1" fontId="13" fillId="3" borderId="8" xfId="0" applyNumberFormat="1" applyFont="1" applyFill="1" applyBorder="1" applyAlignment="1" applyProtection="1">
      <alignment vertical="top" wrapText="1"/>
      <protection locked="0"/>
    </xf>
    <xf numFmtId="0" fontId="12" fillId="0" borderId="1" xfId="1" applyFont="1" applyBorder="1" applyAlignment="1" applyProtection="1">
      <alignment horizontal="left" vertical="top" wrapText="1"/>
      <protection locked="0"/>
    </xf>
    <xf numFmtId="0" fontId="13" fillId="0" borderId="32"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31" xfId="1" applyFont="1" applyBorder="1" applyAlignment="1" applyProtection="1">
      <alignment horizontal="left" vertical="top" wrapText="1"/>
      <protection locked="0"/>
    </xf>
    <xf numFmtId="0" fontId="13" fillId="0" borderId="33"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69" fontId="6" fillId="0" borderId="16" xfId="1" applyNumberFormat="1" applyFont="1" applyBorder="1" applyAlignment="1" applyProtection="1">
      <alignment horizontal="center" vertical="center" wrapText="1"/>
      <protection locked="0"/>
    </xf>
    <xf numFmtId="169" fontId="6" fillId="0" borderId="23" xfId="1" applyNumberFormat="1" applyFont="1" applyBorder="1" applyAlignment="1" applyProtection="1">
      <alignment horizontal="center" vertical="center" wrapText="1"/>
      <protection locked="0"/>
    </xf>
    <xf numFmtId="169" fontId="6" fillId="0" borderId="17" xfId="1" applyNumberFormat="1" applyFont="1" applyBorder="1" applyAlignment="1" applyProtection="1">
      <alignment horizontal="center" vertical="center" wrapText="1"/>
      <protection locked="0"/>
    </xf>
    <xf numFmtId="169" fontId="6" fillId="0" borderId="18" xfId="1" applyNumberFormat="1" applyFont="1" applyBorder="1" applyAlignment="1" applyProtection="1">
      <alignment horizontal="center" vertical="center" wrapText="1"/>
      <protection locked="0"/>
    </xf>
    <xf numFmtId="169" fontId="6" fillId="0" borderId="31" xfId="1" applyNumberFormat="1" applyFont="1" applyBorder="1" applyAlignment="1" applyProtection="1">
      <alignment horizontal="center" vertical="center" wrapText="1"/>
      <protection locked="0"/>
    </xf>
    <xf numFmtId="169" fontId="6" fillId="0" borderId="19"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169" fontId="6" fillId="0" borderId="7" xfId="1" applyNumberFormat="1" applyFont="1" applyBorder="1" applyAlignment="1" applyProtection="1">
      <alignment horizontal="center" vertical="center" wrapText="1"/>
      <protection locked="0"/>
    </xf>
    <xf numFmtId="169" fontId="6" fillId="0" borderId="20" xfId="1" applyNumberFormat="1" applyFont="1" applyBorder="1" applyAlignment="1" applyProtection="1">
      <alignment horizontal="center" vertical="center" wrapText="1"/>
      <protection locked="0"/>
    </xf>
    <xf numFmtId="169" fontId="6" fillId="0" borderId="8"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69" fontId="6" fillId="0" borderId="24" xfId="1" applyNumberFormat="1" applyFont="1" applyBorder="1" applyAlignment="1" applyProtection="1">
      <alignment horizontal="center" vertical="center" wrapText="1"/>
      <protection locked="0"/>
    </xf>
    <xf numFmtId="169" fontId="6" fillId="0" borderId="0" xfId="1" applyNumberFormat="1" applyFont="1" applyAlignment="1" applyProtection="1">
      <alignment horizontal="center" vertical="center" wrapText="1"/>
      <protection locked="0"/>
    </xf>
    <xf numFmtId="169" fontId="6" fillId="0" borderId="2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9" fontId="12" fillId="0" borderId="16"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168" fontId="12" fillId="0" borderId="1" xfId="9" applyNumberFormat="1" applyFont="1" applyFill="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0" fontId="8" fillId="0" borderId="15"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12" fillId="0" borderId="7"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1" fontId="13"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8" fillId="0" borderId="7"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4" fontId="8" fillId="0" borderId="7" xfId="1" applyNumberFormat="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14" fontId="6" fillId="0" borderId="7"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9" fontId="12" fillId="0" borderId="1" xfId="8" applyFont="1" applyFill="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10" fillId="0" borderId="7" xfId="1" applyFont="1" applyBorder="1" applyAlignment="1" applyProtection="1">
      <alignment horizontal="left"/>
      <protection locked="0"/>
    </xf>
    <xf numFmtId="0" fontId="10" fillId="0" borderId="20" xfId="1" applyFont="1" applyBorder="1" applyAlignment="1" applyProtection="1">
      <alignment horizontal="left"/>
      <protection locked="0"/>
    </xf>
    <xf numFmtId="0" fontId="10" fillId="0" borderId="8" xfId="1" applyFont="1" applyBorder="1" applyAlignment="1" applyProtection="1">
      <alignment horizontal="left"/>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169" fontId="6" fillId="0" borderId="1" xfId="1" applyNumberFormat="1" applyFont="1" applyBorder="1" applyAlignment="1" applyProtection="1">
      <alignment horizontal="center" vertical="center" wrapText="1"/>
      <protection locked="0"/>
    </xf>
    <xf numFmtId="0" fontId="8" fillId="0" borderId="15"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23" xfId="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xf numFmtId="1" fontId="27" fillId="0" borderId="7" xfId="0" applyNumberFormat="1" applyFont="1" applyBorder="1" applyAlignment="1" applyProtection="1">
      <alignment horizontal="left" vertical="top" wrapText="1"/>
      <protection locked="0"/>
    </xf>
    <xf numFmtId="1" fontId="27" fillId="0" borderId="20" xfId="0" applyNumberFormat="1" applyFont="1" applyBorder="1" applyAlignment="1" applyProtection="1">
      <alignment horizontal="left" vertical="top" wrapText="1"/>
      <protection locked="0"/>
    </xf>
    <xf numFmtId="1" fontId="27" fillId="0" borderId="8" xfId="0" applyNumberFormat="1" applyFont="1" applyBorder="1" applyAlignment="1" applyProtection="1">
      <alignment horizontal="left" vertical="top" wrapText="1"/>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10</xdr:col>
      <xdr:colOff>121227</xdr:colOff>
      <xdr:row>90</xdr:row>
      <xdr:rowOff>43296</xdr:rowOff>
    </xdr:from>
    <xdr:to>
      <xdr:col>15</xdr:col>
      <xdr:colOff>32455</xdr:colOff>
      <xdr:row>100</xdr:row>
      <xdr:rowOff>151260</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563841" y="19197205"/>
          <a:ext cx="3600000" cy="2103797"/>
        </a:xfrm>
        <a:prstGeom prst="rect">
          <a:avLst/>
        </a:prstGeom>
        <a:ln>
          <a:solidFill>
            <a:schemeClr val="tx1"/>
          </a:solidFill>
        </a:ln>
      </xdr:spPr>
    </xdr:pic>
    <xdr:clientData/>
  </xdr:twoCellAnchor>
  <xdr:twoCellAnchor>
    <xdr:from>
      <xdr:col>1</xdr:col>
      <xdr:colOff>381000</xdr:colOff>
      <xdr:row>624</xdr:row>
      <xdr:rowOff>11178</xdr:rowOff>
    </xdr:from>
    <xdr:to>
      <xdr:col>6</xdr:col>
      <xdr:colOff>433800</xdr:colOff>
      <xdr:row>641</xdr:row>
      <xdr:rowOff>27198</xdr:rowOff>
    </xdr:to>
    <xdr:pic>
      <xdr:nvPicPr>
        <xdr:cNvPr id="15" name="Picture 14">
          <a:extLst>
            <a:ext uri="{FF2B5EF4-FFF2-40B4-BE49-F238E27FC236}">
              <a16:creationId xmlns:a16="http://schemas.microsoft.com/office/drawing/2014/main" id="{CBEAB99E-28F7-F4A9-27EE-986B717F6295}"/>
            </a:ext>
          </a:extLst>
        </xdr:cNvPr>
        <xdr:cNvPicPr>
          <a:picLocks noChangeAspect="1"/>
        </xdr:cNvPicPr>
      </xdr:nvPicPr>
      <xdr:blipFill>
        <a:blip xmlns:r="http://schemas.openxmlformats.org/officeDocument/2006/relationships" r:embed="rId2"/>
        <a:stretch>
          <a:fillRect/>
        </a:stretch>
      </xdr:blipFill>
      <xdr:spPr>
        <a:xfrm>
          <a:off x="1200150" y="97547178"/>
          <a:ext cx="4510500" cy="3416445"/>
        </a:xfrm>
        <a:prstGeom prst="rect">
          <a:avLst/>
        </a:prstGeom>
        <a:ln>
          <a:solidFill>
            <a:schemeClr val="tx1"/>
          </a:solidFill>
        </a:ln>
      </xdr:spPr>
    </xdr:pic>
    <xdr:clientData/>
  </xdr:twoCellAnchor>
  <xdr:twoCellAnchor>
    <xdr:from>
      <xdr:col>1</xdr:col>
      <xdr:colOff>756875</xdr:colOff>
      <xdr:row>604</xdr:row>
      <xdr:rowOff>34637</xdr:rowOff>
    </xdr:from>
    <xdr:to>
      <xdr:col>6</xdr:col>
      <xdr:colOff>57925</xdr:colOff>
      <xdr:row>623</xdr:row>
      <xdr:rowOff>85667</xdr:rowOff>
    </xdr:to>
    <xdr:pic>
      <xdr:nvPicPr>
        <xdr:cNvPr id="24" name="Picture 23">
          <a:extLst>
            <a:ext uri="{FF2B5EF4-FFF2-40B4-BE49-F238E27FC236}">
              <a16:creationId xmlns:a16="http://schemas.microsoft.com/office/drawing/2014/main" id="{40359F09-34CC-BF84-57AE-67EF55E0D5B0}"/>
            </a:ext>
          </a:extLst>
        </xdr:cNvPr>
        <xdr:cNvPicPr>
          <a:picLocks noChangeAspect="1"/>
        </xdr:cNvPicPr>
      </xdr:nvPicPr>
      <xdr:blipFill>
        <a:blip xmlns:r="http://schemas.openxmlformats.org/officeDocument/2006/relationships" r:embed="rId3"/>
        <a:stretch>
          <a:fillRect/>
        </a:stretch>
      </xdr:blipFill>
      <xdr:spPr>
        <a:xfrm>
          <a:off x="1576025" y="93570137"/>
          <a:ext cx="3758750" cy="3851505"/>
        </a:xfrm>
        <a:prstGeom prst="rect">
          <a:avLst/>
        </a:prstGeom>
        <a:ln>
          <a:solidFill>
            <a:schemeClr val="tx1"/>
          </a:solidFill>
        </a:ln>
      </xdr:spPr>
    </xdr:pic>
    <xdr:clientData/>
  </xdr:twoCellAnchor>
  <xdr:twoCellAnchor>
    <xdr:from>
      <xdr:col>3</xdr:col>
      <xdr:colOff>141704</xdr:colOff>
      <xdr:row>617</xdr:row>
      <xdr:rowOff>89763</xdr:rowOff>
    </xdr:from>
    <xdr:to>
      <xdr:col>4</xdr:col>
      <xdr:colOff>198161</xdr:colOff>
      <xdr:row>620</xdr:row>
      <xdr:rowOff>127006</xdr:rowOff>
    </xdr:to>
    <xdr:sp macro="" textlink="">
      <xdr:nvSpPr>
        <xdr:cNvPr id="26" name="Rectangle 25">
          <a:extLst>
            <a:ext uri="{FF2B5EF4-FFF2-40B4-BE49-F238E27FC236}">
              <a16:creationId xmlns:a16="http://schemas.microsoft.com/office/drawing/2014/main" id="{62A27E54-E713-CB55-3A3F-542FBBE58DB4}"/>
            </a:ext>
          </a:extLst>
        </xdr:cNvPr>
        <xdr:cNvSpPr/>
      </xdr:nvSpPr>
      <xdr:spPr>
        <a:xfrm>
          <a:off x="2732504" y="96225588"/>
          <a:ext cx="1066107" cy="6373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55236</xdr:colOff>
      <xdr:row>617</xdr:row>
      <xdr:rowOff>89763</xdr:rowOff>
    </xdr:from>
    <xdr:to>
      <xdr:col>3</xdr:col>
      <xdr:colOff>62143</xdr:colOff>
      <xdr:row>620</xdr:row>
      <xdr:rowOff>85277</xdr:rowOff>
    </xdr:to>
    <xdr:sp macro="" textlink="">
      <xdr:nvSpPr>
        <xdr:cNvPr id="27" name="Rectangle 26">
          <a:extLst>
            <a:ext uri="{FF2B5EF4-FFF2-40B4-BE49-F238E27FC236}">
              <a16:creationId xmlns:a16="http://schemas.microsoft.com/office/drawing/2014/main" id="{621889FA-5668-79E5-802A-995802AC7310}"/>
            </a:ext>
          </a:extLst>
        </xdr:cNvPr>
        <xdr:cNvSpPr/>
      </xdr:nvSpPr>
      <xdr:spPr>
        <a:xfrm>
          <a:off x="1731636" y="96225588"/>
          <a:ext cx="921307" cy="59558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121271</xdr:colOff>
      <xdr:row>612</xdr:row>
      <xdr:rowOff>164628</xdr:rowOff>
    </xdr:from>
    <xdr:to>
      <xdr:col>3</xdr:col>
      <xdr:colOff>62143</xdr:colOff>
      <xdr:row>617</xdr:row>
      <xdr:rowOff>6304</xdr:rowOff>
    </xdr:to>
    <xdr:sp macro="" textlink="">
      <xdr:nvSpPr>
        <xdr:cNvPr id="28" name="Rectangle 27">
          <a:extLst>
            <a:ext uri="{FF2B5EF4-FFF2-40B4-BE49-F238E27FC236}">
              <a16:creationId xmlns:a16="http://schemas.microsoft.com/office/drawing/2014/main" id="{C9F6DFDA-8F8B-E1B2-4612-BFBBDF38DA13}"/>
            </a:ext>
          </a:extLst>
        </xdr:cNvPr>
        <xdr:cNvSpPr/>
      </xdr:nvSpPr>
      <xdr:spPr>
        <a:xfrm>
          <a:off x="1797671" y="95300328"/>
          <a:ext cx="855272" cy="84180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193670</xdr:colOff>
      <xdr:row>608</xdr:row>
      <xdr:rowOff>100207</xdr:rowOff>
    </xdr:from>
    <xdr:to>
      <xdr:col>2</xdr:col>
      <xdr:colOff>904144</xdr:colOff>
      <xdr:row>612</xdr:row>
      <xdr:rowOff>62961</xdr:rowOff>
    </xdr:to>
    <xdr:sp macro="" textlink="">
      <xdr:nvSpPr>
        <xdr:cNvPr id="29" name="Rectangle 28">
          <a:extLst>
            <a:ext uri="{FF2B5EF4-FFF2-40B4-BE49-F238E27FC236}">
              <a16:creationId xmlns:a16="http://schemas.microsoft.com/office/drawing/2014/main" id="{869BD24D-6827-31A0-7E55-5273CF8BFA0C}"/>
            </a:ext>
          </a:extLst>
        </xdr:cNvPr>
        <xdr:cNvSpPr/>
      </xdr:nvSpPr>
      <xdr:spPr>
        <a:xfrm>
          <a:off x="1870070" y="94435807"/>
          <a:ext cx="710474" cy="76285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241897</xdr:colOff>
      <xdr:row>605</xdr:row>
      <xdr:rowOff>141546</xdr:rowOff>
    </xdr:from>
    <xdr:to>
      <xdr:col>3</xdr:col>
      <xdr:colOff>248804</xdr:colOff>
      <xdr:row>608</xdr:row>
      <xdr:rowOff>16749</xdr:rowOff>
    </xdr:to>
    <xdr:sp macro="" textlink="">
      <xdr:nvSpPr>
        <xdr:cNvPr id="30" name="Rectangle 29">
          <a:extLst>
            <a:ext uri="{FF2B5EF4-FFF2-40B4-BE49-F238E27FC236}">
              <a16:creationId xmlns:a16="http://schemas.microsoft.com/office/drawing/2014/main" id="{1A0F33A2-E295-C330-0D9E-BD967554C7A2}"/>
            </a:ext>
          </a:extLst>
        </xdr:cNvPr>
        <xdr:cNvSpPr/>
      </xdr:nvSpPr>
      <xdr:spPr>
        <a:xfrm>
          <a:off x="1918297" y="93877071"/>
          <a:ext cx="921307" cy="475278"/>
        </a:xfrm>
        <a:prstGeom prst="rect">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428609</xdr:colOff>
      <xdr:row>605</xdr:row>
      <xdr:rowOff>159018</xdr:rowOff>
    </xdr:from>
    <xdr:to>
      <xdr:col>4</xdr:col>
      <xdr:colOff>290940</xdr:colOff>
      <xdr:row>608</xdr:row>
      <xdr:rowOff>34221</xdr:rowOff>
    </xdr:to>
    <xdr:sp macro="" textlink="">
      <xdr:nvSpPr>
        <xdr:cNvPr id="31" name="Rectangle 30">
          <a:extLst>
            <a:ext uri="{FF2B5EF4-FFF2-40B4-BE49-F238E27FC236}">
              <a16:creationId xmlns:a16="http://schemas.microsoft.com/office/drawing/2014/main" id="{C4051175-6095-96B0-8828-F4751ED0492C}"/>
            </a:ext>
          </a:extLst>
        </xdr:cNvPr>
        <xdr:cNvSpPr/>
      </xdr:nvSpPr>
      <xdr:spPr>
        <a:xfrm>
          <a:off x="3019409" y="93894543"/>
          <a:ext cx="871981" cy="475278"/>
        </a:xfrm>
        <a:prstGeom prst="rect">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638234</xdr:colOff>
      <xdr:row>611</xdr:row>
      <xdr:rowOff>78001</xdr:rowOff>
    </xdr:from>
    <xdr:to>
      <xdr:col>5</xdr:col>
      <xdr:colOff>322771</xdr:colOff>
      <xdr:row>615</xdr:row>
      <xdr:rowOff>127022</xdr:rowOff>
    </xdr:to>
    <xdr:sp macro="" textlink="">
      <xdr:nvSpPr>
        <xdr:cNvPr id="32" name="Rectangle 31">
          <a:extLst>
            <a:ext uri="{FF2B5EF4-FFF2-40B4-BE49-F238E27FC236}">
              <a16:creationId xmlns:a16="http://schemas.microsoft.com/office/drawing/2014/main" id="{831D8F3A-E104-230C-5C39-1A766BF4876D}"/>
            </a:ext>
          </a:extLst>
        </xdr:cNvPr>
        <xdr:cNvSpPr/>
      </xdr:nvSpPr>
      <xdr:spPr>
        <a:xfrm rot="18111588">
          <a:off x="4075492" y="95176868"/>
          <a:ext cx="849121" cy="52273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115795</xdr:colOff>
      <xdr:row>615</xdr:row>
      <xdr:rowOff>33070</xdr:rowOff>
    </xdr:from>
    <xdr:to>
      <xdr:col>4</xdr:col>
      <xdr:colOff>777187</xdr:colOff>
      <xdr:row>619</xdr:row>
      <xdr:rowOff>64187</xdr:rowOff>
    </xdr:to>
    <xdr:sp macro="" textlink="">
      <xdr:nvSpPr>
        <xdr:cNvPr id="33" name="Rectangle 32">
          <a:extLst>
            <a:ext uri="{FF2B5EF4-FFF2-40B4-BE49-F238E27FC236}">
              <a16:creationId xmlns:a16="http://schemas.microsoft.com/office/drawing/2014/main" id="{06C053E9-C51E-75F6-82C0-531A36B61AC9}"/>
            </a:ext>
          </a:extLst>
        </xdr:cNvPr>
        <xdr:cNvSpPr/>
      </xdr:nvSpPr>
      <xdr:spPr>
        <a:xfrm rot="17999742">
          <a:off x="3631332" y="95853758"/>
          <a:ext cx="831217" cy="66139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60491</xdr:colOff>
      <xdr:row>609</xdr:row>
      <xdr:rowOff>69013</xdr:rowOff>
    </xdr:from>
    <xdr:to>
      <xdr:col>3</xdr:col>
      <xdr:colOff>864599</xdr:colOff>
      <xdr:row>610</xdr:row>
      <xdr:rowOff>175437</xdr:rowOff>
    </xdr:to>
    <xdr:sp macro="" textlink="">
      <xdr:nvSpPr>
        <xdr:cNvPr id="34" name="TextBox 15">
          <a:extLst>
            <a:ext uri="{FF2B5EF4-FFF2-40B4-BE49-F238E27FC236}">
              <a16:creationId xmlns:a16="http://schemas.microsoft.com/office/drawing/2014/main" id="{B074A688-F81F-AC75-2F46-22322AC0B0A4}"/>
            </a:ext>
          </a:extLst>
        </xdr:cNvPr>
        <xdr:cNvSpPr txBox="1"/>
      </xdr:nvSpPr>
      <xdr:spPr>
        <a:xfrm>
          <a:off x="2651291" y="94604638"/>
          <a:ext cx="804108" cy="306449"/>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Tower 4</a:t>
          </a:r>
          <a:endParaRPr lang="en-IN" sz="1400" b="1">
            <a:solidFill>
              <a:srgbClr val="FF0000"/>
            </a:solidFill>
          </a:endParaRPr>
        </a:p>
      </xdr:txBody>
    </xdr:sp>
    <xdr:clientData/>
  </xdr:twoCellAnchor>
  <xdr:twoCellAnchor>
    <xdr:from>
      <xdr:col>3</xdr:col>
      <xdr:colOff>104945</xdr:colOff>
      <xdr:row>613</xdr:row>
      <xdr:rowOff>177900</xdr:rowOff>
    </xdr:from>
    <xdr:to>
      <xdr:col>3</xdr:col>
      <xdr:colOff>909053</xdr:colOff>
      <xdr:row>615</xdr:row>
      <xdr:rowOff>84299</xdr:rowOff>
    </xdr:to>
    <xdr:sp macro="" textlink="">
      <xdr:nvSpPr>
        <xdr:cNvPr id="35" name="TextBox 16">
          <a:extLst>
            <a:ext uri="{FF2B5EF4-FFF2-40B4-BE49-F238E27FC236}">
              <a16:creationId xmlns:a16="http://schemas.microsoft.com/office/drawing/2014/main" id="{218B50D9-F882-DA91-FA77-9E1DE9E70721}"/>
            </a:ext>
          </a:extLst>
        </xdr:cNvPr>
        <xdr:cNvSpPr txBox="1"/>
      </xdr:nvSpPr>
      <xdr:spPr>
        <a:xfrm>
          <a:off x="2695745" y="95513625"/>
          <a:ext cx="804108" cy="306449"/>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Tower 3</a:t>
          </a:r>
          <a:endParaRPr lang="en-IN" sz="1400" b="1">
            <a:solidFill>
              <a:srgbClr val="FF0000"/>
            </a:solidFill>
          </a:endParaRPr>
        </a:p>
      </xdr:txBody>
    </xdr:sp>
    <xdr:clientData/>
  </xdr:twoCellAnchor>
  <xdr:twoCellAnchor>
    <xdr:from>
      <xdr:col>2</xdr:col>
      <xdr:colOff>100035</xdr:colOff>
      <xdr:row>620</xdr:row>
      <xdr:rowOff>168735</xdr:rowOff>
    </xdr:from>
    <xdr:to>
      <xdr:col>2</xdr:col>
      <xdr:colOff>904143</xdr:colOff>
      <xdr:row>622</xdr:row>
      <xdr:rowOff>75134</xdr:rowOff>
    </xdr:to>
    <xdr:sp macro="" textlink="">
      <xdr:nvSpPr>
        <xdr:cNvPr id="36" name="TextBox 17">
          <a:extLst>
            <a:ext uri="{FF2B5EF4-FFF2-40B4-BE49-F238E27FC236}">
              <a16:creationId xmlns:a16="http://schemas.microsoft.com/office/drawing/2014/main" id="{B7CB2C1E-CFC7-C8E2-DEE8-1DA020C51212}"/>
            </a:ext>
          </a:extLst>
        </xdr:cNvPr>
        <xdr:cNvSpPr txBox="1"/>
      </xdr:nvSpPr>
      <xdr:spPr>
        <a:xfrm>
          <a:off x="1776435" y="96904635"/>
          <a:ext cx="804108" cy="306449"/>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FF0000"/>
              </a:solidFill>
            </a:rPr>
            <a:t>Tower 2</a:t>
          </a:r>
          <a:endParaRPr lang="en-IN" sz="1400" b="1">
            <a:solidFill>
              <a:srgbClr val="FF0000"/>
            </a:solidFill>
          </a:endParaRPr>
        </a:p>
      </xdr:txBody>
    </xdr:sp>
    <xdr:clientData/>
  </xdr:twoCellAnchor>
  <xdr:twoCellAnchor>
    <xdr:from>
      <xdr:col>3</xdr:col>
      <xdr:colOff>423314</xdr:colOff>
      <xdr:row>621</xdr:row>
      <xdr:rowOff>91270</xdr:rowOff>
    </xdr:from>
    <xdr:to>
      <xdr:col>4</xdr:col>
      <xdr:colOff>342900</xdr:colOff>
      <xdr:row>622</xdr:row>
      <xdr:rowOff>136404</xdr:rowOff>
    </xdr:to>
    <xdr:sp macro="" textlink="">
      <xdr:nvSpPr>
        <xdr:cNvPr id="37" name="TextBox 19">
          <a:extLst>
            <a:ext uri="{FF2B5EF4-FFF2-40B4-BE49-F238E27FC236}">
              <a16:creationId xmlns:a16="http://schemas.microsoft.com/office/drawing/2014/main" id="{97D526E3-76CF-D34E-73A4-72DB61B0B809}"/>
            </a:ext>
          </a:extLst>
        </xdr:cNvPr>
        <xdr:cNvSpPr txBox="1"/>
      </xdr:nvSpPr>
      <xdr:spPr>
        <a:xfrm>
          <a:off x="2833139" y="111143245"/>
          <a:ext cx="862561" cy="245159"/>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00" b="1">
              <a:solidFill>
                <a:srgbClr val="FF0000"/>
              </a:solidFill>
            </a:rPr>
            <a:t>Tower 1</a:t>
          </a:r>
          <a:endParaRPr lang="en-IN" sz="1000" b="1">
            <a:solidFill>
              <a:srgbClr val="FF0000"/>
            </a:solidFill>
          </a:endParaRPr>
        </a:p>
      </xdr:txBody>
    </xdr:sp>
    <xdr:clientData/>
  </xdr:twoCellAnchor>
  <xdr:twoCellAnchor>
    <xdr:from>
      <xdr:col>4</xdr:col>
      <xdr:colOff>766266</xdr:colOff>
      <xdr:row>617</xdr:row>
      <xdr:rowOff>173684</xdr:rowOff>
    </xdr:from>
    <xdr:to>
      <xdr:col>6</xdr:col>
      <xdr:colOff>76200</xdr:colOff>
      <xdr:row>619</xdr:row>
      <xdr:rowOff>18793</xdr:rowOff>
    </xdr:to>
    <xdr:sp macro="" textlink="">
      <xdr:nvSpPr>
        <xdr:cNvPr id="38" name="TextBox 20">
          <a:extLst>
            <a:ext uri="{FF2B5EF4-FFF2-40B4-BE49-F238E27FC236}">
              <a16:creationId xmlns:a16="http://schemas.microsoft.com/office/drawing/2014/main" id="{BDAD4C48-3E66-80FC-4CE7-8443FCE76B20}"/>
            </a:ext>
          </a:extLst>
        </xdr:cNvPr>
        <xdr:cNvSpPr txBox="1"/>
      </xdr:nvSpPr>
      <xdr:spPr>
        <a:xfrm>
          <a:off x="4119066" y="110425559"/>
          <a:ext cx="872034" cy="245159"/>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00" b="1">
              <a:solidFill>
                <a:srgbClr val="FF0000"/>
              </a:solidFill>
            </a:rPr>
            <a:t>Tower 10</a:t>
          </a:r>
          <a:endParaRPr lang="en-IN" sz="1000" b="1">
            <a:solidFill>
              <a:srgbClr val="FF0000"/>
            </a:solidFill>
          </a:endParaRPr>
        </a:p>
      </xdr:txBody>
    </xdr:sp>
    <xdr:clientData/>
  </xdr:twoCellAnchor>
  <xdr:twoCellAnchor>
    <xdr:from>
      <xdr:col>5</xdr:col>
      <xdr:colOff>156915</xdr:colOff>
      <xdr:row>609</xdr:row>
      <xdr:rowOff>166560</xdr:rowOff>
    </xdr:from>
    <xdr:to>
      <xdr:col>6</xdr:col>
      <xdr:colOff>76200</xdr:colOff>
      <xdr:row>611</xdr:row>
      <xdr:rowOff>11669</xdr:rowOff>
    </xdr:to>
    <xdr:sp macro="" textlink="">
      <xdr:nvSpPr>
        <xdr:cNvPr id="39" name="TextBox 21">
          <a:extLst>
            <a:ext uri="{FF2B5EF4-FFF2-40B4-BE49-F238E27FC236}">
              <a16:creationId xmlns:a16="http://schemas.microsoft.com/office/drawing/2014/main" id="{78041872-A025-B08E-20A6-F537A981D1EB}"/>
            </a:ext>
          </a:extLst>
        </xdr:cNvPr>
        <xdr:cNvSpPr txBox="1"/>
      </xdr:nvSpPr>
      <xdr:spPr>
        <a:xfrm>
          <a:off x="4290765" y="108818235"/>
          <a:ext cx="700335" cy="245159"/>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00" b="1">
              <a:solidFill>
                <a:srgbClr val="FF0000"/>
              </a:solidFill>
            </a:rPr>
            <a:t>Tower 9</a:t>
          </a:r>
          <a:endParaRPr lang="en-IN" sz="1000" b="1">
            <a:solidFill>
              <a:srgbClr val="FF0000"/>
            </a:solidFill>
          </a:endParaRPr>
        </a:p>
      </xdr:txBody>
    </xdr:sp>
    <xdr:clientData/>
  </xdr:twoCellAnchor>
  <xdr:twoCellAnchor>
    <xdr:from>
      <xdr:col>3</xdr:col>
      <xdr:colOff>507552</xdr:colOff>
      <xdr:row>604</xdr:row>
      <xdr:rowOff>74261</xdr:rowOff>
    </xdr:from>
    <xdr:to>
      <xdr:col>4</xdr:col>
      <xdr:colOff>485774</xdr:colOff>
      <xdr:row>605</xdr:row>
      <xdr:rowOff>119395</xdr:rowOff>
    </xdr:to>
    <xdr:sp macro="" textlink="">
      <xdr:nvSpPr>
        <xdr:cNvPr id="40" name="TextBox 22">
          <a:extLst>
            <a:ext uri="{FF2B5EF4-FFF2-40B4-BE49-F238E27FC236}">
              <a16:creationId xmlns:a16="http://schemas.microsoft.com/office/drawing/2014/main" id="{ADE278D4-D60B-68C0-32BA-BA38962D2051}"/>
            </a:ext>
          </a:extLst>
        </xdr:cNvPr>
        <xdr:cNvSpPr txBox="1"/>
      </xdr:nvSpPr>
      <xdr:spPr>
        <a:xfrm>
          <a:off x="2917377" y="107725811"/>
          <a:ext cx="921197" cy="245159"/>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00" b="1"/>
            <a:t>Tower 6</a:t>
          </a:r>
          <a:endParaRPr lang="en-IN" sz="1000" b="1"/>
        </a:p>
      </xdr:txBody>
    </xdr:sp>
    <xdr:clientData/>
  </xdr:twoCellAnchor>
  <xdr:twoCellAnchor>
    <xdr:from>
      <xdr:col>2</xdr:col>
      <xdr:colOff>372667</xdr:colOff>
      <xdr:row>604</xdr:row>
      <xdr:rowOff>62234</xdr:rowOff>
    </xdr:from>
    <xdr:to>
      <xdr:col>3</xdr:col>
      <xdr:colOff>266700</xdr:colOff>
      <xdr:row>605</xdr:row>
      <xdr:rowOff>107368</xdr:rowOff>
    </xdr:to>
    <xdr:sp macro="" textlink="">
      <xdr:nvSpPr>
        <xdr:cNvPr id="41" name="TextBox 23">
          <a:extLst>
            <a:ext uri="{FF2B5EF4-FFF2-40B4-BE49-F238E27FC236}">
              <a16:creationId xmlns:a16="http://schemas.microsoft.com/office/drawing/2014/main" id="{5EA74775-EE87-962E-2531-8A8142C9E121}"/>
            </a:ext>
          </a:extLst>
        </xdr:cNvPr>
        <xdr:cNvSpPr txBox="1"/>
      </xdr:nvSpPr>
      <xdr:spPr>
        <a:xfrm>
          <a:off x="1934767" y="107713784"/>
          <a:ext cx="741758" cy="245159"/>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000" b="1"/>
            <a:t>Tower 5</a:t>
          </a:r>
          <a:endParaRPr lang="en-IN" sz="1000" b="1"/>
        </a:p>
      </xdr:txBody>
    </xdr:sp>
    <xdr:clientData/>
  </xdr:twoCellAnchor>
  <xdr:twoCellAnchor>
    <xdr:from>
      <xdr:col>0</xdr:col>
      <xdr:colOff>491837</xdr:colOff>
      <xdr:row>646</xdr:row>
      <xdr:rowOff>27709</xdr:rowOff>
    </xdr:from>
    <xdr:to>
      <xdr:col>7</xdr:col>
      <xdr:colOff>398292</xdr:colOff>
      <xdr:row>679</xdr:row>
      <xdr:rowOff>68134</xdr:rowOff>
    </xdr:to>
    <xdr:grpSp>
      <xdr:nvGrpSpPr>
        <xdr:cNvPr id="42" name="Group 41">
          <a:extLst>
            <a:ext uri="{FF2B5EF4-FFF2-40B4-BE49-F238E27FC236}">
              <a16:creationId xmlns:a16="http://schemas.microsoft.com/office/drawing/2014/main" id="{AF6C4BA5-D018-9C4F-78A5-84340EF97C43}"/>
            </a:ext>
          </a:extLst>
        </xdr:cNvPr>
        <xdr:cNvGrpSpPr/>
      </xdr:nvGrpSpPr>
      <xdr:grpSpPr>
        <a:xfrm>
          <a:off x="491837" y="140890133"/>
          <a:ext cx="5796267" cy="6548801"/>
          <a:chOff x="319770" y="358274"/>
          <a:chExt cx="5760000" cy="6669825"/>
        </a:xfrm>
      </xdr:grpSpPr>
      <xdr:pic>
        <xdr:nvPicPr>
          <xdr:cNvPr id="43" name="Picture 42">
            <a:extLst>
              <a:ext uri="{FF2B5EF4-FFF2-40B4-BE49-F238E27FC236}">
                <a16:creationId xmlns:a16="http://schemas.microsoft.com/office/drawing/2014/main" id="{68B5C565-B279-AC2F-7E0C-F7AF1FD85598}"/>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19770" y="358274"/>
            <a:ext cx="5760000" cy="2567390"/>
          </a:xfrm>
          <a:prstGeom prst="rect">
            <a:avLst/>
          </a:prstGeom>
          <a:ln>
            <a:solidFill>
              <a:schemeClr val="tx1"/>
            </a:solidFill>
          </a:ln>
        </xdr:spPr>
      </xdr:pic>
      <xdr:grpSp>
        <xdr:nvGrpSpPr>
          <xdr:cNvPr id="44" name="Group 43">
            <a:extLst>
              <a:ext uri="{FF2B5EF4-FFF2-40B4-BE49-F238E27FC236}">
                <a16:creationId xmlns:a16="http://schemas.microsoft.com/office/drawing/2014/main" id="{D656ADAE-4AB5-97AB-E3E4-84EE8E5E5F0E}"/>
              </a:ext>
            </a:extLst>
          </xdr:cNvPr>
          <xdr:cNvGrpSpPr/>
        </xdr:nvGrpSpPr>
        <xdr:grpSpPr>
          <a:xfrm>
            <a:off x="679770" y="3124570"/>
            <a:ext cx="5040000" cy="3903529"/>
            <a:chOff x="679770" y="3124570"/>
            <a:chExt cx="5040000" cy="3903529"/>
          </a:xfrm>
        </xdr:grpSpPr>
        <xdr:pic>
          <xdr:nvPicPr>
            <xdr:cNvPr id="45" name="Picture 44">
              <a:extLst>
                <a:ext uri="{FF2B5EF4-FFF2-40B4-BE49-F238E27FC236}">
                  <a16:creationId xmlns:a16="http://schemas.microsoft.com/office/drawing/2014/main" id="{4EEBBCFF-90FF-BB01-24F1-8AD5832650E6}"/>
                </a:ext>
              </a:extLst>
            </xdr:cNvPr>
            <xdr:cNvPicPr>
              <a:picLocks noChangeAspect="1"/>
            </xdr:cNvPicPr>
          </xdr:nvPicPr>
          <xdr:blipFill>
            <a:blip xmlns:r="http://schemas.openxmlformats.org/officeDocument/2006/relationships" r:embed="rId5"/>
            <a:stretch>
              <a:fillRect/>
            </a:stretch>
          </xdr:blipFill>
          <xdr:spPr>
            <a:xfrm>
              <a:off x="679770" y="3124570"/>
              <a:ext cx="5040000" cy="3903529"/>
            </a:xfrm>
            <a:prstGeom prst="rect">
              <a:avLst/>
            </a:prstGeom>
            <a:ln>
              <a:solidFill>
                <a:schemeClr val="tx1"/>
              </a:solidFill>
            </a:ln>
          </xdr:spPr>
        </xdr:pic>
        <xdr:sp macro="" textlink="">
          <xdr:nvSpPr>
            <xdr:cNvPr id="46" name="Rectangle 45">
              <a:extLst>
                <a:ext uri="{FF2B5EF4-FFF2-40B4-BE49-F238E27FC236}">
                  <a16:creationId xmlns:a16="http://schemas.microsoft.com/office/drawing/2014/main" id="{553D669E-DD84-EEF2-5D38-CA2DE0FB77FF}"/>
                </a:ext>
              </a:extLst>
            </xdr:cNvPr>
            <xdr:cNvSpPr/>
          </xdr:nvSpPr>
          <xdr:spPr>
            <a:xfrm rot="2398329">
              <a:off x="2160401" y="4181856"/>
              <a:ext cx="2078736" cy="1920240"/>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oneCellAnchor>
    <xdr:from>
      <xdr:col>10</xdr:col>
      <xdr:colOff>121227</xdr:colOff>
      <xdr:row>76</xdr:row>
      <xdr:rowOff>43296</xdr:rowOff>
    </xdr:from>
    <xdr:ext cx="3713608" cy="2088557"/>
    <xdr:pic>
      <xdr:nvPicPr>
        <xdr:cNvPr id="2" name="Picture 1">
          <a:extLst>
            <a:ext uri="{FF2B5EF4-FFF2-40B4-BE49-F238E27FC236}">
              <a16:creationId xmlns:a16="http://schemas.microsoft.com/office/drawing/2014/main" id="{C6114724-8EB0-4F91-800E-42A9EA28D59D}"/>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800407" y="26736156"/>
          <a:ext cx="3713608" cy="2088557"/>
        </a:xfrm>
        <a:prstGeom prst="rect">
          <a:avLst/>
        </a:prstGeom>
        <a:ln>
          <a:solidFill>
            <a:schemeClr val="tx1"/>
          </a:solidFill>
        </a:ln>
      </xdr:spPr>
    </xdr:pic>
    <xdr:clientData/>
  </xdr:oneCellAnchor>
  <xdr:twoCellAnchor editAs="oneCell">
    <xdr:from>
      <xdr:col>8</xdr:col>
      <xdr:colOff>480060</xdr:colOff>
      <xdr:row>198</xdr:row>
      <xdr:rowOff>19076</xdr:rowOff>
    </xdr:from>
    <xdr:to>
      <xdr:col>12</xdr:col>
      <xdr:colOff>147060</xdr:colOff>
      <xdr:row>206</xdr:row>
      <xdr:rowOff>78242</xdr:rowOff>
    </xdr:to>
    <xdr:pic>
      <xdr:nvPicPr>
        <xdr:cNvPr id="3" name="Picture 2">
          <a:extLst>
            <a:ext uri="{FF2B5EF4-FFF2-40B4-BE49-F238E27FC236}">
              <a16:creationId xmlns:a16="http://schemas.microsoft.com/office/drawing/2014/main" id="{3DC42E46-263D-A151-7105-CA45808C7BDB}"/>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7480935" y="36337901"/>
          <a:ext cx="3238875" cy="1659367"/>
        </a:xfrm>
        <a:prstGeom prst="rect">
          <a:avLst/>
        </a:prstGeom>
        <a:ln>
          <a:solidFill>
            <a:sysClr val="windowText" lastClr="000000"/>
          </a:solidFill>
        </a:ln>
      </xdr:spPr>
    </xdr:pic>
    <xdr:clientData/>
  </xdr:twoCellAnchor>
  <xdr:twoCellAnchor editAs="oneCell">
    <xdr:from>
      <xdr:col>12</xdr:col>
      <xdr:colOff>743476</xdr:colOff>
      <xdr:row>132</xdr:row>
      <xdr:rowOff>140634</xdr:rowOff>
    </xdr:from>
    <xdr:to>
      <xdr:col>17</xdr:col>
      <xdr:colOff>78439</xdr:colOff>
      <xdr:row>151</xdr:row>
      <xdr:rowOff>131933</xdr:rowOff>
    </xdr:to>
    <xdr:pic>
      <xdr:nvPicPr>
        <xdr:cNvPr id="59" name="Picture 58" descr="https://vsjcllp.vsjadon.com/upload/insp-218651-931.jpg">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615858" y="38868163"/>
          <a:ext cx="3021699" cy="4049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810111</xdr:colOff>
      <xdr:row>562</xdr:row>
      <xdr:rowOff>49082</xdr:rowOff>
    </xdr:from>
    <xdr:to>
      <xdr:col>16</xdr:col>
      <xdr:colOff>577583</xdr:colOff>
      <xdr:row>602</xdr:row>
      <xdr:rowOff>17882</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7551570" y="124353694"/>
          <a:ext cx="6347566" cy="7848776"/>
          <a:chOff x="203200" y="123894850"/>
          <a:chExt cx="6436242" cy="7832416"/>
        </a:xfrm>
      </xdr:grpSpPr>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724965" y="129567266"/>
            <a:ext cx="1620000" cy="216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03200" y="123894850"/>
            <a:ext cx="2052000" cy="2736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587442" y="123894850"/>
            <a:ext cx="2052000" cy="2736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395321" y="123894850"/>
            <a:ext cx="2052000" cy="2736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03200" y="126731058"/>
            <a:ext cx="2052000" cy="2736000"/>
          </a:xfrm>
          <a:prstGeom prst="rect">
            <a:avLst/>
          </a:prstGeom>
          <a:ln>
            <a:solidFill>
              <a:schemeClr val="tx1"/>
            </a:solidFill>
          </a:ln>
        </xdr:spPr>
      </xdr:pic>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395321" y="126731058"/>
            <a:ext cx="2052000" cy="2736000"/>
          </a:xfrm>
          <a:prstGeom prst="rect">
            <a:avLst/>
          </a:prstGeom>
          <a:ln>
            <a:solidFill>
              <a:schemeClr val="tx1"/>
            </a:solidFill>
          </a:ln>
        </xdr:spPr>
      </xdr:pic>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587442" y="126731058"/>
            <a:ext cx="2052000" cy="2736000"/>
          </a:xfrm>
          <a:prstGeom prst="rect">
            <a:avLst/>
          </a:prstGeom>
          <a:ln>
            <a:solidFill>
              <a:schemeClr val="tx1"/>
            </a:solidFill>
          </a:ln>
        </xdr:spPr>
      </xdr:pic>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485086" y="129567266"/>
            <a:ext cx="1620000" cy="2160000"/>
          </a:xfrm>
          <a:prstGeom prst="rect">
            <a:avLst/>
          </a:prstGeom>
          <a:ln>
            <a:solidFill>
              <a:schemeClr val="tx1"/>
            </a:solidFill>
          </a:ln>
        </xdr:spPr>
      </xdr:pic>
    </xdr:grpSp>
    <xdr:clientData/>
  </xdr:twoCellAnchor>
  <xdr:twoCellAnchor>
    <xdr:from>
      <xdr:col>0</xdr:col>
      <xdr:colOff>205740</xdr:colOff>
      <xdr:row>562</xdr:row>
      <xdr:rowOff>0</xdr:rowOff>
    </xdr:from>
    <xdr:to>
      <xdr:col>7</xdr:col>
      <xdr:colOff>655319</xdr:colOff>
      <xdr:row>600</xdr:row>
      <xdr:rowOff>9525</xdr:rowOff>
    </xdr:to>
    <xdr:grpSp>
      <xdr:nvGrpSpPr>
        <xdr:cNvPr id="5" name="Group 4">
          <a:extLst>
            <a:ext uri="{FF2B5EF4-FFF2-40B4-BE49-F238E27FC236}">
              <a16:creationId xmlns:a16="http://schemas.microsoft.com/office/drawing/2014/main" id="{BAEA407D-486B-4208-953B-BC8464036514}"/>
            </a:ext>
          </a:extLst>
        </xdr:cNvPr>
        <xdr:cNvGrpSpPr/>
      </xdr:nvGrpSpPr>
      <xdr:grpSpPr>
        <a:xfrm>
          <a:off x="205740" y="124304612"/>
          <a:ext cx="6339391" cy="7495054"/>
          <a:chOff x="365767" y="431176"/>
          <a:chExt cx="8039321" cy="7564026"/>
        </a:xfrm>
      </xdr:grpSpPr>
      <xdr:pic>
        <xdr:nvPicPr>
          <xdr:cNvPr id="6" name="Picture 5">
            <a:extLst>
              <a:ext uri="{FF2B5EF4-FFF2-40B4-BE49-F238E27FC236}">
                <a16:creationId xmlns:a16="http://schemas.microsoft.com/office/drawing/2014/main" id="{B4BA88FD-19AE-6C89-F7BC-E8C34EAA1657}"/>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b="6670"/>
          <a:stretch>
            <a:fillRect/>
          </a:stretch>
        </xdr:blipFill>
        <xdr:spPr>
          <a:xfrm>
            <a:off x="5902206" y="5808662"/>
            <a:ext cx="2158000" cy="2186540"/>
          </a:xfrm>
          <a:prstGeom prst="rect">
            <a:avLst/>
          </a:prstGeom>
          <a:ln>
            <a:solidFill>
              <a:schemeClr val="tx1"/>
            </a:solidFill>
          </a:ln>
        </xdr:spPr>
      </xdr:pic>
      <xdr:pic>
        <xdr:nvPicPr>
          <xdr:cNvPr id="7" name="Picture 6">
            <a:extLst>
              <a:ext uri="{FF2B5EF4-FFF2-40B4-BE49-F238E27FC236}">
                <a16:creationId xmlns:a16="http://schemas.microsoft.com/office/drawing/2014/main" id="{8CC08898-B966-EB72-D0CF-BB955DDB218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65767" y="431176"/>
            <a:ext cx="2517667" cy="2520000"/>
          </a:xfrm>
          <a:prstGeom prst="rect">
            <a:avLst/>
          </a:prstGeom>
          <a:ln>
            <a:solidFill>
              <a:schemeClr val="tx1"/>
            </a:solidFill>
          </a:ln>
        </xdr:spPr>
      </xdr:pic>
      <xdr:pic>
        <xdr:nvPicPr>
          <xdr:cNvPr id="8" name="Picture 7">
            <a:extLst>
              <a:ext uri="{FF2B5EF4-FFF2-40B4-BE49-F238E27FC236}">
                <a16:creationId xmlns:a16="http://schemas.microsoft.com/office/drawing/2014/main" id="{447677B2-E05D-4EA3-1A59-5E8F79FCC2E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73378" y="5808662"/>
            <a:ext cx="2158000" cy="2160000"/>
          </a:xfrm>
          <a:prstGeom prst="rect">
            <a:avLst/>
          </a:prstGeom>
          <a:ln>
            <a:solidFill>
              <a:schemeClr val="tx1"/>
            </a:solidFill>
          </a:ln>
        </xdr:spPr>
      </xdr:pic>
      <xdr:pic>
        <xdr:nvPicPr>
          <xdr:cNvPr id="9" name="Picture 8">
            <a:extLst>
              <a:ext uri="{FF2B5EF4-FFF2-40B4-BE49-F238E27FC236}">
                <a16:creationId xmlns:a16="http://schemas.microsoft.com/office/drawing/2014/main" id="{3239AD74-7F72-DCA4-D17F-742908EDA7D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800354" y="431176"/>
            <a:ext cx="2517667"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8DE3DEFC-4819-312A-2FAA-F4799539F0C8}"/>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078567" y="431176"/>
            <a:ext cx="2517667"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233647C3-8473-622C-AE47-A54394FB94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65767" y="3119919"/>
            <a:ext cx="2517667"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F29292D4-2BB8-17CC-3889-F8C4A42E463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800354" y="3119919"/>
            <a:ext cx="2517667" cy="2520000"/>
          </a:xfrm>
          <a:prstGeom prst="rect">
            <a:avLst/>
          </a:prstGeom>
          <a:ln>
            <a:solidFill>
              <a:schemeClr val="tx1"/>
            </a:solidFill>
          </a:ln>
        </xdr:spPr>
      </xdr:pic>
      <xdr:pic>
        <xdr:nvPicPr>
          <xdr:cNvPr id="13" name="Picture 12">
            <a:extLst>
              <a:ext uri="{FF2B5EF4-FFF2-40B4-BE49-F238E27FC236}">
                <a16:creationId xmlns:a16="http://schemas.microsoft.com/office/drawing/2014/main" id="{9AE7DDDE-47D9-8FFA-98CD-0507072A3F3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078566" y="3119919"/>
            <a:ext cx="2517667"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CC94549F-198B-CE53-4CB8-421147631F2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883434" y="5808662"/>
            <a:ext cx="2866716" cy="2160000"/>
          </a:xfrm>
          <a:prstGeom prst="rect">
            <a:avLst/>
          </a:prstGeom>
          <a:ln>
            <a:solidFill>
              <a:schemeClr val="tx1"/>
            </a:solidFill>
          </a:ln>
        </xdr:spPr>
      </xdr:pic>
      <xdr:sp macro="" textlink="">
        <xdr:nvSpPr>
          <xdr:cNvPr id="16" name="TextBox 35">
            <a:extLst>
              <a:ext uri="{FF2B5EF4-FFF2-40B4-BE49-F238E27FC236}">
                <a16:creationId xmlns:a16="http://schemas.microsoft.com/office/drawing/2014/main" id="{9186AE7E-83FA-6007-2215-053305A0580D}"/>
              </a:ext>
            </a:extLst>
          </xdr:cNvPr>
          <xdr:cNvSpPr txBox="1"/>
        </xdr:nvSpPr>
        <xdr:spPr>
          <a:xfrm>
            <a:off x="7750207" y="3838080"/>
            <a:ext cx="654881" cy="3757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T1</a:t>
            </a:r>
          </a:p>
        </xdr:txBody>
      </xdr:sp>
      <xdr:sp macro="" textlink="">
        <xdr:nvSpPr>
          <xdr:cNvPr id="17" name="TextBox 36">
            <a:extLst>
              <a:ext uri="{FF2B5EF4-FFF2-40B4-BE49-F238E27FC236}">
                <a16:creationId xmlns:a16="http://schemas.microsoft.com/office/drawing/2014/main" id="{DE41AD98-4E87-C701-AC95-74CD26E5401A}"/>
              </a:ext>
            </a:extLst>
          </xdr:cNvPr>
          <xdr:cNvSpPr txBox="1"/>
        </xdr:nvSpPr>
        <xdr:spPr>
          <a:xfrm>
            <a:off x="847871" y="3511887"/>
            <a:ext cx="649786" cy="3757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T5</a:t>
            </a:r>
          </a:p>
        </xdr:txBody>
      </xdr:sp>
      <xdr:sp macro="" textlink="">
        <xdr:nvSpPr>
          <xdr:cNvPr id="18" name="TextBox 37">
            <a:extLst>
              <a:ext uri="{FF2B5EF4-FFF2-40B4-BE49-F238E27FC236}">
                <a16:creationId xmlns:a16="http://schemas.microsoft.com/office/drawing/2014/main" id="{FF2944C4-5E19-5A66-E5B7-75E1A71E46B9}"/>
              </a:ext>
            </a:extLst>
          </xdr:cNvPr>
          <xdr:cNvSpPr txBox="1"/>
        </xdr:nvSpPr>
        <xdr:spPr>
          <a:xfrm>
            <a:off x="6499257" y="571215"/>
            <a:ext cx="646334" cy="3757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T4</a:t>
            </a:r>
          </a:p>
        </xdr:txBody>
      </xdr:sp>
      <xdr:sp macro="" textlink="">
        <xdr:nvSpPr>
          <xdr:cNvPr id="19" name="TextBox 38">
            <a:extLst>
              <a:ext uri="{FF2B5EF4-FFF2-40B4-BE49-F238E27FC236}">
                <a16:creationId xmlns:a16="http://schemas.microsoft.com/office/drawing/2014/main" id="{D3714761-7F49-91E0-B27D-1EE02F05CAC8}"/>
              </a:ext>
            </a:extLst>
          </xdr:cNvPr>
          <xdr:cNvSpPr txBox="1"/>
        </xdr:nvSpPr>
        <xdr:spPr>
          <a:xfrm>
            <a:off x="3413165" y="431176"/>
            <a:ext cx="598078" cy="3757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T3</a:t>
            </a:r>
          </a:p>
        </xdr:txBody>
      </xdr:sp>
      <xdr:sp macro="" textlink="">
        <xdr:nvSpPr>
          <xdr:cNvPr id="20" name="TextBox 39">
            <a:extLst>
              <a:ext uri="{FF2B5EF4-FFF2-40B4-BE49-F238E27FC236}">
                <a16:creationId xmlns:a16="http://schemas.microsoft.com/office/drawing/2014/main" id="{D08153F3-99CB-A5BC-2205-098ED7DA61E0}"/>
              </a:ext>
            </a:extLst>
          </xdr:cNvPr>
          <xdr:cNvSpPr txBox="1"/>
        </xdr:nvSpPr>
        <xdr:spPr>
          <a:xfrm>
            <a:off x="1833154" y="755881"/>
            <a:ext cx="631931" cy="3757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T2</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MB9KvX4vrvRKDUc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645"/>
  <sheetViews>
    <sheetView tabSelected="1" view="pageBreakPreview" zoomScale="85" zoomScaleNormal="100" zoomScaleSheetLayoutView="85" workbookViewId="0">
      <selection activeCell="K12" sqref="K12"/>
    </sheetView>
  </sheetViews>
  <sheetFormatPr defaultColWidth="9.21875" defaultRowHeight="15.6" x14ac:dyDescent="0.3"/>
  <cols>
    <col min="1" max="1" width="11.44140625" style="39" customWidth="1"/>
    <col min="2" max="2" width="12" style="39" customWidth="1"/>
    <col min="3" max="3" width="12.77734375" style="39" customWidth="1"/>
    <col min="4" max="4" width="14.21875" style="39" customWidth="1"/>
    <col min="5" max="7" width="11.77734375" style="39" customWidth="1"/>
    <col min="8" max="8" width="12.44140625" style="39" customWidth="1"/>
    <col min="9" max="9" width="17.44140625" style="21" customWidth="1"/>
    <col min="10" max="10" width="11.44140625" style="21" customWidth="1"/>
    <col min="11" max="11" width="10.5546875" style="21" bestFit="1" customWidth="1"/>
    <col min="12" max="12" width="10.5546875" style="21" customWidth="1"/>
    <col min="13" max="13" width="11.77734375" style="21" customWidth="1"/>
    <col min="14" max="14" width="12.5546875" style="21" customWidth="1"/>
    <col min="15" max="15" width="9.77734375" style="21" customWidth="1"/>
    <col min="16" max="16" width="11.77734375" style="21" customWidth="1"/>
    <col min="17" max="247" width="9.21875" style="21"/>
    <col min="248" max="248" width="8.77734375" style="21" customWidth="1"/>
    <col min="249" max="249" width="9.77734375" style="21" customWidth="1"/>
    <col min="250" max="250" width="14.44140625" style="21" customWidth="1"/>
    <col min="251" max="251" width="7.21875" style="21" customWidth="1"/>
    <col min="252" max="252" width="5.5546875" style="21" customWidth="1"/>
    <col min="253" max="253" width="9" style="21" customWidth="1"/>
    <col min="254" max="255" width="9.77734375" style="21" customWidth="1"/>
    <col min="256" max="256" width="11.21875" style="21" customWidth="1"/>
    <col min="257" max="257" width="2.77734375" style="21" customWidth="1"/>
    <col min="258" max="258" width="3.5546875" style="21" customWidth="1"/>
    <col min="259" max="503" width="9.21875" style="21"/>
    <col min="504" max="504" width="8.77734375" style="21" customWidth="1"/>
    <col min="505" max="505" width="9.77734375" style="21" customWidth="1"/>
    <col min="506" max="506" width="14.44140625" style="21" customWidth="1"/>
    <col min="507" max="507" width="7.21875" style="21" customWidth="1"/>
    <col min="508" max="508" width="5.5546875" style="21" customWidth="1"/>
    <col min="509" max="509" width="9" style="21" customWidth="1"/>
    <col min="510" max="511" width="9.77734375" style="21" customWidth="1"/>
    <col min="512" max="512" width="11.21875" style="21" customWidth="1"/>
    <col min="513" max="513" width="2.77734375" style="21" customWidth="1"/>
    <col min="514" max="514" width="3.5546875" style="21" customWidth="1"/>
    <col min="515" max="759" width="9.21875" style="21"/>
    <col min="760" max="760" width="8.77734375" style="21" customWidth="1"/>
    <col min="761" max="761" width="9.77734375" style="21" customWidth="1"/>
    <col min="762" max="762" width="14.44140625" style="21" customWidth="1"/>
    <col min="763" max="763" width="7.21875" style="21" customWidth="1"/>
    <col min="764" max="764" width="5.5546875" style="21" customWidth="1"/>
    <col min="765" max="765" width="9" style="21" customWidth="1"/>
    <col min="766" max="767" width="9.77734375" style="21" customWidth="1"/>
    <col min="768" max="768" width="11.21875" style="21" customWidth="1"/>
    <col min="769" max="769" width="2.77734375" style="21" customWidth="1"/>
    <col min="770" max="770" width="3.5546875" style="21" customWidth="1"/>
    <col min="771" max="1015" width="9.21875" style="21"/>
    <col min="1016" max="1016" width="8.77734375" style="21" customWidth="1"/>
    <col min="1017" max="1017" width="9.77734375" style="21" customWidth="1"/>
    <col min="1018" max="1018" width="14.44140625" style="21" customWidth="1"/>
    <col min="1019" max="1019" width="7.21875" style="21" customWidth="1"/>
    <col min="1020" max="1020" width="5.5546875" style="21" customWidth="1"/>
    <col min="1021" max="1021" width="9" style="21" customWidth="1"/>
    <col min="1022" max="1023" width="9.77734375" style="21" customWidth="1"/>
    <col min="1024" max="1024" width="11.21875" style="21" customWidth="1"/>
    <col min="1025" max="1025" width="2.77734375" style="21" customWidth="1"/>
    <col min="1026" max="1026" width="3.5546875" style="21" customWidth="1"/>
    <col min="1027" max="1271" width="9.21875" style="21"/>
    <col min="1272" max="1272" width="8.77734375" style="21" customWidth="1"/>
    <col min="1273" max="1273" width="9.77734375" style="21" customWidth="1"/>
    <col min="1274" max="1274" width="14.44140625" style="21" customWidth="1"/>
    <col min="1275" max="1275" width="7.21875" style="21" customWidth="1"/>
    <col min="1276" max="1276" width="5.5546875" style="21" customWidth="1"/>
    <col min="1277" max="1277" width="9" style="21" customWidth="1"/>
    <col min="1278" max="1279" width="9.77734375" style="21" customWidth="1"/>
    <col min="1280" max="1280" width="11.21875" style="21" customWidth="1"/>
    <col min="1281" max="1281" width="2.77734375" style="21" customWidth="1"/>
    <col min="1282" max="1282" width="3.5546875" style="21" customWidth="1"/>
    <col min="1283" max="1527" width="9.21875" style="21"/>
    <col min="1528" max="1528" width="8.77734375" style="21" customWidth="1"/>
    <col min="1529" max="1529" width="9.77734375" style="21" customWidth="1"/>
    <col min="1530" max="1530" width="14.44140625" style="21" customWidth="1"/>
    <col min="1531" max="1531" width="7.21875" style="21" customWidth="1"/>
    <col min="1532" max="1532" width="5.5546875" style="21" customWidth="1"/>
    <col min="1533" max="1533" width="9" style="21" customWidth="1"/>
    <col min="1534" max="1535" width="9.77734375" style="21" customWidth="1"/>
    <col min="1536" max="1536" width="11.21875" style="21" customWidth="1"/>
    <col min="1537" max="1537" width="2.77734375" style="21" customWidth="1"/>
    <col min="1538" max="1538" width="3.5546875" style="21" customWidth="1"/>
    <col min="1539" max="1783" width="9.21875" style="21"/>
    <col min="1784" max="1784" width="8.77734375" style="21" customWidth="1"/>
    <col min="1785" max="1785" width="9.77734375" style="21" customWidth="1"/>
    <col min="1786" max="1786" width="14.44140625" style="21" customWidth="1"/>
    <col min="1787" max="1787" width="7.21875" style="21" customWidth="1"/>
    <col min="1788" max="1788" width="5.5546875" style="21" customWidth="1"/>
    <col min="1789" max="1789" width="9" style="21" customWidth="1"/>
    <col min="1790" max="1791" width="9.77734375" style="21" customWidth="1"/>
    <col min="1792" max="1792" width="11.21875" style="21" customWidth="1"/>
    <col min="1793" max="1793" width="2.77734375" style="21" customWidth="1"/>
    <col min="1794" max="1794" width="3.5546875" style="21" customWidth="1"/>
    <col min="1795" max="2039" width="9.21875" style="21"/>
    <col min="2040" max="2040" width="8.77734375" style="21" customWidth="1"/>
    <col min="2041" max="2041" width="9.77734375" style="21" customWidth="1"/>
    <col min="2042" max="2042" width="14.44140625" style="21" customWidth="1"/>
    <col min="2043" max="2043" width="7.21875" style="21" customWidth="1"/>
    <col min="2044" max="2044" width="5.5546875" style="21" customWidth="1"/>
    <col min="2045" max="2045" width="9" style="21" customWidth="1"/>
    <col min="2046" max="2047" width="9.77734375" style="21" customWidth="1"/>
    <col min="2048" max="2048" width="11.21875" style="21" customWidth="1"/>
    <col min="2049" max="2049" width="2.77734375" style="21" customWidth="1"/>
    <col min="2050" max="2050" width="3.5546875" style="21" customWidth="1"/>
    <col min="2051" max="2295" width="9.21875" style="21"/>
    <col min="2296" max="2296" width="8.77734375" style="21" customWidth="1"/>
    <col min="2297" max="2297" width="9.77734375" style="21" customWidth="1"/>
    <col min="2298" max="2298" width="14.44140625" style="21" customWidth="1"/>
    <col min="2299" max="2299" width="7.21875" style="21" customWidth="1"/>
    <col min="2300" max="2300" width="5.5546875" style="21" customWidth="1"/>
    <col min="2301" max="2301" width="9" style="21" customWidth="1"/>
    <col min="2302" max="2303" width="9.77734375" style="21" customWidth="1"/>
    <col min="2304" max="2304" width="11.21875" style="21" customWidth="1"/>
    <col min="2305" max="2305" width="2.77734375" style="21" customWidth="1"/>
    <col min="2306" max="2306" width="3.5546875" style="21" customWidth="1"/>
    <col min="2307" max="2551" width="9.21875" style="21"/>
    <col min="2552" max="2552" width="8.77734375" style="21" customWidth="1"/>
    <col min="2553" max="2553" width="9.77734375" style="21" customWidth="1"/>
    <col min="2554" max="2554" width="14.44140625" style="21" customWidth="1"/>
    <col min="2555" max="2555" width="7.21875" style="21" customWidth="1"/>
    <col min="2556" max="2556" width="5.5546875" style="21" customWidth="1"/>
    <col min="2557" max="2557" width="9" style="21" customWidth="1"/>
    <col min="2558" max="2559" width="9.77734375" style="21" customWidth="1"/>
    <col min="2560" max="2560" width="11.21875" style="21" customWidth="1"/>
    <col min="2561" max="2561" width="2.77734375" style="21" customWidth="1"/>
    <col min="2562" max="2562" width="3.5546875" style="21" customWidth="1"/>
    <col min="2563" max="2807" width="9.21875" style="21"/>
    <col min="2808" max="2808" width="8.77734375" style="21" customWidth="1"/>
    <col min="2809" max="2809" width="9.77734375" style="21" customWidth="1"/>
    <col min="2810" max="2810" width="14.44140625" style="21" customWidth="1"/>
    <col min="2811" max="2811" width="7.21875" style="21" customWidth="1"/>
    <col min="2812" max="2812" width="5.5546875" style="21" customWidth="1"/>
    <col min="2813" max="2813" width="9" style="21" customWidth="1"/>
    <col min="2814" max="2815" width="9.77734375" style="21" customWidth="1"/>
    <col min="2816" max="2816" width="11.21875" style="21" customWidth="1"/>
    <col min="2817" max="2817" width="2.77734375" style="21" customWidth="1"/>
    <col min="2818" max="2818" width="3.5546875" style="21" customWidth="1"/>
    <col min="2819" max="3063" width="9.21875" style="21"/>
    <col min="3064" max="3064" width="8.77734375" style="21" customWidth="1"/>
    <col min="3065" max="3065" width="9.77734375" style="21" customWidth="1"/>
    <col min="3066" max="3066" width="14.44140625" style="21" customWidth="1"/>
    <col min="3067" max="3067" width="7.21875" style="21" customWidth="1"/>
    <col min="3068" max="3068" width="5.5546875" style="21" customWidth="1"/>
    <col min="3069" max="3069" width="9" style="21" customWidth="1"/>
    <col min="3070" max="3071" width="9.77734375" style="21" customWidth="1"/>
    <col min="3072" max="3072" width="11.21875" style="21" customWidth="1"/>
    <col min="3073" max="3073" width="2.77734375" style="21" customWidth="1"/>
    <col min="3074" max="3074" width="3.5546875" style="21" customWidth="1"/>
    <col min="3075" max="3319" width="9.21875" style="21"/>
    <col min="3320" max="3320" width="8.77734375" style="21" customWidth="1"/>
    <col min="3321" max="3321" width="9.77734375" style="21" customWidth="1"/>
    <col min="3322" max="3322" width="14.44140625" style="21" customWidth="1"/>
    <col min="3323" max="3323" width="7.21875" style="21" customWidth="1"/>
    <col min="3324" max="3324" width="5.5546875" style="21" customWidth="1"/>
    <col min="3325" max="3325" width="9" style="21" customWidth="1"/>
    <col min="3326" max="3327" width="9.77734375" style="21" customWidth="1"/>
    <col min="3328" max="3328" width="11.21875" style="21" customWidth="1"/>
    <col min="3329" max="3329" width="2.77734375" style="21" customWidth="1"/>
    <col min="3330" max="3330" width="3.5546875" style="21" customWidth="1"/>
    <col min="3331" max="3575" width="9.21875" style="21"/>
    <col min="3576" max="3576" width="8.77734375" style="21" customWidth="1"/>
    <col min="3577" max="3577" width="9.77734375" style="21" customWidth="1"/>
    <col min="3578" max="3578" width="14.44140625" style="21" customWidth="1"/>
    <col min="3579" max="3579" width="7.21875" style="21" customWidth="1"/>
    <col min="3580" max="3580" width="5.5546875" style="21" customWidth="1"/>
    <col min="3581" max="3581" width="9" style="21" customWidth="1"/>
    <col min="3582" max="3583" width="9.77734375" style="21" customWidth="1"/>
    <col min="3584" max="3584" width="11.21875" style="21" customWidth="1"/>
    <col min="3585" max="3585" width="2.77734375" style="21" customWidth="1"/>
    <col min="3586" max="3586" width="3.5546875" style="21" customWidth="1"/>
    <col min="3587" max="3831" width="9.21875" style="21"/>
    <col min="3832" max="3832" width="8.77734375" style="21" customWidth="1"/>
    <col min="3833" max="3833" width="9.77734375" style="21" customWidth="1"/>
    <col min="3834" max="3834" width="14.44140625" style="21" customWidth="1"/>
    <col min="3835" max="3835" width="7.21875" style="21" customWidth="1"/>
    <col min="3836" max="3836" width="5.5546875" style="21" customWidth="1"/>
    <col min="3837" max="3837" width="9" style="21" customWidth="1"/>
    <col min="3838" max="3839" width="9.77734375" style="21" customWidth="1"/>
    <col min="3840" max="3840" width="11.21875" style="21" customWidth="1"/>
    <col min="3841" max="3841" width="2.77734375" style="21" customWidth="1"/>
    <col min="3842" max="3842" width="3.5546875" style="21" customWidth="1"/>
    <col min="3843" max="4087" width="9.21875" style="21"/>
    <col min="4088" max="4088" width="8.77734375" style="21" customWidth="1"/>
    <col min="4089" max="4089" width="9.77734375" style="21" customWidth="1"/>
    <col min="4090" max="4090" width="14.44140625" style="21" customWidth="1"/>
    <col min="4091" max="4091" width="7.21875" style="21" customWidth="1"/>
    <col min="4092" max="4092" width="5.5546875" style="21" customWidth="1"/>
    <col min="4093" max="4093" width="9" style="21" customWidth="1"/>
    <col min="4094" max="4095" width="9.77734375" style="21" customWidth="1"/>
    <col min="4096" max="4096" width="11.21875" style="21" customWidth="1"/>
    <col min="4097" max="4097" width="2.77734375" style="21" customWidth="1"/>
    <col min="4098" max="4098" width="3.5546875" style="21" customWidth="1"/>
    <col min="4099" max="4343" width="9.21875" style="21"/>
    <col min="4344" max="4344" width="8.77734375" style="21" customWidth="1"/>
    <col min="4345" max="4345" width="9.77734375" style="21" customWidth="1"/>
    <col min="4346" max="4346" width="14.44140625" style="21" customWidth="1"/>
    <col min="4347" max="4347" width="7.21875" style="21" customWidth="1"/>
    <col min="4348" max="4348" width="5.5546875" style="21" customWidth="1"/>
    <col min="4349" max="4349" width="9" style="21" customWidth="1"/>
    <col min="4350" max="4351" width="9.77734375" style="21" customWidth="1"/>
    <col min="4352" max="4352" width="11.21875" style="21" customWidth="1"/>
    <col min="4353" max="4353" width="2.77734375" style="21" customWidth="1"/>
    <col min="4354" max="4354" width="3.5546875" style="21" customWidth="1"/>
    <col min="4355" max="4599" width="9.21875" style="21"/>
    <col min="4600" max="4600" width="8.77734375" style="21" customWidth="1"/>
    <col min="4601" max="4601" width="9.77734375" style="21" customWidth="1"/>
    <col min="4602" max="4602" width="14.44140625" style="21" customWidth="1"/>
    <col min="4603" max="4603" width="7.21875" style="21" customWidth="1"/>
    <col min="4604" max="4604" width="5.5546875" style="21" customWidth="1"/>
    <col min="4605" max="4605" width="9" style="21" customWidth="1"/>
    <col min="4606" max="4607" width="9.77734375" style="21" customWidth="1"/>
    <col min="4608" max="4608" width="11.21875" style="21" customWidth="1"/>
    <col min="4609" max="4609" width="2.77734375" style="21" customWidth="1"/>
    <col min="4610" max="4610" width="3.5546875" style="21" customWidth="1"/>
    <col min="4611" max="4855" width="9.21875" style="21"/>
    <col min="4856" max="4856" width="8.77734375" style="21" customWidth="1"/>
    <col min="4857" max="4857" width="9.77734375" style="21" customWidth="1"/>
    <col min="4858" max="4858" width="14.44140625" style="21" customWidth="1"/>
    <col min="4859" max="4859" width="7.21875" style="21" customWidth="1"/>
    <col min="4860" max="4860" width="5.5546875" style="21" customWidth="1"/>
    <col min="4861" max="4861" width="9" style="21" customWidth="1"/>
    <col min="4862" max="4863" width="9.77734375" style="21" customWidth="1"/>
    <col min="4864" max="4864" width="11.21875" style="21" customWidth="1"/>
    <col min="4865" max="4865" width="2.77734375" style="21" customWidth="1"/>
    <col min="4866" max="4866" width="3.5546875" style="21" customWidth="1"/>
    <col min="4867" max="5111" width="9.21875" style="21"/>
    <col min="5112" max="5112" width="8.77734375" style="21" customWidth="1"/>
    <col min="5113" max="5113" width="9.77734375" style="21" customWidth="1"/>
    <col min="5114" max="5114" width="14.44140625" style="21" customWidth="1"/>
    <col min="5115" max="5115" width="7.21875" style="21" customWidth="1"/>
    <col min="5116" max="5116" width="5.5546875" style="21" customWidth="1"/>
    <col min="5117" max="5117" width="9" style="21" customWidth="1"/>
    <col min="5118" max="5119" width="9.77734375" style="21" customWidth="1"/>
    <col min="5120" max="5120" width="11.21875" style="21" customWidth="1"/>
    <col min="5121" max="5121" width="2.77734375" style="21" customWidth="1"/>
    <col min="5122" max="5122" width="3.5546875" style="21" customWidth="1"/>
    <col min="5123" max="5367" width="9.21875" style="21"/>
    <col min="5368" max="5368" width="8.77734375" style="21" customWidth="1"/>
    <col min="5369" max="5369" width="9.77734375" style="21" customWidth="1"/>
    <col min="5370" max="5370" width="14.44140625" style="21" customWidth="1"/>
    <col min="5371" max="5371" width="7.21875" style="21" customWidth="1"/>
    <col min="5372" max="5372" width="5.5546875" style="21" customWidth="1"/>
    <col min="5373" max="5373" width="9" style="21" customWidth="1"/>
    <col min="5374" max="5375" width="9.77734375" style="21" customWidth="1"/>
    <col min="5376" max="5376" width="11.21875" style="21" customWidth="1"/>
    <col min="5377" max="5377" width="2.77734375" style="21" customWidth="1"/>
    <col min="5378" max="5378" width="3.5546875" style="21" customWidth="1"/>
    <col min="5379" max="5623" width="9.21875" style="21"/>
    <col min="5624" max="5624" width="8.77734375" style="21" customWidth="1"/>
    <col min="5625" max="5625" width="9.77734375" style="21" customWidth="1"/>
    <col min="5626" max="5626" width="14.44140625" style="21" customWidth="1"/>
    <col min="5627" max="5627" width="7.21875" style="21" customWidth="1"/>
    <col min="5628" max="5628" width="5.5546875" style="21" customWidth="1"/>
    <col min="5629" max="5629" width="9" style="21" customWidth="1"/>
    <col min="5630" max="5631" width="9.77734375" style="21" customWidth="1"/>
    <col min="5632" max="5632" width="11.21875" style="21" customWidth="1"/>
    <col min="5633" max="5633" width="2.77734375" style="21" customWidth="1"/>
    <col min="5634" max="5634" width="3.5546875" style="21" customWidth="1"/>
    <col min="5635" max="5879" width="9.21875" style="21"/>
    <col min="5880" max="5880" width="8.77734375" style="21" customWidth="1"/>
    <col min="5881" max="5881" width="9.77734375" style="21" customWidth="1"/>
    <col min="5882" max="5882" width="14.44140625" style="21" customWidth="1"/>
    <col min="5883" max="5883" width="7.21875" style="21" customWidth="1"/>
    <col min="5884" max="5884" width="5.5546875" style="21" customWidth="1"/>
    <col min="5885" max="5885" width="9" style="21" customWidth="1"/>
    <col min="5886" max="5887" width="9.77734375" style="21" customWidth="1"/>
    <col min="5888" max="5888" width="11.21875" style="21" customWidth="1"/>
    <col min="5889" max="5889" width="2.77734375" style="21" customWidth="1"/>
    <col min="5890" max="5890" width="3.5546875" style="21" customWidth="1"/>
    <col min="5891" max="6135" width="9.21875" style="21"/>
    <col min="6136" max="6136" width="8.77734375" style="21" customWidth="1"/>
    <col min="6137" max="6137" width="9.77734375" style="21" customWidth="1"/>
    <col min="6138" max="6138" width="14.44140625" style="21" customWidth="1"/>
    <col min="6139" max="6139" width="7.21875" style="21" customWidth="1"/>
    <col min="6140" max="6140" width="5.5546875" style="21" customWidth="1"/>
    <col min="6141" max="6141" width="9" style="21" customWidth="1"/>
    <col min="6142" max="6143" width="9.77734375" style="21" customWidth="1"/>
    <col min="6144" max="6144" width="11.21875" style="21" customWidth="1"/>
    <col min="6145" max="6145" width="2.77734375" style="21" customWidth="1"/>
    <col min="6146" max="6146" width="3.5546875" style="21" customWidth="1"/>
    <col min="6147" max="6391" width="9.21875" style="21"/>
    <col min="6392" max="6392" width="8.77734375" style="21" customWidth="1"/>
    <col min="6393" max="6393" width="9.77734375" style="21" customWidth="1"/>
    <col min="6394" max="6394" width="14.44140625" style="21" customWidth="1"/>
    <col min="6395" max="6395" width="7.21875" style="21" customWidth="1"/>
    <col min="6396" max="6396" width="5.5546875" style="21" customWidth="1"/>
    <col min="6397" max="6397" width="9" style="21" customWidth="1"/>
    <col min="6398" max="6399" width="9.77734375" style="21" customWidth="1"/>
    <col min="6400" max="6400" width="11.21875" style="21" customWidth="1"/>
    <col min="6401" max="6401" width="2.77734375" style="21" customWidth="1"/>
    <col min="6402" max="6402" width="3.5546875" style="21" customWidth="1"/>
    <col min="6403" max="6647" width="9.21875" style="21"/>
    <col min="6648" max="6648" width="8.77734375" style="21" customWidth="1"/>
    <col min="6649" max="6649" width="9.77734375" style="21" customWidth="1"/>
    <col min="6650" max="6650" width="14.44140625" style="21" customWidth="1"/>
    <col min="6651" max="6651" width="7.21875" style="21" customWidth="1"/>
    <col min="6652" max="6652" width="5.5546875" style="21" customWidth="1"/>
    <col min="6653" max="6653" width="9" style="21" customWidth="1"/>
    <col min="6654" max="6655" width="9.77734375" style="21" customWidth="1"/>
    <col min="6656" max="6656" width="11.21875" style="21" customWidth="1"/>
    <col min="6657" max="6657" width="2.77734375" style="21" customWidth="1"/>
    <col min="6658" max="6658" width="3.5546875" style="21" customWidth="1"/>
    <col min="6659" max="6903" width="9.21875" style="21"/>
    <col min="6904" max="6904" width="8.77734375" style="21" customWidth="1"/>
    <col min="6905" max="6905" width="9.77734375" style="21" customWidth="1"/>
    <col min="6906" max="6906" width="14.44140625" style="21" customWidth="1"/>
    <col min="6907" max="6907" width="7.21875" style="21" customWidth="1"/>
    <col min="6908" max="6908" width="5.5546875" style="21" customWidth="1"/>
    <col min="6909" max="6909" width="9" style="21" customWidth="1"/>
    <col min="6910" max="6911" width="9.77734375" style="21" customWidth="1"/>
    <col min="6912" max="6912" width="11.21875" style="21" customWidth="1"/>
    <col min="6913" max="6913" width="2.77734375" style="21" customWidth="1"/>
    <col min="6914" max="6914" width="3.5546875" style="21" customWidth="1"/>
    <col min="6915" max="7159" width="9.21875" style="21"/>
    <col min="7160" max="7160" width="8.77734375" style="21" customWidth="1"/>
    <col min="7161" max="7161" width="9.77734375" style="21" customWidth="1"/>
    <col min="7162" max="7162" width="14.44140625" style="21" customWidth="1"/>
    <col min="7163" max="7163" width="7.21875" style="21" customWidth="1"/>
    <col min="7164" max="7164" width="5.5546875" style="21" customWidth="1"/>
    <col min="7165" max="7165" width="9" style="21" customWidth="1"/>
    <col min="7166" max="7167" width="9.77734375" style="21" customWidth="1"/>
    <col min="7168" max="7168" width="11.21875" style="21" customWidth="1"/>
    <col min="7169" max="7169" width="2.77734375" style="21" customWidth="1"/>
    <col min="7170" max="7170" width="3.5546875" style="21" customWidth="1"/>
    <col min="7171" max="7415" width="9.21875" style="21"/>
    <col min="7416" max="7416" width="8.77734375" style="21" customWidth="1"/>
    <col min="7417" max="7417" width="9.77734375" style="21" customWidth="1"/>
    <col min="7418" max="7418" width="14.44140625" style="21" customWidth="1"/>
    <col min="7419" max="7419" width="7.21875" style="21" customWidth="1"/>
    <col min="7420" max="7420" width="5.5546875" style="21" customWidth="1"/>
    <col min="7421" max="7421" width="9" style="21" customWidth="1"/>
    <col min="7422" max="7423" width="9.77734375" style="21" customWidth="1"/>
    <col min="7424" max="7424" width="11.21875" style="21" customWidth="1"/>
    <col min="7425" max="7425" width="2.77734375" style="21" customWidth="1"/>
    <col min="7426" max="7426" width="3.5546875" style="21" customWidth="1"/>
    <col min="7427" max="7671" width="9.21875" style="21"/>
    <col min="7672" max="7672" width="8.77734375" style="21" customWidth="1"/>
    <col min="7673" max="7673" width="9.77734375" style="21" customWidth="1"/>
    <col min="7674" max="7674" width="14.44140625" style="21" customWidth="1"/>
    <col min="7675" max="7675" width="7.21875" style="21" customWidth="1"/>
    <col min="7676" max="7676" width="5.5546875" style="21" customWidth="1"/>
    <col min="7677" max="7677" width="9" style="21" customWidth="1"/>
    <col min="7678" max="7679" width="9.77734375" style="21" customWidth="1"/>
    <col min="7680" max="7680" width="11.21875" style="21" customWidth="1"/>
    <col min="7681" max="7681" width="2.77734375" style="21" customWidth="1"/>
    <col min="7682" max="7682" width="3.5546875" style="21" customWidth="1"/>
    <col min="7683" max="7927" width="9.21875" style="21"/>
    <col min="7928" max="7928" width="8.77734375" style="21" customWidth="1"/>
    <col min="7929" max="7929" width="9.77734375" style="21" customWidth="1"/>
    <col min="7930" max="7930" width="14.44140625" style="21" customWidth="1"/>
    <col min="7931" max="7931" width="7.21875" style="21" customWidth="1"/>
    <col min="7932" max="7932" width="5.5546875" style="21" customWidth="1"/>
    <col min="7933" max="7933" width="9" style="21" customWidth="1"/>
    <col min="7934" max="7935" width="9.77734375" style="21" customWidth="1"/>
    <col min="7936" max="7936" width="11.21875" style="21" customWidth="1"/>
    <col min="7937" max="7937" width="2.77734375" style="21" customWidth="1"/>
    <col min="7938" max="7938" width="3.5546875" style="21" customWidth="1"/>
    <col min="7939" max="8183" width="9.21875" style="21"/>
    <col min="8184" max="8184" width="8.77734375" style="21" customWidth="1"/>
    <col min="8185" max="8185" width="9.77734375" style="21" customWidth="1"/>
    <col min="8186" max="8186" width="14.44140625" style="21" customWidth="1"/>
    <col min="8187" max="8187" width="7.21875" style="21" customWidth="1"/>
    <col min="8188" max="8188" width="5.5546875" style="21" customWidth="1"/>
    <col min="8189" max="8189" width="9" style="21" customWidth="1"/>
    <col min="8190" max="8191" width="9.77734375" style="21" customWidth="1"/>
    <col min="8192" max="8192" width="11.21875" style="21" customWidth="1"/>
    <col min="8193" max="8193" width="2.77734375" style="21" customWidth="1"/>
    <col min="8194" max="8194" width="3.5546875" style="21" customWidth="1"/>
    <col min="8195" max="8439" width="9.21875" style="21"/>
    <col min="8440" max="8440" width="8.77734375" style="21" customWidth="1"/>
    <col min="8441" max="8441" width="9.77734375" style="21" customWidth="1"/>
    <col min="8442" max="8442" width="14.44140625" style="21" customWidth="1"/>
    <col min="8443" max="8443" width="7.21875" style="21" customWidth="1"/>
    <col min="8444" max="8444" width="5.5546875" style="21" customWidth="1"/>
    <col min="8445" max="8445" width="9" style="21" customWidth="1"/>
    <col min="8446" max="8447" width="9.77734375" style="21" customWidth="1"/>
    <col min="8448" max="8448" width="11.21875" style="21" customWidth="1"/>
    <col min="8449" max="8449" width="2.77734375" style="21" customWidth="1"/>
    <col min="8450" max="8450" width="3.5546875" style="21" customWidth="1"/>
    <col min="8451" max="8695" width="9.21875" style="21"/>
    <col min="8696" max="8696" width="8.77734375" style="21" customWidth="1"/>
    <col min="8697" max="8697" width="9.77734375" style="21" customWidth="1"/>
    <col min="8698" max="8698" width="14.44140625" style="21" customWidth="1"/>
    <col min="8699" max="8699" width="7.21875" style="21" customWidth="1"/>
    <col min="8700" max="8700" width="5.5546875" style="21" customWidth="1"/>
    <col min="8701" max="8701" width="9" style="21" customWidth="1"/>
    <col min="8702" max="8703" width="9.77734375" style="21" customWidth="1"/>
    <col min="8704" max="8704" width="11.21875" style="21" customWidth="1"/>
    <col min="8705" max="8705" width="2.77734375" style="21" customWidth="1"/>
    <col min="8706" max="8706" width="3.5546875" style="21" customWidth="1"/>
    <col min="8707" max="8951" width="9.21875" style="21"/>
    <col min="8952" max="8952" width="8.77734375" style="21" customWidth="1"/>
    <col min="8953" max="8953" width="9.77734375" style="21" customWidth="1"/>
    <col min="8954" max="8954" width="14.44140625" style="21" customWidth="1"/>
    <col min="8955" max="8955" width="7.21875" style="21" customWidth="1"/>
    <col min="8956" max="8956" width="5.5546875" style="21" customWidth="1"/>
    <col min="8957" max="8957" width="9" style="21" customWidth="1"/>
    <col min="8958" max="8959" width="9.77734375" style="21" customWidth="1"/>
    <col min="8960" max="8960" width="11.21875" style="21" customWidth="1"/>
    <col min="8961" max="8961" width="2.77734375" style="21" customWidth="1"/>
    <col min="8962" max="8962" width="3.5546875" style="21" customWidth="1"/>
    <col min="8963" max="9207" width="9.21875" style="21"/>
    <col min="9208" max="9208" width="8.77734375" style="21" customWidth="1"/>
    <col min="9209" max="9209" width="9.77734375" style="21" customWidth="1"/>
    <col min="9210" max="9210" width="14.44140625" style="21" customWidth="1"/>
    <col min="9211" max="9211" width="7.21875" style="21" customWidth="1"/>
    <col min="9212" max="9212" width="5.5546875" style="21" customWidth="1"/>
    <col min="9213" max="9213" width="9" style="21" customWidth="1"/>
    <col min="9214" max="9215" width="9.77734375" style="21" customWidth="1"/>
    <col min="9216" max="9216" width="11.21875" style="21" customWidth="1"/>
    <col min="9217" max="9217" width="2.77734375" style="21" customWidth="1"/>
    <col min="9218" max="9218" width="3.5546875" style="21" customWidth="1"/>
    <col min="9219" max="9463" width="9.21875" style="21"/>
    <col min="9464" max="9464" width="8.77734375" style="21" customWidth="1"/>
    <col min="9465" max="9465" width="9.77734375" style="21" customWidth="1"/>
    <col min="9466" max="9466" width="14.44140625" style="21" customWidth="1"/>
    <col min="9467" max="9467" width="7.21875" style="21" customWidth="1"/>
    <col min="9468" max="9468" width="5.5546875" style="21" customWidth="1"/>
    <col min="9469" max="9469" width="9" style="21" customWidth="1"/>
    <col min="9470" max="9471" width="9.77734375" style="21" customWidth="1"/>
    <col min="9472" max="9472" width="11.21875" style="21" customWidth="1"/>
    <col min="9473" max="9473" width="2.77734375" style="21" customWidth="1"/>
    <col min="9474" max="9474" width="3.5546875" style="21" customWidth="1"/>
    <col min="9475" max="9719" width="9.21875" style="21"/>
    <col min="9720" max="9720" width="8.77734375" style="21" customWidth="1"/>
    <col min="9721" max="9721" width="9.77734375" style="21" customWidth="1"/>
    <col min="9722" max="9722" width="14.44140625" style="21" customWidth="1"/>
    <col min="9723" max="9723" width="7.21875" style="21" customWidth="1"/>
    <col min="9724" max="9724" width="5.5546875" style="21" customWidth="1"/>
    <col min="9725" max="9725" width="9" style="21" customWidth="1"/>
    <col min="9726" max="9727" width="9.77734375" style="21" customWidth="1"/>
    <col min="9728" max="9728" width="11.21875" style="21" customWidth="1"/>
    <col min="9729" max="9729" width="2.77734375" style="21" customWidth="1"/>
    <col min="9730" max="9730" width="3.5546875" style="21" customWidth="1"/>
    <col min="9731" max="9975" width="9.21875" style="21"/>
    <col min="9976" max="9976" width="8.77734375" style="21" customWidth="1"/>
    <col min="9977" max="9977" width="9.77734375" style="21" customWidth="1"/>
    <col min="9978" max="9978" width="14.44140625" style="21" customWidth="1"/>
    <col min="9979" max="9979" width="7.21875" style="21" customWidth="1"/>
    <col min="9980" max="9980" width="5.5546875" style="21" customWidth="1"/>
    <col min="9981" max="9981" width="9" style="21" customWidth="1"/>
    <col min="9982" max="9983" width="9.77734375" style="21" customWidth="1"/>
    <col min="9984" max="9984" width="11.21875" style="21" customWidth="1"/>
    <col min="9985" max="9985" width="2.77734375" style="21" customWidth="1"/>
    <col min="9986" max="9986" width="3.5546875" style="21" customWidth="1"/>
    <col min="9987" max="10231" width="9.21875" style="21"/>
    <col min="10232" max="10232" width="8.77734375" style="21" customWidth="1"/>
    <col min="10233" max="10233" width="9.77734375" style="21" customWidth="1"/>
    <col min="10234" max="10234" width="14.44140625" style="21" customWidth="1"/>
    <col min="10235" max="10235" width="7.21875" style="21" customWidth="1"/>
    <col min="10236" max="10236" width="5.5546875" style="21" customWidth="1"/>
    <col min="10237" max="10237" width="9" style="21" customWidth="1"/>
    <col min="10238" max="10239" width="9.77734375" style="21" customWidth="1"/>
    <col min="10240" max="10240" width="11.21875" style="21" customWidth="1"/>
    <col min="10241" max="10241" width="2.77734375" style="21" customWidth="1"/>
    <col min="10242" max="10242" width="3.5546875" style="21" customWidth="1"/>
    <col min="10243" max="10487" width="9.21875" style="21"/>
    <col min="10488" max="10488" width="8.77734375" style="21" customWidth="1"/>
    <col min="10489" max="10489" width="9.77734375" style="21" customWidth="1"/>
    <col min="10490" max="10490" width="14.44140625" style="21" customWidth="1"/>
    <col min="10491" max="10491" width="7.21875" style="21" customWidth="1"/>
    <col min="10492" max="10492" width="5.5546875" style="21" customWidth="1"/>
    <col min="10493" max="10493" width="9" style="21" customWidth="1"/>
    <col min="10494" max="10495" width="9.77734375" style="21" customWidth="1"/>
    <col min="10496" max="10496" width="11.21875" style="21" customWidth="1"/>
    <col min="10497" max="10497" width="2.77734375" style="21" customWidth="1"/>
    <col min="10498" max="10498" width="3.5546875" style="21" customWidth="1"/>
    <col min="10499" max="10743" width="9.21875" style="21"/>
    <col min="10744" max="10744" width="8.77734375" style="21" customWidth="1"/>
    <col min="10745" max="10745" width="9.77734375" style="21" customWidth="1"/>
    <col min="10746" max="10746" width="14.44140625" style="21" customWidth="1"/>
    <col min="10747" max="10747" width="7.21875" style="21" customWidth="1"/>
    <col min="10748" max="10748" width="5.5546875" style="21" customWidth="1"/>
    <col min="10749" max="10749" width="9" style="21" customWidth="1"/>
    <col min="10750" max="10751" width="9.77734375" style="21" customWidth="1"/>
    <col min="10752" max="10752" width="11.21875" style="21" customWidth="1"/>
    <col min="10753" max="10753" width="2.77734375" style="21" customWidth="1"/>
    <col min="10754" max="10754" width="3.5546875" style="21" customWidth="1"/>
    <col min="10755" max="10999" width="9.21875" style="21"/>
    <col min="11000" max="11000" width="8.77734375" style="21" customWidth="1"/>
    <col min="11001" max="11001" width="9.77734375" style="21" customWidth="1"/>
    <col min="11002" max="11002" width="14.44140625" style="21" customWidth="1"/>
    <col min="11003" max="11003" width="7.21875" style="21" customWidth="1"/>
    <col min="11004" max="11004" width="5.5546875" style="21" customWidth="1"/>
    <col min="11005" max="11005" width="9" style="21" customWidth="1"/>
    <col min="11006" max="11007" width="9.77734375" style="21" customWidth="1"/>
    <col min="11008" max="11008" width="11.21875" style="21" customWidth="1"/>
    <col min="11009" max="11009" width="2.77734375" style="21" customWidth="1"/>
    <col min="11010" max="11010" width="3.5546875" style="21" customWidth="1"/>
    <col min="11011" max="11255" width="9.21875" style="21"/>
    <col min="11256" max="11256" width="8.77734375" style="21" customWidth="1"/>
    <col min="11257" max="11257" width="9.77734375" style="21" customWidth="1"/>
    <col min="11258" max="11258" width="14.44140625" style="21" customWidth="1"/>
    <col min="11259" max="11259" width="7.21875" style="21" customWidth="1"/>
    <col min="11260" max="11260" width="5.5546875" style="21" customWidth="1"/>
    <col min="11261" max="11261" width="9" style="21" customWidth="1"/>
    <col min="11262" max="11263" width="9.77734375" style="21" customWidth="1"/>
    <col min="11264" max="11264" width="11.21875" style="21" customWidth="1"/>
    <col min="11265" max="11265" width="2.77734375" style="21" customWidth="1"/>
    <col min="11266" max="11266" width="3.5546875" style="21" customWidth="1"/>
    <col min="11267" max="11511" width="9.21875" style="21"/>
    <col min="11512" max="11512" width="8.77734375" style="21" customWidth="1"/>
    <col min="11513" max="11513" width="9.77734375" style="21" customWidth="1"/>
    <col min="11514" max="11514" width="14.44140625" style="21" customWidth="1"/>
    <col min="11515" max="11515" width="7.21875" style="21" customWidth="1"/>
    <col min="11516" max="11516" width="5.5546875" style="21" customWidth="1"/>
    <col min="11517" max="11517" width="9" style="21" customWidth="1"/>
    <col min="11518" max="11519" width="9.77734375" style="21" customWidth="1"/>
    <col min="11520" max="11520" width="11.21875" style="21" customWidth="1"/>
    <col min="11521" max="11521" width="2.77734375" style="21" customWidth="1"/>
    <col min="11522" max="11522" width="3.5546875" style="21" customWidth="1"/>
    <col min="11523" max="11767" width="9.21875" style="21"/>
    <col min="11768" max="11768" width="8.77734375" style="21" customWidth="1"/>
    <col min="11769" max="11769" width="9.77734375" style="21" customWidth="1"/>
    <col min="11770" max="11770" width="14.44140625" style="21" customWidth="1"/>
    <col min="11771" max="11771" width="7.21875" style="21" customWidth="1"/>
    <col min="11772" max="11772" width="5.5546875" style="21" customWidth="1"/>
    <col min="11773" max="11773" width="9" style="21" customWidth="1"/>
    <col min="11774" max="11775" width="9.77734375" style="21" customWidth="1"/>
    <col min="11776" max="11776" width="11.21875" style="21" customWidth="1"/>
    <col min="11777" max="11777" width="2.77734375" style="21" customWidth="1"/>
    <col min="11778" max="11778" width="3.5546875" style="21" customWidth="1"/>
    <col min="11779" max="12023" width="9.21875" style="21"/>
    <col min="12024" max="12024" width="8.77734375" style="21" customWidth="1"/>
    <col min="12025" max="12025" width="9.77734375" style="21" customWidth="1"/>
    <col min="12026" max="12026" width="14.44140625" style="21" customWidth="1"/>
    <col min="12027" max="12027" width="7.21875" style="21" customWidth="1"/>
    <col min="12028" max="12028" width="5.5546875" style="21" customWidth="1"/>
    <col min="12029" max="12029" width="9" style="21" customWidth="1"/>
    <col min="12030" max="12031" width="9.77734375" style="21" customWidth="1"/>
    <col min="12032" max="12032" width="11.21875" style="21" customWidth="1"/>
    <col min="12033" max="12033" width="2.77734375" style="21" customWidth="1"/>
    <col min="12034" max="12034" width="3.5546875" style="21" customWidth="1"/>
    <col min="12035" max="12279" width="9.21875" style="21"/>
    <col min="12280" max="12280" width="8.77734375" style="21" customWidth="1"/>
    <col min="12281" max="12281" width="9.77734375" style="21" customWidth="1"/>
    <col min="12282" max="12282" width="14.44140625" style="21" customWidth="1"/>
    <col min="12283" max="12283" width="7.21875" style="21" customWidth="1"/>
    <col min="12284" max="12284" width="5.5546875" style="21" customWidth="1"/>
    <col min="12285" max="12285" width="9" style="21" customWidth="1"/>
    <col min="12286" max="12287" width="9.77734375" style="21" customWidth="1"/>
    <col min="12288" max="12288" width="11.21875" style="21" customWidth="1"/>
    <col min="12289" max="12289" width="2.77734375" style="21" customWidth="1"/>
    <col min="12290" max="12290" width="3.5546875" style="21" customWidth="1"/>
    <col min="12291" max="12535" width="9.21875" style="21"/>
    <col min="12536" max="12536" width="8.77734375" style="21" customWidth="1"/>
    <col min="12537" max="12537" width="9.77734375" style="21" customWidth="1"/>
    <col min="12538" max="12538" width="14.44140625" style="21" customWidth="1"/>
    <col min="12539" max="12539" width="7.21875" style="21" customWidth="1"/>
    <col min="12540" max="12540" width="5.5546875" style="21" customWidth="1"/>
    <col min="12541" max="12541" width="9" style="21" customWidth="1"/>
    <col min="12542" max="12543" width="9.77734375" style="21" customWidth="1"/>
    <col min="12544" max="12544" width="11.21875" style="21" customWidth="1"/>
    <col min="12545" max="12545" width="2.77734375" style="21" customWidth="1"/>
    <col min="12546" max="12546" width="3.5546875" style="21" customWidth="1"/>
    <col min="12547" max="12791" width="9.21875" style="21"/>
    <col min="12792" max="12792" width="8.77734375" style="21" customWidth="1"/>
    <col min="12793" max="12793" width="9.77734375" style="21" customWidth="1"/>
    <col min="12794" max="12794" width="14.44140625" style="21" customWidth="1"/>
    <col min="12795" max="12795" width="7.21875" style="21" customWidth="1"/>
    <col min="12796" max="12796" width="5.5546875" style="21" customWidth="1"/>
    <col min="12797" max="12797" width="9" style="21" customWidth="1"/>
    <col min="12798" max="12799" width="9.77734375" style="21" customWidth="1"/>
    <col min="12800" max="12800" width="11.21875" style="21" customWidth="1"/>
    <col min="12801" max="12801" width="2.77734375" style="21" customWidth="1"/>
    <col min="12802" max="12802" width="3.5546875" style="21" customWidth="1"/>
    <col min="12803" max="13047" width="9.21875" style="21"/>
    <col min="13048" max="13048" width="8.77734375" style="21" customWidth="1"/>
    <col min="13049" max="13049" width="9.77734375" style="21" customWidth="1"/>
    <col min="13050" max="13050" width="14.44140625" style="21" customWidth="1"/>
    <col min="13051" max="13051" width="7.21875" style="21" customWidth="1"/>
    <col min="13052" max="13052" width="5.5546875" style="21" customWidth="1"/>
    <col min="13053" max="13053" width="9" style="21" customWidth="1"/>
    <col min="13054" max="13055" width="9.77734375" style="21" customWidth="1"/>
    <col min="13056" max="13056" width="11.21875" style="21" customWidth="1"/>
    <col min="13057" max="13057" width="2.77734375" style="21" customWidth="1"/>
    <col min="13058" max="13058" width="3.5546875" style="21" customWidth="1"/>
    <col min="13059" max="13303" width="9.21875" style="21"/>
    <col min="13304" max="13304" width="8.77734375" style="21" customWidth="1"/>
    <col min="13305" max="13305" width="9.77734375" style="21" customWidth="1"/>
    <col min="13306" max="13306" width="14.44140625" style="21" customWidth="1"/>
    <col min="13307" max="13307" width="7.21875" style="21" customWidth="1"/>
    <col min="13308" max="13308" width="5.5546875" style="21" customWidth="1"/>
    <col min="13309" max="13309" width="9" style="21" customWidth="1"/>
    <col min="13310" max="13311" width="9.77734375" style="21" customWidth="1"/>
    <col min="13312" max="13312" width="11.21875" style="21" customWidth="1"/>
    <col min="13313" max="13313" width="2.77734375" style="21" customWidth="1"/>
    <col min="13314" max="13314" width="3.5546875" style="21" customWidth="1"/>
    <col min="13315" max="13559" width="9.21875" style="21"/>
    <col min="13560" max="13560" width="8.77734375" style="21" customWidth="1"/>
    <col min="13561" max="13561" width="9.77734375" style="21" customWidth="1"/>
    <col min="13562" max="13562" width="14.44140625" style="21" customWidth="1"/>
    <col min="13563" max="13563" width="7.21875" style="21" customWidth="1"/>
    <col min="13564" max="13564" width="5.5546875" style="21" customWidth="1"/>
    <col min="13565" max="13565" width="9" style="21" customWidth="1"/>
    <col min="13566" max="13567" width="9.77734375" style="21" customWidth="1"/>
    <col min="13568" max="13568" width="11.21875" style="21" customWidth="1"/>
    <col min="13569" max="13569" width="2.77734375" style="21" customWidth="1"/>
    <col min="13570" max="13570" width="3.5546875" style="21" customWidth="1"/>
    <col min="13571" max="13815" width="9.21875" style="21"/>
    <col min="13816" max="13816" width="8.77734375" style="21" customWidth="1"/>
    <col min="13817" max="13817" width="9.77734375" style="21" customWidth="1"/>
    <col min="13818" max="13818" width="14.44140625" style="21" customWidth="1"/>
    <col min="13819" max="13819" width="7.21875" style="21" customWidth="1"/>
    <col min="13820" max="13820" width="5.5546875" style="21" customWidth="1"/>
    <col min="13821" max="13821" width="9" style="21" customWidth="1"/>
    <col min="13822" max="13823" width="9.77734375" style="21" customWidth="1"/>
    <col min="13824" max="13824" width="11.21875" style="21" customWidth="1"/>
    <col min="13825" max="13825" width="2.77734375" style="21" customWidth="1"/>
    <col min="13826" max="13826" width="3.5546875" style="21" customWidth="1"/>
    <col min="13827" max="14071" width="9.21875" style="21"/>
    <col min="14072" max="14072" width="8.77734375" style="21" customWidth="1"/>
    <col min="14073" max="14073" width="9.77734375" style="21" customWidth="1"/>
    <col min="14074" max="14074" width="14.44140625" style="21" customWidth="1"/>
    <col min="14075" max="14075" width="7.21875" style="21" customWidth="1"/>
    <col min="14076" max="14076" width="5.5546875" style="21" customWidth="1"/>
    <col min="14077" max="14077" width="9" style="21" customWidth="1"/>
    <col min="14078" max="14079" width="9.77734375" style="21" customWidth="1"/>
    <col min="14080" max="14080" width="11.21875" style="21" customWidth="1"/>
    <col min="14081" max="14081" width="2.77734375" style="21" customWidth="1"/>
    <col min="14082" max="14082" width="3.5546875" style="21" customWidth="1"/>
    <col min="14083" max="14327" width="9.21875" style="21"/>
    <col min="14328" max="14328" width="8.77734375" style="21" customWidth="1"/>
    <col min="14329" max="14329" width="9.77734375" style="21" customWidth="1"/>
    <col min="14330" max="14330" width="14.44140625" style="21" customWidth="1"/>
    <col min="14331" max="14331" width="7.21875" style="21" customWidth="1"/>
    <col min="14332" max="14332" width="5.5546875" style="21" customWidth="1"/>
    <col min="14333" max="14333" width="9" style="21" customWidth="1"/>
    <col min="14334" max="14335" width="9.77734375" style="21" customWidth="1"/>
    <col min="14336" max="14336" width="11.21875" style="21" customWidth="1"/>
    <col min="14337" max="14337" width="2.77734375" style="21" customWidth="1"/>
    <col min="14338" max="14338" width="3.5546875" style="21" customWidth="1"/>
    <col min="14339" max="14583" width="9.21875" style="21"/>
    <col min="14584" max="14584" width="8.77734375" style="21" customWidth="1"/>
    <col min="14585" max="14585" width="9.77734375" style="21" customWidth="1"/>
    <col min="14586" max="14586" width="14.44140625" style="21" customWidth="1"/>
    <col min="14587" max="14587" width="7.21875" style="21" customWidth="1"/>
    <col min="14588" max="14588" width="5.5546875" style="21" customWidth="1"/>
    <col min="14589" max="14589" width="9" style="21" customWidth="1"/>
    <col min="14590" max="14591" width="9.77734375" style="21" customWidth="1"/>
    <col min="14592" max="14592" width="11.21875" style="21" customWidth="1"/>
    <col min="14593" max="14593" width="2.77734375" style="21" customWidth="1"/>
    <col min="14594" max="14594" width="3.5546875" style="21" customWidth="1"/>
    <col min="14595" max="14839" width="9.21875" style="21"/>
    <col min="14840" max="14840" width="8.77734375" style="21" customWidth="1"/>
    <col min="14841" max="14841" width="9.77734375" style="21" customWidth="1"/>
    <col min="14842" max="14842" width="14.44140625" style="21" customWidth="1"/>
    <col min="14843" max="14843" width="7.21875" style="21" customWidth="1"/>
    <col min="14844" max="14844" width="5.5546875" style="21" customWidth="1"/>
    <col min="14845" max="14845" width="9" style="21" customWidth="1"/>
    <col min="14846" max="14847" width="9.77734375" style="21" customWidth="1"/>
    <col min="14848" max="14848" width="11.21875" style="21" customWidth="1"/>
    <col min="14849" max="14849" width="2.77734375" style="21" customWidth="1"/>
    <col min="14850" max="14850" width="3.5546875" style="21" customWidth="1"/>
    <col min="14851" max="15095" width="9.21875" style="21"/>
    <col min="15096" max="15096" width="8.77734375" style="21" customWidth="1"/>
    <col min="15097" max="15097" width="9.77734375" style="21" customWidth="1"/>
    <col min="15098" max="15098" width="14.44140625" style="21" customWidth="1"/>
    <col min="15099" max="15099" width="7.21875" style="21" customWidth="1"/>
    <col min="15100" max="15100" width="5.5546875" style="21" customWidth="1"/>
    <col min="15101" max="15101" width="9" style="21" customWidth="1"/>
    <col min="15102" max="15103" width="9.77734375" style="21" customWidth="1"/>
    <col min="15104" max="15104" width="11.21875" style="21" customWidth="1"/>
    <col min="15105" max="15105" width="2.77734375" style="21" customWidth="1"/>
    <col min="15106" max="15106" width="3.5546875" style="21" customWidth="1"/>
    <col min="15107" max="15351" width="9.21875" style="21"/>
    <col min="15352" max="15352" width="8.77734375" style="21" customWidth="1"/>
    <col min="15353" max="15353" width="9.77734375" style="21" customWidth="1"/>
    <col min="15354" max="15354" width="14.44140625" style="21" customWidth="1"/>
    <col min="15355" max="15355" width="7.21875" style="21" customWidth="1"/>
    <col min="15356" max="15356" width="5.5546875" style="21" customWidth="1"/>
    <col min="15357" max="15357" width="9" style="21" customWidth="1"/>
    <col min="15358" max="15359" width="9.77734375" style="21" customWidth="1"/>
    <col min="15360" max="15360" width="11.21875" style="21" customWidth="1"/>
    <col min="15361" max="15361" width="2.77734375" style="21" customWidth="1"/>
    <col min="15362" max="15362" width="3.5546875" style="21" customWidth="1"/>
    <col min="15363" max="15607" width="9.21875" style="21"/>
    <col min="15608" max="15608" width="8.77734375" style="21" customWidth="1"/>
    <col min="15609" max="15609" width="9.77734375" style="21" customWidth="1"/>
    <col min="15610" max="15610" width="14.44140625" style="21" customWidth="1"/>
    <col min="15611" max="15611" width="7.21875" style="21" customWidth="1"/>
    <col min="15612" max="15612" width="5.5546875" style="21" customWidth="1"/>
    <col min="15613" max="15613" width="9" style="21" customWidth="1"/>
    <col min="15614" max="15615" width="9.77734375" style="21" customWidth="1"/>
    <col min="15616" max="15616" width="11.21875" style="21" customWidth="1"/>
    <col min="15617" max="15617" width="2.77734375" style="21" customWidth="1"/>
    <col min="15618" max="15618" width="3.5546875" style="21" customWidth="1"/>
    <col min="15619" max="15863" width="9.21875" style="21"/>
    <col min="15864" max="15864" width="8.77734375" style="21" customWidth="1"/>
    <col min="15865" max="15865" width="9.77734375" style="21" customWidth="1"/>
    <col min="15866" max="15866" width="14.44140625" style="21" customWidth="1"/>
    <col min="15867" max="15867" width="7.21875" style="21" customWidth="1"/>
    <col min="15868" max="15868" width="5.5546875" style="21" customWidth="1"/>
    <col min="15869" max="15869" width="9" style="21" customWidth="1"/>
    <col min="15870" max="15871" width="9.77734375" style="21" customWidth="1"/>
    <col min="15872" max="15872" width="11.21875" style="21" customWidth="1"/>
    <col min="15873" max="15873" width="2.77734375" style="21" customWidth="1"/>
    <col min="15874" max="15874" width="3.5546875" style="21" customWidth="1"/>
    <col min="15875" max="16119" width="9.21875" style="21"/>
    <col min="16120" max="16120" width="8.77734375" style="21" customWidth="1"/>
    <col min="16121" max="16121" width="9.77734375" style="21" customWidth="1"/>
    <col min="16122" max="16122" width="14.44140625" style="21" customWidth="1"/>
    <col min="16123" max="16123" width="7.21875" style="21" customWidth="1"/>
    <col min="16124" max="16124" width="5.5546875" style="21" customWidth="1"/>
    <col min="16125" max="16125" width="9" style="21" customWidth="1"/>
    <col min="16126" max="16127" width="9.77734375" style="21" customWidth="1"/>
    <col min="16128" max="16128" width="11.21875" style="21" customWidth="1"/>
    <col min="16129" max="16129" width="2.77734375" style="21" customWidth="1"/>
    <col min="16130" max="16130" width="3.5546875" style="21" customWidth="1"/>
    <col min="16131" max="16384" width="9.21875" style="21"/>
  </cols>
  <sheetData>
    <row r="1" spans="1:9" ht="46.5" customHeight="1" x14ac:dyDescent="0.3">
      <c r="A1" s="211" t="s">
        <v>202</v>
      </c>
      <c r="B1" s="211"/>
      <c r="C1" s="211"/>
      <c r="D1" s="211"/>
      <c r="E1" s="211"/>
      <c r="F1" s="211"/>
      <c r="G1" s="211"/>
      <c r="H1" s="211"/>
    </row>
    <row r="2" spans="1:9" ht="16.5" customHeight="1" x14ac:dyDescent="0.3">
      <c r="A2" s="140" t="s">
        <v>0</v>
      </c>
      <c r="B2" s="140"/>
      <c r="C2" s="140"/>
      <c r="D2" s="140"/>
      <c r="E2" s="140"/>
      <c r="F2" s="140"/>
      <c r="G2" s="140"/>
      <c r="H2" s="140"/>
    </row>
    <row r="3" spans="1:9" x14ac:dyDescent="0.3">
      <c r="A3" s="194" t="s">
        <v>1</v>
      </c>
      <c r="B3" s="194"/>
      <c r="C3" s="194"/>
      <c r="D3" s="194"/>
      <c r="E3" s="194" t="str">
        <f ca="1">TEXT(TODAY(),"DD/MM/YYYY")</f>
        <v>11/07/2025</v>
      </c>
      <c r="F3" s="194"/>
      <c r="G3" s="194"/>
      <c r="H3" s="194"/>
    </row>
    <row r="4" spans="1:9" ht="15" customHeight="1" x14ac:dyDescent="0.3">
      <c r="A4" s="194" t="s">
        <v>2</v>
      </c>
      <c r="B4" s="194"/>
      <c r="C4" s="194"/>
      <c r="D4" s="194"/>
      <c r="E4" s="194" t="s">
        <v>169</v>
      </c>
      <c r="F4" s="194"/>
      <c r="G4" s="194"/>
      <c r="H4" s="194"/>
    </row>
    <row r="5" spans="1:9" x14ac:dyDescent="0.3">
      <c r="A5" s="194" t="s">
        <v>3</v>
      </c>
      <c r="B5" s="194"/>
      <c r="C5" s="194"/>
      <c r="D5" s="194"/>
      <c r="E5" s="213">
        <v>45846</v>
      </c>
      <c r="F5" s="194"/>
      <c r="G5" s="194"/>
      <c r="H5" s="194"/>
    </row>
    <row r="6" spans="1:9" ht="16.5" customHeight="1" x14ac:dyDescent="0.3">
      <c r="A6" s="194" t="s">
        <v>4</v>
      </c>
      <c r="B6" s="194"/>
      <c r="C6" s="194"/>
      <c r="D6" s="194"/>
      <c r="E6" s="194" t="s">
        <v>200</v>
      </c>
      <c r="F6" s="194"/>
      <c r="G6" s="194"/>
      <c r="H6" s="194"/>
    </row>
    <row r="7" spans="1:9" ht="15" customHeight="1" x14ac:dyDescent="0.3">
      <c r="A7" s="194" t="s">
        <v>5</v>
      </c>
      <c r="B7" s="194"/>
      <c r="C7" s="194"/>
      <c r="D7" s="194"/>
      <c r="E7" s="194" t="str">
        <f>E6</f>
        <v>M/s. Larsen &amp; Toubro Ltd. (Realty Division)</v>
      </c>
      <c r="F7" s="194"/>
      <c r="G7" s="194"/>
      <c r="H7" s="194"/>
    </row>
    <row r="8" spans="1:9" ht="32.549999999999997" customHeight="1" x14ac:dyDescent="0.3">
      <c r="A8" s="194" t="s">
        <v>6</v>
      </c>
      <c r="B8" s="194"/>
      <c r="C8" s="194"/>
      <c r="D8" s="194"/>
      <c r="E8" s="111" t="s">
        <v>264</v>
      </c>
      <c r="F8" s="111"/>
      <c r="G8" s="111"/>
      <c r="H8" s="111"/>
    </row>
    <row r="9" spans="1:9" x14ac:dyDescent="0.3">
      <c r="A9" s="194" t="s">
        <v>121</v>
      </c>
      <c r="B9" s="194"/>
      <c r="C9" s="194"/>
      <c r="D9" s="194"/>
      <c r="E9" s="195" t="s">
        <v>170</v>
      </c>
      <c r="F9" s="195"/>
      <c r="G9" s="195"/>
      <c r="H9" s="195"/>
    </row>
    <row r="10" spans="1:9" ht="64.5" customHeight="1" x14ac:dyDescent="0.3">
      <c r="A10" s="194" t="s">
        <v>7</v>
      </c>
      <c r="B10" s="194"/>
      <c r="C10" s="194"/>
      <c r="D10" s="212"/>
      <c r="E10" s="147" t="s">
        <v>262</v>
      </c>
      <c r="F10" s="149"/>
      <c r="G10" s="149" t="s">
        <v>254</v>
      </c>
      <c r="H10" s="148"/>
      <c r="I10" s="21" t="s">
        <v>282</v>
      </c>
    </row>
    <row r="11" spans="1:9" x14ac:dyDescent="0.3">
      <c r="A11" s="116" t="s">
        <v>8</v>
      </c>
      <c r="B11" s="116"/>
      <c r="C11" s="116"/>
      <c r="D11" s="116"/>
      <c r="E11" s="214" t="s">
        <v>181</v>
      </c>
      <c r="F11" s="214"/>
      <c r="G11" s="214"/>
      <c r="H11" s="214"/>
    </row>
    <row r="12" spans="1:9" ht="114" customHeight="1" x14ac:dyDescent="0.3">
      <c r="A12" s="116" t="s">
        <v>9</v>
      </c>
      <c r="B12" s="116"/>
      <c r="C12" s="116"/>
      <c r="D12" s="116"/>
      <c r="E12" s="103" t="s">
        <v>263</v>
      </c>
      <c r="F12" s="194"/>
      <c r="G12" s="194"/>
      <c r="H12" s="194"/>
    </row>
    <row r="13" spans="1:9" ht="48.75" customHeight="1" x14ac:dyDescent="0.3">
      <c r="A13" s="117" t="s">
        <v>10</v>
      </c>
      <c r="B13" s="117"/>
      <c r="C13" s="117" t="str">
        <f>CONCATENATE((IF(OR(E8="",E8="NA"),"",E8)),", ",(IF(OR(A14="",A14="NA"),"",A14)),".",(IF(OR(C14="",C14="NA"),"",C14)),", near ",(IF(OR(C19="",C19="NA"),"",C19)),", ",(IF(OR(C16="",C16="NA"),"",C16)),", ",(IF(OR(C15="",C15="NA"),"",C15)),", ",(IF(OR(G16="",G16="NA"),"",G16)),", ",(IF(OR(C17="",C17="NA"),"",C17)),", ",(IF(OR(C18="",C18="NA"),"",C18)),", ",(IF(OR(G17="",G17="NA"),"",G17))," - ",(IF(OR(G18="",G18="NA"),"",G18)),".")</f>
        <v>L and T Realty Elixir Reserve (Cygnus, Cafer, Iora, Atthis,  Ibis, Dove, Prinia), CTS No.87(PT.), near A M Naik Tower, Saki Vihar Road, Krishna Nagar, Paspol, Kanjurmarg West, Kurla, Mumbai - 400072.</v>
      </c>
      <c r="D13" s="117"/>
      <c r="E13" s="117"/>
      <c r="F13" s="117"/>
      <c r="G13" s="117"/>
      <c r="H13" s="117"/>
    </row>
    <row r="14" spans="1:9" x14ac:dyDescent="0.3">
      <c r="A14" s="103" t="s">
        <v>172</v>
      </c>
      <c r="B14" s="103"/>
      <c r="C14" s="103" t="s">
        <v>174</v>
      </c>
      <c r="D14" s="103"/>
      <c r="E14" s="103"/>
      <c r="F14" s="103"/>
      <c r="G14" s="103"/>
      <c r="H14" s="103"/>
    </row>
    <row r="15" spans="1:9" ht="15.75" customHeight="1" x14ac:dyDescent="0.3">
      <c r="A15" s="147" t="s">
        <v>166</v>
      </c>
      <c r="B15" s="148"/>
      <c r="C15" s="147" t="s">
        <v>173</v>
      </c>
      <c r="D15" s="149"/>
      <c r="E15" s="149"/>
      <c r="F15" s="149"/>
      <c r="G15" s="149"/>
      <c r="H15" s="148"/>
    </row>
    <row r="16" spans="1:9" ht="15.75" customHeight="1" x14ac:dyDescent="0.3">
      <c r="A16" s="117" t="s">
        <v>11</v>
      </c>
      <c r="B16" s="117"/>
      <c r="C16" s="194" t="s">
        <v>179</v>
      </c>
      <c r="D16" s="194"/>
      <c r="E16" s="117" t="s">
        <v>167</v>
      </c>
      <c r="F16" s="117"/>
      <c r="G16" s="103" t="s">
        <v>175</v>
      </c>
      <c r="H16" s="103"/>
    </row>
    <row r="17" spans="1:8" x14ac:dyDescent="0.3">
      <c r="A17" s="116" t="s">
        <v>13</v>
      </c>
      <c r="B17" s="116"/>
      <c r="C17" s="103" t="s">
        <v>180</v>
      </c>
      <c r="D17" s="103"/>
      <c r="E17" s="117" t="s">
        <v>12</v>
      </c>
      <c r="F17" s="117"/>
      <c r="G17" s="210" t="s">
        <v>176</v>
      </c>
      <c r="H17" s="210"/>
    </row>
    <row r="18" spans="1:8" x14ac:dyDescent="0.3">
      <c r="A18" s="116" t="s">
        <v>72</v>
      </c>
      <c r="B18" s="116"/>
      <c r="C18" s="103" t="s">
        <v>178</v>
      </c>
      <c r="D18" s="103"/>
      <c r="E18" s="117" t="s">
        <v>14</v>
      </c>
      <c r="F18" s="117"/>
      <c r="G18" s="103">
        <v>400072</v>
      </c>
      <c r="H18" s="103"/>
    </row>
    <row r="19" spans="1:8" ht="32.25" customHeight="1" x14ac:dyDescent="0.3">
      <c r="A19" s="116" t="s">
        <v>123</v>
      </c>
      <c r="B19" s="116"/>
      <c r="C19" s="103" t="s">
        <v>177</v>
      </c>
      <c r="D19" s="103"/>
      <c r="E19" s="117" t="s">
        <v>15</v>
      </c>
      <c r="F19" s="117"/>
      <c r="G19" s="103" t="s">
        <v>224</v>
      </c>
      <c r="H19" s="103"/>
    </row>
    <row r="20" spans="1:8" ht="15" customHeight="1" x14ac:dyDescent="0.3">
      <c r="A20" s="117" t="s">
        <v>74</v>
      </c>
      <c r="B20" s="117"/>
      <c r="C20" s="117"/>
      <c r="D20" s="117"/>
      <c r="E20" s="194" t="s">
        <v>16</v>
      </c>
      <c r="F20" s="194"/>
      <c r="G20" s="194"/>
      <c r="H20" s="194"/>
    </row>
    <row r="21" spans="1:8" ht="18.75" customHeight="1" x14ac:dyDescent="0.3">
      <c r="A21" s="117"/>
      <c r="B21" s="117"/>
      <c r="C21" s="117"/>
      <c r="D21" s="117"/>
      <c r="E21" s="194"/>
      <c r="F21" s="194"/>
      <c r="G21" s="194"/>
      <c r="H21" s="194"/>
    </row>
    <row r="22" spans="1:8" ht="15" customHeight="1" x14ac:dyDescent="0.3">
      <c r="A22" s="117" t="s">
        <v>17</v>
      </c>
      <c r="B22" s="117"/>
      <c r="C22" s="117"/>
      <c r="D22" s="117"/>
      <c r="E22" s="103" t="s">
        <v>18</v>
      </c>
      <c r="F22" s="103"/>
      <c r="G22" s="103"/>
      <c r="H22" s="103"/>
    </row>
    <row r="23" spans="1:8" ht="15" customHeight="1" x14ac:dyDescent="0.3">
      <c r="A23" s="116" t="s">
        <v>19</v>
      </c>
      <c r="B23" s="116"/>
      <c r="C23" s="116"/>
      <c r="D23" s="116"/>
      <c r="E23" s="103" t="str">
        <f>IF(AND(G17="Mumbai"),"Upper Class","Middle Class")</f>
        <v>Upper Class</v>
      </c>
      <c r="F23" s="103"/>
      <c r="G23" s="103"/>
      <c r="H23" s="103"/>
    </row>
    <row r="24" spans="1:8" x14ac:dyDescent="0.3">
      <c r="A24" s="116" t="s">
        <v>20</v>
      </c>
      <c r="B24" s="116"/>
      <c r="C24" s="116"/>
      <c r="D24" s="116"/>
      <c r="E24" s="103" t="s">
        <v>21</v>
      </c>
      <c r="F24" s="103"/>
      <c r="G24" s="103"/>
      <c r="H24" s="103"/>
    </row>
    <row r="25" spans="1:8" ht="15.75" customHeight="1" x14ac:dyDescent="0.3">
      <c r="A25" s="116" t="s">
        <v>22</v>
      </c>
      <c r="B25" s="116"/>
      <c r="C25" s="116"/>
      <c r="D25" s="116"/>
      <c r="E25" s="103" t="str">
        <f>IF(AND(G17="Mumbai"),"Developed","Developing")</f>
        <v>Developed</v>
      </c>
      <c r="F25" s="103"/>
      <c r="G25" s="103"/>
      <c r="H25" s="103"/>
    </row>
    <row r="26" spans="1:8" x14ac:dyDescent="0.3">
      <c r="A26" s="116" t="s">
        <v>23</v>
      </c>
      <c r="B26" s="116"/>
      <c r="C26" s="116"/>
      <c r="D26" s="116"/>
      <c r="E26" s="103" t="s">
        <v>24</v>
      </c>
      <c r="F26" s="103"/>
      <c r="G26" s="103"/>
      <c r="H26" s="103"/>
    </row>
    <row r="27" spans="1:8" ht="15.75" customHeight="1" x14ac:dyDescent="0.3">
      <c r="A27" s="116" t="s">
        <v>79</v>
      </c>
      <c r="B27" s="116"/>
      <c r="C27" s="116"/>
      <c r="D27" s="116"/>
      <c r="E27" s="103" t="s">
        <v>80</v>
      </c>
      <c r="F27" s="103"/>
      <c r="G27" s="103"/>
      <c r="H27" s="103"/>
    </row>
    <row r="28" spans="1:8" ht="15" customHeight="1" x14ac:dyDescent="0.3">
      <c r="A28" s="116" t="s">
        <v>33</v>
      </c>
      <c r="B28" s="116"/>
      <c r="C28" s="116"/>
      <c r="D28" s="116"/>
      <c r="E28" s="103" t="str">
        <f>IF(AND(ISNUMBER(SEARCH("Flat",D59)),ISNUMBER(SEARCH("Shop",D59)),ISNUMBER(SEARCH("Office",D59))),"Residential + Commercial",IF(AND(ISNUMBER(SEARCH("Flat",D59)),ISNUMBER(SEARCH("Shop",D59))),"Residential + Commercial",IF(AND(ISNUMBER(SEARCH("Flat",D59)),ISNUMBER(SEARCH("Office",D59))),"Residential + Commercial",IF(AND(ISNUMBER(SEARCH("Shop",D59)),ISNUMBER(SEARCH("Office",D59))),"Commercial",IF(ISNUMBER(SEARCH("Shop",D59)),"Commercial",IF(ISNUMBER(SEARCH("Office",D59)),"Commercial",IF(ISNUMBER(SEARCH("Flat",D59)),"Residential")))))))</f>
        <v>Residential</v>
      </c>
      <c r="F28" s="103"/>
      <c r="G28" s="103"/>
      <c r="H28" s="103"/>
    </row>
    <row r="29" spans="1:8" ht="15.75" customHeight="1" x14ac:dyDescent="0.3">
      <c r="A29" s="116" t="s">
        <v>91</v>
      </c>
      <c r="B29" s="116"/>
      <c r="C29" s="116"/>
      <c r="D29" s="116"/>
      <c r="E29" s="103" t="s">
        <v>34</v>
      </c>
      <c r="F29" s="103"/>
      <c r="G29" s="103"/>
      <c r="H29" s="103"/>
    </row>
    <row r="30" spans="1:8" s="22" customFormat="1" x14ac:dyDescent="0.3">
      <c r="A30" s="209" t="s">
        <v>92</v>
      </c>
      <c r="B30" s="209"/>
      <c r="C30" s="208" t="s">
        <v>29</v>
      </c>
      <c r="D30" s="208"/>
      <c r="E30" s="208"/>
      <c r="F30" s="208" t="s">
        <v>31</v>
      </c>
      <c r="G30" s="208"/>
      <c r="H30" s="208"/>
    </row>
    <row r="31" spans="1:8" s="22" customFormat="1" x14ac:dyDescent="0.3">
      <c r="A31" s="190" t="s">
        <v>25</v>
      </c>
      <c r="B31" s="190" t="s">
        <v>30</v>
      </c>
      <c r="C31" s="191" t="s">
        <v>30</v>
      </c>
      <c r="D31" s="191"/>
      <c r="E31" s="191"/>
      <c r="F31" s="191" t="s">
        <v>182</v>
      </c>
      <c r="G31" s="191"/>
      <c r="H31" s="191"/>
    </row>
    <row r="32" spans="1:8" x14ac:dyDescent="0.3">
      <c r="A32" s="190" t="s">
        <v>26</v>
      </c>
      <c r="B32" s="190" t="s">
        <v>30</v>
      </c>
      <c r="C32" s="191" t="s">
        <v>30</v>
      </c>
      <c r="D32" s="191"/>
      <c r="E32" s="191"/>
      <c r="F32" s="191" t="s">
        <v>183</v>
      </c>
      <c r="G32" s="191"/>
      <c r="H32" s="191"/>
    </row>
    <row r="33" spans="1:8" s="22" customFormat="1" x14ac:dyDescent="0.3">
      <c r="A33" s="190" t="s">
        <v>28</v>
      </c>
      <c r="B33" s="190" t="s">
        <v>30</v>
      </c>
      <c r="C33" s="191" t="s">
        <v>30</v>
      </c>
      <c r="D33" s="191"/>
      <c r="E33" s="191"/>
      <c r="F33" s="191" t="s">
        <v>184</v>
      </c>
      <c r="G33" s="191"/>
      <c r="H33" s="191"/>
    </row>
    <row r="34" spans="1:8" x14ac:dyDescent="0.3">
      <c r="A34" s="190" t="s">
        <v>27</v>
      </c>
      <c r="B34" s="190" t="s">
        <v>30</v>
      </c>
      <c r="C34" s="191" t="s">
        <v>30</v>
      </c>
      <c r="D34" s="191"/>
      <c r="E34" s="191"/>
      <c r="F34" s="191" t="s">
        <v>179</v>
      </c>
      <c r="G34" s="191"/>
      <c r="H34" s="191"/>
    </row>
    <row r="35" spans="1:8" x14ac:dyDescent="0.3">
      <c r="A35" s="116" t="s">
        <v>32</v>
      </c>
      <c r="B35" s="116"/>
      <c r="C35" s="116"/>
      <c r="D35" s="116"/>
      <c r="E35" s="116"/>
      <c r="F35" s="116"/>
      <c r="G35" s="116"/>
      <c r="H35" s="116"/>
    </row>
    <row r="36" spans="1:8" ht="15.75" customHeight="1" x14ac:dyDescent="0.3">
      <c r="A36" s="116" t="s">
        <v>205</v>
      </c>
      <c r="B36" s="116"/>
      <c r="C36" s="234" t="s">
        <v>206</v>
      </c>
      <c r="D36" s="235"/>
      <c r="E36" s="235"/>
      <c r="F36" s="235"/>
      <c r="G36" s="235"/>
      <c r="H36" s="236"/>
    </row>
    <row r="37" spans="1:8" x14ac:dyDescent="0.3">
      <c r="A37" s="116" t="s">
        <v>165</v>
      </c>
      <c r="B37" s="116"/>
      <c r="C37" s="150" t="s">
        <v>207</v>
      </c>
      <c r="D37" s="103"/>
      <c r="E37" s="103"/>
      <c r="F37" s="103"/>
      <c r="G37" s="103"/>
      <c r="H37" s="103"/>
    </row>
    <row r="38" spans="1:8" x14ac:dyDescent="0.3">
      <c r="A38" s="193" t="s">
        <v>35</v>
      </c>
      <c r="B38" s="193"/>
      <c r="C38" s="193"/>
      <c r="D38" s="193"/>
      <c r="E38" s="193"/>
      <c r="F38" s="193"/>
      <c r="G38" s="193"/>
      <c r="H38" s="193"/>
    </row>
    <row r="39" spans="1:8" x14ac:dyDescent="0.3">
      <c r="A39" s="116" t="s">
        <v>36</v>
      </c>
      <c r="B39" s="116"/>
      <c r="C39" s="116"/>
      <c r="D39" s="116"/>
      <c r="E39" s="192">
        <v>60038.5</v>
      </c>
      <c r="F39" s="192"/>
      <c r="G39" s="192"/>
      <c r="H39" s="192"/>
    </row>
    <row r="40" spans="1:8" x14ac:dyDescent="0.3">
      <c r="A40" s="116" t="s">
        <v>37</v>
      </c>
      <c r="B40" s="116"/>
      <c r="C40" s="116"/>
      <c r="D40" s="116"/>
      <c r="E40" s="206">
        <v>1</v>
      </c>
      <c r="F40" s="206"/>
      <c r="G40" s="206"/>
      <c r="H40" s="206"/>
    </row>
    <row r="41" spans="1:8" x14ac:dyDescent="0.3">
      <c r="A41" s="116" t="s">
        <v>38</v>
      </c>
      <c r="B41" s="116"/>
      <c r="C41" s="116"/>
      <c r="D41" s="116"/>
      <c r="E41" s="206">
        <f>E43/E39-E40</f>
        <v>0.96554127768015507</v>
      </c>
      <c r="F41" s="206"/>
      <c r="G41" s="206"/>
      <c r="H41" s="206"/>
    </row>
    <row r="42" spans="1:8" x14ac:dyDescent="0.3">
      <c r="A42" s="116" t="s">
        <v>39</v>
      </c>
      <c r="B42" s="116"/>
      <c r="C42" s="116"/>
      <c r="D42" s="116"/>
      <c r="E42" s="206">
        <f>E40+E41</f>
        <v>1.9655412776801551</v>
      </c>
      <c r="F42" s="206"/>
      <c r="G42" s="206"/>
      <c r="H42" s="206"/>
    </row>
    <row r="43" spans="1:8" x14ac:dyDescent="0.3">
      <c r="A43" s="116" t="s">
        <v>90</v>
      </c>
      <c r="B43" s="116"/>
      <c r="C43" s="116"/>
      <c r="D43" s="116"/>
      <c r="E43" s="207">
        <v>118008.15</v>
      </c>
      <c r="F43" s="207"/>
      <c r="G43" s="207"/>
      <c r="H43" s="207"/>
    </row>
    <row r="44" spans="1:8" x14ac:dyDescent="0.3">
      <c r="A44" s="194" t="s">
        <v>40</v>
      </c>
      <c r="B44" s="194"/>
      <c r="C44" s="194"/>
      <c r="D44" s="194"/>
      <c r="E44" s="194" t="s">
        <v>265</v>
      </c>
      <c r="F44" s="194"/>
      <c r="G44" s="194"/>
      <c r="H44" s="194"/>
    </row>
    <row r="45" spans="1:8" x14ac:dyDescent="0.3">
      <c r="A45" s="193" t="s">
        <v>41</v>
      </c>
      <c r="B45" s="193"/>
      <c r="C45" s="193"/>
      <c r="D45" s="193"/>
      <c r="E45" s="193"/>
      <c r="F45" s="193"/>
      <c r="G45" s="193"/>
      <c r="H45" s="193"/>
    </row>
    <row r="46" spans="1:8" ht="33.75" customHeight="1" x14ac:dyDescent="0.3">
      <c r="A46" s="154" t="s">
        <v>153</v>
      </c>
      <c r="B46" s="155"/>
      <c r="C46" s="156" t="s">
        <v>185</v>
      </c>
      <c r="D46" s="157"/>
      <c r="E46" s="157"/>
      <c r="F46" s="157"/>
      <c r="G46" s="157"/>
      <c r="H46" s="158"/>
    </row>
    <row r="47" spans="1:8" ht="15.75" customHeight="1" x14ac:dyDescent="0.3">
      <c r="A47" s="154" t="s">
        <v>42</v>
      </c>
      <c r="B47" s="155"/>
      <c r="C47" s="154" t="s">
        <v>208</v>
      </c>
      <c r="D47" s="205"/>
      <c r="E47" s="155"/>
      <c r="F47" s="18" t="s">
        <v>43</v>
      </c>
      <c r="G47" s="199">
        <v>45352</v>
      </c>
      <c r="H47" s="155"/>
    </row>
    <row r="48" spans="1:8" x14ac:dyDescent="0.3">
      <c r="A48" s="154" t="s">
        <v>44</v>
      </c>
      <c r="B48" s="155"/>
      <c r="C48" s="154" t="str">
        <f>C47</f>
        <v>CHE/ES/2335/S/337(NEW)/IOD/1/NEW</v>
      </c>
      <c r="D48" s="205"/>
      <c r="E48" s="155"/>
      <c r="F48" s="18" t="s">
        <v>43</v>
      </c>
      <c r="G48" s="199">
        <f>G47</f>
        <v>45352</v>
      </c>
      <c r="H48" s="200"/>
    </row>
    <row r="49" spans="1:9" s="23" customFormat="1" ht="15.75" customHeight="1" x14ac:dyDescent="0.3">
      <c r="A49" s="201" t="s">
        <v>157</v>
      </c>
      <c r="B49" s="202"/>
      <c r="C49" s="154" t="s">
        <v>204</v>
      </c>
      <c r="D49" s="205"/>
      <c r="E49" s="155"/>
      <c r="F49" s="18" t="s">
        <v>43</v>
      </c>
      <c r="G49" s="199">
        <v>45365</v>
      </c>
      <c r="H49" s="200"/>
    </row>
    <row r="50" spans="1:9" s="23" customFormat="1" ht="224.55" customHeight="1" x14ac:dyDescent="0.3">
      <c r="A50" s="203"/>
      <c r="B50" s="204"/>
      <c r="C50" s="154" t="s">
        <v>243</v>
      </c>
      <c r="D50" s="205"/>
      <c r="E50" s="155"/>
      <c r="F50" s="18" t="s">
        <v>122</v>
      </c>
      <c r="G50" s="199">
        <v>45729</v>
      </c>
      <c r="H50" s="155"/>
    </row>
    <row r="51" spans="1:9" s="23" customFormat="1" ht="15.75" customHeight="1" x14ac:dyDescent="0.3">
      <c r="A51" s="201" t="s">
        <v>157</v>
      </c>
      <c r="B51" s="202"/>
      <c r="C51" s="154" t="s">
        <v>268</v>
      </c>
      <c r="D51" s="205"/>
      <c r="E51" s="155"/>
      <c r="F51" s="18" t="s">
        <v>43</v>
      </c>
      <c r="G51" s="199">
        <v>45429</v>
      </c>
      <c r="H51" s="200"/>
    </row>
    <row r="52" spans="1:9" s="23" customFormat="1" ht="134.25" customHeight="1" x14ac:dyDescent="0.3">
      <c r="A52" s="203"/>
      <c r="B52" s="204"/>
      <c r="C52" s="154" t="s">
        <v>279</v>
      </c>
      <c r="D52" s="205"/>
      <c r="E52" s="155"/>
      <c r="F52" s="18" t="s">
        <v>122</v>
      </c>
      <c r="G52" s="199">
        <v>45709</v>
      </c>
      <c r="H52" s="155"/>
    </row>
    <row r="53" spans="1:9" ht="15.75" customHeight="1" x14ac:dyDescent="0.3">
      <c r="A53" s="201" t="s">
        <v>269</v>
      </c>
      <c r="B53" s="202"/>
      <c r="C53" s="154" t="s">
        <v>271</v>
      </c>
      <c r="D53" s="205"/>
      <c r="E53" s="155"/>
      <c r="F53" s="59" t="s">
        <v>43</v>
      </c>
      <c r="G53" s="226">
        <v>45241</v>
      </c>
      <c r="H53" s="227"/>
    </row>
    <row r="54" spans="1:9" ht="99" customHeight="1" x14ac:dyDescent="0.3">
      <c r="A54" s="203"/>
      <c r="B54" s="204"/>
      <c r="C54" s="154" t="s">
        <v>270</v>
      </c>
      <c r="D54" s="205"/>
      <c r="E54" s="205"/>
      <c r="F54" s="205"/>
      <c r="G54" s="205"/>
      <c r="H54" s="155"/>
    </row>
    <row r="55" spans="1:9" ht="15.75" customHeight="1" x14ac:dyDescent="0.3">
      <c r="A55" s="237" t="s">
        <v>168</v>
      </c>
      <c r="B55" s="238"/>
      <c r="C55" s="220" t="s">
        <v>290</v>
      </c>
      <c r="D55" s="221"/>
      <c r="E55" s="222"/>
      <c r="F55" s="51" t="s">
        <v>43</v>
      </c>
      <c r="G55" s="224">
        <v>45735</v>
      </c>
      <c r="H55" s="225"/>
    </row>
    <row r="56" spans="1:9" ht="81.45" customHeight="1" x14ac:dyDescent="0.3">
      <c r="A56" s="239"/>
      <c r="B56" s="240"/>
      <c r="C56" s="220" t="s">
        <v>291</v>
      </c>
      <c r="D56" s="221"/>
      <c r="E56" s="221"/>
      <c r="F56" s="221"/>
      <c r="G56" s="221"/>
      <c r="H56" s="222"/>
    </row>
    <row r="57" spans="1:9" x14ac:dyDescent="0.3">
      <c r="A57" s="223" t="s">
        <v>45</v>
      </c>
      <c r="B57" s="223"/>
      <c r="C57" s="223"/>
      <c r="D57" s="223"/>
      <c r="E57" s="223"/>
      <c r="F57" s="223"/>
      <c r="G57" s="223"/>
      <c r="H57" s="223"/>
    </row>
    <row r="58" spans="1:9" x14ac:dyDescent="0.3">
      <c r="A58" s="103" t="s">
        <v>89</v>
      </c>
      <c r="B58" s="103"/>
      <c r="C58" s="103"/>
      <c r="D58" s="194">
        <f>20026.29+16089.98+14674.17+14427.92+20018.13+19928.53</f>
        <v>105165.02</v>
      </c>
      <c r="E58" s="194"/>
      <c r="F58" s="194"/>
      <c r="G58" s="194"/>
      <c r="H58" s="194"/>
    </row>
    <row r="59" spans="1:9" x14ac:dyDescent="0.3">
      <c r="A59" s="103" t="s">
        <v>46</v>
      </c>
      <c r="B59" s="194"/>
      <c r="C59" s="194"/>
      <c r="D59" s="194" t="s">
        <v>277</v>
      </c>
      <c r="E59" s="194"/>
      <c r="F59" s="194"/>
      <c r="G59" s="194"/>
      <c r="H59" s="194"/>
      <c r="I59" s="24"/>
    </row>
    <row r="60" spans="1:9" ht="114" customHeight="1" x14ac:dyDescent="0.3">
      <c r="A60" s="196" t="s">
        <v>47</v>
      </c>
      <c r="B60" s="197"/>
      <c r="C60" s="198"/>
      <c r="D60" s="119" t="s">
        <v>266</v>
      </c>
      <c r="E60" s="195"/>
      <c r="F60" s="195"/>
      <c r="G60" s="195"/>
      <c r="H60" s="195"/>
    </row>
    <row r="61" spans="1:9" ht="15.75" customHeight="1" x14ac:dyDescent="0.3">
      <c r="A61" s="103" t="s">
        <v>87</v>
      </c>
      <c r="B61" s="103"/>
      <c r="C61" s="103"/>
      <c r="D61" s="103" t="s">
        <v>244</v>
      </c>
      <c r="E61" s="103"/>
      <c r="F61" s="103"/>
      <c r="G61" s="103"/>
      <c r="H61" s="103"/>
    </row>
    <row r="62" spans="1:9" x14ac:dyDescent="0.3">
      <c r="A62" s="103"/>
      <c r="B62" s="103"/>
      <c r="C62" s="103"/>
      <c r="D62" s="103" t="s">
        <v>285</v>
      </c>
      <c r="E62" s="103"/>
      <c r="F62" s="103"/>
      <c r="G62" s="103"/>
      <c r="H62" s="103"/>
    </row>
    <row r="63" spans="1:9" x14ac:dyDescent="0.3">
      <c r="A63" s="103"/>
      <c r="B63" s="103"/>
      <c r="C63" s="103"/>
      <c r="D63" s="103" t="s">
        <v>283</v>
      </c>
      <c r="E63" s="103"/>
      <c r="F63" s="103"/>
      <c r="G63" s="103"/>
      <c r="H63" s="103"/>
    </row>
    <row r="64" spans="1:9" x14ac:dyDescent="0.3">
      <c r="A64" s="103"/>
      <c r="B64" s="103"/>
      <c r="C64" s="103"/>
      <c r="D64" s="103" t="s">
        <v>284</v>
      </c>
      <c r="E64" s="103"/>
      <c r="F64" s="103"/>
      <c r="G64" s="103"/>
      <c r="H64" s="103"/>
    </row>
    <row r="65" spans="1:14" x14ac:dyDescent="0.3">
      <c r="A65" s="103"/>
      <c r="B65" s="103"/>
      <c r="C65" s="103"/>
      <c r="D65" s="103" t="s">
        <v>267</v>
      </c>
      <c r="E65" s="103"/>
      <c r="F65" s="103"/>
      <c r="G65" s="103"/>
      <c r="H65" s="103"/>
    </row>
    <row r="66" spans="1:14" x14ac:dyDescent="0.3">
      <c r="A66" s="103"/>
      <c r="B66" s="103"/>
      <c r="C66" s="103"/>
      <c r="D66" s="103" t="s">
        <v>258</v>
      </c>
      <c r="E66" s="103"/>
      <c r="F66" s="103"/>
      <c r="G66" s="103"/>
      <c r="H66" s="103"/>
    </row>
    <row r="67" spans="1:14" x14ac:dyDescent="0.3">
      <c r="A67" s="103"/>
      <c r="B67" s="103"/>
      <c r="C67" s="103"/>
      <c r="D67" s="103" t="s">
        <v>253</v>
      </c>
      <c r="E67" s="103"/>
      <c r="F67" s="103"/>
      <c r="G67" s="103"/>
      <c r="H67" s="103"/>
    </row>
    <row r="68" spans="1:14" ht="115.5" customHeight="1" x14ac:dyDescent="0.3">
      <c r="A68" s="116" t="s">
        <v>245</v>
      </c>
      <c r="B68" s="116"/>
      <c r="C68" s="116"/>
      <c r="D68" s="117" t="s">
        <v>295</v>
      </c>
      <c r="E68" s="117"/>
      <c r="F68" s="117"/>
      <c r="G68" s="117"/>
      <c r="H68" s="117"/>
      <c r="J68" s="25"/>
      <c r="K68" s="24"/>
      <c r="N68" s="24"/>
    </row>
    <row r="69" spans="1:14" ht="15.75" customHeight="1" x14ac:dyDescent="0.3">
      <c r="A69" s="116" t="s">
        <v>85</v>
      </c>
      <c r="B69" s="116"/>
      <c r="C69" s="116"/>
      <c r="D69" s="131" t="s">
        <v>293</v>
      </c>
      <c r="E69" s="131"/>
      <c r="F69" s="131"/>
      <c r="G69" s="131"/>
      <c r="H69" s="131"/>
      <c r="I69" s="21" t="str">
        <f ca="1">(IF(G55="NA","60 Years After Completion",IF(G55&lt;&gt;"NA",""&amp;60-ROUNDDOWN((E3-G55)/360,0)&amp;" Years"," ")))</f>
        <v>60 Years</v>
      </c>
      <c r="N69" s="24"/>
    </row>
    <row r="70" spans="1:14" ht="15.75" customHeight="1" x14ac:dyDescent="0.3">
      <c r="A70" s="116" t="s">
        <v>86</v>
      </c>
      <c r="B70" s="116"/>
      <c r="C70" s="116"/>
      <c r="D70" s="117" t="s">
        <v>24</v>
      </c>
      <c r="E70" s="117"/>
      <c r="F70" s="117"/>
      <c r="G70" s="117"/>
      <c r="H70" s="117"/>
      <c r="J70" s="26"/>
      <c r="K70" s="26"/>
    </row>
    <row r="71" spans="1:14" ht="15" hidden="1" customHeight="1" x14ac:dyDescent="0.3">
      <c r="A71" s="116" t="s">
        <v>73</v>
      </c>
      <c r="B71" s="116"/>
      <c r="C71" s="116"/>
      <c r="D71" s="103" t="s">
        <v>149</v>
      </c>
      <c r="E71" s="117"/>
      <c r="F71" s="117"/>
      <c r="G71" s="117"/>
      <c r="H71" s="117"/>
    </row>
    <row r="72" spans="1:14" x14ac:dyDescent="0.3">
      <c r="A72" s="117" t="s">
        <v>150</v>
      </c>
      <c r="B72" s="117"/>
      <c r="C72" s="117"/>
      <c r="D72" s="117" t="s">
        <v>30</v>
      </c>
      <c r="E72" s="117"/>
      <c r="F72" s="117"/>
      <c r="G72" s="117"/>
      <c r="H72" s="117"/>
      <c r="I72" s="27"/>
      <c r="J72" s="27"/>
      <c r="K72" s="27"/>
      <c r="L72" s="27"/>
      <c r="M72" s="27"/>
      <c r="N72" s="27"/>
    </row>
    <row r="73" spans="1:14" ht="15.75" customHeight="1" x14ac:dyDescent="0.3">
      <c r="A73" s="120" t="s">
        <v>84</v>
      </c>
      <c r="B73" s="120"/>
      <c r="C73" s="120"/>
      <c r="D73" s="119" t="str">
        <f ca="1">(IF(G79&gt;95%,"Nothing",IF(G79&gt;0%,"Cement, Aggregate, Steel, etc",IF(G79=0%,"Work not yet Started"))))</f>
        <v>Cement, Aggregate, Steel, etc</v>
      </c>
      <c r="E73" s="119"/>
      <c r="F73" s="119"/>
      <c r="G73" s="119"/>
      <c r="H73" s="119"/>
      <c r="J73" s="26"/>
    </row>
    <row r="74" spans="1:14" ht="33.75" customHeight="1" thickBot="1" x14ac:dyDescent="0.35">
      <c r="A74" s="118" t="s">
        <v>116</v>
      </c>
      <c r="B74" s="118"/>
      <c r="C74" s="118"/>
      <c r="D74" s="119" t="str">
        <f ca="1">(IF(D73="Nothing","Yes",IF(D73="Cement, Aggregate, Steel, etc","Under Construction",IF(D73="Work not yet Started","Work not yet Started"))))</f>
        <v>Under Construction</v>
      </c>
      <c r="E74" s="119"/>
      <c r="F74" s="119" t="str">
        <f ca="1">(IF(D73="Nothing","Yes",IF(D73="Cement, Aggregate, Steel, etc","Under Construction",IF(D73="Work not yet Started","Work not yet Started"))))</f>
        <v>Under Construction</v>
      </c>
      <c r="G74" s="119"/>
      <c r="H74" s="119"/>
    </row>
    <row r="75" spans="1:14" x14ac:dyDescent="0.3">
      <c r="A75" s="168" t="s">
        <v>141</v>
      </c>
      <c r="B75" s="169"/>
      <c r="C75" s="132" t="str">
        <f>D61</f>
        <v>Tower 1 = B3 + B2 + B1/LG + UG/P1 + St + 1st to 26th Floor</v>
      </c>
      <c r="D75" s="133"/>
      <c r="E75" s="133"/>
      <c r="F75" s="133"/>
      <c r="G75" s="133"/>
      <c r="H75" s="134"/>
      <c r="I75" s="47" t="str">
        <f ca="1">IF(D88=100%,"All work Completed. Possession granted to the Building.",IF(D87=100%,"All work Completed, Waiting for OC",I76&amp;""&amp;I77&amp;""&amp;J76&amp;""&amp;J75&amp;" "&amp;J77))</f>
        <v xml:space="preserve">Excavation, Plinth Completed </v>
      </c>
      <c r="J75" s="48"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row>
    <row r="76" spans="1:14" s="23" customFormat="1" x14ac:dyDescent="0.3">
      <c r="A76" s="16" t="s">
        <v>143</v>
      </c>
      <c r="B76" s="54">
        <v>2</v>
      </c>
      <c r="C76" s="54" t="s">
        <v>71</v>
      </c>
      <c r="D76" s="54">
        <v>3</v>
      </c>
      <c r="E76" s="54" t="s">
        <v>70</v>
      </c>
      <c r="F76" s="54">
        <v>0</v>
      </c>
      <c r="G76" s="54" t="s">
        <v>78</v>
      </c>
      <c r="H76" s="17">
        <f ca="1">--TRIM(RIGHT(SUBSTITUTE(LEFT(C75,_xlfn.AGGREGATE(16,6,FIND({0,1,2,3,4,5,6,7,8,9},C75,ROW(INDIRECT("1:"&amp;LEN(C75)))),1))," ",REPT(" ",LEN(C75))),LEN(C75)))</f>
        <v>26</v>
      </c>
      <c r="I76" s="55" t="str">
        <f ca="1">IF(D79=100%,"Excavation","")&amp;IF(D80=100%,", Plinth","")&amp;IF(D81=100%,", RCC Slab","")&amp;IF(D82=100%,", Brickwork","")&amp;IF(D83=100%,", Internal Plaster","")&amp;IF(D84=100%,", External Plaster","")&amp;IF(D85=100%,", Flooring","")&amp;IF(D86=100%,", Painting","")&amp;IF(D87=100%,", Building common Amenities","")</f>
        <v>Excavation, Plinth</v>
      </c>
      <c r="J76" s="56"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row>
    <row r="77" spans="1:14" x14ac:dyDescent="0.3">
      <c r="A77" s="109" t="s">
        <v>88</v>
      </c>
      <c r="B77" s="110"/>
      <c r="C77" s="111" t="str">
        <f ca="1">(IF($C$56=C75,"All work Completed. OC Received.",I75))</f>
        <v xml:space="preserve">Excavation, Plinth Completed </v>
      </c>
      <c r="D77" s="111"/>
      <c r="E77" s="111"/>
      <c r="F77" s="111"/>
      <c r="G77" s="111"/>
      <c r="H77" s="112"/>
      <c r="I77" s="49" t="str">
        <f ca="1">IF(I76&lt;&gt;""," Completed","")</f>
        <v xml:space="preserve"> Completed</v>
      </c>
      <c r="J77" s="50" t="str">
        <f ca="1">IF(J75&lt;&gt;"","Completed","")</f>
        <v/>
      </c>
    </row>
    <row r="78" spans="1:14" ht="15.75" customHeight="1" x14ac:dyDescent="0.3">
      <c r="A78" s="121" t="s">
        <v>48</v>
      </c>
      <c r="B78" s="122"/>
      <c r="C78" s="43" t="s">
        <v>140</v>
      </c>
      <c r="D78" s="43" t="s">
        <v>81</v>
      </c>
      <c r="E78" s="122" t="s">
        <v>83</v>
      </c>
      <c r="F78" s="122"/>
      <c r="G78" s="122" t="s">
        <v>82</v>
      </c>
      <c r="H78" s="175"/>
      <c r="I78" s="14" t="s">
        <v>142</v>
      </c>
      <c r="J78" s="28">
        <f ca="1">H76*25%</f>
        <v>6.5</v>
      </c>
    </row>
    <row r="79" spans="1:14" x14ac:dyDescent="0.3">
      <c r="A79" s="121" t="s">
        <v>129</v>
      </c>
      <c r="B79" s="122"/>
      <c r="C79" s="43">
        <f ca="1">J80</f>
        <v>26</v>
      </c>
      <c r="D79" s="19">
        <f ca="1">((100/H76)*C79)/100</f>
        <v>1</v>
      </c>
      <c r="E79" s="176">
        <f ca="1">(((C80/H76*10)+(40/(D76+F76+H76)*C81)+(7.5/(H76)*C82)+(7.5/(H76)*C83)+(10/H76*C84)+(10/H76*C85)+(5/H76*C86)+(5/H76*C87)+(5/H76*C88))/100)</f>
        <v>0.1</v>
      </c>
      <c r="F79" s="177"/>
      <c r="G79" s="176">
        <f ca="1">((((C79/H76)*20)+((C80/H76)*25)+(30/(H76+F76+D76)*C81)+(5/H76*C82)+(5/H76*C83)+(5/H76*C84)+(5/H76*C85)+(0/H76*C86)+(0/H76*C87)+(5/H76*C88))/100)</f>
        <v>0.45</v>
      </c>
      <c r="H79" s="231"/>
      <c r="I79" s="14" t="s">
        <v>99</v>
      </c>
      <c r="J79" s="29">
        <f ca="1">H76*50%</f>
        <v>13</v>
      </c>
    </row>
    <row r="80" spans="1:14" x14ac:dyDescent="0.3">
      <c r="A80" s="121" t="s">
        <v>49</v>
      </c>
      <c r="B80" s="122"/>
      <c r="C80" s="58">
        <f ca="1">J88</f>
        <v>26</v>
      </c>
      <c r="D80" s="19">
        <f ca="1">((100/H76)*C80)/100</f>
        <v>1</v>
      </c>
      <c r="E80" s="178"/>
      <c r="F80" s="179"/>
      <c r="G80" s="178"/>
      <c r="H80" s="232"/>
      <c r="I80" s="14" t="s">
        <v>100</v>
      </c>
      <c r="J80" s="29">
        <f ca="1">H76</f>
        <v>26</v>
      </c>
    </row>
    <row r="81" spans="1:10" ht="15.75" customHeight="1" x14ac:dyDescent="0.3">
      <c r="A81" s="121" t="s">
        <v>130</v>
      </c>
      <c r="B81" s="122"/>
      <c r="C81" s="43">
        <v>0</v>
      </c>
      <c r="D81" s="19">
        <f ca="1">((100/(D76+F76+H76))*C81)/100</f>
        <v>0</v>
      </c>
      <c r="E81" s="178"/>
      <c r="F81" s="179"/>
      <c r="G81" s="178"/>
      <c r="H81" s="232"/>
      <c r="I81" s="14" t="s">
        <v>101</v>
      </c>
      <c r="J81" s="30">
        <f ca="1">(IF(B76&gt;1,(H76/(B76+2)),H76/4))</f>
        <v>6.5</v>
      </c>
    </row>
    <row r="82" spans="1:10" ht="15.75" customHeight="1" x14ac:dyDescent="0.3">
      <c r="A82" s="121" t="s">
        <v>137</v>
      </c>
      <c r="B82" s="122" t="s">
        <v>131</v>
      </c>
      <c r="C82" s="43">
        <v>0</v>
      </c>
      <c r="D82" s="19">
        <f ca="1">((100/H76)*C82)/100</f>
        <v>0</v>
      </c>
      <c r="E82" s="178"/>
      <c r="F82" s="179"/>
      <c r="G82" s="178"/>
      <c r="H82" s="232"/>
      <c r="I82" s="14" t="s">
        <v>102</v>
      </c>
      <c r="J82" s="30">
        <f ca="1">(IF(B76&gt;1,(H76/(B76+2)+J81),H76/4+J81))</f>
        <v>13</v>
      </c>
    </row>
    <row r="83" spans="1:10" ht="15.75" customHeight="1" x14ac:dyDescent="0.3">
      <c r="A83" s="121" t="s">
        <v>138</v>
      </c>
      <c r="B83" s="122" t="s">
        <v>131</v>
      </c>
      <c r="C83" s="58">
        <v>0</v>
      </c>
      <c r="D83" s="19">
        <f ca="1">((100/H76)*C83)/100</f>
        <v>0</v>
      </c>
      <c r="E83" s="178"/>
      <c r="F83" s="179"/>
      <c r="G83" s="178"/>
      <c r="H83" s="232"/>
      <c r="I83" s="14" t="s">
        <v>147</v>
      </c>
      <c r="J83" s="30">
        <f ca="1">(IF(B76&gt;1,(H76/(B76+2)+J82),0))</f>
        <v>19.5</v>
      </c>
    </row>
    <row r="84" spans="1:10" ht="15" customHeight="1" x14ac:dyDescent="0.3">
      <c r="A84" s="121" t="s">
        <v>136</v>
      </c>
      <c r="B84" s="122" t="s">
        <v>133</v>
      </c>
      <c r="C84" s="58">
        <v>0</v>
      </c>
      <c r="D84" s="19">
        <f ca="1">((100/(H76))*C84)/100</f>
        <v>0</v>
      </c>
      <c r="E84" s="178"/>
      <c r="F84" s="179"/>
      <c r="G84" s="178"/>
      <c r="H84" s="232"/>
      <c r="I84" s="14" t="s">
        <v>144</v>
      </c>
      <c r="J84" s="30">
        <f>(IF(B76&gt;2,(H76/(B76+2)+J83),0))</f>
        <v>0</v>
      </c>
    </row>
    <row r="85" spans="1:10" ht="15.75" customHeight="1" x14ac:dyDescent="0.3">
      <c r="A85" s="121" t="s">
        <v>132</v>
      </c>
      <c r="B85" s="122" t="s">
        <v>132</v>
      </c>
      <c r="C85" s="43">
        <v>0</v>
      </c>
      <c r="D85" s="19">
        <f ca="1">((100/H76)*C85)/100</f>
        <v>0</v>
      </c>
      <c r="E85" s="178"/>
      <c r="F85" s="179"/>
      <c r="G85" s="178"/>
      <c r="H85" s="232"/>
      <c r="I85" s="14" t="s">
        <v>145</v>
      </c>
      <c r="J85" s="31">
        <f>(IF(B76&gt;3,(H76/(B76+2)+J84),0))</f>
        <v>0</v>
      </c>
    </row>
    <row r="86" spans="1:10" ht="15.75" customHeight="1" x14ac:dyDescent="0.3">
      <c r="A86" s="121" t="s">
        <v>139</v>
      </c>
      <c r="B86" s="122"/>
      <c r="C86" s="43">
        <v>0</v>
      </c>
      <c r="D86" s="19">
        <f ca="1">((100/H76)*C86)/100</f>
        <v>0</v>
      </c>
      <c r="E86" s="178"/>
      <c r="F86" s="179"/>
      <c r="G86" s="178"/>
      <c r="H86" s="232"/>
      <c r="I86" s="14" t="s">
        <v>146</v>
      </c>
      <c r="J86" s="30">
        <f>(IF(B76&gt;4,(H76/(B76+2)+J85),0))</f>
        <v>0</v>
      </c>
    </row>
    <row r="87" spans="1:10" ht="15.75" customHeight="1" x14ac:dyDescent="0.3">
      <c r="A87" s="121" t="s">
        <v>134</v>
      </c>
      <c r="B87" s="122" t="s">
        <v>134</v>
      </c>
      <c r="C87" s="43">
        <v>0</v>
      </c>
      <c r="D87" s="19">
        <f ca="1">((100/(H76))*C87)/100</f>
        <v>0</v>
      </c>
      <c r="E87" s="178"/>
      <c r="F87" s="179"/>
      <c r="G87" s="178"/>
      <c r="H87" s="232"/>
      <c r="I87" s="14" t="s">
        <v>148</v>
      </c>
      <c r="J87" s="30">
        <f>(IF(B76=1,(H76/(B76+3)+J82),IF(B76=0,(H76/4+J82),IF(B76&gt;1,0))))</f>
        <v>0</v>
      </c>
    </row>
    <row r="88" spans="1:10" ht="16.2" thickBot="1" x14ac:dyDescent="0.35">
      <c r="A88" s="123" t="s">
        <v>135</v>
      </c>
      <c r="B88" s="124"/>
      <c r="C88" s="44">
        <v>0</v>
      </c>
      <c r="D88" s="20">
        <f ca="1">((100/(H76))*C88)/100</f>
        <v>0</v>
      </c>
      <c r="E88" s="180"/>
      <c r="F88" s="181"/>
      <c r="G88" s="180"/>
      <c r="H88" s="233"/>
      <c r="I88" s="15" t="s">
        <v>103</v>
      </c>
      <c r="J88" s="32">
        <f ca="1">(IF(B76&gt;1.5,(H76/(B76+2)+J82+MAX(0,J83-J82)+MAX(0,J84-J83)+MAX(0,J85-J84)+MAX(0,J86-J85)+MAX(0,J87-J86)),IF(B76=1,(H76/(B76+3)+J87),IF(B76=0,H76/4+J87))))</f>
        <v>26</v>
      </c>
    </row>
    <row r="89" spans="1:10" x14ac:dyDescent="0.3">
      <c r="A89" s="170" t="s">
        <v>141</v>
      </c>
      <c r="B89" s="171"/>
      <c r="C89" s="172" t="str">
        <f>D62</f>
        <v>Tower 2 = B3 + B2 + B1/LG + UG/P1 + St + 1st to 24th Floor</v>
      </c>
      <c r="D89" s="173"/>
      <c r="E89" s="173"/>
      <c r="F89" s="173"/>
      <c r="G89" s="173"/>
      <c r="H89" s="174"/>
      <c r="I89" s="47" t="str">
        <f ca="1">IF(D102=100%,"All work Completed. Possession granted to the Building.",IF(D101=100%,"All work Completed, Waiting for OC",I90&amp;""&amp;I91&amp;""&amp;J90&amp;""&amp;J89&amp;" "&amp;J91))</f>
        <v>All work Completed. Possession granted to the Building.</v>
      </c>
      <c r="J89" s="48"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0" s="23" customFormat="1" x14ac:dyDescent="0.3">
      <c r="A90" s="16" t="s">
        <v>143</v>
      </c>
      <c r="B90" s="54">
        <v>2</v>
      </c>
      <c r="C90" s="54" t="s">
        <v>71</v>
      </c>
      <c r="D90" s="54">
        <v>3</v>
      </c>
      <c r="E90" s="54" t="s">
        <v>70</v>
      </c>
      <c r="F90" s="54">
        <v>0</v>
      </c>
      <c r="G90" s="54" t="s">
        <v>78</v>
      </c>
      <c r="H90" s="17">
        <f ca="1">--TRIM(RIGHT(SUBSTITUTE(LEFT(C89,_xlfn.AGGREGATE(16,6,FIND({0,1,2,3,4,5,6,7,8,9},C89,ROW(INDIRECT("1:"&amp;LEN(C89)))),1))," ",REPT(" ",LEN(C89))),LEN(C89)))</f>
        <v>24</v>
      </c>
      <c r="I90" s="55" t="str">
        <f ca="1">IF(D93=100%,"Excavation","")&amp;IF(D94=100%,", Plinth","")&amp;IF(D95=100%,", RCC Slab","")&amp;IF(D96=100%,", Brickwork","")&amp;IF(D97=100%,", Internal Plaster","")&amp;IF(D98=100%,", External Plaster","")&amp;IF(D99=100%,", Flooring","")&amp;IF(D100=100%,", Painting","")&amp;IF(D101=100%,", Building common Amenities","")</f>
        <v>Excavation, Plinth, RCC Slab, Brickwork, Internal Plaster, External Plaster, Flooring, Painting, Building common Amenities</v>
      </c>
      <c r="J90" s="56"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0" x14ac:dyDescent="0.3">
      <c r="A91" s="109" t="s">
        <v>88</v>
      </c>
      <c r="B91" s="110"/>
      <c r="C91" s="111" t="s">
        <v>296</v>
      </c>
      <c r="D91" s="111"/>
      <c r="E91" s="111"/>
      <c r="F91" s="111"/>
      <c r="G91" s="111"/>
      <c r="H91" s="112"/>
      <c r="I91" s="49" t="str">
        <f ca="1">IF(I90&lt;&gt;""," Completed","")</f>
        <v xml:space="preserve"> Completed</v>
      </c>
      <c r="J91" s="50" t="str">
        <f ca="1">IF(J89&lt;&gt;"","Completed","")</f>
        <v/>
      </c>
    </row>
    <row r="92" spans="1:10" ht="15.75" customHeight="1" x14ac:dyDescent="0.3">
      <c r="A92" s="121" t="s">
        <v>48</v>
      </c>
      <c r="B92" s="122"/>
      <c r="C92" s="43" t="s">
        <v>140</v>
      </c>
      <c r="D92" s="43" t="s">
        <v>81</v>
      </c>
      <c r="E92" s="122" t="s">
        <v>83</v>
      </c>
      <c r="F92" s="122"/>
      <c r="G92" s="122" t="s">
        <v>82</v>
      </c>
      <c r="H92" s="175"/>
      <c r="I92" s="14" t="s">
        <v>142</v>
      </c>
      <c r="J92" s="28">
        <f ca="1">H90*25%</f>
        <v>6</v>
      </c>
    </row>
    <row r="93" spans="1:10" x14ac:dyDescent="0.3">
      <c r="A93" s="121" t="s">
        <v>129</v>
      </c>
      <c r="B93" s="122"/>
      <c r="C93" s="43">
        <f ca="1">J94</f>
        <v>24</v>
      </c>
      <c r="D93" s="19">
        <f ca="1">((100/H90)*C93)/100</f>
        <v>1</v>
      </c>
      <c r="E93" s="176">
        <f ca="1">(((C94/H90*10)+(40/(D90+F90+H90)*C95)+(7.5/(H90)*C96)+(7.5/(H90)*C97)+(10/H90*C98)+(10/H90*C99)+(5/H90*C100)+(5/H90*C101)+(5/H90*C102))/100)</f>
        <v>1</v>
      </c>
      <c r="F93" s="177"/>
      <c r="G93" s="176">
        <f ca="1">((((C93/H90)*20)+((C94/H90)*25)+(30/(H90+F90+D90)*C95)+(5/H90*C96)+(5/H90*C97)+(5/H90*C98)+(5/H90*C99)+(0/H90*C100)+(0/H90*C101)+(5/H90*C102))/100)</f>
        <v>1</v>
      </c>
      <c r="H93" s="231"/>
      <c r="I93" s="14" t="s">
        <v>99</v>
      </c>
      <c r="J93" s="29">
        <f ca="1">H90*50%</f>
        <v>12</v>
      </c>
    </row>
    <row r="94" spans="1:10" x14ac:dyDescent="0.3">
      <c r="A94" s="121" t="s">
        <v>49</v>
      </c>
      <c r="B94" s="122"/>
      <c r="C94" s="58">
        <f ca="1">J102</f>
        <v>24</v>
      </c>
      <c r="D94" s="19">
        <f ca="1">((100/H90)*C94)/100</f>
        <v>1</v>
      </c>
      <c r="E94" s="178"/>
      <c r="F94" s="179"/>
      <c r="G94" s="178"/>
      <c r="H94" s="232"/>
      <c r="I94" s="14" t="s">
        <v>100</v>
      </c>
      <c r="J94" s="29">
        <f ca="1">H90</f>
        <v>24</v>
      </c>
    </row>
    <row r="95" spans="1:10" ht="15.75" customHeight="1" x14ac:dyDescent="0.3">
      <c r="A95" s="121" t="s">
        <v>130</v>
      </c>
      <c r="B95" s="122"/>
      <c r="C95" s="43">
        <v>27</v>
      </c>
      <c r="D95" s="19">
        <f ca="1">((100/(D90+F90+H90))*C95)/100</f>
        <v>1</v>
      </c>
      <c r="E95" s="178"/>
      <c r="F95" s="179"/>
      <c r="G95" s="178"/>
      <c r="H95" s="232"/>
      <c r="I95" s="14" t="s">
        <v>101</v>
      </c>
      <c r="J95" s="30">
        <f ca="1">(IF(B90&gt;1,(H90/(B90+2)),H90/4))</f>
        <v>6</v>
      </c>
    </row>
    <row r="96" spans="1:10" ht="15.75" customHeight="1" x14ac:dyDescent="0.3">
      <c r="A96" s="121" t="s">
        <v>137</v>
      </c>
      <c r="B96" s="122" t="s">
        <v>131</v>
      </c>
      <c r="C96" s="43">
        <v>24</v>
      </c>
      <c r="D96" s="19">
        <f ca="1">((100/H90)*C96)/100</f>
        <v>1</v>
      </c>
      <c r="E96" s="178"/>
      <c r="F96" s="179"/>
      <c r="G96" s="178"/>
      <c r="H96" s="232"/>
      <c r="I96" s="14" t="s">
        <v>102</v>
      </c>
      <c r="J96" s="30">
        <f ca="1">(IF(B90&gt;1,(H90/(B90+2)+J95),H90/4+J95))</f>
        <v>12</v>
      </c>
    </row>
    <row r="97" spans="1:10" ht="15.75" customHeight="1" x14ac:dyDescent="0.3">
      <c r="A97" s="121" t="s">
        <v>138</v>
      </c>
      <c r="B97" s="122" t="s">
        <v>131</v>
      </c>
      <c r="C97" s="58">
        <v>24</v>
      </c>
      <c r="D97" s="19">
        <f ca="1">((100/H90)*C97)/100</f>
        <v>1</v>
      </c>
      <c r="E97" s="178"/>
      <c r="F97" s="179"/>
      <c r="G97" s="178"/>
      <c r="H97" s="232"/>
      <c r="I97" s="14" t="s">
        <v>147</v>
      </c>
      <c r="J97" s="30">
        <f ca="1">(IF(B90&gt;1,(H90/(B90+2)+J96),0))</f>
        <v>18</v>
      </c>
    </row>
    <row r="98" spans="1:10" ht="15" customHeight="1" x14ac:dyDescent="0.3">
      <c r="A98" s="121" t="s">
        <v>136</v>
      </c>
      <c r="B98" s="122" t="s">
        <v>133</v>
      </c>
      <c r="C98" s="58">
        <v>24</v>
      </c>
      <c r="D98" s="19">
        <f ca="1">((100/(H90))*C98)/100</f>
        <v>1</v>
      </c>
      <c r="E98" s="178"/>
      <c r="F98" s="179"/>
      <c r="G98" s="178"/>
      <c r="H98" s="232"/>
      <c r="I98" s="14" t="s">
        <v>144</v>
      </c>
      <c r="J98" s="30">
        <f>(IF(B90&gt;2,(H90/(B90+2)+J97),0))</f>
        <v>0</v>
      </c>
    </row>
    <row r="99" spans="1:10" ht="15.75" customHeight="1" x14ac:dyDescent="0.3">
      <c r="A99" s="121" t="s">
        <v>132</v>
      </c>
      <c r="B99" s="122" t="s">
        <v>132</v>
      </c>
      <c r="C99" s="43">
        <v>24</v>
      </c>
      <c r="D99" s="19">
        <f ca="1">((100/H90)*C99)/100</f>
        <v>1</v>
      </c>
      <c r="E99" s="178"/>
      <c r="F99" s="179"/>
      <c r="G99" s="178"/>
      <c r="H99" s="232"/>
      <c r="I99" s="14" t="s">
        <v>145</v>
      </c>
      <c r="J99" s="31">
        <f>(IF(B90&gt;3,(H90/(B90+2)+J98),0))</f>
        <v>0</v>
      </c>
    </row>
    <row r="100" spans="1:10" ht="15.75" customHeight="1" x14ac:dyDescent="0.3">
      <c r="A100" s="121" t="s">
        <v>139</v>
      </c>
      <c r="B100" s="122"/>
      <c r="C100" s="43">
        <v>24</v>
      </c>
      <c r="D100" s="19">
        <f ca="1">((100/H90)*C100)/100</f>
        <v>1</v>
      </c>
      <c r="E100" s="178"/>
      <c r="F100" s="179"/>
      <c r="G100" s="178"/>
      <c r="H100" s="232"/>
      <c r="I100" s="14" t="s">
        <v>146</v>
      </c>
      <c r="J100" s="30">
        <f>(IF(B90&gt;4,(H90/(B90+2)+J99),0))</f>
        <v>0</v>
      </c>
    </row>
    <row r="101" spans="1:10" ht="15.75" customHeight="1" x14ac:dyDescent="0.3">
      <c r="A101" s="121" t="s">
        <v>134</v>
      </c>
      <c r="B101" s="122" t="s">
        <v>134</v>
      </c>
      <c r="C101" s="43">
        <v>24</v>
      </c>
      <c r="D101" s="19">
        <f ca="1">((100/(H90))*C101)/100</f>
        <v>1</v>
      </c>
      <c r="E101" s="178"/>
      <c r="F101" s="179"/>
      <c r="G101" s="178"/>
      <c r="H101" s="232"/>
      <c r="I101" s="14" t="s">
        <v>148</v>
      </c>
      <c r="J101" s="30">
        <f>(IF(B90=1,(H90/(B90+3)+J96),IF(B90=0,(H90/4+J96),IF(B90&gt;1,0))))</f>
        <v>0</v>
      </c>
    </row>
    <row r="102" spans="1:10" ht="16.2" thickBot="1" x14ac:dyDescent="0.35">
      <c r="A102" s="123" t="s">
        <v>135</v>
      </c>
      <c r="B102" s="124"/>
      <c r="C102" s="44">
        <v>24</v>
      </c>
      <c r="D102" s="20">
        <f ca="1">((100/(H90))*C102)/100</f>
        <v>1</v>
      </c>
      <c r="E102" s="180"/>
      <c r="F102" s="181"/>
      <c r="G102" s="180"/>
      <c r="H102" s="233"/>
      <c r="I102" s="15" t="s">
        <v>103</v>
      </c>
      <c r="J102" s="32">
        <f ca="1">(IF(B90&gt;1.5,(H90/(B90+2)+J96+MAX(0,J97-J96)+MAX(0,J98-J97)+MAX(0,J99-J98)+MAX(0,J100-J99)+MAX(0,J101-J100)),IF(B90=1,(H90/(B90+3)+J101),IF(B90=0,H90/4+J101))))</f>
        <v>24</v>
      </c>
    </row>
    <row r="103" spans="1:10" x14ac:dyDescent="0.3">
      <c r="A103" s="168" t="s">
        <v>141</v>
      </c>
      <c r="B103" s="169"/>
      <c r="C103" s="132" t="str">
        <f>D63</f>
        <v>Tower 3 = B3 + B2 + B1/LG + UG/P1 + St + 1st to 22nd Floor</v>
      </c>
      <c r="D103" s="133"/>
      <c r="E103" s="133"/>
      <c r="F103" s="133"/>
      <c r="G103" s="133"/>
      <c r="H103" s="134"/>
      <c r="I103" s="47" t="str">
        <f ca="1">IF(D116=100%,"All work Completed. Possession granted to the Building.",IF(D115=100%,"All work Completed, Waiting for OC",I104&amp;""&amp;I105&amp;""&amp;J104&amp;""&amp;J103&amp;" "&amp;J105))</f>
        <v>Excavation, Plinth, RCC Slab, Brickwork, Internal Plaster, External Plaster Completed, Flooring upto 11 Floor, Painting upto 10 Floor Completed</v>
      </c>
      <c r="J103" s="48"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Flooring upto 11 Floor, Painting upto 10 Floor</v>
      </c>
    </row>
    <row r="104" spans="1:10" s="23" customFormat="1" x14ac:dyDescent="0.3">
      <c r="A104" s="16" t="s">
        <v>143</v>
      </c>
      <c r="B104" s="54">
        <v>2</v>
      </c>
      <c r="C104" s="54" t="s">
        <v>71</v>
      </c>
      <c r="D104" s="54">
        <v>3</v>
      </c>
      <c r="E104" s="54" t="s">
        <v>70</v>
      </c>
      <c r="F104" s="54">
        <v>0</v>
      </c>
      <c r="G104" s="54" t="s">
        <v>78</v>
      </c>
      <c r="H104" s="17">
        <f ca="1">--TRIM(RIGHT(SUBSTITUTE(LEFT(C103,_xlfn.AGGREGATE(16,6,FIND({0,1,2,3,4,5,6,7,8,9},C103,ROW(INDIRECT("1:"&amp;LEN(C103)))),1))," ",REPT(" ",LEN(C103))),LEN(C103)))</f>
        <v>22</v>
      </c>
      <c r="I104" s="55" t="str">
        <f ca="1">IF(D107=100%,"Excavation","")&amp;IF(D108=100%,", Plinth","")&amp;IF(D109=100%,", RCC Slab","")&amp;IF(D110=100%,", Brickwork","")&amp;IF(D111=100%,", Internal Plaster","")&amp;IF(D112=100%,", External Plaster","")&amp;IF(D113=100%,", Flooring","")&amp;IF(D114=100%,", Painting","")&amp;IF(D115=100%,", Building common Amenities","")</f>
        <v>Excavation, Plinth, RCC Slab, Brickwork, Internal Plaster, External Plaster</v>
      </c>
      <c r="J104" s="56"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t="33" customHeight="1" x14ac:dyDescent="0.3">
      <c r="A105" s="109" t="s">
        <v>88</v>
      </c>
      <c r="B105" s="110"/>
      <c r="C105" s="111" t="str">
        <f ca="1">(IF($C$56=C103,"All work Completed. OC Received.",I103))</f>
        <v>Excavation, Plinth, RCC Slab, Brickwork, Internal Plaster, External Plaster Completed, Flooring upto 11 Floor, Painting upto 10 Floor Completed</v>
      </c>
      <c r="D105" s="111"/>
      <c r="E105" s="111"/>
      <c r="F105" s="111"/>
      <c r="G105" s="111"/>
      <c r="H105" s="112"/>
      <c r="I105" s="49" t="str">
        <f ca="1">IF(I104&lt;&gt;""," Completed","")</f>
        <v xml:space="preserve"> Completed</v>
      </c>
      <c r="J105" s="50" t="str">
        <f ca="1">IF(J103&lt;&gt;"","Completed","")</f>
        <v>Completed</v>
      </c>
    </row>
    <row r="106" spans="1:10" ht="15.75" customHeight="1" x14ac:dyDescent="0.3">
      <c r="A106" s="113" t="s">
        <v>48</v>
      </c>
      <c r="B106" s="114"/>
      <c r="C106" s="60" t="s">
        <v>140</v>
      </c>
      <c r="D106" s="60" t="s">
        <v>81</v>
      </c>
      <c r="E106" s="114" t="s">
        <v>83</v>
      </c>
      <c r="F106" s="114"/>
      <c r="G106" s="114" t="s">
        <v>82</v>
      </c>
      <c r="H106" s="115"/>
      <c r="I106" s="14" t="s">
        <v>142</v>
      </c>
      <c r="J106" s="28">
        <f ca="1">H104*25%</f>
        <v>5.5</v>
      </c>
    </row>
    <row r="107" spans="1:10" x14ac:dyDescent="0.3">
      <c r="A107" s="113" t="s">
        <v>129</v>
      </c>
      <c r="B107" s="114"/>
      <c r="C107" s="60">
        <f ca="1">J108</f>
        <v>22</v>
      </c>
      <c r="D107" s="61">
        <f ca="1">((100/H104)*C107)/100</f>
        <v>1.0000000000000002</v>
      </c>
      <c r="E107" s="159">
        <f ca="1">(((C108/H104*10)+(40/(D104+F104+H104)*C109)+(7.5/(H104)*C110)+(7.5/(H104)*C111)+(10/H104*C112)+(10/H104*C113)+(5/H104*C114)+(5/H104*C115)+(5/H104*C116))/100)</f>
        <v>0.82272727272727264</v>
      </c>
      <c r="F107" s="186"/>
      <c r="G107" s="159">
        <f ca="1">((((C107/H104)*20)+((C108/H104)*25)+(30/(H104+F104+D104)*C109)+(5/H104*C110)+(5/H104*C111)+(5/H104*C112)+(5/H104*C113)+(0/H104*C114)+(0/H104*C115)+(5/H104*C116))/100)</f>
        <v>0.92500000000000004</v>
      </c>
      <c r="H107" s="160"/>
      <c r="I107" s="14" t="s">
        <v>99</v>
      </c>
      <c r="J107" s="29">
        <f ca="1">H104*50%</f>
        <v>11</v>
      </c>
    </row>
    <row r="108" spans="1:10" x14ac:dyDescent="0.3">
      <c r="A108" s="113" t="s">
        <v>49</v>
      </c>
      <c r="B108" s="114"/>
      <c r="C108" s="65">
        <f ca="1">J116</f>
        <v>22</v>
      </c>
      <c r="D108" s="61">
        <f ca="1">((100/H104)*C108)/100</f>
        <v>1.0000000000000002</v>
      </c>
      <c r="E108" s="161"/>
      <c r="F108" s="187"/>
      <c r="G108" s="161"/>
      <c r="H108" s="162"/>
      <c r="I108" s="14" t="s">
        <v>100</v>
      </c>
      <c r="J108" s="29">
        <f ca="1">H104</f>
        <v>22</v>
      </c>
    </row>
    <row r="109" spans="1:10" ht="15.75" customHeight="1" x14ac:dyDescent="0.3">
      <c r="A109" s="113" t="s">
        <v>130</v>
      </c>
      <c r="B109" s="114"/>
      <c r="C109" s="60">
        <v>25</v>
      </c>
      <c r="D109" s="61">
        <f ca="1">((100/(D104+F104+H104))*C109)/100</f>
        <v>1</v>
      </c>
      <c r="E109" s="161"/>
      <c r="F109" s="187"/>
      <c r="G109" s="161"/>
      <c r="H109" s="162"/>
      <c r="I109" s="14" t="s">
        <v>101</v>
      </c>
      <c r="J109" s="30">
        <f ca="1">(IF(B104&gt;1,(H104/(B104+2)),H104/4))</f>
        <v>5.5</v>
      </c>
    </row>
    <row r="110" spans="1:10" ht="15.75" customHeight="1" x14ac:dyDescent="0.3">
      <c r="A110" s="113" t="s">
        <v>137</v>
      </c>
      <c r="B110" s="114" t="s">
        <v>131</v>
      </c>
      <c r="C110" s="60">
        <f>C109-D104</f>
        <v>22</v>
      </c>
      <c r="D110" s="61">
        <f ca="1">((100/H104)*C110)/100</f>
        <v>1.0000000000000002</v>
      </c>
      <c r="E110" s="161"/>
      <c r="F110" s="187"/>
      <c r="G110" s="161"/>
      <c r="H110" s="162"/>
      <c r="I110" s="14" t="s">
        <v>102</v>
      </c>
      <c r="J110" s="30">
        <f ca="1">(IF(B104&gt;1,(H104/(B104+2)+J109),H104/4+J109))</f>
        <v>11</v>
      </c>
    </row>
    <row r="111" spans="1:10" ht="15.75" customHeight="1" x14ac:dyDescent="0.3">
      <c r="A111" s="113" t="s">
        <v>138</v>
      </c>
      <c r="B111" s="114" t="s">
        <v>131</v>
      </c>
      <c r="C111" s="65">
        <v>22</v>
      </c>
      <c r="D111" s="61">
        <f ca="1">((100/H104)*C111)/100</f>
        <v>1.0000000000000002</v>
      </c>
      <c r="E111" s="161"/>
      <c r="F111" s="187"/>
      <c r="G111" s="161"/>
      <c r="H111" s="162"/>
      <c r="I111" s="14" t="s">
        <v>147</v>
      </c>
      <c r="J111" s="30">
        <f ca="1">(IF(B104&gt;1,(H104/(B104+2)+J110),0))</f>
        <v>16.5</v>
      </c>
    </row>
    <row r="112" spans="1:10" ht="15" customHeight="1" x14ac:dyDescent="0.3">
      <c r="A112" s="113" t="s">
        <v>136</v>
      </c>
      <c r="B112" s="114" t="s">
        <v>133</v>
      </c>
      <c r="C112" s="65">
        <f>C111</f>
        <v>22</v>
      </c>
      <c r="D112" s="61">
        <f ca="1">((100/(H104))*C112)/100</f>
        <v>1.0000000000000002</v>
      </c>
      <c r="E112" s="161"/>
      <c r="F112" s="187"/>
      <c r="G112" s="161"/>
      <c r="H112" s="162"/>
      <c r="I112" s="14" t="s">
        <v>144</v>
      </c>
      <c r="J112" s="30">
        <f>(IF(B104&gt;2,(H104/(B104+2)+J111),0))</f>
        <v>0</v>
      </c>
    </row>
    <row r="113" spans="1:10" ht="15.75" customHeight="1" x14ac:dyDescent="0.3">
      <c r="A113" s="113" t="s">
        <v>132</v>
      </c>
      <c r="B113" s="114" t="s">
        <v>132</v>
      </c>
      <c r="C113" s="60">
        <v>11</v>
      </c>
      <c r="D113" s="61">
        <f ca="1">((100/H104)*C113)/100</f>
        <v>0.50000000000000011</v>
      </c>
      <c r="E113" s="161"/>
      <c r="F113" s="187"/>
      <c r="G113" s="161"/>
      <c r="H113" s="162"/>
      <c r="I113" s="14" t="s">
        <v>145</v>
      </c>
      <c r="J113" s="31">
        <f>(IF(B104&gt;3,(H104/(B104+2)+J112),0))</f>
        <v>0</v>
      </c>
    </row>
    <row r="114" spans="1:10" ht="15.75" customHeight="1" x14ac:dyDescent="0.3">
      <c r="A114" s="113" t="s">
        <v>139</v>
      </c>
      <c r="B114" s="114"/>
      <c r="C114" s="60">
        <v>10</v>
      </c>
      <c r="D114" s="61">
        <f ca="1">((100/H104)*C114)/100</f>
        <v>0.45454545454545459</v>
      </c>
      <c r="E114" s="161"/>
      <c r="F114" s="187"/>
      <c r="G114" s="161"/>
      <c r="H114" s="162"/>
      <c r="I114" s="14" t="s">
        <v>146</v>
      </c>
      <c r="J114" s="30">
        <f>(IF(B104&gt;4,(H104/(B104+2)+J113),0))</f>
        <v>0</v>
      </c>
    </row>
    <row r="115" spans="1:10" ht="15.75" customHeight="1" x14ac:dyDescent="0.3">
      <c r="A115" s="113" t="s">
        <v>134</v>
      </c>
      <c r="B115" s="114" t="s">
        <v>134</v>
      </c>
      <c r="C115" s="60">
        <v>0</v>
      </c>
      <c r="D115" s="61">
        <f ca="1">((100/(H104))*C115)/100</f>
        <v>0</v>
      </c>
      <c r="E115" s="161"/>
      <c r="F115" s="187"/>
      <c r="G115" s="161"/>
      <c r="H115" s="162"/>
      <c r="I115" s="14" t="s">
        <v>148</v>
      </c>
      <c r="J115" s="30">
        <f>(IF(B104=1,(H104/(B104+3)+J110),IF(B104=0,(H104/4+J110),IF(B104&gt;1,0))))</f>
        <v>0</v>
      </c>
    </row>
    <row r="116" spans="1:10" ht="16.2" thickBot="1" x14ac:dyDescent="0.35">
      <c r="A116" s="166" t="s">
        <v>135</v>
      </c>
      <c r="B116" s="167"/>
      <c r="C116" s="62">
        <v>0</v>
      </c>
      <c r="D116" s="63">
        <f ca="1">((100/(H104))*C116)/100</f>
        <v>0</v>
      </c>
      <c r="E116" s="163"/>
      <c r="F116" s="188"/>
      <c r="G116" s="163"/>
      <c r="H116" s="164"/>
      <c r="I116" s="15" t="s">
        <v>103</v>
      </c>
      <c r="J116" s="32">
        <f ca="1">(IF(B104&gt;1.5,(H104/(B104+2)+J110+MAX(0,J111-J110)+MAX(0,J112-J111)+MAX(0,J113-J112)+MAX(0,J114-J113)+MAX(0,J115-J114)),IF(B104=1,(H104/(B104+3)+J115),IF(B104=0,H104/4+J115))))</f>
        <v>22</v>
      </c>
    </row>
    <row r="117" spans="1:10" x14ac:dyDescent="0.3">
      <c r="A117" s="168" t="s">
        <v>141</v>
      </c>
      <c r="B117" s="169"/>
      <c r="C117" s="132" t="str">
        <f>D64</f>
        <v>Tower 4 = B3 + B2 + B1/LG + UG/P1 + St + 1st to 22nd Floor</v>
      </c>
      <c r="D117" s="133"/>
      <c r="E117" s="133"/>
      <c r="F117" s="133"/>
      <c r="G117" s="133"/>
      <c r="H117" s="134"/>
      <c r="I117" s="47" t="str">
        <f ca="1">IF(D130=100%,"All work Completed. Possession granted to the Building.",IF(D129=100%,"All work Completed, Waiting for OC",I118&amp;""&amp;I119&amp;""&amp;J118&amp;""&amp;J117&amp;" "&amp;J119))</f>
        <v>Excavation, Plinth, RCC Slab, Brickwork, Internal Plaster, External Plaster Completed, Flooring upto 11 Floor, Painting upto 10 Floor Completed</v>
      </c>
      <c r="J117" s="48" t="str">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 Flooring upto 11 Floor, Painting upto 10 Floor</v>
      </c>
    </row>
    <row r="118" spans="1:10" s="23" customFormat="1" x14ac:dyDescent="0.3">
      <c r="A118" s="16" t="s">
        <v>143</v>
      </c>
      <c r="B118" s="54">
        <v>2</v>
      </c>
      <c r="C118" s="54" t="s">
        <v>71</v>
      </c>
      <c r="D118" s="54">
        <v>3</v>
      </c>
      <c r="E118" s="54" t="s">
        <v>70</v>
      </c>
      <c r="F118" s="54">
        <v>0</v>
      </c>
      <c r="G118" s="54" t="s">
        <v>78</v>
      </c>
      <c r="H118" s="17">
        <f ca="1">--TRIM(RIGHT(SUBSTITUTE(LEFT(C117,_xlfn.AGGREGATE(16,6,FIND({0,1,2,3,4,5,6,7,8,9},C117,ROW(INDIRECT("1:"&amp;LEN(C117)))),1))," ",REPT(" ",LEN(C117))),LEN(C117)))</f>
        <v>22</v>
      </c>
      <c r="I118" s="55" t="str">
        <f ca="1">IF(D121=100%,"Excavation","")&amp;IF(D122=100%,", Plinth","")&amp;IF(D123=100%,", RCC Slab","")&amp;IF(D124=100%,", Brickwork","")&amp;IF(D125=100%,", Internal Plaster","")&amp;IF(D126=100%,", External Plaster","")&amp;IF(D127=100%,", Flooring","")&amp;IF(D128=100%,", Painting","")&amp;IF(D129=100%,", Building common Amenities","")</f>
        <v>Excavation, Plinth, RCC Slab, Brickwork, Internal Plaster, External Plaster</v>
      </c>
      <c r="J118" s="56" t="str">
        <f ca="1">(IF(C121=0,"Work not yet Started.",IF(D121=25%,"Piling work in process",IF(D121=50%,"Excavation work in process",IF(D121=100%,"","0")))))&amp;(IF(C122=0%,"",IF(C122=J123,", Footing work is process",IF(C122=J124,", Footing work Completed",IF(C122=J125,", 1st Basement Completed",IF(C122=J126,", 1st &amp; 2nd Basement Completed",IF(C122=J127,", 1st to 3rd Basement Completed",IF(C122=J128,", 1st to 4th Basement Completed",IF(C122=J129,", Plinth work is process",IF(C122=J130,"","0"))))))))))</f>
        <v/>
      </c>
    </row>
    <row r="119" spans="1:10" ht="34.200000000000003" customHeight="1" x14ac:dyDescent="0.3">
      <c r="A119" s="109" t="s">
        <v>88</v>
      </c>
      <c r="B119" s="110"/>
      <c r="C119" s="111" t="str">
        <f ca="1">(IF($C$56=C117,"All work Completed. OC Received.",I117))</f>
        <v>Excavation, Plinth, RCC Slab, Brickwork, Internal Plaster, External Plaster Completed, Flooring upto 11 Floor, Painting upto 10 Floor Completed</v>
      </c>
      <c r="D119" s="111"/>
      <c r="E119" s="111"/>
      <c r="F119" s="111"/>
      <c r="G119" s="111"/>
      <c r="H119" s="112"/>
      <c r="I119" s="49" t="str">
        <f ca="1">IF(I118&lt;&gt;""," Completed","")</f>
        <v xml:space="preserve"> Completed</v>
      </c>
      <c r="J119" s="50" t="str">
        <f ca="1">IF(J117&lt;&gt;"","Completed","")</f>
        <v>Completed</v>
      </c>
    </row>
    <row r="120" spans="1:10" ht="15.75" customHeight="1" x14ac:dyDescent="0.3">
      <c r="A120" s="113" t="s">
        <v>48</v>
      </c>
      <c r="B120" s="114"/>
      <c r="C120" s="60" t="s">
        <v>140</v>
      </c>
      <c r="D120" s="60" t="s">
        <v>81</v>
      </c>
      <c r="E120" s="114" t="s">
        <v>83</v>
      </c>
      <c r="F120" s="114"/>
      <c r="G120" s="114" t="s">
        <v>82</v>
      </c>
      <c r="H120" s="115"/>
      <c r="I120" s="14" t="s">
        <v>142</v>
      </c>
      <c r="J120" s="28">
        <f ca="1">H118*25%</f>
        <v>5.5</v>
      </c>
    </row>
    <row r="121" spans="1:10" x14ac:dyDescent="0.3">
      <c r="A121" s="113" t="s">
        <v>129</v>
      </c>
      <c r="B121" s="114"/>
      <c r="C121" s="60">
        <f ca="1">J122</f>
        <v>22</v>
      </c>
      <c r="D121" s="61">
        <f ca="1">((100/H118)*C121)/100</f>
        <v>1.0000000000000002</v>
      </c>
      <c r="E121" s="159">
        <f ca="1">(((C122/H118*10)+(40/(D118+F118+H118)*C123)+(7.5/(H118)*C124)+(7.5/(H118)*C125)+(10/H118*C126)+(10/H118*C127)+(5/H118*C128)+(5/H118*C129)+(5/H118*C130))/100)</f>
        <v>0.82272727272727264</v>
      </c>
      <c r="F121" s="186"/>
      <c r="G121" s="159">
        <f ca="1">((((C121/H118)*20)+((C122/H118)*25)+(30/(H118+F118+D118)*C123)+(5/H118*C124)+(5/H118*C125)+(5/H118*C126)+(5/H118*C127)+(0/H118*C128)+(0/H118*C129)+(5/H118*C130))/100)</f>
        <v>0.92500000000000004</v>
      </c>
      <c r="H121" s="160"/>
      <c r="I121" s="14" t="s">
        <v>99</v>
      </c>
      <c r="J121" s="29">
        <f ca="1">H118*50%</f>
        <v>11</v>
      </c>
    </row>
    <row r="122" spans="1:10" x14ac:dyDescent="0.3">
      <c r="A122" s="113" t="s">
        <v>49</v>
      </c>
      <c r="B122" s="114"/>
      <c r="C122" s="65">
        <f ca="1">J130</f>
        <v>22</v>
      </c>
      <c r="D122" s="61">
        <f ca="1">((100/H118)*C122)/100</f>
        <v>1.0000000000000002</v>
      </c>
      <c r="E122" s="161"/>
      <c r="F122" s="187"/>
      <c r="G122" s="161"/>
      <c r="H122" s="162"/>
      <c r="I122" s="14" t="s">
        <v>100</v>
      </c>
      <c r="J122" s="29">
        <f ca="1">H118</f>
        <v>22</v>
      </c>
    </row>
    <row r="123" spans="1:10" ht="15.75" customHeight="1" x14ac:dyDescent="0.3">
      <c r="A123" s="113" t="s">
        <v>130</v>
      </c>
      <c r="B123" s="114"/>
      <c r="C123" s="60">
        <v>25</v>
      </c>
      <c r="D123" s="61">
        <f ca="1">((100/(D118+F118+H118))*C123)/100</f>
        <v>1</v>
      </c>
      <c r="E123" s="161"/>
      <c r="F123" s="187"/>
      <c r="G123" s="161"/>
      <c r="H123" s="162"/>
      <c r="I123" s="14" t="s">
        <v>101</v>
      </c>
      <c r="J123" s="30">
        <f ca="1">(IF(B118&gt;1,(H118/(B118+2)),H118/4))</f>
        <v>5.5</v>
      </c>
    </row>
    <row r="124" spans="1:10" ht="15.75" customHeight="1" x14ac:dyDescent="0.3">
      <c r="A124" s="113" t="s">
        <v>137</v>
      </c>
      <c r="B124" s="114" t="s">
        <v>131</v>
      </c>
      <c r="C124" s="60">
        <f>C123-D118</f>
        <v>22</v>
      </c>
      <c r="D124" s="61">
        <f ca="1">((100/H118)*C124)/100</f>
        <v>1.0000000000000002</v>
      </c>
      <c r="E124" s="161"/>
      <c r="F124" s="187"/>
      <c r="G124" s="161"/>
      <c r="H124" s="162"/>
      <c r="I124" s="14" t="s">
        <v>102</v>
      </c>
      <c r="J124" s="30">
        <f ca="1">(IF(B118&gt;1,(H118/(B118+2)+J123),H118/4+J123))</f>
        <v>11</v>
      </c>
    </row>
    <row r="125" spans="1:10" ht="15.75" customHeight="1" x14ac:dyDescent="0.3">
      <c r="A125" s="113" t="s">
        <v>138</v>
      </c>
      <c r="B125" s="114" t="s">
        <v>131</v>
      </c>
      <c r="C125" s="65">
        <v>22</v>
      </c>
      <c r="D125" s="61">
        <f ca="1">((100/H118)*C125)/100</f>
        <v>1.0000000000000002</v>
      </c>
      <c r="E125" s="161"/>
      <c r="F125" s="187"/>
      <c r="G125" s="161"/>
      <c r="H125" s="162"/>
      <c r="I125" s="14" t="s">
        <v>147</v>
      </c>
      <c r="J125" s="30">
        <f ca="1">(IF(B118&gt;1,(H118/(B118+2)+J124),0))</f>
        <v>16.5</v>
      </c>
    </row>
    <row r="126" spans="1:10" ht="15" customHeight="1" x14ac:dyDescent="0.3">
      <c r="A126" s="113" t="s">
        <v>136</v>
      </c>
      <c r="B126" s="114" t="s">
        <v>133</v>
      </c>
      <c r="C126" s="65">
        <v>22</v>
      </c>
      <c r="D126" s="61">
        <f ca="1">((100/(H118))*C126)/100</f>
        <v>1.0000000000000002</v>
      </c>
      <c r="E126" s="161"/>
      <c r="F126" s="187"/>
      <c r="G126" s="161"/>
      <c r="H126" s="162"/>
      <c r="I126" s="14" t="s">
        <v>144</v>
      </c>
      <c r="J126" s="30">
        <f>(IF(B118&gt;2,(H118/(B118+2)+J125),0))</f>
        <v>0</v>
      </c>
    </row>
    <row r="127" spans="1:10" ht="15.75" customHeight="1" x14ac:dyDescent="0.3">
      <c r="A127" s="113" t="s">
        <v>132</v>
      </c>
      <c r="B127" s="114" t="s">
        <v>132</v>
      </c>
      <c r="C127" s="60">
        <v>11</v>
      </c>
      <c r="D127" s="61">
        <f ca="1">((100/H118)*C127)/100</f>
        <v>0.50000000000000011</v>
      </c>
      <c r="E127" s="161"/>
      <c r="F127" s="187"/>
      <c r="G127" s="161"/>
      <c r="H127" s="162"/>
      <c r="I127" s="14" t="s">
        <v>145</v>
      </c>
      <c r="J127" s="31">
        <f>(IF(B118&gt;3,(H118/(B118+2)+J126),0))</f>
        <v>0</v>
      </c>
    </row>
    <row r="128" spans="1:10" ht="15.75" customHeight="1" x14ac:dyDescent="0.3">
      <c r="A128" s="113" t="s">
        <v>139</v>
      </c>
      <c r="B128" s="114"/>
      <c r="C128" s="60">
        <v>10</v>
      </c>
      <c r="D128" s="61">
        <f ca="1">((100/H118)*C128)/100</f>
        <v>0.45454545454545459</v>
      </c>
      <c r="E128" s="161"/>
      <c r="F128" s="187"/>
      <c r="G128" s="161"/>
      <c r="H128" s="162"/>
      <c r="I128" s="14" t="s">
        <v>146</v>
      </c>
      <c r="J128" s="30">
        <f>(IF(B118&gt;4,(H118/(B118+2)+J127),0))</f>
        <v>0</v>
      </c>
    </row>
    <row r="129" spans="1:19" ht="15.75" customHeight="1" x14ac:dyDescent="0.3">
      <c r="A129" s="113" t="s">
        <v>134</v>
      </c>
      <c r="B129" s="114" t="s">
        <v>134</v>
      </c>
      <c r="C129" s="60">
        <v>0</v>
      </c>
      <c r="D129" s="61">
        <f ca="1">((100/(H118))*C129)/100</f>
        <v>0</v>
      </c>
      <c r="E129" s="161"/>
      <c r="F129" s="187"/>
      <c r="G129" s="161"/>
      <c r="H129" s="162"/>
      <c r="I129" s="14" t="s">
        <v>148</v>
      </c>
      <c r="J129" s="30">
        <f>(IF(B118=1,(H118/(B118+3)+J124),IF(B118=0,(H118/4+J124),IF(B118&gt;1,0))))</f>
        <v>0</v>
      </c>
    </row>
    <row r="130" spans="1:19" ht="16.2" thickBot="1" x14ac:dyDescent="0.35">
      <c r="A130" s="166" t="s">
        <v>135</v>
      </c>
      <c r="B130" s="167"/>
      <c r="C130" s="62">
        <v>0</v>
      </c>
      <c r="D130" s="63">
        <f ca="1">((100/(H118))*C130)/100</f>
        <v>0</v>
      </c>
      <c r="E130" s="163"/>
      <c r="F130" s="188"/>
      <c r="G130" s="163"/>
      <c r="H130" s="164"/>
      <c r="I130" s="15" t="s">
        <v>103</v>
      </c>
      <c r="J130" s="32">
        <f ca="1">(IF(B118&gt;1.5,(H118/(B118+2)+J124+MAX(0,J125-J124)+MAX(0,J126-J125)+MAX(0,J127-J126)+MAX(0,J128-J127)+MAX(0,J129-J128)),IF(B118=1,(H118/(B118+3)+J129),IF(B118=0,H118/4+J129))))</f>
        <v>22</v>
      </c>
    </row>
    <row r="131" spans="1:19" x14ac:dyDescent="0.3">
      <c r="A131" s="168" t="s">
        <v>141</v>
      </c>
      <c r="B131" s="169"/>
      <c r="C131" s="132" t="str">
        <f>D65</f>
        <v>Tower 5 = B3 + B2 + B1/LG + UG/P1 + St + 1st to 25th Floor</v>
      </c>
      <c r="D131" s="133"/>
      <c r="E131" s="133"/>
      <c r="F131" s="133"/>
      <c r="G131" s="133"/>
      <c r="H131" s="134"/>
      <c r="I131" s="47" t="str">
        <f ca="1">IF(D144=100%,"All work Completed. Possession granted to the Building.",IF(D143=100%,"All work Completed, Waiting for OC",I132&amp;""&amp;I133&amp;""&amp;J132&amp;""&amp;J131&amp;" "&amp;J133))</f>
        <v>Excavation, Plinth, RCC Slab Completed, Brickwork upto 24 Floor, Internal Plaster upto 21 Floor, External Plaster upto 19 Floor, Flooring upto 5 Floor Completed</v>
      </c>
      <c r="J131" s="48" t="str">
        <f ca="1">(IF(C137=(D132+F132+H132),"",IF(C137&gt;0,", RCC upto "&amp;C137&amp;" Slab","")))&amp;(IF(C138=H132,"",IF(C138&gt;0,", Brickwork upto "&amp;C138&amp;" Floor","")))&amp;(IF(C139=H132,"",IF(C139&gt;0,", Internal Plaster upto "&amp;C139&amp;" Floor","")))&amp;(IF(C140=H132,"",IF(C140&gt;0,", External Plaster upto "&amp;C140&amp;" Floor","")))&amp;(IF(C141=H132,"",IF(C141&gt;0,", Flooring upto "&amp;C141&amp;" Floor","")))&amp;(IF(C142=H132,"",IF(C142&gt;0,", Painting upto "&amp;C142&amp;" Floor","")))&amp;(IF(C143=H132,"",IF(C143&gt;0,", Finishing upto "&amp;C143&amp;" Floor","")))&amp;(IF(C144=H132,"",IF(C144&gt;0,", Possession upto "&amp;C144&amp;" Floor","")))</f>
        <v>, Brickwork upto 24 Floor, Internal Plaster upto 21 Floor, External Plaster upto 19 Floor, Flooring upto 5 Floor</v>
      </c>
    </row>
    <row r="132" spans="1:19" s="23" customFormat="1" x14ac:dyDescent="0.3">
      <c r="A132" s="16" t="s">
        <v>143</v>
      </c>
      <c r="B132" s="54">
        <v>2</v>
      </c>
      <c r="C132" s="54" t="s">
        <v>71</v>
      </c>
      <c r="D132" s="54">
        <v>3</v>
      </c>
      <c r="E132" s="54" t="s">
        <v>70</v>
      </c>
      <c r="F132" s="54">
        <v>0</v>
      </c>
      <c r="G132" s="54" t="s">
        <v>78</v>
      </c>
      <c r="H132" s="17">
        <f ca="1">--TRIM(RIGHT(SUBSTITUTE(LEFT(C131,_xlfn.AGGREGATE(16,6,FIND({0,1,2,3,4,5,6,7,8,9},C131,ROW(INDIRECT("1:"&amp;LEN(C131)))),1))," ",REPT(" ",LEN(C131))),LEN(C131)))</f>
        <v>25</v>
      </c>
      <c r="I132" s="55" t="str">
        <f ca="1">IF(D135=100%,"Excavation","")&amp;IF(D136=100%,", Plinth","")&amp;IF(D137=100%,", RCC Slab","")&amp;IF(D138=100%,", Brickwork","")&amp;IF(D139=100%,", Internal Plaster","")&amp;IF(D140=100%,", External Plaster","")&amp;IF(D141=100%,", Flooring","")&amp;IF(D142=100%,", Painting","")&amp;IF(D143=100%,", Building common Amenities","")</f>
        <v>Excavation, Plinth, RCC Slab</v>
      </c>
      <c r="J132" s="56" t="str">
        <f ca="1">(IF(C135=0,"Work not yet Started.",IF(D135=25%,"Piling work in process",IF(D135=50%,"Excavation work in process",IF(D135=100%,"","0")))))&amp;(IF(C136=0%,"",IF(C136=J137,", Footing work is process",IF(C136=J138,", Footing work Completed",IF(C136=J139,", 1st Basement Completed",IF(C136=J140,", 1st &amp; 2nd Basement Completed",IF(C136=J141,", 1st to 3rd Basement Completed",IF(C136=J142,", 1st to 4th Basement Completed",IF(C136=J143,", Plinth work is process",IF(C136=J144,"","0"))))))))))</f>
        <v/>
      </c>
    </row>
    <row r="133" spans="1:19" ht="34.049999999999997" customHeight="1" x14ac:dyDescent="0.3">
      <c r="A133" s="110" t="s">
        <v>88</v>
      </c>
      <c r="B133" s="110"/>
      <c r="C133" s="111" t="str">
        <f ca="1">(IF($C$56=C131,"All work Completed. OC Received.",I131))</f>
        <v>Excavation, Plinth, RCC Slab Completed, Brickwork upto 24 Floor, Internal Plaster upto 21 Floor, External Plaster upto 19 Floor, Flooring upto 5 Floor Completed</v>
      </c>
      <c r="D133" s="111"/>
      <c r="E133" s="111"/>
      <c r="F133" s="111"/>
      <c r="G133" s="111"/>
      <c r="H133" s="111"/>
      <c r="I133" s="68" t="str">
        <f ca="1">IF(I132&lt;&gt;""," Completed","")</f>
        <v xml:space="preserve"> Completed</v>
      </c>
      <c r="J133" s="50" t="str">
        <f ca="1">IF(J131&lt;&gt;"","Completed","")</f>
        <v>Completed</v>
      </c>
    </row>
    <row r="134" spans="1:19" ht="15.75" customHeight="1" x14ac:dyDescent="0.3">
      <c r="A134" s="114" t="s">
        <v>48</v>
      </c>
      <c r="B134" s="114"/>
      <c r="C134" s="60" t="s">
        <v>140</v>
      </c>
      <c r="D134" s="60" t="s">
        <v>81</v>
      </c>
      <c r="E134" s="114" t="s">
        <v>83</v>
      </c>
      <c r="F134" s="114"/>
      <c r="G134" s="114" t="s">
        <v>82</v>
      </c>
      <c r="H134" s="114"/>
      <c r="I134" s="14" t="s">
        <v>142</v>
      </c>
      <c r="J134" s="28">
        <f ca="1">H132*25%</f>
        <v>6.25</v>
      </c>
    </row>
    <row r="135" spans="1:19" x14ac:dyDescent="0.3">
      <c r="A135" s="114" t="s">
        <v>129</v>
      </c>
      <c r="B135" s="114"/>
      <c r="C135" s="60">
        <v>25</v>
      </c>
      <c r="D135" s="61">
        <f ca="1">((100/H132)*C135)/100</f>
        <v>1</v>
      </c>
      <c r="E135" s="228">
        <f ca="1">(((C136/H132*10)+(40/(D132+F132+H132)*C137)+(7.5/(H132)*C138)+(7.5/(H132)*C139)+(10/H132*C140)+(10/H132*C141)+(5/H132*C142)+(5/H132*C143)+(5/H132*C144))/100)</f>
        <v>0.73099999999999998</v>
      </c>
      <c r="F135" s="228"/>
      <c r="G135" s="228">
        <f ca="1">((((C135/H132)*20)+((C136/H132)*25)+(30/(H132+F132+D132)*C137)+(5/H132*C138)+(5/H132*C139)+(5/H132*C140)+(5/H132*C141)+(0/H132*C142)+(0/H132*C143)+(5/H132*C144))/100)</f>
        <v>0.88800000000000001</v>
      </c>
      <c r="H135" s="228"/>
      <c r="I135" s="14" t="s">
        <v>99</v>
      </c>
      <c r="J135" s="29">
        <f ca="1">H132*50%</f>
        <v>12.5</v>
      </c>
      <c r="L135" s="22"/>
    </row>
    <row r="136" spans="1:19" x14ac:dyDescent="0.3">
      <c r="A136" s="114" t="s">
        <v>49</v>
      </c>
      <c r="B136" s="114"/>
      <c r="C136" s="60">
        <v>25</v>
      </c>
      <c r="D136" s="61">
        <f ca="1">((100/H132)*C136)/100</f>
        <v>1</v>
      </c>
      <c r="E136" s="228"/>
      <c r="F136" s="228"/>
      <c r="G136" s="228"/>
      <c r="H136" s="228"/>
      <c r="I136" s="14" t="s">
        <v>100</v>
      </c>
      <c r="J136" s="29">
        <f ca="1">H132</f>
        <v>25</v>
      </c>
      <c r="L136" s="22"/>
    </row>
    <row r="137" spans="1:19" ht="15.75" customHeight="1" x14ac:dyDescent="0.3">
      <c r="A137" s="114" t="s">
        <v>130</v>
      </c>
      <c r="B137" s="114"/>
      <c r="C137" s="60">
        <f>D132+25</f>
        <v>28</v>
      </c>
      <c r="D137" s="61">
        <f ca="1">((100/(D132+F132+H132))*C137)/100</f>
        <v>1</v>
      </c>
      <c r="E137" s="228"/>
      <c r="F137" s="228"/>
      <c r="G137" s="228"/>
      <c r="H137" s="228"/>
      <c r="I137" s="14" t="s">
        <v>101</v>
      </c>
      <c r="J137" s="30">
        <f ca="1">(IF(B132&gt;1,(H132/(B132+2)),H132/4))</f>
        <v>6.25</v>
      </c>
    </row>
    <row r="138" spans="1:19" ht="15.75" customHeight="1" x14ac:dyDescent="0.3">
      <c r="A138" s="114" t="s">
        <v>137</v>
      </c>
      <c r="B138" s="114" t="s">
        <v>131</v>
      </c>
      <c r="C138" s="60">
        <f>C137-D132-1</f>
        <v>24</v>
      </c>
      <c r="D138" s="61">
        <f ca="1">((100/H132)*C138)/100</f>
        <v>0.96</v>
      </c>
      <c r="E138" s="228"/>
      <c r="F138" s="228"/>
      <c r="G138" s="228"/>
      <c r="H138" s="228"/>
      <c r="I138" s="14" t="s">
        <v>102</v>
      </c>
      <c r="J138" s="30">
        <f ca="1">(IF(B132&gt;1,(H132/(B132+2)+J137),H132/4+J137))</f>
        <v>12.5</v>
      </c>
      <c r="S138" s="21" t="s">
        <v>281</v>
      </c>
    </row>
    <row r="139" spans="1:19" ht="15.75" customHeight="1" x14ac:dyDescent="0.3">
      <c r="A139" s="114" t="s">
        <v>138</v>
      </c>
      <c r="B139" s="114" t="s">
        <v>131</v>
      </c>
      <c r="C139" s="65">
        <v>21</v>
      </c>
      <c r="D139" s="61">
        <f ca="1">((100/H132)*C139)/100</f>
        <v>0.84</v>
      </c>
      <c r="E139" s="228"/>
      <c r="F139" s="228"/>
      <c r="G139" s="228"/>
      <c r="H139" s="228"/>
      <c r="I139" s="14" t="s">
        <v>147</v>
      </c>
      <c r="J139" s="30">
        <f ca="1">(IF(B132&gt;1,(H132/(B132+2)+J138),0))</f>
        <v>18.75</v>
      </c>
    </row>
    <row r="140" spans="1:19" ht="15" customHeight="1" x14ac:dyDescent="0.3">
      <c r="A140" s="114" t="s">
        <v>136</v>
      </c>
      <c r="B140" s="114" t="s">
        <v>133</v>
      </c>
      <c r="C140" s="65">
        <v>19</v>
      </c>
      <c r="D140" s="61">
        <f ca="1">((100/(H132))*C140)/100</f>
        <v>0.76</v>
      </c>
      <c r="E140" s="228"/>
      <c r="F140" s="228"/>
      <c r="G140" s="228"/>
      <c r="H140" s="228"/>
      <c r="I140" s="14" t="s">
        <v>144</v>
      </c>
      <c r="J140" s="30">
        <f>(IF(B132&gt;2,(H132/(B132+2)+J139),0))</f>
        <v>0</v>
      </c>
    </row>
    <row r="141" spans="1:19" ht="15.75" customHeight="1" x14ac:dyDescent="0.3">
      <c r="A141" s="114" t="s">
        <v>132</v>
      </c>
      <c r="B141" s="114" t="s">
        <v>132</v>
      </c>
      <c r="C141" s="60">
        <v>5</v>
      </c>
      <c r="D141" s="61">
        <f ca="1">((100/H132)*C141)/100</f>
        <v>0.2</v>
      </c>
      <c r="E141" s="228"/>
      <c r="F141" s="228"/>
      <c r="G141" s="228"/>
      <c r="H141" s="228"/>
      <c r="I141" s="14" t="s">
        <v>145</v>
      </c>
      <c r="J141" s="31">
        <f>(IF(B132&gt;3,(H132/(B132+2)+J140),0))</f>
        <v>0</v>
      </c>
    </row>
    <row r="142" spans="1:19" ht="15.75" customHeight="1" x14ac:dyDescent="0.3">
      <c r="A142" s="114" t="s">
        <v>139</v>
      </c>
      <c r="B142" s="114"/>
      <c r="C142" s="60">
        <v>0</v>
      </c>
      <c r="D142" s="61">
        <f ca="1">((100/H132)*C142)/100</f>
        <v>0</v>
      </c>
      <c r="E142" s="228"/>
      <c r="F142" s="228"/>
      <c r="G142" s="228"/>
      <c r="H142" s="228"/>
      <c r="I142" s="14" t="s">
        <v>146</v>
      </c>
      <c r="J142" s="30">
        <f>(IF(B132&gt;4,(H132/(B132+2)+J141),0))</f>
        <v>0</v>
      </c>
    </row>
    <row r="143" spans="1:19" ht="15.75" customHeight="1" x14ac:dyDescent="0.3">
      <c r="A143" s="114" t="s">
        <v>134</v>
      </c>
      <c r="B143" s="114" t="s">
        <v>134</v>
      </c>
      <c r="C143" s="60">
        <v>0</v>
      </c>
      <c r="D143" s="61">
        <f ca="1">((100/(H132))*C143)/100</f>
        <v>0</v>
      </c>
      <c r="E143" s="228"/>
      <c r="F143" s="228"/>
      <c r="G143" s="228"/>
      <c r="H143" s="228"/>
      <c r="I143" s="14" t="s">
        <v>148</v>
      </c>
      <c r="J143" s="30">
        <f>(IF(B132=1,(H132/(B132+3)+J138),IF(B132=0,(H132/4+J138),IF(B132&gt;1,0))))</f>
        <v>0</v>
      </c>
    </row>
    <row r="144" spans="1:19" ht="16.2" thickBot="1" x14ac:dyDescent="0.35">
      <c r="A144" s="114" t="s">
        <v>135</v>
      </c>
      <c r="B144" s="114"/>
      <c r="C144" s="60">
        <v>0</v>
      </c>
      <c r="D144" s="61">
        <f ca="1">((100/(H132))*C144)/100</f>
        <v>0</v>
      </c>
      <c r="E144" s="228"/>
      <c r="F144" s="228"/>
      <c r="G144" s="228"/>
      <c r="H144" s="228"/>
      <c r="I144" s="15" t="s">
        <v>103</v>
      </c>
      <c r="J144" s="32">
        <f ca="1">(IF(B132&gt;1.5,(H132/(B132+2)+J138+MAX(0,J139-J138)+MAX(0,J140-J139)+MAX(0,J141-J140)+MAX(0,J142-J141)+MAX(0,J143-J142)),IF(B132=1,(H132/(B132+3)+J143),IF(B132=0,H132/4+J143))))</f>
        <v>25</v>
      </c>
    </row>
    <row r="145" spans="1:10" x14ac:dyDescent="0.3">
      <c r="A145" s="104" t="s">
        <v>141</v>
      </c>
      <c r="B145" s="105"/>
      <c r="C145" s="106" t="str">
        <f>D66</f>
        <v>Tower 9 = B3 + B2 + B1/LG + UG/P1 + St + 1st to 26th Floor</v>
      </c>
      <c r="D145" s="107"/>
      <c r="E145" s="107"/>
      <c r="F145" s="107"/>
      <c r="G145" s="107"/>
      <c r="H145" s="108"/>
      <c r="I145" s="47" t="str">
        <f ca="1">IF(D158=100%,"All work Completed. Possession granted to the Building.",IF(D157=100%,"All work Completed, Waiting for OC",I146&amp;""&amp;I147&amp;""&amp;J146&amp;""&amp;J145&amp;" "&amp;J147))</f>
        <v xml:space="preserve">Excavation Completed, 1st Basement Completed </v>
      </c>
      <c r="J145" s="48" t="str">
        <f ca="1">(IF(C151=(D146+F146+H146),"",IF(C151&gt;0,", RCC upto "&amp;C151&amp;" Slab","")))&amp;(IF(C152=H146,"",IF(C152&gt;0,", Brickwork upto "&amp;C152&amp;" Floor","")))&amp;(IF(C153=H146,"",IF(C153&gt;0,", Internal Plaster upto "&amp;C153&amp;" Floor","")))&amp;(IF(C154=H146,"",IF(C154&gt;0,", External Plaster upto "&amp;C154&amp;" Floor","")))&amp;(IF(C155=H146,"",IF(C155&gt;0,", Flooring upto "&amp;C155&amp;" Floor","")))&amp;(IF(C156=H146,"",IF(C156&gt;0,", Painting upto "&amp;C156&amp;" Floor","")))&amp;(IF(C157=H146,"",IF(C157&gt;0,", Finishing upto "&amp;C157&amp;" Floor","")))&amp;(IF(C158=H146,"",IF(C158&gt;0,", Possession upto "&amp;C158&amp;" Floor","")))</f>
        <v/>
      </c>
    </row>
    <row r="146" spans="1:10" s="23" customFormat="1" x14ac:dyDescent="0.3">
      <c r="A146" s="16" t="s">
        <v>143</v>
      </c>
      <c r="B146" s="54">
        <v>2</v>
      </c>
      <c r="C146" s="54" t="s">
        <v>71</v>
      </c>
      <c r="D146" s="54">
        <v>3</v>
      </c>
      <c r="E146" s="54" t="s">
        <v>70</v>
      </c>
      <c r="F146" s="54">
        <v>0</v>
      </c>
      <c r="G146" s="54" t="s">
        <v>78</v>
      </c>
      <c r="H146" s="17">
        <f ca="1">--TRIM(RIGHT(SUBSTITUTE(LEFT(C145,_xlfn.AGGREGATE(16,6,FIND({0,1,2,3,4,5,6,7,8,9},C145,ROW(INDIRECT("1:"&amp;LEN(C145)))),1))," ",REPT(" ",LEN(C145))),LEN(C145)))</f>
        <v>26</v>
      </c>
      <c r="I146" s="55" t="str">
        <f ca="1">IF(D149=100%,"Excavation","")&amp;IF(D150=100%,", Plinth","")&amp;IF(D151=100%,", RCC Slab","")&amp;IF(D152=100%,", Brickwork","")&amp;IF(D153=100%,", Internal Plaster","")&amp;IF(D154=100%,", External Plaster","")&amp;IF(D155=100%,", Flooring","")&amp;IF(D156=100%,", Painting","")&amp;IF(D157=100%,", Building common Amenities","")</f>
        <v>Excavation</v>
      </c>
      <c r="J146" s="56" t="str">
        <f ca="1">(IF(C149=0,"Work not yet Started.",IF(D149=25%,"Piling work in process",IF(D149=50%,"Excavation work in process",IF(D149=100%,"","0")))))&amp;(IF(C150=0%,"",IF(C150=J151,", Footing work is process",IF(C150=J152,", Footing work Completed",IF(C150=J153,", 1st Basement Completed",IF(C150=J154,", 1st &amp; 2nd Basement Completed",IF(C150=J155,", 1st to 3rd Basement Completed",IF(C150=J156,", 1st to 4th Basement Completed",IF(C150=J157,", Plinth work is process",IF(C150=J158,"","0"))))))))))</f>
        <v>, 1st Basement Completed</v>
      </c>
    </row>
    <row r="147" spans="1:10" x14ac:dyDescent="0.3">
      <c r="A147" s="109" t="s">
        <v>88</v>
      </c>
      <c r="B147" s="110"/>
      <c r="C147" s="111" t="str">
        <f ca="1">(IF($C$56=C145,"All work Completed. OC Received.",I145))</f>
        <v xml:space="preserve">Excavation Completed, 1st Basement Completed </v>
      </c>
      <c r="D147" s="111"/>
      <c r="E147" s="111"/>
      <c r="F147" s="111"/>
      <c r="G147" s="111"/>
      <c r="H147" s="112"/>
      <c r="I147" s="49" t="str">
        <f ca="1">IF(I146&lt;&gt;""," Completed","")</f>
        <v xml:space="preserve"> Completed</v>
      </c>
      <c r="J147" s="50" t="str">
        <f ca="1">IF(J145&lt;&gt;"","Completed","")</f>
        <v/>
      </c>
    </row>
    <row r="148" spans="1:10" ht="15.75" customHeight="1" x14ac:dyDescent="0.3">
      <c r="A148" s="113" t="s">
        <v>48</v>
      </c>
      <c r="B148" s="114"/>
      <c r="C148" s="60" t="s">
        <v>140</v>
      </c>
      <c r="D148" s="60" t="s">
        <v>81</v>
      </c>
      <c r="E148" s="114" t="s">
        <v>83</v>
      </c>
      <c r="F148" s="114"/>
      <c r="G148" s="114" t="s">
        <v>82</v>
      </c>
      <c r="H148" s="115"/>
      <c r="I148" s="14" t="s">
        <v>142</v>
      </c>
      <c r="J148" s="28">
        <f ca="1">H146*25%</f>
        <v>6.5</v>
      </c>
    </row>
    <row r="149" spans="1:10" x14ac:dyDescent="0.3">
      <c r="A149" s="113" t="s">
        <v>129</v>
      </c>
      <c r="B149" s="114"/>
      <c r="C149" s="60">
        <f ca="1">J150</f>
        <v>26</v>
      </c>
      <c r="D149" s="61">
        <f ca="1">((100/H146)*C149)/100</f>
        <v>1</v>
      </c>
      <c r="E149" s="159">
        <f ca="1">(((C150/H146*10)+(40/(D146+F146+H146)*C151)+(7.5/(H146)*C152)+(7.5/(H146)*C153)+(10/H146*C154)+(10/H146*C155)+(5/H146*C156)+(5/H146*C157)+(5/H146*C158))/100)</f>
        <v>7.4999999999999997E-2</v>
      </c>
      <c r="F149" s="186"/>
      <c r="G149" s="159">
        <f ca="1">((((C149/H146)*20)+((C150/H146)*25)+(30/(H146+F146+D146)*C151)+(5/H146*C152)+(5/H146*C153)+(5/H146*C154)+(5/H146*C155)+(0/H146*C156)+(0/H146*C157)+(5/H146*C158))/100)</f>
        <v>0.38750000000000001</v>
      </c>
      <c r="H149" s="160"/>
      <c r="I149" s="14" t="s">
        <v>99</v>
      </c>
      <c r="J149" s="29">
        <f ca="1">H146*50%</f>
        <v>13</v>
      </c>
    </row>
    <row r="150" spans="1:10" x14ac:dyDescent="0.3">
      <c r="A150" s="113" t="s">
        <v>49</v>
      </c>
      <c r="B150" s="114"/>
      <c r="C150" s="65">
        <f ca="1">J153</f>
        <v>19.5</v>
      </c>
      <c r="D150" s="61">
        <f ca="1">((100/H146)*C150)/100</f>
        <v>0.75</v>
      </c>
      <c r="E150" s="161"/>
      <c r="F150" s="187"/>
      <c r="G150" s="161"/>
      <c r="H150" s="162"/>
      <c r="I150" s="14" t="s">
        <v>100</v>
      </c>
      <c r="J150" s="29">
        <f ca="1">H146</f>
        <v>26</v>
      </c>
    </row>
    <row r="151" spans="1:10" ht="15.75" customHeight="1" x14ac:dyDescent="0.3">
      <c r="A151" s="113" t="s">
        <v>130</v>
      </c>
      <c r="B151" s="114"/>
      <c r="C151" s="60">
        <v>0</v>
      </c>
      <c r="D151" s="61">
        <f ca="1">((100/(D146+F146+H146))*C151)/100</f>
        <v>0</v>
      </c>
      <c r="E151" s="161"/>
      <c r="F151" s="187"/>
      <c r="G151" s="161"/>
      <c r="H151" s="162"/>
      <c r="I151" s="14" t="s">
        <v>101</v>
      </c>
      <c r="J151" s="30">
        <f ca="1">(IF(B146&gt;1,(H146/(B146+2)),H146/4))</f>
        <v>6.5</v>
      </c>
    </row>
    <row r="152" spans="1:10" ht="15.75" customHeight="1" x14ac:dyDescent="0.3">
      <c r="A152" s="113" t="s">
        <v>137</v>
      </c>
      <c r="B152" s="114" t="s">
        <v>131</v>
      </c>
      <c r="C152" s="60">
        <v>0</v>
      </c>
      <c r="D152" s="61">
        <f ca="1">((100/H146)*C152)/100</f>
        <v>0</v>
      </c>
      <c r="E152" s="161"/>
      <c r="F152" s="187"/>
      <c r="G152" s="161"/>
      <c r="H152" s="162"/>
      <c r="I152" s="14" t="s">
        <v>102</v>
      </c>
      <c r="J152" s="30">
        <f ca="1">(IF(B146&gt;1,(H146/(B146+2)+J151),H146/4+J151))</f>
        <v>13</v>
      </c>
    </row>
    <row r="153" spans="1:10" ht="15.75" customHeight="1" x14ac:dyDescent="0.3">
      <c r="A153" s="113" t="s">
        <v>138</v>
      </c>
      <c r="B153" s="114" t="s">
        <v>131</v>
      </c>
      <c r="C153" s="60">
        <v>0</v>
      </c>
      <c r="D153" s="61">
        <f ca="1">((100/H146)*C153)/100</f>
        <v>0</v>
      </c>
      <c r="E153" s="161"/>
      <c r="F153" s="187"/>
      <c r="G153" s="161"/>
      <c r="H153" s="162"/>
      <c r="I153" s="14" t="s">
        <v>147</v>
      </c>
      <c r="J153" s="30">
        <f ca="1">(IF(B146&gt;1,(H146/(B146+2)+J152),0))</f>
        <v>19.5</v>
      </c>
    </row>
    <row r="154" spans="1:10" ht="15" customHeight="1" x14ac:dyDescent="0.3">
      <c r="A154" s="113" t="s">
        <v>136</v>
      </c>
      <c r="B154" s="114" t="s">
        <v>133</v>
      </c>
      <c r="C154" s="60">
        <v>0</v>
      </c>
      <c r="D154" s="61">
        <f ca="1">((100/(H146))*C154)/100</f>
        <v>0</v>
      </c>
      <c r="E154" s="161"/>
      <c r="F154" s="187"/>
      <c r="G154" s="161"/>
      <c r="H154" s="162"/>
      <c r="I154" s="14" t="s">
        <v>144</v>
      </c>
      <c r="J154" s="30">
        <f>(IF(B146&gt;2,(H146/(B146+2)+J153),0))</f>
        <v>0</v>
      </c>
    </row>
    <row r="155" spans="1:10" ht="15.75" customHeight="1" x14ac:dyDescent="0.3">
      <c r="A155" s="113" t="s">
        <v>132</v>
      </c>
      <c r="B155" s="114" t="s">
        <v>132</v>
      </c>
      <c r="C155" s="60">
        <v>0</v>
      </c>
      <c r="D155" s="61">
        <f ca="1">((100/H146)*C155)/100</f>
        <v>0</v>
      </c>
      <c r="E155" s="161"/>
      <c r="F155" s="187"/>
      <c r="G155" s="161"/>
      <c r="H155" s="162"/>
      <c r="I155" s="14" t="s">
        <v>145</v>
      </c>
      <c r="J155" s="31">
        <f>(IF(B146&gt;3,(H146/(B146+2)+J154),0))</f>
        <v>0</v>
      </c>
    </row>
    <row r="156" spans="1:10" ht="15.75" customHeight="1" x14ac:dyDescent="0.3">
      <c r="A156" s="113" t="s">
        <v>139</v>
      </c>
      <c r="B156" s="114"/>
      <c r="C156" s="60">
        <v>0</v>
      </c>
      <c r="D156" s="61">
        <f ca="1">((100/H146)*C156)/100</f>
        <v>0</v>
      </c>
      <c r="E156" s="161"/>
      <c r="F156" s="187"/>
      <c r="G156" s="161"/>
      <c r="H156" s="162"/>
      <c r="I156" s="14" t="s">
        <v>146</v>
      </c>
      <c r="J156" s="30">
        <f>(IF(B146&gt;4,(H146/(B146+2)+J155),0))</f>
        <v>0</v>
      </c>
    </row>
    <row r="157" spans="1:10" ht="15.75" customHeight="1" x14ac:dyDescent="0.3">
      <c r="A157" s="113" t="s">
        <v>134</v>
      </c>
      <c r="B157" s="114" t="s">
        <v>134</v>
      </c>
      <c r="C157" s="60">
        <v>0</v>
      </c>
      <c r="D157" s="61">
        <f ca="1">((100/(H146))*C157)/100</f>
        <v>0</v>
      </c>
      <c r="E157" s="161"/>
      <c r="F157" s="187"/>
      <c r="G157" s="161"/>
      <c r="H157" s="162"/>
      <c r="I157" s="14" t="s">
        <v>148</v>
      </c>
      <c r="J157" s="30">
        <f>(IF(B146=1,(H146/(B146+3)+J152),IF(B146=0,(H146/4+J152),IF(B146&gt;1,0))))</f>
        <v>0</v>
      </c>
    </row>
    <row r="158" spans="1:10" ht="16.2" thickBot="1" x14ac:dyDescent="0.35">
      <c r="A158" s="166" t="s">
        <v>135</v>
      </c>
      <c r="B158" s="167"/>
      <c r="C158" s="62">
        <v>0</v>
      </c>
      <c r="D158" s="63">
        <f ca="1">((100/(H146))*C158)/100</f>
        <v>0</v>
      </c>
      <c r="E158" s="163"/>
      <c r="F158" s="188"/>
      <c r="G158" s="163"/>
      <c r="H158" s="164"/>
      <c r="I158" s="15" t="s">
        <v>103</v>
      </c>
      <c r="J158" s="32">
        <f ca="1">(IF(B146&gt;1.5,(H146/(B146+2)+J152+MAX(0,J153-J152)+MAX(0,J154-J153)+MAX(0,J155-J154)+MAX(0,J156-J155)+MAX(0,J157-J156)),IF(B146=1,(H146/(B146+3)+J157),IF(B146=0,H146/4+J157))))</f>
        <v>26</v>
      </c>
    </row>
    <row r="159" spans="1:10" x14ac:dyDescent="0.3">
      <c r="A159" s="170" t="s">
        <v>141</v>
      </c>
      <c r="B159" s="171"/>
      <c r="C159" s="172" t="str">
        <f>D67</f>
        <v>Tower 10 = 3B + UG + Stilt Floor + 1st to 26th Floor</v>
      </c>
      <c r="D159" s="173"/>
      <c r="E159" s="173"/>
      <c r="F159" s="173"/>
      <c r="G159" s="173"/>
      <c r="H159" s="174"/>
      <c r="I159" s="47" t="str">
        <f ca="1">IF(D172=100%,"All work Completed. Possession granted to the Building.",IF(D171=100%,"All work Completed, Waiting for OC",I160&amp;""&amp;I161&amp;""&amp;J160&amp;""&amp;J159&amp;" "&amp;J161))</f>
        <v xml:space="preserve">Excavation Completed, 1st Basement Completed </v>
      </c>
      <c r="J159" s="48" t="str">
        <f ca="1">(IF(C165=(D160+F160+H160),"",IF(C165&gt;0,", RCC upto "&amp;C165&amp;" Slab","")))&amp;(IF(C166=H160,"",IF(C166&gt;0,", Brickwork upto "&amp;C166&amp;" Floor","")))&amp;(IF(C167=H160,"",IF(C167&gt;0,", Internal Plaster upto "&amp;C167&amp;" Floor","")))&amp;(IF(C168=H160,"",IF(C168&gt;0,", External Plaster upto "&amp;C168&amp;" Floor","")))&amp;(IF(C169=H160,"",IF(C169&gt;0,", Flooring upto "&amp;C169&amp;" Floor","")))&amp;(IF(C170=H160,"",IF(C170&gt;0,", Painting upto "&amp;C170&amp;" Floor","")))&amp;(IF(C171=H160,"",IF(C171&gt;0,", Finishing upto "&amp;C171&amp;" Floor","")))&amp;(IF(C172=H160,"",IF(C172&gt;0,", Possession upto "&amp;C172&amp;" Floor","")))</f>
        <v/>
      </c>
    </row>
    <row r="160" spans="1:10" s="23" customFormat="1" x14ac:dyDescent="0.3">
      <c r="A160" s="16" t="s">
        <v>143</v>
      </c>
      <c r="B160" s="54">
        <v>2</v>
      </c>
      <c r="C160" s="54" t="s">
        <v>71</v>
      </c>
      <c r="D160" s="54">
        <v>3</v>
      </c>
      <c r="E160" s="54" t="s">
        <v>70</v>
      </c>
      <c r="F160" s="54">
        <v>0</v>
      </c>
      <c r="G160" s="54" t="s">
        <v>78</v>
      </c>
      <c r="H160" s="17">
        <f ca="1">--TRIM(RIGHT(SUBSTITUTE(LEFT(C159,_xlfn.AGGREGATE(16,6,FIND({0,1,2,3,4,5,6,7,8,9},C159,ROW(INDIRECT("1:"&amp;LEN(C159)))),1))," ",REPT(" ",LEN(C159))),LEN(C159)))</f>
        <v>26</v>
      </c>
      <c r="I160" s="55" t="str">
        <f ca="1">IF(D163=100%,"Excavation","")&amp;IF(D164=100%,", Plinth","")&amp;IF(D165=100%,", RCC Slab","")&amp;IF(D166=100%,", Brickwork","")&amp;IF(D167=100%,", Internal Plaster","")&amp;IF(D168=100%,", External Plaster","")&amp;IF(D169=100%,", Flooring","")&amp;IF(D170=100%,", Painting","")&amp;IF(D171=100%,", Building common Amenities","")</f>
        <v>Excavation</v>
      </c>
      <c r="J160" s="56" t="str">
        <f ca="1">(IF(C163=0,"Work not yet Started.",IF(D163=25%,"Piling work in process",IF(D163=50%,"Excavation work in process",IF(D163=100%,"","0")))))&amp;(IF(C164=0%,"",IF(C164=J165,", Footing work is process",IF(C164=J166,", Footing work Completed",IF(C164=J167,", 1st Basement Completed",IF(C164=J168,", 1st &amp; 2nd Basement Completed",IF(C164=J169,", 1st to 3rd Basement Completed",IF(C164=J170,", 1st to 4th Basement Completed",IF(C164=J171,", Plinth work is process",IF(C164=J172,"","0"))))))))))</f>
        <v>, 1st Basement Completed</v>
      </c>
    </row>
    <row r="161" spans="1:13" x14ac:dyDescent="0.3">
      <c r="A161" s="109" t="s">
        <v>88</v>
      </c>
      <c r="B161" s="110"/>
      <c r="C161" s="111" t="str">
        <f ca="1">(IF($C$56=C159,"All work Completed. OC Received.",I159))</f>
        <v xml:space="preserve">Excavation Completed, 1st Basement Completed </v>
      </c>
      <c r="D161" s="111"/>
      <c r="E161" s="111"/>
      <c r="F161" s="111"/>
      <c r="G161" s="111"/>
      <c r="H161" s="112"/>
      <c r="I161" s="49" t="str">
        <f ca="1">IF(I160&lt;&gt;""," Completed","")</f>
        <v xml:space="preserve"> Completed</v>
      </c>
      <c r="J161" s="50" t="str">
        <f ca="1">IF(J159&lt;&gt;"","Completed","")</f>
        <v/>
      </c>
    </row>
    <row r="162" spans="1:13" ht="15.75" customHeight="1" x14ac:dyDescent="0.3">
      <c r="A162" s="121" t="s">
        <v>48</v>
      </c>
      <c r="B162" s="122"/>
      <c r="C162" s="43" t="s">
        <v>140</v>
      </c>
      <c r="D162" s="43" t="s">
        <v>81</v>
      </c>
      <c r="E162" s="122" t="s">
        <v>83</v>
      </c>
      <c r="F162" s="122"/>
      <c r="G162" s="122" t="s">
        <v>82</v>
      </c>
      <c r="H162" s="175"/>
      <c r="I162" s="14" t="s">
        <v>142</v>
      </c>
      <c r="J162" s="28">
        <f ca="1">H160*25%</f>
        <v>6.5</v>
      </c>
    </row>
    <row r="163" spans="1:13" x14ac:dyDescent="0.3">
      <c r="A163" s="121" t="s">
        <v>129</v>
      </c>
      <c r="B163" s="122"/>
      <c r="C163" s="43">
        <f ca="1">J164</f>
        <v>26</v>
      </c>
      <c r="D163" s="19">
        <f ca="1">((100/H160)*C163)/100</f>
        <v>1</v>
      </c>
      <c r="E163" s="176">
        <f ca="1">(((C164/H160*10)+(40/(D160+F160+H160)*C165)+(7.5/(H160)*C166)+(7.5/(H160)*C167)+(10/H160*C168)+(10/H160*C169)+(5/H160*C170)+(5/H160*C171)+(5/H160*C172))/100)</f>
        <v>7.4999999999999997E-2</v>
      </c>
      <c r="F163" s="177"/>
      <c r="G163" s="176">
        <f ca="1">((((C163/H160)*20)+((C164/H160)*25)+(30/(H160+F160+D160)*C165)+(5/H160*C166)+(5/H160*C167)+(5/H160*C168)+(5/H160*C169)+(0/H160*C170)+(0/H160*C171)+(5/H160*C172))/100)</f>
        <v>0.38750000000000001</v>
      </c>
      <c r="H163" s="231"/>
      <c r="I163" s="14" t="s">
        <v>99</v>
      </c>
      <c r="J163" s="29">
        <f ca="1">H160*50%</f>
        <v>13</v>
      </c>
    </row>
    <row r="164" spans="1:13" x14ac:dyDescent="0.3">
      <c r="A164" s="121" t="s">
        <v>49</v>
      </c>
      <c r="B164" s="122"/>
      <c r="C164" s="58">
        <f ca="1">J167</f>
        <v>19.5</v>
      </c>
      <c r="D164" s="19">
        <f ca="1">((100/H160)*C164)/100</f>
        <v>0.75</v>
      </c>
      <c r="E164" s="178"/>
      <c r="F164" s="179"/>
      <c r="G164" s="178"/>
      <c r="H164" s="232"/>
      <c r="I164" s="14" t="s">
        <v>100</v>
      </c>
      <c r="J164" s="29">
        <f ca="1">H160</f>
        <v>26</v>
      </c>
      <c r="M164"/>
    </row>
    <row r="165" spans="1:13" ht="15.75" customHeight="1" x14ac:dyDescent="0.3">
      <c r="A165" s="121" t="s">
        <v>130</v>
      </c>
      <c r="B165" s="122"/>
      <c r="C165" s="43">
        <v>0</v>
      </c>
      <c r="D165" s="19">
        <f ca="1">((100/(D160+F160+H160))*C165)/100</f>
        <v>0</v>
      </c>
      <c r="E165" s="178"/>
      <c r="F165" s="179"/>
      <c r="G165" s="178"/>
      <c r="H165" s="232"/>
      <c r="I165" s="14" t="s">
        <v>101</v>
      </c>
      <c r="J165" s="30">
        <f ca="1">(IF(B160&gt;1,(H160/(B160+2)),H160/4))</f>
        <v>6.5</v>
      </c>
    </row>
    <row r="166" spans="1:13" ht="15.75" customHeight="1" x14ac:dyDescent="0.3">
      <c r="A166" s="121" t="s">
        <v>137</v>
      </c>
      <c r="B166" s="122" t="s">
        <v>131</v>
      </c>
      <c r="C166" s="43">
        <v>0</v>
      </c>
      <c r="D166" s="19">
        <f ca="1">((100/H160)*C166)/100</f>
        <v>0</v>
      </c>
      <c r="E166" s="178"/>
      <c r="F166" s="179"/>
      <c r="G166" s="178"/>
      <c r="H166" s="232"/>
      <c r="I166" s="14" t="s">
        <v>102</v>
      </c>
      <c r="J166" s="30">
        <f ca="1">(IF(B160&gt;1,(H160/(B160+2)+J165),H160/4+J165))</f>
        <v>13</v>
      </c>
    </row>
    <row r="167" spans="1:13" ht="15.75" customHeight="1" x14ac:dyDescent="0.3">
      <c r="A167" s="121" t="s">
        <v>138</v>
      </c>
      <c r="B167" s="122" t="s">
        <v>131</v>
      </c>
      <c r="C167" s="43">
        <v>0</v>
      </c>
      <c r="D167" s="19">
        <f ca="1">((100/H160)*C167)/100</f>
        <v>0</v>
      </c>
      <c r="E167" s="178"/>
      <c r="F167" s="179"/>
      <c r="G167" s="178"/>
      <c r="H167" s="232"/>
      <c r="I167" s="14" t="s">
        <v>147</v>
      </c>
      <c r="J167" s="30">
        <f ca="1">(IF(B160&gt;1,(H160/(B160+2)+J166),0))</f>
        <v>19.5</v>
      </c>
    </row>
    <row r="168" spans="1:13" ht="15" customHeight="1" x14ac:dyDescent="0.3">
      <c r="A168" s="121" t="s">
        <v>136</v>
      </c>
      <c r="B168" s="122" t="s">
        <v>133</v>
      </c>
      <c r="C168" s="43">
        <v>0</v>
      </c>
      <c r="D168" s="19">
        <f ca="1">((100/(H160))*C168)/100</f>
        <v>0</v>
      </c>
      <c r="E168" s="178"/>
      <c r="F168" s="179"/>
      <c r="G168" s="178"/>
      <c r="H168" s="232"/>
      <c r="I168" s="14" t="s">
        <v>144</v>
      </c>
      <c r="J168" s="30">
        <f>(IF(B160&gt;2,(H160/(B160+2)+J167),0))</f>
        <v>0</v>
      </c>
    </row>
    <row r="169" spans="1:13" ht="15.75" customHeight="1" x14ac:dyDescent="0.3">
      <c r="A169" s="121" t="s">
        <v>132</v>
      </c>
      <c r="B169" s="122" t="s">
        <v>132</v>
      </c>
      <c r="C169" s="43">
        <v>0</v>
      </c>
      <c r="D169" s="19">
        <f ca="1">((100/H160)*C169)/100</f>
        <v>0</v>
      </c>
      <c r="E169" s="178"/>
      <c r="F169" s="179"/>
      <c r="G169" s="178"/>
      <c r="H169" s="232"/>
      <c r="I169" s="14" t="s">
        <v>145</v>
      </c>
      <c r="J169" s="31">
        <f>(IF(B160&gt;3,(H160/(B160+2)+J168),0))</f>
        <v>0</v>
      </c>
    </row>
    <row r="170" spans="1:13" ht="15.75" customHeight="1" x14ac:dyDescent="0.3">
      <c r="A170" s="121" t="s">
        <v>139</v>
      </c>
      <c r="B170" s="122"/>
      <c r="C170" s="43">
        <v>0</v>
      </c>
      <c r="D170" s="19">
        <f ca="1">((100/H160)*C170)/100</f>
        <v>0</v>
      </c>
      <c r="E170" s="178"/>
      <c r="F170" s="179"/>
      <c r="G170" s="178"/>
      <c r="H170" s="232"/>
      <c r="I170" s="14" t="s">
        <v>146</v>
      </c>
      <c r="J170" s="30">
        <f>(IF(B160&gt;4,(H160/(B160+2)+J169),0))</f>
        <v>0</v>
      </c>
    </row>
    <row r="171" spans="1:13" ht="15.75" customHeight="1" x14ac:dyDescent="0.3">
      <c r="A171" s="121" t="s">
        <v>134</v>
      </c>
      <c r="B171" s="122" t="s">
        <v>134</v>
      </c>
      <c r="C171" s="43">
        <v>0</v>
      </c>
      <c r="D171" s="19">
        <f ca="1">((100/(H160))*C171)/100</f>
        <v>0</v>
      </c>
      <c r="E171" s="178"/>
      <c r="F171" s="179"/>
      <c r="G171" s="178"/>
      <c r="H171" s="232"/>
      <c r="I171" s="14" t="s">
        <v>148</v>
      </c>
      <c r="J171" s="30">
        <f>(IF(B160=1,(H160/(B160+3)+J166),IF(B160=0,(H160/4+J166),IF(B160&gt;1,0))))</f>
        <v>0</v>
      </c>
    </row>
    <row r="172" spans="1:13" ht="16.2" thickBot="1" x14ac:dyDescent="0.35">
      <c r="A172" s="123" t="s">
        <v>135</v>
      </c>
      <c r="B172" s="124"/>
      <c r="C172" s="44">
        <v>0</v>
      </c>
      <c r="D172" s="20">
        <f ca="1">((100/(H160))*C172)/100</f>
        <v>0</v>
      </c>
      <c r="E172" s="180"/>
      <c r="F172" s="181"/>
      <c r="G172" s="180"/>
      <c r="H172" s="233"/>
      <c r="I172" s="15" t="s">
        <v>103</v>
      </c>
      <c r="J172" s="32">
        <f ca="1">(IF(B160&gt;1.5,(H160/(B160+2)+J166+MAX(0,J167-J166)+MAX(0,J168-J167)+MAX(0,J169-J168)+MAX(0,J170-J169)+MAX(0,J171-J170)),IF(B160=1,(H160/(B160+3)+J171),IF(B160=0,H160/4+J171))))</f>
        <v>26</v>
      </c>
    </row>
    <row r="173" spans="1:13" x14ac:dyDescent="0.3">
      <c r="A173" s="242" t="s">
        <v>159</v>
      </c>
      <c r="B173" s="242"/>
      <c r="C173" s="242"/>
      <c r="D173" s="242"/>
      <c r="E173" s="242"/>
      <c r="F173" s="189" t="s">
        <v>163</v>
      </c>
      <c r="G173" s="189"/>
      <c r="H173" s="189"/>
    </row>
    <row r="174" spans="1:13" x14ac:dyDescent="0.3">
      <c r="A174" s="116" t="s">
        <v>162</v>
      </c>
      <c r="B174" s="116"/>
      <c r="C174" s="116"/>
      <c r="D174" s="116"/>
      <c r="E174" s="116"/>
      <c r="F174" s="165">
        <v>25000</v>
      </c>
      <c r="G174" s="165"/>
      <c r="H174" s="165"/>
      <c r="J174" s="21" t="s">
        <v>203</v>
      </c>
    </row>
    <row r="175" spans="1:13" x14ac:dyDescent="0.3">
      <c r="A175" s="116" t="s">
        <v>161</v>
      </c>
      <c r="B175" s="116"/>
      <c r="C175" s="116"/>
      <c r="D175" s="116"/>
      <c r="E175" s="116"/>
      <c r="F175" s="165">
        <v>45000</v>
      </c>
      <c r="G175" s="165"/>
      <c r="H175" s="165"/>
      <c r="J175" s="21" t="s">
        <v>201</v>
      </c>
    </row>
    <row r="176" spans="1:13" x14ac:dyDescent="0.3">
      <c r="A176" s="116" t="s">
        <v>198</v>
      </c>
      <c r="B176" s="116"/>
      <c r="C176" s="116"/>
      <c r="D176" s="116"/>
      <c r="E176" s="116"/>
      <c r="F176" s="165">
        <v>37000</v>
      </c>
      <c r="G176" s="165"/>
      <c r="H176" s="165"/>
      <c r="I176" s="21" t="s">
        <v>199</v>
      </c>
    </row>
    <row r="177" spans="1:10" s="33" customFormat="1" hidden="1" x14ac:dyDescent="0.25">
      <c r="A177" s="116" t="s">
        <v>160</v>
      </c>
      <c r="B177" s="116"/>
      <c r="C177" s="116"/>
      <c r="D177" s="116"/>
      <c r="E177" s="116"/>
      <c r="F177" s="165"/>
      <c r="G177" s="165"/>
      <c r="H177" s="165"/>
    </row>
    <row r="178" spans="1:10" s="33" customFormat="1" hidden="1" x14ac:dyDescent="0.25">
      <c r="A178" s="116" t="s">
        <v>93</v>
      </c>
      <c r="B178" s="116"/>
      <c r="C178" s="116"/>
      <c r="D178" s="116"/>
      <c r="E178" s="116"/>
      <c r="F178" s="165"/>
      <c r="G178" s="165"/>
      <c r="H178" s="165"/>
    </row>
    <row r="179" spans="1:10" s="33" customFormat="1" hidden="1" x14ac:dyDescent="0.25">
      <c r="A179" s="116" t="s">
        <v>94</v>
      </c>
      <c r="B179" s="116"/>
      <c r="C179" s="116"/>
      <c r="D179" s="116"/>
      <c r="E179" s="116"/>
      <c r="F179" s="165"/>
      <c r="G179" s="165"/>
      <c r="H179" s="165"/>
    </row>
    <row r="180" spans="1:10" s="33" customFormat="1" hidden="1" x14ac:dyDescent="0.25">
      <c r="A180" s="116" t="s">
        <v>164</v>
      </c>
      <c r="B180" s="116"/>
      <c r="C180" s="116"/>
      <c r="D180" s="116"/>
      <c r="E180" s="116"/>
      <c r="F180" s="165"/>
      <c r="G180" s="165"/>
      <c r="H180" s="165"/>
    </row>
    <row r="181" spans="1:10" s="33" customFormat="1" hidden="1" x14ac:dyDescent="0.25">
      <c r="A181" s="116" t="s">
        <v>95</v>
      </c>
      <c r="B181" s="116"/>
      <c r="C181" s="116"/>
      <c r="D181" s="116"/>
      <c r="E181" s="116"/>
      <c r="F181" s="165"/>
      <c r="G181" s="165"/>
      <c r="H181" s="165"/>
    </row>
    <row r="182" spans="1:10" s="33" customFormat="1" hidden="1" x14ac:dyDescent="0.25">
      <c r="A182" s="116" t="s">
        <v>96</v>
      </c>
      <c r="B182" s="116"/>
      <c r="C182" s="116"/>
      <c r="D182" s="116"/>
      <c r="E182" s="116"/>
      <c r="F182" s="165"/>
      <c r="G182" s="165"/>
      <c r="H182" s="165"/>
    </row>
    <row r="183" spans="1:10" s="33" customFormat="1" hidden="1" x14ac:dyDescent="0.25">
      <c r="A183" s="116" t="s">
        <v>97</v>
      </c>
      <c r="B183" s="116"/>
      <c r="C183" s="116"/>
      <c r="D183" s="116"/>
      <c r="E183" s="116"/>
      <c r="F183" s="165"/>
      <c r="G183" s="165"/>
      <c r="H183" s="165"/>
    </row>
    <row r="184" spans="1:10" s="33" customFormat="1" hidden="1" x14ac:dyDescent="0.25">
      <c r="A184" s="116" t="s">
        <v>98</v>
      </c>
      <c r="B184" s="116"/>
      <c r="C184" s="116"/>
      <c r="D184" s="116"/>
      <c r="E184" s="116"/>
      <c r="F184" s="165"/>
      <c r="G184" s="165"/>
      <c r="H184" s="165"/>
    </row>
    <row r="185" spans="1:10" x14ac:dyDescent="0.3">
      <c r="A185" s="194" t="s">
        <v>50</v>
      </c>
      <c r="B185" s="194"/>
      <c r="C185" s="194"/>
      <c r="D185" s="194"/>
      <c r="E185" s="194"/>
      <c r="F185" s="165">
        <v>1500000</v>
      </c>
      <c r="G185" s="165"/>
      <c r="H185" s="165"/>
      <c r="I185" s="21" t="s">
        <v>286</v>
      </c>
      <c r="J185" s="21" t="s">
        <v>287</v>
      </c>
    </row>
    <row r="186" spans="1:10" s="34" customFormat="1" x14ac:dyDescent="0.3">
      <c r="A186" s="110" t="s">
        <v>51</v>
      </c>
      <c r="B186" s="110"/>
      <c r="C186" s="110"/>
      <c r="D186" s="110"/>
      <c r="E186" s="110"/>
      <c r="F186" s="165">
        <f>F174*0.8</f>
        <v>20000</v>
      </c>
      <c r="G186" s="165"/>
      <c r="H186" s="165"/>
    </row>
    <row r="187" spans="1:10" s="35" customFormat="1" ht="15.75" customHeight="1" x14ac:dyDescent="0.3">
      <c r="A187" s="215" t="s">
        <v>197</v>
      </c>
      <c r="B187" s="215"/>
      <c r="C187" s="215"/>
      <c r="D187" s="215"/>
      <c r="E187" s="215"/>
      <c r="F187" s="215"/>
      <c r="G187" s="215"/>
      <c r="H187" s="215"/>
    </row>
    <row r="188" spans="1:10" s="35" customFormat="1" ht="15.75" customHeight="1" x14ac:dyDescent="0.3">
      <c r="A188" s="216" t="s">
        <v>52</v>
      </c>
      <c r="B188" s="216"/>
      <c r="C188" s="91" t="s">
        <v>76</v>
      </c>
      <c r="D188" s="91"/>
      <c r="E188" s="93" t="s">
        <v>53</v>
      </c>
      <c r="F188" s="93"/>
      <c r="G188" s="216" t="s">
        <v>54</v>
      </c>
      <c r="H188" s="216"/>
    </row>
    <row r="189" spans="1:10" s="35" customFormat="1" ht="15.6" customHeight="1" x14ac:dyDescent="0.3">
      <c r="A189" s="88" t="s">
        <v>228</v>
      </c>
      <c r="B189" s="88"/>
      <c r="C189" s="89">
        <f>COUNT(D223)+COUNT(D231)</f>
        <v>2</v>
      </c>
      <c r="D189" s="90"/>
      <c r="E189" s="86">
        <f>SUM(D223)+SUM(D231)</f>
        <v>2630.5461467999999</v>
      </c>
      <c r="F189" s="87"/>
      <c r="G189" s="86">
        <f>SUM(F223)+SUM(F231)</f>
        <v>4208.8738348799998</v>
      </c>
      <c r="H189" s="87"/>
    </row>
    <row r="190" spans="1:10" s="35" customFormat="1" ht="15.6" customHeight="1" x14ac:dyDescent="0.3">
      <c r="A190" s="88" t="s">
        <v>232</v>
      </c>
      <c r="B190" s="88"/>
      <c r="C190" s="89">
        <f>COUNT(D216:D221)+COUNT(D224:D229)+COUNT(D232:D237)</f>
        <v>18</v>
      </c>
      <c r="D190" s="90"/>
      <c r="E190" s="86">
        <f>SUM(D216:D221)+SUM(D224:D229)+SUM(D232:D237)</f>
        <v>24611.695477199995</v>
      </c>
      <c r="F190" s="87"/>
      <c r="G190" s="86">
        <f>SUM(F216:F221)+SUM(F224:F229)+SUM(F232:F237)</f>
        <v>39378.712763520001</v>
      </c>
      <c r="H190" s="87"/>
    </row>
    <row r="191" spans="1:10" s="35" customFormat="1" x14ac:dyDescent="0.3">
      <c r="A191" s="88" t="s">
        <v>196</v>
      </c>
      <c r="B191" s="88"/>
      <c r="C191" s="89">
        <f>COUNT(D241:D248)+COUNT(D250:D257)</f>
        <v>16</v>
      </c>
      <c r="D191" s="90"/>
      <c r="E191" s="86">
        <f>SUM(D241:D248)+SUM(D250:D257)</f>
        <v>19461.817907999997</v>
      </c>
      <c r="F191" s="87"/>
      <c r="G191" s="86">
        <f>SUM(F241:F248)+SUM(F250:F257)</f>
        <v>31138.908652799997</v>
      </c>
      <c r="H191" s="87"/>
    </row>
    <row r="192" spans="1:10" s="35" customFormat="1" x14ac:dyDescent="0.3">
      <c r="A192" s="88" t="s">
        <v>225</v>
      </c>
      <c r="B192" s="88"/>
      <c r="C192" s="89">
        <f>COUNT(D262:D269)</f>
        <v>8</v>
      </c>
      <c r="D192" s="90"/>
      <c r="E192" s="86">
        <f>SUM(D262:D269)</f>
        <v>3854.9705220000001</v>
      </c>
      <c r="F192" s="87"/>
      <c r="G192" s="86">
        <f>SUM(F262:F269)</f>
        <v>6167.9528352000007</v>
      </c>
      <c r="H192" s="87"/>
    </row>
    <row r="193" spans="1:8" s="35" customFormat="1" x14ac:dyDescent="0.3">
      <c r="A193" s="88" t="s">
        <v>226</v>
      </c>
      <c r="B193" s="88"/>
      <c r="C193" s="89">
        <f>COUNT(D274:D280)</f>
        <v>7</v>
      </c>
      <c r="D193" s="90"/>
      <c r="E193" s="86">
        <f>SUM(D274:D280)</f>
        <v>4135.47498</v>
      </c>
      <c r="F193" s="87"/>
      <c r="G193" s="86">
        <f>SUM(F274:F280)</f>
        <v>6616.7599680000003</v>
      </c>
      <c r="H193" s="87"/>
    </row>
    <row r="194" spans="1:8" s="35" customFormat="1" x14ac:dyDescent="0.3">
      <c r="A194" s="88" t="s">
        <v>272</v>
      </c>
      <c r="B194" s="88"/>
      <c r="C194" s="89">
        <v>3</v>
      </c>
      <c r="D194" s="90"/>
      <c r="E194" s="86">
        <f>SUM(D285:D287)</f>
        <v>1808.7997823999999</v>
      </c>
      <c r="F194" s="87"/>
      <c r="G194" s="86">
        <f>SUM(F285:F287)</f>
        <v>2894.0796518400002</v>
      </c>
      <c r="H194" s="87"/>
    </row>
    <row r="195" spans="1:8" s="64" customFormat="1" x14ac:dyDescent="0.3">
      <c r="A195" s="88" t="s">
        <v>256</v>
      </c>
      <c r="B195" s="88"/>
      <c r="C195" s="86">
        <f>COUNT(D291:D292)+COUNT(D294:D295)+COUNT(D297:D298)</f>
        <v>6</v>
      </c>
      <c r="D195" s="86"/>
      <c r="E195" s="86">
        <f>SUM(D291:D292)+SUM(D294:D295)+SUM(D297:D298)</f>
        <v>6669.815724</v>
      </c>
      <c r="F195" s="87"/>
      <c r="G195" s="86">
        <f>SUM(F291:F292)+SUM(F294:F295)+SUM(F297:F298)</f>
        <v>10671.705158400002</v>
      </c>
      <c r="H195" s="87"/>
    </row>
    <row r="196" spans="1:8" s="35" customFormat="1" x14ac:dyDescent="0.3">
      <c r="A196" s="88" t="s">
        <v>242</v>
      </c>
      <c r="B196" s="88"/>
      <c r="C196" s="86">
        <f>COUNT(D302:D306)+COUNT(D308:D312)+COUNT(D314:D318)</f>
        <v>15</v>
      </c>
      <c r="D196" s="87"/>
      <c r="E196" s="86">
        <f>SUM(D302:D306)+SUM(D308:D312)+SUM(D314:D318)</f>
        <v>13448.154095999998</v>
      </c>
      <c r="F196" s="87"/>
      <c r="G196" s="86">
        <f>SUM(F302:F306)+SUM(F308:F312)+SUM(F314:F318)</f>
        <v>21517.046553600005</v>
      </c>
      <c r="H196" s="87"/>
    </row>
    <row r="197" spans="1:8" s="35" customFormat="1" x14ac:dyDescent="0.3">
      <c r="A197" s="215" t="s">
        <v>234</v>
      </c>
      <c r="B197" s="215"/>
      <c r="C197" s="92">
        <f>SUM(C189:C196)</f>
        <v>75</v>
      </c>
      <c r="D197" s="91"/>
      <c r="E197" s="92">
        <f>SUM(E189:E196)</f>
        <v>76621.27463639999</v>
      </c>
      <c r="F197" s="91"/>
      <c r="G197" s="92">
        <f>SUM(G189:G196)</f>
        <v>122594.03941823999</v>
      </c>
      <c r="H197" s="91"/>
    </row>
    <row r="198" spans="1:8" s="35" customFormat="1" x14ac:dyDescent="0.3">
      <c r="A198" s="215" t="s">
        <v>195</v>
      </c>
      <c r="B198" s="215"/>
      <c r="C198" s="215"/>
      <c r="D198" s="215"/>
      <c r="E198" s="215"/>
      <c r="F198" s="215"/>
      <c r="G198" s="215"/>
      <c r="H198" s="215"/>
    </row>
    <row r="199" spans="1:8" s="35" customFormat="1" ht="15.75" customHeight="1" x14ac:dyDescent="0.3">
      <c r="A199" s="216" t="s">
        <v>52</v>
      </c>
      <c r="B199" s="216"/>
      <c r="C199" s="91" t="s">
        <v>76</v>
      </c>
      <c r="D199" s="91"/>
      <c r="E199" s="93" t="s">
        <v>53</v>
      </c>
      <c r="F199" s="93"/>
      <c r="G199" s="216" t="s">
        <v>54</v>
      </c>
      <c r="H199" s="216"/>
    </row>
    <row r="200" spans="1:8" s="35" customFormat="1" x14ac:dyDescent="0.3">
      <c r="A200" s="88" t="s">
        <v>227</v>
      </c>
      <c r="B200" s="88"/>
      <c r="C200" s="90">
        <f>COUNT(D325:D328)*23+COUNT(D330,D332:D333)*2+COUNT(D335,D337:D338)</f>
        <v>101</v>
      </c>
      <c r="D200" s="90"/>
      <c r="E200" s="86">
        <f>SUM(D325:D328)*23+SUM(D330,D332:D333)*2+SUM(D335,D337:D338)</f>
        <v>194463.84807719995</v>
      </c>
      <c r="F200" s="86"/>
      <c r="G200" s="86">
        <f>SUM(F325:F328)*23+SUM(F330,F332:F333)*2+SUM(F335,F337:F338)</f>
        <v>311142.15692351997</v>
      </c>
      <c r="H200" s="86"/>
    </row>
    <row r="201" spans="1:8" s="35" customFormat="1" x14ac:dyDescent="0.3">
      <c r="A201" s="88" t="s">
        <v>171</v>
      </c>
      <c r="B201" s="88"/>
      <c r="C201" s="90">
        <f>COUNT(D342:D345)+COUNT(D347:D350)*20+COUNT(D352,D354:D355)*2+COUNT(D357,D359:D360)</f>
        <v>93</v>
      </c>
      <c r="D201" s="90"/>
      <c r="E201" s="86">
        <f>SUM(D342:D345)+SUM(D347:D350)*20+SUM(D352,D354:D355)*2+SUM(D357,D359:D360)</f>
        <v>152644.7877552</v>
      </c>
      <c r="F201" s="86"/>
      <c r="G201" s="86">
        <f>SUM(F342:F345)+SUM(F347:F350)*20+SUM(F352,F354:F355)*2+SUM(F357,F359:F360)</f>
        <v>244231.66040832005</v>
      </c>
      <c r="H201" s="86"/>
    </row>
    <row r="202" spans="1:8" s="35" customFormat="1" ht="15.75" customHeight="1" x14ac:dyDescent="0.3">
      <c r="A202" s="88" t="s">
        <v>192</v>
      </c>
      <c r="B202" s="88"/>
      <c r="C202" s="90">
        <f>COUNT(D364,D368:D370)+COUNT(D372:D373,D375:D378)+COUNT(D380:D386)+COUNT(D388:D394)*16+COUNT(D398:D402)*2+COUNT(D404,D406:D410)</f>
        <v>145</v>
      </c>
      <c r="D202" s="90"/>
      <c r="E202" s="86">
        <f>SUM(D364,D368:D370)+SUM(D372:D373,D375:D378)+SUM(D380:D386)+SUM(D388:D394)*16+SUM(D398:D402)*2+SUM(D404,D406:D410)</f>
        <v>141412.18993199998</v>
      </c>
      <c r="F202" s="86"/>
      <c r="G202" s="86">
        <f>SUM(F364,F368:F370)+SUM(F372:F373,F375:F378)+SUM(F380:F386)+SUM(F388:F394)*16+SUM(F398:F402)*2+SUM(F404,F406:F410)</f>
        <v>226313.00097120003</v>
      </c>
      <c r="H202" s="86"/>
    </row>
    <row r="203" spans="1:8" s="35" customFormat="1" ht="15.75" customHeight="1" x14ac:dyDescent="0.3">
      <c r="A203" s="88" t="s">
        <v>194</v>
      </c>
      <c r="B203" s="88"/>
      <c r="C203" s="90">
        <f>COUNT(D414:D418)+COUNT(D423:D428)+COUNT(D432:D439)*17+COUNT(D443:D448)*2+COUNT(D450,D452:D457)</f>
        <v>166</v>
      </c>
      <c r="D203" s="90"/>
      <c r="E203" s="86">
        <f>SUM(D414:D418)+SUM(D423:D428)+SUM(D432:D439)*17+SUM(D443:D448)*2+SUM(D450,D452:D457)</f>
        <v>136779.5710008</v>
      </c>
      <c r="F203" s="86"/>
      <c r="G203" s="86">
        <f>SUM(F414:F418)+SUM(F423:F428)+SUM(F432:F439)*17+SUM(F443:F448)*2+SUM(F450,F452:F457)</f>
        <v>218847.31360128001</v>
      </c>
      <c r="H203" s="86"/>
    </row>
    <row r="204" spans="1:8" s="35" customFormat="1" ht="15.75" customHeight="1" x14ac:dyDescent="0.3">
      <c r="A204" s="88" t="s">
        <v>272</v>
      </c>
      <c r="B204" s="88"/>
      <c r="C204" s="90">
        <f>COUNT(D461:D470)+COUNT(D472:D481)*21+COUNT(D485:D492)*3</f>
        <v>244</v>
      </c>
      <c r="D204" s="90"/>
      <c r="E204" s="86">
        <f>SUM(D461:D470)+SUM(D472:D481)*21+SUM(D485:D492)*3</f>
        <v>119788.874712</v>
      </c>
      <c r="F204" s="86"/>
      <c r="G204" s="86">
        <f>SUM(F461:F470)+SUM(F472:F481)*21+SUM(F485:F492)*3</f>
        <v>191662.19953919997</v>
      </c>
      <c r="H204" s="86"/>
    </row>
    <row r="205" spans="1:8" s="35" customFormat="1" ht="15.75" customHeight="1" x14ac:dyDescent="0.3">
      <c r="A205" s="88" t="s">
        <v>255</v>
      </c>
      <c r="B205" s="88"/>
      <c r="C205" s="86">
        <f>COUNT(D496:D500)*23+COUNT(D503:D506)*2+COUNT(D509:D512)</f>
        <v>127</v>
      </c>
      <c r="D205" s="86"/>
      <c r="E205" s="86">
        <f>SUM(D496:D500)*23+SUM(D503:D506)*2+SUM(D509:D512)</f>
        <v>195505.30813319999</v>
      </c>
      <c r="F205" s="86"/>
      <c r="G205" s="86">
        <f>SUM(F496:F500)*23+SUM(F503:F506)*2+SUM(F509:F512)</f>
        <v>312808.49301312002</v>
      </c>
      <c r="H205" s="86"/>
    </row>
    <row r="206" spans="1:8" s="35" customFormat="1" ht="15.75" customHeight="1" x14ac:dyDescent="0.3">
      <c r="A206" s="88" t="s">
        <v>235</v>
      </c>
      <c r="B206" s="88"/>
      <c r="C206" s="86">
        <f>COUNT(D516:D520)*23+COUNT(D522,D525:D526)*2+COUNT(D528,D531:D532)</f>
        <v>124</v>
      </c>
      <c r="D206" s="86"/>
      <c r="E206" s="86">
        <f>SUM(D516:D520)*23+SUM(D522,D525:D526)*2+SUM(D528,D531:D532)</f>
        <v>192420.9323712</v>
      </c>
      <c r="F206" s="86"/>
      <c r="G206" s="86">
        <f>SUM(F516:F520)*23+SUM(F522,F525:F526)*2+SUM(F528,F531:F532)</f>
        <v>307873.49179391999</v>
      </c>
      <c r="H206" s="86"/>
    </row>
    <row r="207" spans="1:8" s="57" customFormat="1" ht="15.75" customHeight="1" x14ac:dyDescent="0.3">
      <c r="A207" s="215" t="s">
        <v>152</v>
      </c>
      <c r="B207" s="215"/>
      <c r="C207" s="91">
        <f>SUM(C200:D206)</f>
        <v>1000</v>
      </c>
      <c r="D207" s="91"/>
      <c r="E207" s="92">
        <f>SUM(E200:F206)</f>
        <v>1133015.5119816</v>
      </c>
      <c r="F207" s="92"/>
      <c r="G207" s="92">
        <f>SUM(G200:H206)</f>
        <v>1812878.3162505601</v>
      </c>
      <c r="H207" s="92"/>
    </row>
    <row r="208" spans="1:8" s="57" customFormat="1" ht="15.75" customHeight="1" x14ac:dyDescent="0.3">
      <c r="A208" s="243" t="s">
        <v>223</v>
      </c>
      <c r="B208" s="243"/>
      <c r="C208" s="229">
        <f>C197+C207</f>
        <v>1075</v>
      </c>
      <c r="D208" s="230"/>
      <c r="E208" s="229">
        <f>E197+E207</f>
        <v>1209636.7866179999</v>
      </c>
      <c r="F208" s="230"/>
      <c r="G208" s="229">
        <f>G197+G207</f>
        <v>1935472.3556688002</v>
      </c>
      <c r="H208" s="230"/>
    </row>
    <row r="209" spans="1:14" s="34" customFormat="1" x14ac:dyDescent="0.3">
      <c r="A209" s="140" t="s">
        <v>55</v>
      </c>
      <c r="B209" s="140"/>
      <c r="C209" s="140"/>
      <c r="D209" s="140"/>
      <c r="E209" s="140"/>
      <c r="F209" s="140"/>
      <c r="G209" s="140"/>
      <c r="H209" s="140"/>
    </row>
    <row r="210" spans="1:14" x14ac:dyDescent="0.3">
      <c r="A210" s="140" t="s">
        <v>56</v>
      </c>
      <c r="B210" s="140"/>
      <c r="C210" s="140"/>
      <c r="D210" s="140"/>
      <c r="E210" s="140"/>
      <c r="F210" s="140"/>
      <c r="G210" s="140"/>
      <c r="H210" s="140"/>
    </row>
    <row r="211" spans="1:14" ht="47.25" customHeight="1" x14ac:dyDescent="0.3">
      <c r="A211" s="138" t="s">
        <v>118</v>
      </c>
      <c r="B211" s="138" t="s">
        <v>117</v>
      </c>
      <c r="C211" s="138" t="s">
        <v>57</v>
      </c>
      <c r="D211" s="138" t="s">
        <v>58</v>
      </c>
      <c r="E211" s="182" t="s">
        <v>158</v>
      </c>
      <c r="F211" s="42" t="s">
        <v>151</v>
      </c>
      <c r="G211" s="145" t="s">
        <v>60</v>
      </c>
      <c r="H211" s="184"/>
    </row>
    <row r="212" spans="1:14" s="46" customFormat="1" x14ac:dyDescent="0.3">
      <c r="A212" s="139"/>
      <c r="B212" s="139"/>
      <c r="C212" s="139"/>
      <c r="D212" s="139"/>
      <c r="E212" s="183"/>
      <c r="F212" s="13">
        <v>0.6</v>
      </c>
      <c r="G212" s="146"/>
      <c r="H212" s="185"/>
    </row>
    <row r="213" spans="1:14" s="46" customFormat="1" x14ac:dyDescent="0.3">
      <c r="A213" s="83" t="s">
        <v>227</v>
      </c>
      <c r="B213" s="84"/>
      <c r="C213" s="84"/>
      <c r="D213" s="84"/>
      <c r="E213" s="84"/>
      <c r="F213" s="84"/>
      <c r="G213" s="84"/>
      <c r="H213" s="85"/>
      <c r="J213" s="36"/>
    </row>
    <row r="214" spans="1:14" s="46" customFormat="1" x14ac:dyDescent="0.3">
      <c r="A214" s="74" t="s">
        <v>230</v>
      </c>
      <c r="B214" s="75"/>
      <c r="C214" s="75"/>
      <c r="D214" s="75"/>
      <c r="E214" s="75"/>
      <c r="F214" s="75"/>
      <c r="G214" s="75"/>
      <c r="H214" s="76"/>
      <c r="J214" s="36"/>
    </row>
    <row r="215" spans="1:14" s="46" customFormat="1" x14ac:dyDescent="0.3">
      <c r="A215" s="74" t="s">
        <v>229</v>
      </c>
      <c r="B215" s="75"/>
      <c r="C215" s="75"/>
      <c r="D215" s="75"/>
      <c r="E215" s="75"/>
      <c r="F215" s="75"/>
      <c r="G215" s="75"/>
      <c r="H215" s="76"/>
      <c r="J215" s="36"/>
    </row>
    <row r="216" spans="1:14" s="46" customFormat="1" ht="15.6" customHeight="1" x14ac:dyDescent="0.3">
      <c r="A216" s="77">
        <v>1</v>
      </c>
      <c r="B216" s="78"/>
      <c r="C216" s="41" t="s">
        <v>231</v>
      </c>
      <c r="D216" s="41">
        <f>(9.94*13.45+8.29*3.39+1.5*2.1)*10.764</f>
        <v>1775.4798203999997</v>
      </c>
      <c r="E216" s="41">
        <v>0</v>
      </c>
      <c r="F216" s="41">
        <f t="shared" ref="F216:F221" si="0">(D216+E216)*(($F$212)+1)</f>
        <v>2840.7677126399994</v>
      </c>
      <c r="G216" s="79" t="str">
        <f>A215</f>
        <v>2nd pt Basement/Gr For Parking &amp; Commercial</v>
      </c>
      <c r="H216" s="80"/>
      <c r="I216" s="36"/>
      <c r="L216" s="73"/>
      <c r="M216" s="73"/>
      <c r="N216" s="36"/>
    </row>
    <row r="217" spans="1:14" s="46" customFormat="1" ht="15.6" customHeight="1" x14ac:dyDescent="0.3">
      <c r="A217" s="77">
        <f t="shared" ref="A217:A221" si="1">A216+1</f>
        <v>2</v>
      </c>
      <c r="B217" s="78"/>
      <c r="C217" s="41" t="s">
        <v>231</v>
      </c>
      <c r="D217" s="41">
        <f>(8.57*13.45+6.87*2.75+1.5*2.1)*10.764</f>
        <v>1477.9940759999999</v>
      </c>
      <c r="E217" s="41">
        <v>0</v>
      </c>
      <c r="F217" s="41">
        <f t="shared" si="0"/>
        <v>2364.7905215999999</v>
      </c>
      <c r="G217" s="81"/>
      <c r="H217" s="82"/>
      <c r="I217" s="36"/>
      <c r="L217" s="73"/>
      <c r="M217" s="73"/>
      <c r="N217" s="36"/>
    </row>
    <row r="218" spans="1:14" s="46" customFormat="1" ht="15.6" customHeight="1" x14ac:dyDescent="0.3">
      <c r="A218" s="77">
        <f t="shared" si="1"/>
        <v>3</v>
      </c>
      <c r="B218" s="78"/>
      <c r="C218" s="41" t="s">
        <v>231</v>
      </c>
      <c r="D218" s="41">
        <f>(8.29*13.49+6.64*3.35+1.5*2.1)*10.764</f>
        <v>1477.1017403999999</v>
      </c>
      <c r="E218" s="41">
        <v>0</v>
      </c>
      <c r="F218" s="41">
        <f t="shared" si="0"/>
        <v>2363.36278464</v>
      </c>
      <c r="G218" s="81"/>
      <c r="H218" s="82"/>
      <c r="I218" s="36"/>
      <c r="L218" s="73"/>
      <c r="M218" s="73"/>
      <c r="N218" s="36"/>
    </row>
    <row r="219" spans="1:14" s="46" customFormat="1" ht="15.6" customHeight="1" x14ac:dyDescent="0.3">
      <c r="A219" s="77">
        <f t="shared" si="1"/>
        <v>4</v>
      </c>
      <c r="B219" s="78"/>
      <c r="C219" s="41" t="s">
        <v>231</v>
      </c>
      <c r="D219" s="41">
        <f>(9.52*13.49+7.87*3.35+1.5*2.1)*10.764</f>
        <v>1700.0586251999998</v>
      </c>
      <c r="E219" s="41">
        <v>0</v>
      </c>
      <c r="F219" s="41">
        <f t="shared" si="0"/>
        <v>2720.0938003199999</v>
      </c>
      <c r="G219" s="81"/>
      <c r="H219" s="82"/>
      <c r="I219" s="36"/>
      <c r="L219" s="73"/>
      <c r="M219" s="73"/>
      <c r="N219" s="36"/>
    </row>
    <row r="220" spans="1:14" s="46" customFormat="1" ht="15.6" customHeight="1" x14ac:dyDescent="0.3">
      <c r="A220" s="77">
        <f t="shared" si="1"/>
        <v>5</v>
      </c>
      <c r="B220" s="78"/>
      <c r="C220" s="41" t="s">
        <v>231</v>
      </c>
      <c r="D220" s="41">
        <f>(84.18+7.3*3.67+0.75*16.09+3.34*1.87+2.1*1.5)*10.764</f>
        <v>1425.5228052</v>
      </c>
      <c r="E220" s="41">
        <v>0</v>
      </c>
      <c r="F220" s="41">
        <f t="shared" si="0"/>
        <v>2280.8364883200002</v>
      </c>
      <c r="G220" s="81"/>
      <c r="H220" s="82"/>
      <c r="I220" s="36"/>
      <c r="L220" s="73"/>
      <c r="M220" s="73"/>
      <c r="N220" s="36"/>
    </row>
    <row r="221" spans="1:14" s="46" customFormat="1" ht="15.6" customHeight="1" x14ac:dyDescent="0.3">
      <c r="A221" s="77">
        <f t="shared" si="1"/>
        <v>6</v>
      </c>
      <c r="B221" s="78"/>
      <c r="C221" s="41" t="s">
        <v>231</v>
      </c>
      <c r="D221" s="41">
        <f>(7.04*7.37+5.39*3.35+2.1*1.5)*10.764</f>
        <v>786.75475319999998</v>
      </c>
      <c r="E221" s="41">
        <v>0</v>
      </c>
      <c r="F221" s="41">
        <f t="shared" si="0"/>
        <v>1258.8076051200001</v>
      </c>
      <c r="G221" s="81"/>
      <c r="H221" s="82"/>
      <c r="I221" s="36"/>
      <c r="L221" s="73"/>
      <c r="M221" s="73"/>
      <c r="N221" s="36"/>
    </row>
    <row r="222" spans="1:14" s="46" customFormat="1" x14ac:dyDescent="0.3">
      <c r="A222" s="74" t="s">
        <v>209</v>
      </c>
      <c r="B222" s="75"/>
      <c r="C222" s="75"/>
      <c r="D222" s="75"/>
      <c r="E222" s="75"/>
      <c r="F222" s="75"/>
      <c r="G222" s="75"/>
      <c r="H222" s="76"/>
      <c r="J222" s="36"/>
    </row>
    <row r="223" spans="1:14" s="46" customFormat="1" ht="15.6" customHeight="1" x14ac:dyDescent="0.3">
      <c r="A223" s="72">
        <v>9</v>
      </c>
      <c r="B223" s="72"/>
      <c r="C223" s="41" t="s">
        <v>188</v>
      </c>
      <c r="D223" s="41">
        <f>(10.56*11.52+6.46*4.52+2.23*0.78+6.66*0.78)*10.764</f>
        <v>1698.3934343999997</v>
      </c>
      <c r="E223" s="41">
        <v>0</v>
      </c>
      <c r="F223" s="41">
        <f t="shared" ref="F223:F229" si="2">(D223+E223)*(($F$212)+1)</f>
        <v>2717.4294950399999</v>
      </c>
      <c r="G223" s="72" t="str">
        <f>A222</f>
        <v>1st pt Basement/Gr For Parking &amp; Commercial</v>
      </c>
      <c r="H223" s="72"/>
      <c r="I223" s="36"/>
      <c r="L223" s="73"/>
      <c r="M223" s="73"/>
      <c r="N223" s="36"/>
    </row>
    <row r="224" spans="1:14" s="46" customFormat="1" ht="15.6" customHeight="1" x14ac:dyDescent="0.3">
      <c r="A224" s="72">
        <f t="shared" ref="A224:A237" si="3">A223+1</f>
        <v>10</v>
      </c>
      <c r="B224" s="72"/>
      <c r="C224" s="41" t="s">
        <v>231</v>
      </c>
      <c r="D224" s="41">
        <f>(9.94*12.61+8.29*3.39+9.5*0.85+1.41*0.98+1.5*2.1)*10.764</f>
        <v>1787.3977211999998</v>
      </c>
      <c r="E224" s="41">
        <v>0</v>
      </c>
      <c r="F224" s="41">
        <f t="shared" si="2"/>
        <v>2859.83635392</v>
      </c>
      <c r="G224" s="72"/>
      <c r="H224" s="72"/>
      <c r="I224" s="36"/>
      <c r="L224" s="73"/>
      <c r="M224" s="73"/>
      <c r="N224" s="36"/>
    </row>
    <row r="225" spans="1:14" s="46" customFormat="1" ht="15.6" customHeight="1" x14ac:dyDescent="0.3">
      <c r="A225" s="72">
        <f t="shared" si="3"/>
        <v>11</v>
      </c>
      <c r="B225" s="72"/>
      <c r="C225" s="41" t="s">
        <v>231</v>
      </c>
      <c r="D225" s="41">
        <f>(8.57*12.65+6.17*2.75+7.72*0.8+0.7*2.59+1.9*0.59+1.5*2.1)*10.764</f>
        <v>1481.5354319999999</v>
      </c>
      <c r="E225" s="41">
        <v>0</v>
      </c>
      <c r="F225" s="41">
        <f t="shared" si="2"/>
        <v>2370.4566912</v>
      </c>
      <c r="G225" s="72"/>
      <c r="H225" s="72"/>
      <c r="I225" s="36"/>
      <c r="L225" s="73"/>
      <c r="M225" s="73"/>
      <c r="N225" s="36"/>
    </row>
    <row r="226" spans="1:14" s="46" customFormat="1" ht="15.6" customHeight="1" x14ac:dyDescent="0.3">
      <c r="A226" s="72">
        <f t="shared" si="3"/>
        <v>12</v>
      </c>
      <c r="B226" s="72"/>
      <c r="C226" s="41" t="s">
        <v>231</v>
      </c>
      <c r="D226" s="41">
        <f>(8.3*12.69+6.65*3.35+7.72*0.8+1.5*2.1)*10.764</f>
        <v>1473.9199019999999</v>
      </c>
      <c r="E226" s="41">
        <v>0</v>
      </c>
      <c r="F226" s="41">
        <f t="shared" si="2"/>
        <v>2358.2718431999997</v>
      </c>
      <c r="G226" s="72"/>
      <c r="H226" s="72"/>
      <c r="I226" s="36"/>
      <c r="L226" s="73"/>
      <c r="M226" s="73"/>
      <c r="N226" s="36"/>
    </row>
    <row r="227" spans="1:14" s="46" customFormat="1" ht="15.6" customHeight="1" x14ac:dyDescent="0.3">
      <c r="A227" s="72">
        <f t="shared" si="3"/>
        <v>13</v>
      </c>
      <c r="B227" s="72"/>
      <c r="C227" s="41" t="s">
        <v>231</v>
      </c>
      <c r="D227" s="41">
        <f>(9.52*12.69+7.87*3.35+8.8*0.8+1.5*2.1)*10.764</f>
        <v>1693.8585611999997</v>
      </c>
      <c r="E227" s="41">
        <v>0</v>
      </c>
      <c r="F227" s="41">
        <f t="shared" si="2"/>
        <v>2710.1736979199995</v>
      </c>
      <c r="G227" s="72"/>
      <c r="H227" s="72"/>
      <c r="I227" s="36"/>
      <c r="L227" s="73"/>
      <c r="M227" s="73"/>
      <c r="N227" s="36"/>
    </row>
    <row r="228" spans="1:14" s="46" customFormat="1" ht="15.6" customHeight="1" x14ac:dyDescent="0.3">
      <c r="A228" s="72">
        <f t="shared" si="3"/>
        <v>14</v>
      </c>
      <c r="B228" s="72"/>
      <c r="C228" s="41" t="s">
        <v>231</v>
      </c>
      <c r="D228" s="41">
        <f>(84.18+3.61*7.32+1.88*3.34+2.1*1.5+0.76*16.09)*10.764</f>
        <v>1423.6767792000003</v>
      </c>
      <c r="E228" s="41">
        <v>0</v>
      </c>
      <c r="F228" s="41">
        <f t="shared" si="2"/>
        <v>2277.8828467200005</v>
      </c>
      <c r="G228" s="72"/>
      <c r="H228" s="72"/>
      <c r="I228" s="36"/>
      <c r="L228" s="73"/>
      <c r="M228" s="73"/>
      <c r="N228" s="36"/>
    </row>
    <row r="229" spans="1:14" s="46" customFormat="1" ht="15.6" customHeight="1" x14ac:dyDescent="0.3">
      <c r="A229" s="72">
        <f t="shared" si="3"/>
        <v>15</v>
      </c>
      <c r="B229" s="72"/>
      <c r="C229" s="41" t="s">
        <v>231</v>
      </c>
      <c r="D229" s="41">
        <f>(7.04*7.44+5.39*3.35+2.1*1.5)*10.764</f>
        <v>792.05925239999999</v>
      </c>
      <c r="E229" s="41">
        <v>0</v>
      </c>
      <c r="F229" s="41">
        <f t="shared" si="2"/>
        <v>1267.29480384</v>
      </c>
      <c r="G229" s="72"/>
      <c r="H229" s="72"/>
      <c r="I229" s="36"/>
      <c r="L229" s="73"/>
      <c r="M229" s="73"/>
      <c r="N229" s="36"/>
    </row>
    <row r="230" spans="1:14" s="46" customFormat="1" x14ac:dyDescent="0.3">
      <c r="A230" s="99" t="s">
        <v>189</v>
      </c>
      <c r="B230" s="99"/>
      <c r="C230" s="99"/>
      <c r="D230" s="99"/>
      <c r="E230" s="99"/>
      <c r="F230" s="99"/>
      <c r="G230" s="99"/>
      <c r="H230" s="99"/>
      <c r="J230" s="36"/>
    </row>
    <row r="231" spans="1:14" s="46" customFormat="1" ht="15.6" customHeight="1" x14ac:dyDescent="0.3">
      <c r="A231" s="72">
        <v>27</v>
      </c>
      <c r="B231" s="72"/>
      <c r="C231" s="41" t="s">
        <v>188</v>
      </c>
      <c r="D231" s="41">
        <f>(6.41*13.51)*10.764</f>
        <v>932.15271240000004</v>
      </c>
      <c r="E231" s="41">
        <v>0</v>
      </c>
      <c r="F231" s="41">
        <f t="shared" ref="F231:F237" si="4">(D231+E231)*(($F$212)+1)</f>
        <v>1491.4443398400001</v>
      </c>
      <c r="G231" s="72" t="str">
        <f>A230</f>
        <v>Upper Ground / 1st podium For Parking &amp; Commercial</v>
      </c>
      <c r="H231" s="72"/>
      <c r="I231" s="36"/>
      <c r="L231" s="73"/>
      <c r="M231" s="73"/>
      <c r="N231" s="36"/>
    </row>
    <row r="232" spans="1:14" s="46" customFormat="1" ht="15.6" customHeight="1" x14ac:dyDescent="0.3">
      <c r="A232" s="72">
        <f t="shared" si="3"/>
        <v>28</v>
      </c>
      <c r="B232" s="72"/>
      <c r="C232" s="41" t="s">
        <v>231</v>
      </c>
      <c r="D232" s="41">
        <f>(9.94*10.25+8.29*3.39+1.5*2.1)*10.764</f>
        <v>1433.0985083999997</v>
      </c>
      <c r="E232" s="41">
        <v>0</v>
      </c>
      <c r="F232" s="41">
        <f t="shared" si="4"/>
        <v>2292.9576134399995</v>
      </c>
      <c r="G232" s="72"/>
      <c r="H232" s="72"/>
      <c r="I232" s="36"/>
      <c r="L232" s="73"/>
      <c r="M232" s="73"/>
      <c r="N232" s="36"/>
    </row>
    <row r="233" spans="1:14" s="46" customFormat="1" ht="15.6" customHeight="1" x14ac:dyDescent="0.3">
      <c r="A233" s="72">
        <f t="shared" si="3"/>
        <v>29</v>
      </c>
      <c r="B233" s="72"/>
      <c r="C233" s="41" t="s">
        <v>231</v>
      </c>
      <c r="D233" s="41">
        <f>(8.57*10.25+6.92*2.75+1.5*2.1)*10.764</f>
        <v>1184.2821899999999</v>
      </c>
      <c r="E233" s="41">
        <v>0</v>
      </c>
      <c r="F233" s="41">
        <f t="shared" si="4"/>
        <v>1894.851504</v>
      </c>
      <c r="G233" s="72"/>
      <c r="H233" s="72"/>
      <c r="I233" s="36"/>
      <c r="L233" s="73"/>
      <c r="M233" s="73"/>
      <c r="N233" s="36"/>
    </row>
    <row r="234" spans="1:14" s="46" customFormat="1" ht="15.6" customHeight="1" x14ac:dyDescent="0.3">
      <c r="A234" s="72">
        <f t="shared" si="3"/>
        <v>30</v>
      </c>
      <c r="B234" s="72"/>
      <c r="C234" s="41" t="s">
        <v>231</v>
      </c>
      <c r="D234" s="41">
        <f>(9.02*10.29+7.37*3.35+1.5*2.1)*10.764</f>
        <v>1298.7336491999997</v>
      </c>
      <c r="E234" s="41">
        <v>0</v>
      </c>
      <c r="F234" s="41">
        <f t="shared" si="4"/>
        <v>2077.9738387199995</v>
      </c>
      <c r="G234" s="72"/>
      <c r="H234" s="72"/>
      <c r="I234" s="36"/>
      <c r="L234" s="73"/>
      <c r="M234" s="73"/>
      <c r="N234" s="36"/>
    </row>
    <row r="235" spans="1:14" s="46" customFormat="1" ht="15.6" customHeight="1" x14ac:dyDescent="0.3">
      <c r="A235" s="72">
        <f t="shared" si="3"/>
        <v>31</v>
      </c>
      <c r="B235" s="72"/>
      <c r="C235" s="41" t="s">
        <v>231</v>
      </c>
      <c r="D235" s="41">
        <f>(8.95*10.29+7.15*3.35+1.5*2.1)*10.764</f>
        <v>1283.0472719999998</v>
      </c>
      <c r="E235" s="41">
        <v>0</v>
      </c>
      <c r="F235" s="41">
        <f t="shared" si="4"/>
        <v>2052.8756351999996</v>
      </c>
      <c r="G235" s="72"/>
      <c r="H235" s="72"/>
      <c r="I235" s="36"/>
      <c r="L235" s="73"/>
      <c r="M235" s="73"/>
      <c r="N235" s="36"/>
    </row>
    <row r="236" spans="1:14" s="46" customFormat="1" ht="15.6" customHeight="1" x14ac:dyDescent="0.3">
      <c r="A236" s="72">
        <f t="shared" si="3"/>
        <v>32</v>
      </c>
      <c r="B236" s="72"/>
      <c r="C236" s="41" t="s">
        <v>231</v>
      </c>
      <c r="D236" s="41">
        <f>(77.9+10.58*1.92+1.69*7.27+0.75*12.89+2.1*1.5)*10.764</f>
        <v>1327.3884936000002</v>
      </c>
      <c r="E236" s="41">
        <v>0</v>
      </c>
      <c r="F236" s="41">
        <f t="shared" si="4"/>
        <v>2123.8215897600003</v>
      </c>
      <c r="G236" s="72"/>
      <c r="H236" s="72"/>
      <c r="I236" s="36"/>
      <c r="L236" s="73"/>
      <c r="M236" s="73"/>
      <c r="N236" s="36"/>
    </row>
    <row r="237" spans="1:14" s="46" customFormat="1" ht="15.6" customHeight="1" x14ac:dyDescent="0.3">
      <c r="A237" s="72">
        <f t="shared" si="3"/>
        <v>33</v>
      </c>
      <c r="B237" s="72"/>
      <c r="C237" s="41" t="s">
        <v>231</v>
      </c>
      <c r="D237" s="41">
        <f>(7.04*7.41+5.39*3.35+2.1*1.5)*10.764</f>
        <v>789.78589560000012</v>
      </c>
      <c r="E237" s="41">
        <v>0</v>
      </c>
      <c r="F237" s="41">
        <f t="shared" si="4"/>
        <v>1263.6574329600003</v>
      </c>
      <c r="G237" s="72"/>
      <c r="H237" s="72"/>
      <c r="I237" s="36"/>
      <c r="L237" s="73"/>
      <c r="M237" s="73"/>
      <c r="N237" s="36"/>
    </row>
    <row r="238" spans="1:14" s="46" customFormat="1" x14ac:dyDescent="0.3">
      <c r="A238" s="83" t="s">
        <v>171</v>
      </c>
      <c r="B238" s="84"/>
      <c r="C238" s="84"/>
      <c r="D238" s="84"/>
      <c r="E238" s="84"/>
      <c r="F238" s="84"/>
      <c r="G238" s="84"/>
      <c r="H238" s="85"/>
      <c r="J238" s="36"/>
    </row>
    <row r="239" spans="1:14" s="46" customFormat="1" x14ac:dyDescent="0.3">
      <c r="A239" s="74" t="s">
        <v>186</v>
      </c>
      <c r="B239" s="75"/>
      <c r="C239" s="75"/>
      <c r="D239" s="75"/>
      <c r="E239" s="75"/>
      <c r="F239" s="75"/>
      <c r="G239" s="75"/>
      <c r="H239" s="76"/>
      <c r="J239" s="36"/>
    </row>
    <row r="240" spans="1:14" s="46" customFormat="1" x14ac:dyDescent="0.3">
      <c r="A240" s="74" t="s">
        <v>209</v>
      </c>
      <c r="B240" s="75"/>
      <c r="C240" s="75"/>
      <c r="D240" s="75"/>
      <c r="E240" s="75"/>
      <c r="F240" s="75"/>
      <c r="G240" s="75"/>
      <c r="H240" s="76"/>
      <c r="J240" s="36"/>
    </row>
    <row r="241" spans="1:14" s="46" customFormat="1" ht="15.6" customHeight="1" x14ac:dyDescent="0.3">
      <c r="A241" s="77">
        <v>1</v>
      </c>
      <c r="B241" s="78"/>
      <c r="C241" s="41" t="s">
        <v>188</v>
      </c>
      <c r="D241" s="41">
        <f>(11.59*13.53+11.44*3+1.95*4.21+3.32*4.51+3.72*3.54+0.75*9.82+0.75*2.16+0.9*2.25)*10.764</f>
        <v>2567.1515687999995</v>
      </c>
      <c r="E241" s="41">
        <v>0</v>
      </c>
      <c r="F241" s="41">
        <f>(D241+E241)*(($F$212)+1)</f>
        <v>4107.442510079999</v>
      </c>
      <c r="G241" s="79" t="str">
        <f>A240</f>
        <v>1st pt Basement/Gr For Parking &amp; Commercial</v>
      </c>
      <c r="H241" s="80"/>
      <c r="I241" s="36"/>
      <c r="L241" s="73"/>
      <c r="M241" s="73"/>
      <c r="N241" s="36"/>
    </row>
    <row r="242" spans="1:14" s="46" customFormat="1" ht="15.6" customHeight="1" x14ac:dyDescent="0.3">
      <c r="A242" s="77">
        <f t="shared" ref="A242:A257" si="5">A241+1</f>
        <v>2</v>
      </c>
      <c r="B242" s="78"/>
      <c r="C242" s="41" t="s">
        <v>188</v>
      </c>
      <c r="D242" s="41">
        <f>(8.42*9.32+6.6*3.11+5.95*0.75+1.47*2.21+0.1*1.32+8.03*0.75)*10.764</f>
        <v>1214.8907004</v>
      </c>
      <c r="E242" s="41">
        <v>0</v>
      </c>
      <c r="F242" s="41">
        <f t="shared" ref="F242:F244" si="6">(D242+E242)*(($F$212)+1)</f>
        <v>1943.82512064</v>
      </c>
      <c r="G242" s="81"/>
      <c r="H242" s="82"/>
      <c r="I242" s="36"/>
      <c r="L242" s="73"/>
      <c r="M242" s="73"/>
      <c r="N242" s="36"/>
    </row>
    <row r="243" spans="1:14" s="46" customFormat="1" ht="15.6" customHeight="1" x14ac:dyDescent="0.3">
      <c r="A243" s="77">
        <f t="shared" si="5"/>
        <v>3</v>
      </c>
      <c r="B243" s="78"/>
      <c r="C243" s="41" t="s">
        <v>188</v>
      </c>
      <c r="D243" s="41">
        <f>(7.52*9.32+5.64*1.79+5.25*2.07+0.75*1.32+0.26*0.49+0.26*0.5+6.75*0.75+1.32*2.07)*10.764</f>
        <v>1077.3881351999996</v>
      </c>
      <c r="E243" s="41">
        <v>0</v>
      </c>
      <c r="F243" s="41">
        <f t="shared" si="6"/>
        <v>1723.8210163199994</v>
      </c>
      <c r="G243" s="81"/>
      <c r="H243" s="82"/>
      <c r="I243" s="36"/>
      <c r="L243" s="73"/>
      <c r="M243" s="73"/>
      <c r="N243" s="36"/>
    </row>
    <row r="244" spans="1:14" s="46" customFormat="1" ht="15.6" customHeight="1" x14ac:dyDescent="0.3">
      <c r="A244" s="77">
        <f t="shared" si="5"/>
        <v>4</v>
      </c>
      <c r="B244" s="78"/>
      <c r="C244" s="41" t="s">
        <v>188</v>
      </c>
      <c r="D244" s="41">
        <f>(8.88*10.18+6.78*0.44+6.37*2.56+0.75*1.81+0.34*9.82+4.87*0.75+3.21*0.75+1.7*2.1)*10.764</f>
        <v>1334.8985364</v>
      </c>
      <c r="E244" s="41">
        <v>0</v>
      </c>
      <c r="F244" s="41">
        <f t="shared" si="6"/>
        <v>2135.8376582400001</v>
      </c>
      <c r="G244" s="81"/>
      <c r="H244" s="82"/>
      <c r="I244" s="36"/>
      <c r="L244" s="73"/>
      <c r="M244" s="73"/>
      <c r="N244" s="36"/>
    </row>
    <row r="245" spans="1:14" s="46" customFormat="1" ht="15.6" customHeight="1" x14ac:dyDescent="0.3">
      <c r="A245" s="77">
        <f t="shared" si="5"/>
        <v>5</v>
      </c>
      <c r="B245" s="78"/>
      <c r="C245" s="41" t="s">
        <v>188</v>
      </c>
      <c r="D245" s="41">
        <f>(6.18*7.47+3.08*3+1.2*2.25+4.83*0.75+1.45*2.1)*10.764</f>
        <v>697.20688439999992</v>
      </c>
      <c r="E245" s="41">
        <v>0</v>
      </c>
      <c r="F245" s="41">
        <f t="shared" ref="F245:F247" si="7">(D245+E245)*(($F$212)+1)</f>
        <v>1115.5310150399998</v>
      </c>
      <c r="G245" s="81"/>
      <c r="H245" s="82"/>
      <c r="I245" s="36"/>
      <c r="L245" s="73"/>
      <c r="M245" s="73"/>
      <c r="N245" s="36"/>
    </row>
    <row r="246" spans="1:14" s="46" customFormat="1" ht="15.6" customHeight="1" x14ac:dyDescent="0.3">
      <c r="A246" s="77">
        <f t="shared" si="5"/>
        <v>6</v>
      </c>
      <c r="B246" s="78"/>
      <c r="C246" s="41" t="s">
        <v>188</v>
      </c>
      <c r="D246" s="41">
        <f>(7.53*7.47+4.8*3+1.08*2.25+7.2*0.75+1.5*2.1)*10.764</f>
        <v>878.65563240000017</v>
      </c>
      <c r="E246" s="41">
        <v>0</v>
      </c>
      <c r="F246" s="41">
        <f t="shared" si="7"/>
        <v>1405.8490118400005</v>
      </c>
      <c r="G246" s="81"/>
      <c r="H246" s="82"/>
      <c r="I246" s="36"/>
      <c r="L246" s="73"/>
      <c r="M246" s="73"/>
      <c r="N246" s="36"/>
    </row>
    <row r="247" spans="1:14" s="46" customFormat="1" ht="15.6" customHeight="1" x14ac:dyDescent="0.3">
      <c r="A247" s="77">
        <f t="shared" si="5"/>
        <v>7</v>
      </c>
      <c r="B247" s="78"/>
      <c r="C247" s="41" t="s">
        <v>188</v>
      </c>
      <c r="D247" s="41">
        <f>(7.09*14.35+5.27*3+0.75*2.25+0.27*9.82+0.27*2.97+0.3*2.97+0.3*10.63+1.5*2.1)*10.764</f>
        <v>1398.4836372</v>
      </c>
      <c r="E247" s="41">
        <v>0</v>
      </c>
      <c r="F247" s="41">
        <f t="shared" si="7"/>
        <v>2237.5738195200001</v>
      </c>
      <c r="G247" s="81"/>
      <c r="H247" s="82"/>
      <c r="I247" s="36"/>
      <c r="L247" s="73"/>
      <c r="M247" s="73"/>
      <c r="N247" s="36"/>
    </row>
    <row r="248" spans="1:14" s="46" customFormat="1" ht="15.6" customHeight="1" x14ac:dyDescent="0.3">
      <c r="A248" s="77">
        <f t="shared" si="5"/>
        <v>8</v>
      </c>
      <c r="B248" s="78"/>
      <c r="C248" s="41" t="s">
        <v>188</v>
      </c>
      <c r="D248" s="41">
        <f>(9.08*13.6+6.98*3+0.75*2.25+6.08*0.75+2.5*0.75+0.3*9.82+0.3*2.97+1.5*2.1)*10.764</f>
        <v>1717.2616499999999</v>
      </c>
      <c r="E248" s="41">
        <v>0</v>
      </c>
      <c r="F248" s="41">
        <f t="shared" ref="F248:F250" si="8">(D248+E248)*(($F$212)+1)</f>
        <v>2747.6186400000001</v>
      </c>
      <c r="G248" s="97"/>
      <c r="H248" s="98"/>
      <c r="I248" s="36"/>
      <c r="L248" s="73"/>
      <c r="M248" s="73"/>
      <c r="N248" s="36"/>
    </row>
    <row r="249" spans="1:14" s="46" customFormat="1" x14ac:dyDescent="0.3">
      <c r="A249" s="74" t="s">
        <v>189</v>
      </c>
      <c r="B249" s="75"/>
      <c r="C249" s="75"/>
      <c r="D249" s="75"/>
      <c r="E249" s="75"/>
      <c r="F249" s="75"/>
      <c r="G249" s="75"/>
      <c r="H249" s="76"/>
      <c r="J249" s="36"/>
    </row>
    <row r="250" spans="1:14" s="46" customFormat="1" ht="15.6" customHeight="1" x14ac:dyDescent="0.3">
      <c r="A250" s="77">
        <v>19</v>
      </c>
      <c r="B250" s="78"/>
      <c r="C250" s="41" t="s">
        <v>188</v>
      </c>
      <c r="D250" s="41">
        <f>(9.89*16.38+0.75*9.83+0.75*4.41+1.2*0.75+1.95*3.46+3.32*4.5+3.72*3.54)*10.764</f>
        <v>2243.583576</v>
      </c>
      <c r="E250" s="41">
        <v>0</v>
      </c>
      <c r="F250" s="41">
        <f t="shared" si="8"/>
        <v>3589.7337216000001</v>
      </c>
      <c r="G250" s="79" t="str">
        <f>A249</f>
        <v>Upper Ground / 1st podium For Parking &amp; Commercial</v>
      </c>
      <c r="H250" s="80"/>
      <c r="I250" s="36"/>
      <c r="L250" s="73"/>
      <c r="M250" s="73"/>
      <c r="N250" s="36"/>
    </row>
    <row r="251" spans="1:14" s="46" customFormat="1" ht="15.6" customHeight="1" x14ac:dyDescent="0.3">
      <c r="A251" s="77">
        <f t="shared" si="5"/>
        <v>20</v>
      </c>
      <c r="B251" s="78"/>
      <c r="C251" s="41" t="s">
        <v>188</v>
      </c>
      <c r="D251" s="41">
        <f>(8.42*6.8+3.15*1.75+3.15*1.75+5.95*2.11+0.75*0.61+0.1*1.55+1.2*1.8)*10.764</f>
        <v>899.95651199999998</v>
      </c>
      <c r="E251" s="41">
        <v>0</v>
      </c>
      <c r="F251" s="41">
        <f t="shared" ref="F251:F252" si="9">(D251+E251)*(($F$212)+1)</f>
        <v>1439.9304192</v>
      </c>
      <c r="G251" s="81"/>
      <c r="H251" s="82"/>
      <c r="I251" s="36"/>
      <c r="L251" s="73"/>
      <c r="M251" s="73"/>
      <c r="N251" s="36"/>
    </row>
    <row r="252" spans="1:14" s="46" customFormat="1" ht="15.6" customHeight="1" x14ac:dyDescent="0.3">
      <c r="A252" s="77">
        <f t="shared" si="5"/>
        <v>21</v>
      </c>
      <c r="B252" s="78"/>
      <c r="C252" s="41" t="s">
        <v>188</v>
      </c>
      <c r="D252" s="41">
        <f>(5.9*7.3+5.15*1.29+5.25*2.07+1.62*6.8+0.75*1.06+0.49*0.8+1.45*2.07)*10.764</f>
        <v>815.75512199999991</v>
      </c>
      <c r="E252" s="41">
        <v>0</v>
      </c>
      <c r="F252" s="41">
        <f t="shared" si="9"/>
        <v>1305.2081951999999</v>
      </c>
      <c r="G252" s="81"/>
      <c r="H252" s="82"/>
      <c r="I252" s="36"/>
      <c r="L252" s="73"/>
      <c r="M252" s="73"/>
      <c r="N252" s="36"/>
    </row>
    <row r="253" spans="1:14" s="46" customFormat="1" ht="15.6" customHeight="1" x14ac:dyDescent="0.3">
      <c r="A253" s="77">
        <f t="shared" si="5"/>
        <v>22</v>
      </c>
      <c r="B253" s="78"/>
      <c r="C253" s="41" t="s">
        <v>188</v>
      </c>
      <c r="D253" s="41">
        <f>(7.12*6.38+2.8*1.2+3.4*1.57+6.37*1.5+1.72*2.77+1.65*1.36+1.2*1.41+2.1*6.91+0.35*0.92+0.35*1.02+2.8*2.1)*10.764</f>
        <v>1005.8850359999998</v>
      </c>
      <c r="E253" s="41">
        <v>0</v>
      </c>
      <c r="F253" s="41">
        <f t="shared" ref="F253:F256" si="10">(D253+E253)*(($F$212)+1)</f>
        <v>1609.4160575999997</v>
      </c>
      <c r="G253" s="81"/>
      <c r="H253" s="82"/>
      <c r="I253" s="36"/>
      <c r="L253" s="73"/>
      <c r="M253" s="73"/>
      <c r="N253" s="36"/>
    </row>
    <row r="254" spans="1:14" s="46" customFormat="1" ht="15.6" customHeight="1" x14ac:dyDescent="0.3">
      <c r="A254" s="77">
        <f t="shared" si="5"/>
        <v>23</v>
      </c>
      <c r="B254" s="78"/>
      <c r="C254" s="41" t="s">
        <v>188</v>
      </c>
      <c r="D254" s="41">
        <f>(4.58*7.2+1.6*4.95+2.33*0.75+1.4*2.2)*10.764</f>
        <v>492.167754</v>
      </c>
      <c r="E254" s="41">
        <v>0</v>
      </c>
      <c r="F254" s="41">
        <f t="shared" si="10"/>
        <v>787.46840640000005</v>
      </c>
      <c r="G254" s="81"/>
      <c r="H254" s="82"/>
      <c r="I254" s="36"/>
      <c r="L254" s="73"/>
      <c r="M254" s="73"/>
      <c r="N254" s="36"/>
    </row>
    <row r="255" spans="1:14" s="46" customFormat="1" ht="15.6" customHeight="1" x14ac:dyDescent="0.3">
      <c r="A255" s="77">
        <f t="shared" si="5"/>
        <v>24</v>
      </c>
      <c r="B255" s="78"/>
      <c r="C255" s="41" t="s">
        <v>188</v>
      </c>
      <c r="D255" s="41">
        <f>(5.87*7.2+1.65*4.95+4.05*0.75+1.4*2.2)*10.764</f>
        <v>608.69343599999991</v>
      </c>
      <c r="E255" s="41">
        <v>0</v>
      </c>
      <c r="F255" s="41">
        <f t="shared" si="10"/>
        <v>973.9094975999999</v>
      </c>
      <c r="G255" s="81"/>
      <c r="H255" s="82"/>
      <c r="I255" s="36"/>
      <c r="L255" s="73"/>
      <c r="M255" s="73"/>
      <c r="N255" s="36"/>
    </row>
    <row r="256" spans="1:14" s="46" customFormat="1" ht="15.6" customHeight="1" x14ac:dyDescent="0.3">
      <c r="A256" s="77">
        <f t="shared" si="5"/>
        <v>25</v>
      </c>
      <c r="B256" s="78"/>
      <c r="C256" s="41" t="s">
        <v>188</v>
      </c>
      <c r="D256" s="41">
        <f>(7.67*7.3+7.09*3.77+5.27*3+0.3*2.97+0.27*2.97+0.75*1.5+1.4*2.2)*10.764</f>
        <v>1124.0651447999999</v>
      </c>
      <c r="E256" s="41">
        <v>0</v>
      </c>
      <c r="F256" s="41">
        <f t="shared" si="10"/>
        <v>1798.50423168</v>
      </c>
      <c r="G256" s="81"/>
      <c r="H256" s="82"/>
      <c r="I256" s="36"/>
      <c r="L256" s="73"/>
      <c r="M256" s="73"/>
      <c r="N256" s="36"/>
    </row>
    <row r="257" spans="1:14" s="46" customFormat="1" ht="15.6" customHeight="1" x14ac:dyDescent="0.3">
      <c r="A257" s="77">
        <f t="shared" si="5"/>
        <v>26</v>
      </c>
      <c r="B257" s="78"/>
      <c r="C257" s="41" t="s">
        <v>188</v>
      </c>
      <c r="D257" s="41">
        <f>(9.08*11.07+6.98*3+0.75*1.5+0.3*7.3+0.3*2.97+1.4*2.2)*10.764</f>
        <v>1385.7745823999999</v>
      </c>
      <c r="E257" s="41">
        <v>0</v>
      </c>
      <c r="F257" s="41">
        <f t="shared" ref="F257" si="11">(D257+E257)*(($F$212)+1)</f>
        <v>2217.23933184</v>
      </c>
      <c r="G257" s="97"/>
      <c r="H257" s="98"/>
      <c r="I257" s="36"/>
      <c r="L257" s="73"/>
      <c r="M257" s="73"/>
      <c r="N257" s="36"/>
    </row>
    <row r="258" spans="1:14" s="46" customFormat="1" x14ac:dyDescent="0.3">
      <c r="A258" s="83" t="s">
        <v>192</v>
      </c>
      <c r="B258" s="84"/>
      <c r="C258" s="84"/>
      <c r="D258" s="84"/>
      <c r="E258" s="84"/>
      <c r="F258" s="84"/>
      <c r="G258" s="84"/>
      <c r="H258" s="85"/>
      <c r="J258" s="36"/>
    </row>
    <row r="259" spans="1:14" s="46" customFormat="1" x14ac:dyDescent="0.3">
      <c r="A259" s="74" t="s">
        <v>186</v>
      </c>
      <c r="B259" s="75"/>
      <c r="C259" s="75"/>
      <c r="D259" s="75"/>
      <c r="E259" s="75"/>
      <c r="F259" s="75"/>
      <c r="G259" s="75"/>
      <c r="H259" s="76"/>
      <c r="J259" s="36"/>
    </row>
    <row r="260" spans="1:14" s="46" customFormat="1" x14ac:dyDescent="0.3">
      <c r="A260" s="74" t="s">
        <v>187</v>
      </c>
      <c r="B260" s="75"/>
      <c r="C260" s="75"/>
      <c r="D260" s="75"/>
      <c r="E260" s="75"/>
      <c r="F260" s="75"/>
      <c r="G260" s="75"/>
      <c r="H260" s="76"/>
      <c r="J260" s="36"/>
    </row>
    <row r="261" spans="1:14" s="46" customFormat="1" x14ac:dyDescent="0.3">
      <c r="A261" s="74" t="s">
        <v>189</v>
      </c>
      <c r="B261" s="75"/>
      <c r="C261" s="75"/>
      <c r="D261" s="75"/>
      <c r="E261" s="75"/>
      <c r="F261" s="75"/>
      <c r="G261" s="75"/>
      <c r="H261" s="76"/>
      <c r="J261" s="36"/>
    </row>
    <row r="262" spans="1:14" s="46" customFormat="1" ht="15.6" customHeight="1" x14ac:dyDescent="0.3">
      <c r="A262" s="77">
        <v>11</v>
      </c>
      <c r="B262" s="78"/>
      <c r="C262" s="41" t="s">
        <v>188</v>
      </c>
      <c r="D262" s="41">
        <f>(6.9*3.4+6.9*1.35+0.75*3.86)*10.764</f>
        <v>383.95188000000007</v>
      </c>
      <c r="E262" s="41">
        <v>0</v>
      </c>
      <c r="F262" s="41">
        <f t="shared" ref="F262:F269" si="12">(D262+E262)*(($F$212)+1)</f>
        <v>614.32300800000019</v>
      </c>
      <c r="G262" s="79" t="str">
        <f>A261</f>
        <v>Upper Ground / 1st podium For Parking &amp; Commercial</v>
      </c>
      <c r="H262" s="80"/>
      <c r="I262" s="36"/>
      <c r="L262" s="73"/>
      <c r="M262" s="73"/>
      <c r="N262" s="36"/>
    </row>
    <row r="263" spans="1:14" s="46" customFormat="1" ht="15.6" customHeight="1" x14ac:dyDescent="0.3">
      <c r="A263" s="77">
        <f t="shared" ref="A263:A269" si="13">A262+1</f>
        <v>12</v>
      </c>
      <c r="B263" s="78"/>
      <c r="C263" s="41" t="s">
        <v>188</v>
      </c>
      <c r="D263" s="41">
        <f>(6.9*4.81+6.9*1.35+0.75*5.49)*10.764</f>
        <v>501.83382600000004</v>
      </c>
      <c r="E263" s="41">
        <v>0</v>
      </c>
      <c r="F263" s="41">
        <f t="shared" si="12"/>
        <v>802.93412160000014</v>
      </c>
      <c r="G263" s="81"/>
      <c r="H263" s="82"/>
      <c r="I263" s="36"/>
      <c r="L263" s="73"/>
      <c r="M263" s="73"/>
      <c r="N263" s="36"/>
    </row>
    <row r="264" spans="1:14" s="46" customFormat="1" ht="15.6" customHeight="1" x14ac:dyDescent="0.3">
      <c r="A264" s="77">
        <f t="shared" si="13"/>
        <v>13</v>
      </c>
      <c r="B264" s="78"/>
      <c r="C264" s="41" t="s">
        <v>188</v>
      </c>
      <c r="D264" s="41">
        <f>(6.9*3.88+6.9*1.3+0.75*4.85)*10.764</f>
        <v>423.88093800000007</v>
      </c>
      <c r="E264" s="41">
        <v>0</v>
      </c>
      <c r="F264" s="41">
        <f t="shared" si="12"/>
        <v>678.20950080000011</v>
      </c>
      <c r="G264" s="81"/>
      <c r="H264" s="82"/>
      <c r="I264" s="36"/>
      <c r="L264" s="73"/>
      <c r="M264" s="73"/>
      <c r="N264" s="36"/>
    </row>
    <row r="265" spans="1:14" s="46" customFormat="1" ht="15.6" customHeight="1" x14ac:dyDescent="0.3">
      <c r="A265" s="77">
        <f t="shared" si="13"/>
        <v>14</v>
      </c>
      <c r="B265" s="78"/>
      <c r="C265" s="41" t="s">
        <v>188</v>
      </c>
      <c r="D265" s="41">
        <f>(6.9*3.83+6.9*1.35+0.75*4.88)*10.764</f>
        <v>424.12312800000001</v>
      </c>
      <c r="E265" s="41">
        <v>0</v>
      </c>
      <c r="F265" s="41">
        <f t="shared" si="12"/>
        <v>678.59700480000004</v>
      </c>
      <c r="G265" s="81"/>
      <c r="H265" s="82"/>
      <c r="I265" s="36"/>
      <c r="L265" s="73"/>
      <c r="M265" s="73"/>
      <c r="N265" s="36"/>
    </row>
    <row r="266" spans="1:14" s="46" customFormat="1" ht="15.6" customHeight="1" x14ac:dyDescent="0.3">
      <c r="A266" s="77">
        <f t="shared" si="13"/>
        <v>15</v>
      </c>
      <c r="B266" s="78"/>
      <c r="C266" s="41" t="s">
        <v>188</v>
      </c>
      <c r="D266" s="41">
        <f>(6.9*4.65+6.9*1.35+0.75*5.35)*10.764</f>
        <v>488.82015000000007</v>
      </c>
      <c r="E266" s="41">
        <v>0</v>
      </c>
      <c r="F266" s="41">
        <f t="shared" si="12"/>
        <v>782.11224000000016</v>
      </c>
      <c r="G266" s="81"/>
      <c r="H266" s="82"/>
      <c r="I266" s="36"/>
      <c r="L266" s="73"/>
      <c r="M266" s="73"/>
      <c r="N266" s="36"/>
    </row>
    <row r="267" spans="1:14" s="46" customFormat="1" ht="15.6" customHeight="1" x14ac:dyDescent="0.3">
      <c r="A267" s="77">
        <f t="shared" si="13"/>
        <v>16</v>
      </c>
      <c r="B267" s="78"/>
      <c r="C267" s="41" t="s">
        <v>188</v>
      </c>
      <c r="D267" s="41">
        <f>(6.9*4.5+6.9*1.35+0.75*5.2)*10.764</f>
        <v>476.46845999999999</v>
      </c>
      <c r="E267" s="41">
        <v>0</v>
      </c>
      <c r="F267" s="41">
        <f t="shared" si="12"/>
        <v>762.34953600000006</v>
      </c>
      <c r="G267" s="81"/>
      <c r="H267" s="82"/>
      <c r="I267" s="36"/>
      <c r="L267" s="73"/>
      <c r="M267" s="73"/>
      <c r="N267" s="36"/>
    </row>
    <row r="268" spans="1:14" s="46" customFormat="1" ht="15.6" customHeight="1" x14ac:dyDescent="0.3">
      <c r="A268" s="77">
        <f t="shared" si="13"/>
        <v>17</v>
      </c>
      <c r="B268" s="78"/>
      <c r="C268" s="41" t="s">
        <v>188</v>
      </c>
      <c r="D268" s="41">
        <f>(6.9*4.7+6.9*1.3+0.75*5.65)*10.764</f>
        <v>491.24205000000001</v>
      </c>
      <c r="E268" s="41">
        <v>0</v>
      </c>
      <c r="F268" s="41">
        <f t="shared" si="12"/>
        <v>785.98728000000006</v>
      </c>
      <c r="G268" s="81"/>
      <c r="H268" s="82"/>
      <c r="I268" s="36"/>
      <c r="L268" s="73"/>
      <c r="M268" s="73"/>
      <c r="N268" s="36"/>
    </row>
    <row r="269" spans="1:14" s="46" customFormat="1" ht="15.6" customHeight="1" x14ac:dyDescent="0.3">
      <c r="A269" s="77">
        <f t="shared" si="13"/>
        <v>18</v>
      </c>
      <c r="B269" s="78"/>
      <c r="C269" s="41" t="s">
        <v>188</v>
      </c>
      <c r="D269" s="41">
        <f>(6.9*6.8+6.9*1.35+0.75*4.6+0.75*2.75)*10.764</f>
        <v>664.65008999999998</v>
      </c>
      <c r="E269" s="41">
        <v>0</v>
      </c>
      <c r="F269" s="41">
        <f t="shared" si="12"/>
        <v>1063.4401439999999</v>
      </c>
      <c r="G269" s="97"/>
      <c r="H269" s="98"/>
      <c r="I269" s="36"/>
      <c r="L269" s="73"/>
      <c r="M269" s="73"/>
      <c r="N269" s="36"/>
    </row>
    <row r="270" spans="1:14" s="46" customFormat="1" x14ac:dyDescent="0.3">
      <c r="A270" s="83" t="s">
        <v>194</v>
      </c>
      <c r="B270" s="84"/>
      <c r="C270" s="84"/>
      <c r="D270" s="84"/>
      <c r="E270" s="84"/>
      <c r="F270" s="84"/>
      <c r="G270" s="84"/>
      <c r="H270" s="85"/>
      <c r="J270" s="36"/>
    </row>
    <row r="271" spans="1:14" s="46" customFormat="1" x14ac:dyDescent="0.3">
      <c r="A271" s="74" t="s">
        <v>186</v>
      </c>
      <c r="B271" s="75"/>
      <c r="C271" s="75"/>
      <c r="D271" s="75"/>
      <c r="E271" s="75"/>
      <c r="F271" s="75"/>
      <c r="G271" s="75"/>
      <c r="H271" s="76"/>
      <c r="J271" s="36"/>
    </row>
    <row r="272" spans="1:14" s="46" customFormat="1" x14ac:dyDescent="0.3">
      <c r="A272" s="99" t="s">
        <v>187</v>
      </c>
      <c r="B272" s="99"/>
      <c r="C272" s="99"/>
      <c r="D272" s="99"/>
      <c r="E272" s="99"/>
      <c r="F272" s="99"/>
      <c r="G272" s="99"/>
      <c r="H272" s="99"/>
      <c r="J272" s="36"/>
    </row>
    <row r="273" spans="1:14" s="46" customFormat="1" x14ac:dyDescent="0.3">
      <c r="A273" s="99" t="s">
        <v>189</v>
      </c>
      <c r="B273" s="99"/>
      <c r="C273" s="99"/>
      <c r="D273" s="99"/>
      <c r="E273" s="99"/>
      <c r="F273" s="99"/>
      <c r="G273" s="99"/>
      <c r="H273" s="99"/>
      <c r="J273" s="36"/>
    </row>
    <row r="274" spans="1:14" s="46" customFormat="1" ht="15.6" customHeight="1" x14ac:dyDescent="0.3">
      <c r="A274" s="72">
        <v>4</v>
      </c>
      <c r="B274" s="72"/>
      <c r="C274" s="41" t="s">
        <v>188</v>
      </c>
      <c r="D274" s="41">
        <f>(6.9*6.1+6.9*1.35+0.75*6.87)*10.764</f>
        <v>608.78493000000003</v>
      </c>
      <c r="E274" s="41">
        <v>0</v>
      </c>
      <c r="F274" s="41">
        <f t="shared" ref="F274:F280" si="14">(D274+E274)*(($F$212)+1)</f>
        <v>974.0558880000001</v>
      </c>
      <c r="G274" s="72" t="str">
        <f>A273</f>
        <v>Upper Ground / 1st podium For Parking &amp; Commercial</v>
      </c>
      <c r="H274" s="72"/>
      <c r="I274" s="36"/>
      <c r="L274" s="73"/>
      <c r="M274" s="73"/>
      <c r="N274" s="36"/>
    </row>
    <row r="275" spans="1:14" s="46" customFormat="1" ht="15.6" customHeight="1" x14ac:dyDescent="0.3">
      <c r="A275" s="72">
        <f t="shared" ref="A275:A280" si="15">A274+1</f>
        <v>5</v>
      </c>
      <c r="B275" s="72"/>
      <c r="C275" s="41" t="s">
        <v>188</v>
      </c>
      <c r="D275" s="41">
        <f>(6.9*5.15+6.9*1.3+0.75*5.82)*10.764</f>
        <v>526.03668000000005</v>
      </c>
      <c r="E275" s="41">
        <v>0</v>
      </c>
      <c r="F275" s="41">
        <f t="shared" si="14"/>
        <v>841.6586880000001</v>
      </c>
      <c r="G275" s="72"/>
      <c r="H275" s="72"/>
      <c r="I275" s="36"/>
      <c r="L275" s="73"/>
      <c r="M275" s="73"/>
      <c r="N275" s="36"/>
    </row>
    <row r="276" spans="1:14" s="46" customFormat="1" ht="15.6" customHeight="1" x14ac:dyDescent="0.3">
      <c r="A276" s="72">
        <f t="shared" si="15"/>
        <v>6</v>
      </c>
      <c r="B276" s="72"/>
      <c r="C276" s="41" t="s">
        <v>188</v>
      </c>
      <c r="D276" s="41">
        <f>(6.9*6.25+6.9*1.35+0.75*7)*10.764</f>
        <v>620.97515999999996</v>
      </c>
      <c r="E276" s="41">
        <v>0</v>
      </c>
      <c r="F276" s="41">
        <f t="shared" si="14"/>
        <v>993.56025599999998</v>
      </c>
      <c r="G276" s="72"/>
      <c r="H276" s="72"/>
      <c r="I276" s="36"/>
      <c r="L276" s="73"/>
      <c r="M276" s="73"/>
      <c r="N276" s="36"/>
    </row>
    <row r="277" spans="1:14" s="46" customFormat="1" ht="15.6" customHeight="1" x14ac:dyDescent="0.3">
      <c r="A277" s="72">
        <f t="shared" si="15"/>
        <v>7</v>
      </c>
      <c r="B277" s="72"/>
      <c r="C277" s="41" t="s">
        <v>188</v>
      </c>
      <c r="D277" s="41">
        <f>(6.9*5.66+6.9*1.3+0.75*6.28)*10.764</f>
        <v>567.62877600000002</v>
      </c>
      <c r="E277" s="41">
        <v>0</v>
      </c>
      <c r="F277" s="41">
        <f t="shared" si="14"/>
        <v>908.20604160000005</v>
      </c>
      <c r="G277" s="72"/>
      <c r="H277" s="72"/>
      <c r="I277" s="36"/>
      <c r="L277" s="73"/>
      <c r="M277" s="73"/>
      <c r="N277" s="36"/>
    </row>
    <row r="278" spans="1:14" s="46" customFormat="1" ht="15.6" customHeight="1" x14ac:dyDescent="0.3">
      <c r="A278" s="72">
        <f t="shared" si="15"/>
        <v>8</v>
      </c>
      <c r="B278" s="72"/>
      <c r="C278" s="41" t="s">
        <v>188</v>
      </c>
      <c r="D278" s="41">
        <f>(6.9*5.35+6.9*1.35+0.75*5.92)*10.764</f>
        <v>545.41188</v>
      </c>
      <c r="E278" s="41">
        <v>0</v>
      </c>
      <c r="F278" s="41">
        <f t="shared" si="14"/>
        <v>872.65900800000009</v>
      </c>
      <c r="G278" s="72"/>
      <c r="H278" s="72"/>
      <c r="I278" s="36"/>
      <c r="L278" s="73"/>
      <c r="M278" s="73"/>
      <c r="N278" s="36"/>
    </row>
    <row r="279" spans="1:14" s="46" customFormat="1" ht="15.6" customHeight="1" x14ac:dyDescent="0.3">
      <c r="A279" s="72">
        <f t="shared" si="15"/>
        <v>9</v>
      </c>
      <c r="B279" s="72"/>
      <c r="C279" s="41" t="s">
        <v>188</v>
      </c>
      <c r="D279" s="41">
        <f>(6.9*6.84+6.9*1.3+0.75*7.8)*10.764</f>
        <v>667.54022399999997</v>
      </c>
      <c r="E279" s="41">
        <v>0</v>
      </c>
      <c r="F279" s="41">
        <f t="shared" si="14"/>
        <v>1068.0643583999999</v>
      </c>
      <c r="G279" s="72"/>
      <c r="H279" s="72"/>
      <c r="I279" s="36"/>
      <c r="L279" s="73"/>
      <c r="M279" s="73"/>
      <c r="N279" s="36"/>
    </row>
    <row r="280" spans="1:14" s="46" customFormat="1" ht="15.6" customHeight="1" x14ac:dyDescent="0.3">
      <c r="A280" s="72">
        <f t="shared" si="15"/>
        <v>10</v>
      </c>
      <c r="B280" s="72"/>
      <c r="C280" s="41" t="s">
        <v>188</v>
      </c>
      <c r="D280" s="41">
        <f>(6.9*6.15+6.9*1.3+0.75*5.67)*10.764</f>
        <v>599.09732999999994</v>
      </c>
      <c r="E280" s="41">
        <v>0</v>
      </c>
      <c r="F280" s="41">
        <f t="shared" si="14"/>
        <v>958.55572799999993</v>
      </c>
      <c r="G280" s="72"/>
      <c r="H280" s="72"/>
      <c r="I280" s="36"/>
      <c r="L280" s="73"/>
      <c r="M280" s="73"/>
      <c r="N280" s="36"/>
    </row>
    <row r="281" spans="1:14" s="46" customFormat="1" x14ac:dyDescent="0.3">
      <c r="A281" s="83" t="s">
        <v>272</v>
      </c>
      <c r="B281" s="84"/>
      <c r="C281" s="84"/>
      <c r="D281" s="84"/>
      <c r="E281" s="84"/>
      <c r="F281" s="84"/>
      <c r="G281" s="84"/>
      <c r="H281" s="85"/>
      <c r="J281" s="36"/>
    </row>
    <row r="282" spans="1:14" s="46" customFormat="1" x14ac:dyDescent="0.3">
      <c r="A282" s="74" t="s">
        <v>186</v>
      </c>
      <c r="B282" s="75"/>
      <c r="C282" s="75"/>
      <c r="D282" s="75"/>
      <c r="E282" s="75"/>
      <c r="F282" s="75"/>
      <c r="G282" s="75"/>
      <c r="H282" s="76"/>
      <c r="J282" s="36"/>
    </row>
    <row r="283" spans="1:14" s="46" customFormat="1" x14ac:dyDescent="0.3">
      <c r="A283" s="74" t="s">
        <v>187</v>
      </c>
      <c r="B283" s="75"/>
      <c r="C283" s="75"/>
      <c r="D283" s="75"/>
      <c r="E283" s="75"/>
      <c r="F283" s="75"/>
      <c r="G283" s="75"/>
      <c r="H283" s="76"/>
      <c r="J283" s="36"/>
    </row>
    <row r="284" spans="1:14" s="46" customFormat="1" x14ac:dyDescent="0.3">
      <c r="A284" s="74" t="s">
        <v>189</v>
      </c>
      <c r="B284" s="75"/>
      <c r="C284" s="75"/>
      <c r="D284" s="75"/>
      <c r="E284" s="75"/>
      <c r="F284" s="75"/>
      <c r="G284" s="75"/>
      <c r="H284" s="76"/>
      <c r="J284" s="36"/>
    </row>
    <row r="285" spans="1:14" s="46" customFormat="1" ht="15.6" customHeight="1" x14ac:dyDescent="0.3">
      <c r="A285" s="77">
        <v>1</v>
      </c>
      <c r="B285" s="78"/>
      <c r="C285" s="41" t="s">
        <v>188</v>
      </c>
      <c r="D285" s="41">
        <f>(6.89*6.19+0.75*0.43+5.25*1.35+5.25*1.35+1.35*0.9)*10.764</f>
        <v>628.20426239999995</v>
      </c>
      <c r="E285" s="41">
        <v>0</v>
      </c>
      <c r="F285" s="41">
        <f>(D285+E285)*(($F$212)+1)</f>
        <v>1005.1268198399999</v>
      </c>
      <c r="G285" s="79" t="str">
        <f>A284</f>
        <v>Upper Ground / 1st podium For Parking &amp; Commercial</v>
      </c>
      <c r="H285" s="80"/>
      <c r="I285" s="36"/>
      <c r="L285" s="73"/>
      <c r="M285" s="73"/>
      <c r="N285" s="36"/>
    </row>
    <row r="286" spans="1:14" s="46" customFormat="1" ht="15.6" customHeight="1" x14ac:dyDescent="0.3">
      <c r="A286" s="77">
        <f t="shared" ref="A286:A287" si="16">A285+1</f>
        <v>2</v>
      </c>
      <c r="B286" s="78"/>
      <c r="C286" s="41" t="s">
        <v>188</v>
      </c>
      <c r="D286" s="41">
        <f>(7.5*6.1+5.25*1.35+0.75*1.05+1.35*0.9)*10.764</f>
        <v>590.29776000000004</v>
      </c>
      <c r="E286" s="41">
        <v>0</v>
      </c>
      <c r="F286" s="41">
        <f>(D286+E286)*(($F$212)+1)</f>
        <v>944.47641600000009</v>
      </c>
      <c r="G286" s="81"/>
      <c r="H286" s="82"/>
      <c r="I286" s="36"/>
      <c r="L286" s="73"/>
      <c r="M286" s="73"/>
      <c r="N286" s="36"/>
    </row>
    <row r="287" spans="1:14" s="46" customFormat="1" ht="15.6" customHeight="1" x14ac:dyDescent="0.3">
      <c r="A287" s="77">
        <f t="shared" si="16"/>
        <v>3</v>
      </c>
      <c r="B287" s="78"/>
      <c r="C287" s="41" t="s">
        <v>188</v>
      </c>
      <c r="D287" s="41">
        <f>(7.5*6.1+5.25*1.35+0.75*1.05+1.35*0.9)*10.764</f>
        <v>590.29776000000004</v>
      </c>
      <c r="E287" s="41">
        <v>0</v>
      </c>
      <c r="F287" s="41">
        <f>(D287+E287)*(($F$212)+1)</f>
        <v>944.47641600000009</v>
      </c>
      <c r="G287" s="81"/>
      <c r="H287" s="82"/>
      <c r="I287" s="36"/>
      <c r="L287" s="73"/>
      <c r="M287" s="73"/>
      <c r="N287" s="36"/>
    </row>
    <row r="288" spans="1:14" s="46" customFormat="1" x14ac:dyDescent="0.3">
      <c r="A288" s="83" t="s">
        <v>255</v>
      </c>
      <c r="B288" s="84"/>
      <c r="C288" s="84"/>
      <c r="D288" s="84"/>
      <c r="E288" s="84"/>
      <c r="F288" s="84"/>
      <c r="G288" s="84"/>
      <c r="H288" s="85"/>
      <c r="J288" s="36"/>
    </row>
    <row r="289" spans="1:14" s="46" customFormat="1" x14ac:dyDescent="0.3">
      <c r="A289" s="74" t="s">
        <v>236</v>
      </c>
      <c r="B289" s="75"/>
      <c r="C289" s="75"/>
      <c r="D289" s="75"/>
      <c r="E289" s="75"/>
      <c r="F289" s="75"/>
      <c r="G289" s="75"/>
      <c r="H289" s="76"/>
      <c r="J289" s="36"/>
    </row>
    <row r="290" spans="1:14" s="46" customFormat="1" x14ac:dyDescent="0.3">
      <c r="A290" s="74" t="s">
        <v>237</v>
      </c>
      <c r="B290" s="75"/>
      <c r="C290" s="75"/>
      <c r="D290" s="75"/>
      <c r="E290" s="75"/>
      <c r="F290" s="75"/>
      <c r="G290" s="75"/>
      <c r="H290" s="76"/>
      <c r="J290" s="36"/>
    </row>
    <row r="291" spans="1:14" s="46" customFormat="1" ht="15.6" customHeight="1" x14ac:dyDescent="0.3">
      <c r="A291" s="77">
        <v>14</v>
      </c>
      <c r="B291" s="78"/>
      <c r="C291" s="41" t="s">
        <v>231</v>
      </c>
      <c r="D291" s="41">
        <f>(8.23*9.77+2.1*1.5+5*5.98)*10.764</f>
        <v>1221.2522244000002</v>
      </c>
      <c r="E291" s="41">
        <v>0</v>
      </c>
      <c r="F291" s="41">
        <f>(D291+E291)*(($F$212)+1)</f>
        <v>1954.0035590400003</v>
      </c>
      <c r="G291" s="79" t="str">
        <f>A290</f>
        <v>2nd pt Basement Floor for Meter Room, NTA Panel Room, Commercial &amp; parking</v>
      </c>
      <c r="H291" s="80"/>
      <c r="I291" s="36"/>
      <c r="L291" s="73"/>
      <c r="M291" s="73"/>
      <c r="N291" s="36"/>
    </row>
    <row r="292" spans="1:14" s="46" customFormat="1" ht="15.6" customHeight="1" x14ac:dyDescent="0.3">
      <c r="A292" s="77" t="s">
        <v>259</v>
      </c>
      <c r="B292" s="78"/>
      <c r="C292" s="41" t="s">
        <v>231</v>
      </c>
      <c r="D292" s="41">
        <f>(2.1*1.5+13.58*5.38+10.23*1.65)*10.764</f>
        <v>1002.0196835999999</v>
      </c>
      <c r="E292" s="41">
        <v>0</v>
      </c>
      <c r="F292" s="41">
        <f>(D292+E292)*(($F$212)+1)</f>
        <v>1603.2314937599999</v>
      </c>
      <c r="G292" s="81"/>
      <c r="H292" s="82"/>
      <c r="I292" s="36"/>
      <c r="L292" s="73"/>
      <c r="M292" s="73"/>
      <c r="N292" s="36"/>
    </row>
    <row r="293" spans="1:14" s="46" customFormat="1" x14ac:dyDescent="0.3">
      <c r="A293" s="74" t="s">
        <v>238</v>
      </c>
      <c r="B293" s="75"/>
      <c r="C293" s="75"/>
      <c r="D293" s="75"/>
      <c r="E293" s="75"/>
      <c r="F293" s="75"/>
      <c r="G293" s="75"/>
      <c r="H293" s="76"/>
      <c r="J293" s="36"/>
    </row>
    <row r="294" spans="1:14" s="46" customFormat="1" ht="15.6" customHeight="1" x14ac:dyDescent="0.3">
      <c r="A294" s="77">
        <v>23</v>
      </c>
      <c r="B294" s="78"/>
      <c r="C294" s="41" t="s">
        <v>231</v>
      </c>
      <c r="D294" s="41">
        <f>(8.23*9.77+2.1*1.5+5*5.98)*10.764</f>
        <v>1221.2522244000002</v>
      </c>
      <c r="E294" s="41">
        <v>0</v>
      </c>
      <c r="F294" s="41">
        <f>(D294+E294)*(($F$212)+1)</f>
        <v>1954.0035590400003</v>
      </c>
      <c r="G294" s="79" t="str">
        <f>A293</f>
        <v>1st pt Basement Floor for Meter Room, Fire Control Room, NTA Meter Room, Commercial &amp; Parking</v>
      </c>
      <c r="H294" s="80"/>
      <c r="I294" s="36"/>
      <c r="L294" s="73"/>
      <c r="M294" s="73"/>
      <c r="N294" s="36"/>
    </row>
    <row r="295" spans="1:14" s="46" customFormat="1" ht="15.6" customHeight="1" x14ac:dyDescent="0.3">
      <c r="A295" s="77" t="s">
        <v>260</v>
      </c>
      <c r="B295" s="78"/>
      <c r="C295" s="41" t="s">
        <v>231</v>
      </c>
      <c r="D295" s="41">
        <f>(2.1*1.5+3.35*5.38+10.23*7.03)*10.764</f>
        <v>1002.0196836000001</v>
      </c>
      <c r="E295" s="41">
        <v>0</v>
      </c>
      <c r="F295" s="41">
        <f>(D295+E295)*(($F$212)+1)</f>
        <v>1603.2314937600004</v>
      </c>
      <c r="G295" s="81"/>
      <c r="H295" s="82"/>
      <c r="I295" s="36"/>
      <c r="L295" s="73"/>
      <c r="M295" s="73"/>
      <c r="N295" s="36"/>
    </row>
    <row r="296" spans="1:14" s="46" customFormat="1" x14ac:dyDescent="0.3">
      <c r="A296" s="74" t="s">
        <v>239</v>
      </c>
      <c r="B296" s="75"/>
      <c r="C296" s="75"/>
      <c r="D296" s="75"/>
      <c r="E296" s="75"/>
      <c r="F296" s="75"/>
      <c r="G296" s="75"/>
      <c r="H296" s="76"/>
      <c r="J296" s="36"/>
    </row>
    <row r="297" spans="1:14" s="46" customFormat="1" ht="15.6" customHeight="1" x14ac:dyDescent="0.3">
      <c r="A297" s="77">
        <v>41</v>
      </c>
      <c r="B297" s="78"/>
      <c r="C297" s="41" t="s">
        <v>231</v>
      </c>
      <c r="D297" s="41">
        <f>(8.23*9.77+2.1*1.5+5*5.98)*10.764</f>
        <v>1221.2522244000002</v>
      </c>
      <c r="E297" s="41">
        <v>0</v>
      </c>
      <c r="F297" s="41">
        <f>(D297+E297)*(($F$212)+1)</f>
        <v>1954.0035590400003</v>
      </c>
      <c r="G297" s="79" t="str">
        <f>A296</f>
        <v>Upper Ground / 1st podium For Commercial</v>
      </c>
      <c r="H297" s="80"/>
      <c r="I297" s="36"/>
      <c r="L297" s="73"/>
      <c r="M297" s="73"/>
      <c r="N297" s="36"/>
    </row>
    <row r="298" spans="1:14" s="46" customFormat="1" ht="15.6" customHeight="1" x14ac:dyDescent="0.3">
      <c r="A298" s="77" t="s">
        <v>261</v>
      </c>
      <c r="B298" s="78"/>
      <c r="C298" s="41" t="s">
        <v>231</v>
      </c>
      <c r="D298" s="41">
        <f>(2.1*1.5+3.35*5.38+10.23*7.03)*10.764</f>
        <v>1002.0196836000001</v>
      </c>
      <c r="E298" s="41">
        <v>0</v>
      </c>
      <c r="F298" s="41">
        <f>(D298+E298)*(($F$212)+1)</f>
        <v>1603.2314937600004</v>
      </c>
      <c r="G298" s="81"/>
      <c r="H298" s="82"/>
      <c r="I298" s="36"/>
      <c r="L298" s="73"/>
      <c r="M298" s="73"/>
      <c r="N298" s="36"/>
    </row>
    <row r="299" spans="1:14" s="46" customFormat="1" x14ac:dyDescent="0.3">
      <c r="A299" s="83" t="s">
        <v>235</v>
      </c>
      <c r="B299" s="84"/>
      <c r="C299" s="84"/>
      <c r="D299" s="84"/>
      <c r="E299" s="84"/>
      <c r="F299" s="84"/>
      <c r="G299" s="84"/>
      <c r="H299" s="85"/>
      <c r="J299" s="36"/>
    </row>
    <row r="300" spans="1:14" s="46" customFormat="1" x14ac:dyDescent="0.3">
      <c r="A300" s="74" t="s">
        <v>236</v>
      </c>
      <c r="B300" s="75"/>
      <c r="C300" s="75"/>
      <c r="D300" s="75"/>
      <c r="E300" s="75"/>
      <c r="F300" s="75"/>
      <c r="G300" s="75"/>
      <c r="H300" s="76"/>
      <c r="J300" s="36"/>
    </row>
    <row r="301" spans="1:14" s="46" customFormat="1" x14ac:dyDescent="0.3">
      <c r="A301" s="74" t="s">
        <v>237</v>
      </c>
      <c r="B301" s="75"/>
      <c r="C301" s="75"/>
      <c r="D301" s="75"/>
      <c r="E301" s="75"/>
      <c r="F301" s="75"/>
      <c r="G301" s="75"/>
      <c r="H301" s="76"/>
      <c r="J301" s="36"/>
    </row>
    <row r="302" spans="1:14" s="46" customFormat="1" ht="15.6" customHeight="1" x14ac:dyDescent="0.3">
      <c r="A302" s="77">
        <v>7</v>
      </c>
      <c r="B302" s="78"/>
      <c r="C302" s="41" t="s">
        <v>231</v>
      </c>
      <c r="D302" s="41">
        <f>(8.23*9.34+4.36*0.84+5.29*5.11+1.95*1.6)*10.764</f>
        <v>1191.38643</v>
      </c>
      <c r="E302" s="41">
        <v>0</v>
      </c>
      <c r="F302" s="41">
        <f>(D302+E302)*(($F$212)+1)</f>
        <v>1906.218288</v>
      </c>
      <c r="G302" s="79" t="str">
        <f>A301</f>
        <v>2nd pt Basement Floor for Meter Room, NTA Panel Room, Commercial &amp; parking</v>
      </c>
      <c r="H302" s="80"/>
      <c r="I302" s="36"/>
      <c r="L302" s="73"/>
      <c r="M302" s="73"/>
      <c r="N302" s="36"/>
    </row>
    <row r="303" spans="1:14" s="46" customFormat="1" ht="15.6" customHeight="1" x14ac:dyDescent="0.3">
      <c r="A303" s="77" t="s">
        <v>246</v>
      </c>
      <c r="B303" s="78"/>
      <c r="C303" s="41" t="s">
        <v>231</v>
      </c>
      <c r="D303" s="41">
        <f>(2.1*1.5+13.58*7.04)*10.764</f>
        <v>1062.9794448</v>
      </c>
      <c r="E303" s="41">
        <v>0</v>
      </c>
      <c r="F303" s="41">
        <f>(D303+E303)*(($F$212)+1)</f>
        <v>1700.7671116800002</v>
      </c>
      <c r="G303" s="81"/>
      <c r="H303" s="82"/>
      <c r="I303" s="36"/>
      <c r="L303" s="73"/>
      <c r="M303" s="73"/>
      <c r="N303" s="36"/>
    </row>
    <row r="304" spans="1:14" s="46" customFormat="1" ht="15.6" customHeight="1" x14ac:dyDescent="0.3">
      <c r="A304" s="77" t="s">
        <v>247</v>
      </c>
      <c r="B304" s="78"/>
      <c r="C304" s="41" t="s">
        <v>231</v>
      </c>
      <c r="D304" s="41">
        <f>(11.92*7.04)*10.764</f>
        <v>903.28043519999994</v>
      </c>
      <c r="E304" s="41">
        <v>0</v>
      </c>
      <c r="F304" s="41">
        <f>(D304+E304)*(($F$212)+1)</f>
        <v>1445.2486963199999</v>
      </c>
      <c r="G304" s="81"/>
      <c r="H304" s="82"/>
      <c r="I304" s="36"/>
      <c r="L304" s="73"/>
      <c r="M304" s="73"/>
      <c r="N304" s="36"/>
    </row>
    <row r="305" spans="1:14" s="46" customFormat="1" ht="15.6" customHeight="1" x14ac:dyDescent="0.3">
      <c r="A305" s="77">
        <v>12</v>
      </c>
      <c r="B305" s="78"/>
      <c r="C305" s="41" t="s">
        <v>231</v>
      </c>
      <c r="D305" s="41">
        <f>(6.17*3.35+7.82*5.99+2.1*1.5)*10.764</f>
        <v>760.5982332000001</v>
      </c>
      <c r="E305" s="41">
        <v>0</v>
      </c>
      <c r="F305" s="41">
        <f>(D305+E305)*(($F$212)+1)</f>
        <v>1216.9571731200001</v>
      </c>
      <c r="G305" s="81"/>
      <c r="H305" s="82"/>
      <c r="I305" s="36"/>
      <c r="L305" s="73"/>
      <c r="M305" s="73"/>
      <c r="N305" s="36"/>
    </row>
    <row r="306" spans="1:14" s="46" customFormat="1" ht="15.6" customHeight="1" x14ac:dyDescent="0.3">
      <c r="A306" s="77">
        <f t="shared" ref="A306" si="17">A305+1</f>
        <v>13</v>
      </c>
      <c r="B306" s="78"/>
      <c r="C306" s="41" t="s">
        <v>231</v>
      </c>
      <c r="D306" s="41">
        <f>(5.99*6.13+3.62*3.35+2.1*1.5)*10.764</f>
        <v>559.68171480000001</v>
      </c>
      <c r="E306" s="41">
        <v>0</v>
      </c>
      <c r="F306" s="41">
        <f>(D306+E306)*(($F$212)+1)</f>
        <v>895.49074368000004</v>
      </c>
      <c r="G306" s="81"/>
      <c r="H306" s="82"/>
      <c r="I306" s="36"/>
      <c r="L306" s="73"/>
      <c r="M306" s="73"/>
      <c r="N306" s="36"/>
    </row>
    <row r="307" spans="1:14" s="46" customFormat="1" x14ac:dyDescent="0.3">
      <c r="A307" s="74" t="s">
        <v>238</v>
      </c>
      <c r="B307" s="75"/>
      <c r="C307" s="75"/>
      <c r="D307" s="75"/>
      <c r="E307" s="75"/>
      <c r="F307" s="75"/>
      <c r="G307" s="75"/>
      <c r="H307" s="76"/>
      <c r="J307" s="36"/>
    </row>
    <row r="308" spans="1:14" s="46" customFormat="1" ht="15.6" customHeight="1" x14ac:dyDescent="0.3">
      <c r="A308" s="77">
        <v>16</v>
      </c>
      <c r="B308" s="78"/>
      <c r="C308" s="41" t="s">
        <v>231</v>
      </c>
      <c r="D308" s="41">
        <f>(8.23*9.34+6.13*5.11+1.95*1.6)*10.764</f>
        <v>1198.1677499999998</v>
      </c>
      <c r="E308" s="41">
        <v>0</v>
      </c>
      <c r="F308" s="41">
        <f>(D308+E308)*(($F$212)+1)</f>
        <v>1917.0683999999999</v>
      </c>
      <c r="G308" s="79" t="str">
        <f>A307</f>
        <v>1st pt Basement Floor for Meter Room, Fire Control Room, NTA Meter Room, Commercial &amp; Parking</v>
      </c>
      <c r="H308" s="80"/>
      <c r="I308" s="36"/>
      <c r="L308" s="73"/>
      <c r="M308" s="73"/>
      <c r="N308" s="36"/>
    </row>
    <row r="309" spans="1:14" s="46" customFormat="1" ht="15.6" customHeight="1" x14ac:dyDescent="0.3">
      <c r="A309" s="77" t="s">
        <v>248</v>
      </c>
      <c r="B309" s="78"/>
      <c r="C309" s="41" t="s">
        <v>231</v>
      </c>
      <c r="D309" s="41">
        <f>(13.58*7.03+2.15*1.5)*10.764</f>
        <v>1062.3249935999997</v>
      </c>
      <c r="E309" s="41">
        <v>0</v>
      </c>
      <c r="F309" s="41">
        <f>(D309+E309)*(($F$212)+1)</f>
        <v>1699.7199897599996</v>
      </c>
      <c r="G309" s="81"/>
      <c r="H309" s="82"/>
      <c r="I309" s="36"/>
      <c r="L309" s="73"/>
      <c r="M309" s="73"/>
      <c r="N309" s="36"/>
    </row>
    <row r="310" spans="1:14" s="46" customFormat="1" ht="15.6" customHeight="1" x14ac:dyDescent="0.3">
      <c r="A310" s="77" t="s">
        <v>249</v>
      </c>
      <c r="B310" s="78"/>
      <c r="C310" s="41" t="s">
        <v>231</v>
      </c>
      <c r="D310" s="41">
        <f>(11.97*7.04+2.1*1.5)*10.764</f>
        <v>940.97596320000002</v>
      </c>
      <c r="E310" s="41">
        <v>0</v>
      </c>
      <c r="F310" s="41">
        <f>(D310+E310)*(($F$212)+1)</f>
        <v>1505.5615411200001</v>
      </c>
      <c r="G310" s="81"/>
      <c r="H310" s="82"/>
      <c r="I310" s="36"/>
      <c r="L310" s="73"/>
      <c r="M310" s="73"/>
      <c r="N310" s="36"/>
    </row>
    <row r="311" spans="1:14" s="46" customFormat="1" ht="15.6" customHeight="1" x14ac:dyDescent="0.3">
      <c r="A311" s="77">
        <v>21</v>
      </c>
      <c r="B311" s="78"/>
      <c r="C311" s="41" t="s">
        <v>231</v>
      </c>
      <c r="D311" s="41">
        <f>(7.82*5.99+6.17*3.35+2.1*1.5)*10.764</f>
        <v>760.5982332000001</v>
      </c>
      <c r="E311" s="41">
        <v>0</v>
      </c>
      <c r="F311" s="41">
        <f>(D311+E311)*(($F$212)+1)</f>
        <v>1216.9571731200001</v>
      </c>
      <c r="G311" s="81"/>
      <c r="H311" s="82"/>
      <c r="I311" s="36"/>
      <c r="L311" s="73"/>
      <c r="M311" s="73"/>
      <c r="N311" s="36"/>
    </row>
    <row r="312" spans="1:14" s="46" customFormat="1" ht="15.6" customHeight="1" x14ac:dyDescent="0.3">
      <c r="A312" s="77">
        <f t="shared" ref="A312" si="18">A311+1</f>
        <v>22</v>
      </c>
      <c r="B312" s="78"/>
      <c r="C312" s="41" t="s">
        <v>231</v>
      </c>
      <c r="D312" s="41">
        <f>(5.27*5.99+3.62*3.35+2.1*1.5)*10.764</f>
        <v>504.23204519999996</v>
      </c>
      <c r="E312" s="41">
        <v>0</v>
      </c>
      <c r="F312" s="41">
        <f>(D312+E312)*(($F$212)+1)</f>
        <v>806.77127231999998</v>
      </c>
      <c r="G312" s="81"/>
      <c r="H312" s="82"/>
      <c r="I312" s="36"/>
      <c r="L312" s="73"/>
      <c r="M312" s="73"/>
      <c r="N312" s="36"/>
    </row>
    <row r="313" spans="1:14" s="46" customFormat="1" x14ac:dyDescent="0.3">
      <c r="A313" s="74" t="s">
        <v>239</v>
      </c>
      <c r="B313" s="75"/>
      <c r="C313" s="75"/>
      <c r="D313" s="75"/>
      <c r="E313" s="75"/>
      <c r="F313" s="75"/>
      <c r="G313" s="75"/>
      <c r="H313" s="76"/>
      <c r="J313" s="36"/>
    </row>
    <row r="314" spans="1:14" s="46" customFormat="1" ht="15.6" customHeight="1" x14ac:dyDescent="0.3">
      <c r="A314" s="77">
        <v>34</v>
      </c>
      <c r="B314" s="78"/>
      <c r="C314" s="41" t="s">
        <v>231</v>
      </c>
      <c r="D314" s="41">
        <f>(8.48*9.33+6.13*5.11+1.95*1.6)*10.764</f>
        <v>1222.3889028000001</v>
      </c>
      <c r="E314" s="41">
        <v>0</v>
      </c>
      <c r="F314" s="41">
        <f>(D314+E314)*(($F$212)+1)</f>
        <v>1955.8222444800003</v>
      </c>
      <c r="G314" s="79" t="str">
        <f>A313</f>
        <v>Upper Ground / 1st podium For Commercial</v>
      </c>
      <c r="H314" s="80"/>
      <c r="I314" s="36"/>
      <c r="L314" s="73"/>
      <c r="M314" s="73"/>
      <c r="N314" s="36"/>
    </row>
    <row r="315" spans="1:14" s="46" customFormat="1" ht="15.6" customHeight="1" x14ac:dyDescent="0.3">
      <c r="A315" s="77" t="s">
        <v>250</v>
      </c>
      <c r="B315" s="78"/>
      <c r="C315" s="41" t="s">
        <v>231</v>
      </c>
      <c r="D315" s="41">
        <f>(13.58*7.03+2.1*1.5)*10.764</f>
        <v>1061.5176936</v>
      </c>
      <c r="E315" s="41">
        <v>0</v>
      </c>
      <c r="F315" s="41">
        <f>(D315+E315)*(($F$212)+1)</f>
        <v>1698.42830976</v>
      </c>
      <c r="G315" s="81"/>
      <c r="H315" s="82"/>
      <c r="I315" s="36"/>
      <c r="L315" s="73"/>
      <c r="M315" s="73"/>
      <c r="N315" s="36"/>
    </row>
    <row r="316" spans="1:14" s="46" customFormat="1" ht="15.6" customHeight="1" x14ac:dyDescent="0.3">
      <c r="A316" s="77" t="s">
        <v>251</v>
      </c>
      <c r="B316" s="78"/>
      <c r="C316" s="41" t="s">
        <v>231</v>
      </c>
      <c r="D316" s="41">
        <f>(8.29*7.04+3.35*6.59+2.1*1.5)*10.764</f>
        <v>899.74230839999996</v>
      </c>
      <c r="E316" s="41">
        <v>0</v>
      </c>
      <c r="F316" s="41">
        <f>(D316+E316)*(($F$212)+1)</f>
        <v>1439.5876934400001</v>
      </c>
      <c r="G316" s="81"/>
      <c r="H316" s="82"/>
      <c r="I316" s="36"/>
      <c r="L316" s="73"/>
      <c r="M316" s="73"/>
      <c r="N316" s="36"/>
    </row>
    <row r="317" spans="1:14" s="46" customFormat="1" ht="15.6" customHeight="1" x14ac:dyDescent="0.3">
      <c r="A317" s="77">
        <v>39</v>
      </c>
      <c r="B317" s="78"/>
      <c r="C317" s="41" t="s">
        <v>231</v>
      </c>
      <c r="D317" s="41">
        <f>(7.82*5.99+6.17*3.35+2.1*1.5)*10.764</f>
        <v>760.5982332000001</v>
      </c>
      <c r="E317" s="41">
        <v>0</v>
      </c>
      <c r="F317" s="41">
        <f>(D317+E317)*(($F$212)+1)</f>
        <v>1216.9571731200001</v>
      </c>
      <c r="G317" s="81"/>
      <c r="H317" s="82"/>
      <c r="I317" s="36"/>
      <c r="L317" s="73"/>
      <c r="M317" s="73"/>
      <c r="N317" s="36"/>
    </row>
    <row r="318" spans="1:14" s="46" customFormat="1" ht="15.6" customHeight="1" x14ac:dyDescent="0.3">
      <c r="A318" s="77">
        <f t="shared" ref="A318" si="19">A317+1</f>
        <v>40</v>
      </c>
      <c r="B318" s="78"/>
      <c r="C318" s="41" t="s">
        <v>231</v>
      </c>
      <c r="D318" s="41">
        <f>(6.13*5.99+3.62*3.35+2.1*1.5)*10.764</f>
        <v>559.68171480000001</v>
      </c>
      <c r="E318" s="41">
        <v>0</v>
      </c>
      <c r="F318" s="41">
        <f>(D318+E318)*(($F$212)+1)</f>
        <v>895.49074368000004</v>
      </c>
      <c r="G318" s="81"/>
      <c r="H318" s="82"/>
      <c r="I318" s="36"/>
      <c r="L318" s="73"/>
      <c r="M318" s="73"/>
      <c r="N318" s="36"/>
    </row>
    <row r="319" spans="1:14" s="46" customFormat="1" x14ac:dyDescent="0.3">
      <c r="A319" s="77"/>
      <c r="B319" s="144"/>
      <c r="C319" s="144"/>
      <c r="D319" s="144"/>
      <c r="E319" s="144"/>
      <c r="F319" s="144"/>
      <c r="G319" s="144"/>
      <c r="H319" s="78"/>
      <c r="I319" s="36"/>
      <c r="N319" s="36"/>
    </row>
    <row r="320" spans="1:14" ht="47.25" customHeight="1" x14ac:dyDescent="0.3">
      <c r="A320" s="145" t="s">
        <v>119</v>
      </c>
      <c r="B320" s="145" t="s">
        <v>120</v>
      </c>
      <c r="C320" s="138" t="s">
        <v>57</v>
      </c>
      <c r="D320" s="138" t="s">
        <v>58</v>
      </c>
      <c r="E320" s="182" t="s">
        <v>59</v>
      </c>
      <c r="F320" s="42" t="s">
        <v>151</v>
      </c>
      <c r="G320" s="145" t="s">
        <v>60</v>
      </c>
      <c r="H320" s="184"/>
      <c r="I320" s="36"/>
    </row>
    <row r="321" spans="1:14" s="46" customFormat="1" x14ac:dyDescent="0.3">
      <c r="A321" s="146"/>
      <c r="B321" s="146"/>
      <c r="C321" s="139"/>
      <c r="D321" s="139"/>
      <c r="E321" s="183"/>
      <c r="F321" s="13">
        <v>0.6</v>
      </c>
      <c r="G321" s="146"/>
      <c r="H321" s="185"/>
      <c r="I321" s="36"/>
    </row>
    <row r="322" spans="1:14" s="46" customFormat="1" x14ac:dyDescent="0.3">
      <c r="A322" s="83" t="s">
        <v>227</v>
      </c>
      <c r="B322" s="84"/>
      <c r="C322" s="84"/>
      <c r="D322" s="84"/>
      <c r="E322" s="84"/>
      <c r="F322" s="84"/>
      <c r="G322" s="84"/>
      <c r="H322" s="85"/>
      <c r="J322" s="36"/>
    </row>
    <row r="323" spans="1:14" s="46" customFormat="1" x14ac:dyDescent="0.3">
      <c r="A323" s="74" t="s">
        <v>190</v>
      </c>
      <c r="B323" s="75"/>
      <c r="C323" s="75"/>
      <c r="D323" s="75"/>
      <c r="E323" s="75"/>
      <c r="F323" s="75"/>
      <c r="G323" s="75"/>
      <c r="H323" s="76"/>
      <c r="J323" s="36"/>
    </row>
    <row r="324" spans="1:14" s="46" customFormat="1" x14ac:dyDescent="0.3">
      <c r="A324" s="74" t="s">
        <v>233</v>
      </c>
      <c r="B324" s="75"/>
      <c r="C324" s="75"/>
      <c r="D324" s="75"/>
      <c r="E324" s="75"/>
      <c r="F324" s="75"/>
      <c r="G324" s="75"/>
      <c r="H324" s="76"/>
      <c r="I324" s="46">
        <v>23</v>
      </c>
      <c r="J324" s="36"/>
    </row>
    <row r="325" spans="1:14" s="46" customFormat="1" ht="15.6" customHeight="1" x14ac:dyDescent="0.3">
      <c r="A325" s="77">
        <v>1</v>
      </c>
      <c r="B325" s="78"/>
      <c r="C325" s="52">
        <v>4</v>
      </c>
      <c r="D325" s="41">
        <f>(184.63+8.57*1.83+3.65*1.34+3.65*1.52)*10.764</f>
        <v>2268.5356043999996</v>
      </c>
      <c r="E325" s="41">
        <v>0</v>
      </c>
      <c r="F325" s="41">
        <f>D325*(($F$321)+1)+(IF(E325&lt;101,E325,IF(E325&lt;201,E325/2,IF(E325&lt;=301,E325/3,E325/4))))</f>
        <v>3629.6569670399995</v>
      </c>
      <c r="G325" s="79" t="str">
        <f>A324</f>
        <v>1st to 4th, 6th to 11th, 13th to 18th &amp; 20th to 26th Floor for Residentail</v>
      </c>
      <c r="H325" s="80"/>
      <c r="I325" s="36"/>
      <c r="L325" s="73"/>
      <c r="M325" s="73"/>
      <c r="N325" s="36"/>
    </row>
    <row r="326" spans="1:14" s="46" customFormat="1" ht="15.6" customHeight="1" x14ac:dyDescent="0.3">
      <c r="A326" s="77">
        <f t="shared" ref="A326:A328" si="20">A325+1</f>
        <v>2</v>
      </c>
      <c r="B326" s="78"/>
      <c r="C326" s="52">
        <v>4</v>
      </c>
      <c r="D326" s="41">
        <f>(173.92+7.95*1.53+3.5*1.53)*10.764</f>
        <v>2060.6440139999995</v>
      </c>
      <c r="E326" s="41">
        <v>0</v>
      </c>
      <c r="F326" s="41">
        <f>D326*(($F$321)+1)+(IF(E326&lt;101,E326,IF(E326&lt;201,E326/2,IF(E326&lt;=301,E326/3,E326/4))))</f>
        <v>3297.0304223999992</v>
      </c>
      <c r="G326" s="81"/>
      <c r="H326" s="82"/>
      <c r="I326" s="36"/>
      <c r="L326" s="73"/>
      <c r="M326" s="73"/>
      <c r="N326" s="36"/>
    </row>
    <row r="327" spans="1:14" s="46" customFormat="1" ht="15.6" customHeight="1" x14ac:dyDescent="0.3">
      <c r="A327" s="77">
        <f t="shared" si="20"/>
        <v>3</v>
      </c>
      <c r="B327" s="78"/>
      <c r="C327" s="52">
        <v>3</v>
      </c>
      <c r="D327" s="41">
        <f>(118.89+3.53*1.45+3.53*1.52)*10.764</f>
        <v>1392.5828124</v>
      </c>
      <c r="E327" s="41">
        <v>0</v>
      </c>
      <c r="F327" s="41">
        <f>D327*(($F$321)+1)+(IF(E327&lt;101,E327,IF(E327&lt;201,E327/2,IF(E327&lt;=301,E327/3,E327/4))))</f>
        <v>2228.13249984</v>
      </c>
      <c r="G327" s="81"/>
      <c r="H327" s="82"/>
      <c r="I327" s="36"/>
      <c r="L327" s="73"/>
      <c r="M327" s="73"/>
      <c r="N327" s="36"/>
    </row>
    <row r="328" spans="1:14" s="46" customFormat="1" ht="15.6" customHeight="1" x14ac:dyDescent="0.3">
      <c r="A328" s="77">
        <f t="shared" si="20"/>
        <v>4</v>
      </c>
      <c r="B328" s="78"/>
      <c r="C328" s="52">
        <v>4</v>
      </c>
      <c r="D328" s="41">
        <f>(168.23+7.91*1.52+3.37*1.52)*10.764</f>
        <v>1995.3829583999998</v>
      </c>
      <c r="E328" s="41">
        <v>0</v>
      </c>
      <c r="F328" s="41">
        <f>D328*(($F$321)+1)+(IF(E328&lt;101,E328,IF(E328&lt;201,E328/2,IF(E328&lt;=301,E328/3,E328/4))))</f>
        <v>3192.6127334399998</v>
      </c>
      <c r="G328" s="97"/>
      <c r="H328" s="98"/>
      <c r="I328" s="36"/>
      <c r="L328" s="73"/>
      <c r="M328" s="73"/>
      <c r="N328" s="36"/>
    </row>
    <row r="329" spans="1:14" s="46" customFormat="1" x14ac:dyDescent="0.3">
      <c r="A329" s="99" t="s">
        <v>212</v>
      </c>
      <c r="B329" s="99"/>
      <c r="C329" s="99"/>
      <c r="D329" s="99"/>
      <c r="E329" s="99"/>
      <c r="F329" s="99"/>
      <c r="G329" s="99"/>
      <c r="H329" s="99"/>
      <c r="I329" s="36">
        <v>2</v>
      </c>
      <c r="L329" s="73"/>
      <c r="M329" s="73"/>
    </row>
    <row r="330" spans="1:14" s="46" customFormat="1" ht="15.6" customHeight="1" x14ac:dyDescent="0.3">
      <c r="A330" s="72">
        <v>1</v>
      </c>
      <c r="B330" s="72"/>
      <c r="C330" s="52">
        <v>4</v>
      </c>
      <c r="D330" s="41">
        <f>(184.63+8.57*1.83+3.65*1.34+3.65*1.52)*10.764</f>
        <v>2268.5356043999996</v>
      </c>
      <c r="E330" s="41">
        <v>0</v>
      </c>
      <c r="F330" s="41">
        <f>D330*(($F$321)+1)+(IF(E330&lt;101,E330,IF(E330&lt;201,E330/2,IF(E330&lt;=301,E330/3,E330/4))))</f>
        <v>3629.6569670399995</v>
      </c>
      <c r="G330" s="79" t="str">
        <f>A329</f>
        <v>5th &amp; 12th Floor (Part Refuge Area)</v>
      </c>
      <c r="H330" s="80"/>
      <c r="I330" s="36"/>
      <c r="N330" s="36"/>
    </row>
    <row r="331" spans="1:14" s="46" customFormat="1" ht="15.6" customHeight="1" x14ac:dyDescent="0.3">
      <c r="A331" s="72">
        <f>A330+1</f>
        <v>2</v>
      </c>
      <c r="B331" s="72"/>
      <c r="C331" s="135" t="s">
        <v>191</v>
      </c>
      <c r="D331" s="136"/>
      <c r="E331" s="136"/>
      <c r="F331" s="137"/>
      <c r="G331" s="81"/>
      <c r="H331" s="82"/>
      <c r="I331" s="36"/>
      <c r="L331" s="53"/>
      <c r="N331" s="36"/>
    </row>
    <row r="332" spans="1:14" s="46" customFormat="1" ht="15.6" customHeight="1" x14ac:dyDescent="0.3">
      <c r="A332" s="72">
        <f>A331+1</f>
        <v>3</v>
      </c>
      <c r="B332" s="72"/>
      <c r="C332" s="52">
        <v>3</v>
      </c>
      <c r="D332" s="41">
        <f>(118.89+3.53*1.45+3.53*1.52)*10.764</f>
        <v>1392.5828124</v>
      </c>
      <c r="E332" s="41">
        <v>0</v>
      </c>
      <c r="F332" s="41">
        <f>D332*(($F$321)+1)+(IF(E332&lt;101,E332,IF(E332&lt;201,E332/2,IF(E332&lt;=301,E332/3,E332/4))))</f>
        <v>2228.13249984</v>
      </c>
      <c r="G332" s="81"/>
      <c r="H332" s="82"/>
      <c r="I332" s="36"/>
      <c r="N332" s="36"/>
    </row>
    <row r="333" spans="1:14" s="46" customFormat="1" ht="15.6" customHeight="1" x14ac:dyDescent="0.3">
      <c r="A333" s="72">
        <f>A332+1</f>
        <v>4</v>
      </c>
      <c r="B333" s="72"/>
      <c r="C333" s="52">
        <v>4</v>
      </c>
      <c r="D333" s="41">
        <f>(168.23+7.91*1.52+3.37*1.52)*10.764</f>
        <v>1995.3829583999998</v>
      </c>
      <c r="E333" s="41">
        <v>0</v>
      </c>
      <c r="F333" s="41">
        <f>D333*(($F$321)+1)+(IF(E333&lt;101,E333,IF(E333&lt;201,E333/2,IF(E333&lt;=301,E333/3,E333/4))))</f>
        <v>3192.6127334399998</v>
      </c>
      <c r="G333" s="97"/>
      <c r="H333" s="98"/>
      <c r="I333" s="36"/>
      <c r="N333" s="36"/>
    </row>
    <row r="334" spans="1:14" s="46" customFormat="1" x14ac:dyDescent="0.3">
      <c r="A334" s="99" t="s">
        <v>213</v>
      </c>
      <c r="B334" s="99"/>
      <c r="C334" s="99"/>
      <c r="D334" s="99"/>
      <c r="E334" s="99"/>
      <c r="F334" s="99"/>
      <c r="G334" s="99"/>
      <c r="H334" s="99"/>
      <c r="I334" s="36">
        <v>1</v>
      </c>
      <c r="L334" s="73"/>
      <c r="M334" s="73"/>
    </row>
    <row r="335" spans="1:14" s="46" customFormat="1" ht="15.6" customHeight="1" x14ac:dyDescent="0.3">
      <c r="A335" s="72">
        <v>1</v>
      </c>
      <c r="B335" s="72"/>
      <c r="C335" s="52">
        <v>4</v>
      </c>
      <c r="D335" s="41">
        <f>(184.63+8.57*1.83+3.65*1.34+3.65*1.52)*10.764</f>
        <v>2268.5356043999996</v>
      </c>
      <c r="E335" s="41">
        <v>0</v>
      </c>
      <c r="F335" s="41">
        <f>D335*(($F$321)+1)+(IF(E335&lt;101,E335,IF(E335&lt;201,E335/2,IF(E335&lt;=301,E335/3,E335/4))))</f>
        <v>3629.6569670399995</v>
      </c>
      <c r="G335" s="79" t="str">
        <f>A334</f>
        <v>19th Floor (Part Refuge Area)</v>
      </c>
      <c r="H335" s="80"/>
      <c r="I335" s="36"/>
      <c r="N335" s="36"/>
    </row>
    <row r="336" spans="1:14" s="46" customFormat="1" ht="15.6" customHeight="1" x14ac:dyDescent="0.3">
      <c r="A336" s="72">
        <f>A335+1</f>
        <v>2</v>
      </c>
      <c r="B336" s="72"/>
      <c r="C336" s="135" t="s">
        <v>191</v>
      </c>
      <c r="D336" s="136"/>
      <c r="E336" s="136"/>
      <c r="F336" s="137"/>
      <c r="G336" s="81" t="str">
        <f>G335</f>
        <v>19th Floor (Part Refuge Area)</v>
      </c>
      <c r="H336" s="82"/>
      <c r="I336" s="36"/>
      <c r="L336" s="53"/>
      <c r="N336" s="36"/>
    </row>
    <row r="337" spans="1:14" s="46" customFormat="1" ht="15.6" customHeight="1" x14ac:dyDescent="0.3">
      <c r="A337" s="72">
        <f>A336+1</f>
        <v>3</v>
      </c>
      <c r="B337" s="72"/>
      <c r="C337" s="52">
        <v>3</v>
      </c>
      <c r="D337" s="41">
        <f>(118.89+3.53*1.45+3.53*1.52)*10.764</f>
        <v>1392.5828124</v>
      </c>
      <c r="E337" s="41">
        <v>0</v>
      </c>
      <c r="F337" s="41">
        <f>D337*(($F$321)+1)+(IF(E337&lt;101,E337,IF(E337&lt;201,E337/2,IF(E337&lt;=301,E337/3,E337/4))))</f>
        <v>2228.13249984</v>
      </c>
      <c r="G337" s="81" t="str">
        <f>G336</f>
        <v>19th Floor (Part Refuge Area)</v>
      </c>
      <c r="H337" s="82"/>
      <c r="I337" s="36"/>
      <c r="N337" s="36"/>
    </row>
    <row r="338" spans="1:14" s="46" customFormat="1" ht="15.6" customHeight="1" x14ac:dyDescent="0.3">
      <c r="A338" s="72">
        <f>A337+1</f>
        <v>4</v>
      </c>
      <c r="B338" s="72"/>
      <c r="C338" s="52">
        <v>4</v>
      </c>
      <c r="D338" s="41">
        <f>(168.23+7.91*1.52+3.37*1.52)*10.764</f>
        <v>1995.3829583999998</v>
      </c>
      <c r="E338" s="41">
        <v>0</v>
      </c>
      <c r="F338" s="41">
        <f>D338*(($F$321)+1)+(IF(E338&lt;101,E338,IF(E338&lt;201,E338/2,IF(E338&lt;=301,E338/3,E338/4))))</f>
        <v>3192.6127334399998</v>
      </c>
      <c r="G338" s="97" t="str">
        <f>G337</f>
        <v>19th Floor (Part Refuge Area)</v>
      </c>
      <c r="H338" s="98"/>
      <c r="I338" s="36"/>
      <c r="N338" s="36"/>
    </row>
    <row r="339" spans="1:14" s="46" customFormat="1" x14ac:dyDescent="0.3">
      <c r="A339" s="83" t="s">
        <v>171</v>
      </c>
      <c r="B339" s="84"/>
      <c r="C339" s="84"/>
      <c r="D339" s="84"/>
      <c r="E339" s="84"/>
      <c r="F339" s="84"/>
      <c r="G339" s="84"/>
      <c r="H339" s="85"/>
      <c r="J339" s="36"/>
    </row>
    <row r="340" spans="1:14" s="46" customFormat="1" x14ac:dyDescent="0.3">
      <c r="A340" s="74" t="s">
        <v>190</v>
      </c>
      <c r="B340" s="75"/>
      <c r="C340" s="75"/>
      <c r="D340" s="75"/>
      <c r="E340" s="75"/>
      <c r="F340" s="75"/>
      <c r="G340" s="75"/>
      <c r="H340" s="76"/>
      <c r="J340" s="36"/>
    </row>
    <row r="341" spans="1:14" s="46" customFormat="1" x14ac:dyDescent="0.3">
      <c r="A341" s="74" t="s">
        <v>210</v>
      </c>
      <c r="B341" s="75"/>
      <c r="C341" s="75"/>
      <c r="D341" s="75"/>
      <c r="E341" s="75"/>
      <c r="F341" s="75"/>
      <c r="G341" s="75"/>
      <c r="H341" s="76"/>
      <c r="I341" s="46">
        <v>1</v>
      </c>
      <c r="J341" s="36"/>
    </row>
    <row r="342" spans="1:14" s="46" customFormat="1" ht="15.6" customHeight="1" x14ac:dyDescent="0.3">
      <c r="A342" s="77">
        <v>1</v>
      </c>
      <c r="B342" s="78"/>
      <c r="C342" s="52">
        <v>4</v>
      </c>
      <c r="D342" s="41">
        <f>(172.03+3.2*1.52+8.27*1.82+3.35*1.39)*10.764</f>
        <v>2116.2228516</v>
      </c>
      <c r="E342" s="41">
        <v>0</v>
      </c>
      <c r="F342" s="41">
        <f>D342*(($F$321)+1)+(IF(E342&lt;101,E342,IF(E342&lt;201,E342/2,IF(E342&lt;=301,E342/3,E342/4))))</f>
        <v>3385.9565625600003</v>
      </c>
      <c r="G342" s="79" t="str">
        <f>A341</f>
        <v>1st Floor for Residentail</v>
      </c>
      <c r="H342" s="80"/>
      <c r="I342" s="36"/>
      <c r="L342" s="73"/>
      <c r="M342" s="73"/>
      <c r="N342" s="36"/>
    </row>
    <row r="343" spans="1:14" s="46" customFormat="1" ht="15.6" customHeight="1" x14ac:dyDescent="0.3">
      <c r="A343" s="77">
        <f t="shared" ref="A343:A345" si="21">A342+1</f>
        <v>2</v>
      </c>
      <c r="B343" s="78"/>
      <c r="C343" s="52">
        <v>4</v>
      </c>
      <c r="D343" s="41">
        <f>(143.77+5.3*1.52+3.45*1.52)*10.764</f>
        <v>1690.7014800000002</v>
      </c>
      <c r="E343" s="41">
        <v>0</v>
      </c>
      <c r="F343" s="41">
        <f>D343*(($F$321)+1)+(IF(E343&lt;101,E343,IF(E343&lt;201,E343/2,IF(E343&lt;=301,E343/3,E343/4))))</f>
        <v>2705.1223680000003</v>
      </c>
      <c r="G343" s="81"/>
      <c r="H343" s="82"/>
      <c r="I343" s="36"/>
      <c r="L343" s="73"/>
      <c r="M343" s="73"/>
      <c r="N343" s="36"/>
    </row>
    <row r="344" spans="1:14" s="46" customFormat="1" ht="15.6" customHeight="1" x14ac:dyDescent="0.3">
      <c r="A344" s="77">
        <f t="shared" si="21"/>
        <v>3</v>
      </c>
      <c r="B344" s="78"/>
      <c r="C344" s="52">
        <v>3</v>
      </c>
      <c r="D344" s="41">
        <f>(117.12+1.22*3.96+1.22*3.41)*10.764</f>
        <v>1357.4631096000001</v>
      </c>
      <c r="E344" s="41">
        <v>0</v>
      </c>
      <c r="F344" s="41">
        <f>D344*(($F$321)+1)+(IF(E344&lt;101,E344,IF(E344&lt;201,E344/2,IF(E344&lt;=301,E344/3,E344/4))))</f>
        <v>2171.9409753600003</v>
      </c>
      <c r="G344" s="81"/>
      <c r="H344" s="82"/>
      <c r="I344" s="36"/>
      <c r="L344" s="73"/>
      <c r="M344" s="73"/>
      <c r="N344" s="36"/>
    </row>
    <row r="345" spans="1:14" s="46" customFormat="1" ht="15.6" customHeight="1" x14ac:dyDescent="0.3">
      <c r="A345" s="77">
        <f t="shared" si="21"/>
        <v>4</v>
      </c>
      <c r="B345" s="78"/>
      <c r="C345" s="52">
        <v>3</v>
      </c>
      <c r="D345" s="41">
        <f>(121.37+4.11*1.22+3.56*1.22)*10.764</f>
        <v>1407.1497336</v>
      </c>
      <c r="E345" s="41">
        <v>0</v>
      </c>
      <c r="F345" s="41">
        <f>D345*(($F$321)+1)+(IF(E345&lt;101,E345,IF(E345&lt;201,E345/2,IF(E345&lt;=301,E345/3,E345/4))))</f>
        <v>2251.4395737600003</v>
      </c>
      <c r="G345" s="97"/>
      <c r="H345" s="98"/>
      <c r="I345" s="36"/>
      <c r="L345" s="73"/>
      <c r="M345" s="73"/>
      <c r="N345" s="36"/>
    </row>
    <row r="346" spans="1:14" s="46" customFormat="1" x14ac:dyDescent="0.3">
      <c r="A346" s="74" t="s">
        <v>211</v>
      </c>
      <c r="B346" s="75"/>
      <c r="C346" s="75"/>
      <c r="D346" s="75"/>
      <c r="E346" s="75"/>
      <c r="F346" s="75"/>
      <c r="G346" s="75"/>
      <c r="H346" s="76"/>
      <c r="I346" s="46">
        <v>20</v>
      </c>
      <c r="J346" s="36"/>
    </row>
    <row r="347" spans="1:14" s="46" customFormat="1" ht="15.6" customHeight="1" x14ac:dyDescent="0.3">
      <c r="A347" s="77">
        <v>1</v>
      </c>
      <c r="B347" s="78"/>
      <c r="C347" s="52">
        <v>4</v>
      </c>
      <c r="D347" s="41">
        <f>(172.03+3.2*1.52+8.27*1.82+3.35*1.39)*10.764</f>
        <v>2116.2228516</v>
      </c>
      <c r="E347" s="41">
        <v>0</v>
      </c>
      <c r="F347" s="41">
        <f>D347*(($F$321)+1)+(IF(E347&lt;101,E347,IF(E347&lt;201,E347/2,IF(E347&lt;=301,E347/3,E347/4))))</f>
        <v>3385.9565625600003</v>
      </c>
      <c r="G347" s="79" t="str">
        <f>A346</f>
        <v>2nd to 4th, 6th to 11th, 13th to 18th &amp; 20th to 24th Floor for Residentail</v>
      </c>
      <c r="H347" s="80"/>
      <c r="I347" s="36"/>
      <c r="L347" s="73"/>
      <c r="M347" s="73"/>
      <c r="N347" s="36"/>
    </row>
    <row r="348" spans="1:14" s="46" customFormat="1" ht="15.6" customHeight="1" x14ac:dyDescent="0.3">
      <c r="A348" s="77">
        <f t="shared" ref="A348:A350" si="22">A347+1</f>
        <v>2</v>
      </c>
      <c r="B348" s="78"/>
      <c r="C348" s="52">
        <v>4</v>
      </c>
      <c r="D348" s="41">
        <f>(143.77+5.3*1.52+3.45*1.52)*10.764</f>
        <v>1690.7014800000002</v>
      </c>
      <c r="E348" s="41">
        <v>0</v>
      </c>
      <c r="F348" s="41">
        <f>D348*(($F$321)+1)+(IF(E348&lt;101,E348,IF(E348&lt;201,E348/2,IF(E348&lt;=301,E348/3,E348/4))))</f>
        <v>2705.1223680000003</v>
      </c>
      <c r="G348" s="81"/>
      <c r="H348" s="82"/>
      <c r="I348" s="36"/>
      <c r="L348" s="73"/>
      <c r="M348" s="73"/>
      <c r="N348" s="36"/>
    </row>
    <row r="349" spans="1:14" s="46" customFormat="1" ht="15.6" customHeight="1" x14ac:dyDescent="0.3">
      <c r="A349" s="77">
        <f t="shared" si="22"/>
        <v>3</v>
      </c>
      <c r="B349" s="78"/>
      <c r="C349" s="52">
        <v>3</v>
      </c>
      <c r="D349" s="41">
        <f>(117.12+1.22*3.96+1.22*3.41)*10.764</f>
        <v>1357.4631096000001</v>
      </c>
      <c r="E349" s="41">
        <v>0</v>
      </c>
      <c r="F349" s="41">
        <f>D349*(($F$321)+1)+(IF(E349&lt;101,E349,IF(E349&lt;201,E349/2,IF(E349&lt;=301,E349/3,E349/4))))</f>
        <v>2171.9409753600003</v>
      </c>
      <c r="G349" s="81"/>
      <c r="H349" s="82"/>
      <c r="I349" s="36"/>
      <c r="L349" s="73"/>
      <c r="M349" s="73"/>
      <c r="N349" s="36"/>
    </row>
    <row r="350" spans="1:14" s="46" customFormat="1" ht="15.6" customHeight="1" x14ac:dyDescent="0.3">
      <c r="A350" s="77">
        <f t="shared" si="22"/>
        <v>4</v>
      </c>
      <c r="B350" s="78"/>
      <c r="C350" s="52">
        <v>3</v>
      </c>
      <c r="D350" s="41">
        <f>(121.37+4.11*1.22+3.56*1.22)*10.764</f>
        <v>1407.1497336</v>
      </c>
      <c r="E350" s="41">
        <v>0</v>
      </c>
      <c r="F350" s="41">
        <f>D350*(($F$321)+1)+(IF(E350&lt;101,E350,IF(E350&lt;201,E350/2,IF(E350&lt;=301,E350/3,E350/4))))</f>
        <v>2251.4395737600003</v>
      </c>
      <c r="G350" s="97"/>
      <c r="H350" s="98"/>
      <c r="I350" s="36"/>
      <c r="L350" s="73"/>
      <c r="M350" s="73"/>
      <c r="N350" s="36"/>
    </row>
    <row r="351" spans="1:14" s="46" customFormat="1" x14ac:dyDescent="0.3">
      <c r="A351" s="99" t="s">
        <v>212</v>
      </c>
      <c r="B351" s="99"/>
      <c r="C351" s="99"/>
      <c r="D351" s="99"/>
      <c r="E351" s="99"/>
      <c r="F351" s="99"/>
      <c r="G351" s="99"/>
      <c r="H351" s="99"/>
      <c r="I351" s="36">
        <v>2</v>
      </c>
      <c r="L351" s="73"/>
      <c r="M351" s="73"/>
    </row>
    <row r="352" spans="1:14" s="46" customFormat="1" ht="15.6" customHeight="1" x14ac:dyDescent="0.3">
      <c r="A352" s="72">
        <v>1</v>
      </c>
      <c r="B352" s="72"/>
      <c r="C352" s="52">
        <v>4</v>
      </c>
      <c r="D352" s="41">
        <f>(172.03+3.2*1.52+8.27*1.82+3.35*1.39)*10.764</f>
        <v>2116.2228516</v>
      </c>
      <c r="E352" s="41">
        <v>0</v>
      </c>
      <c r="F352" s="41">
        <f>D352*(($F$321)+1)+(IF(E352&lt;101,E352,IF(E352&lt;201,E352/2,IF(E352&lt;=301,E352/3,E352/4))))</f>
        <v>3385.9565625600003</v>
      </c>
      <c r="G352" s="79" t="str">
        <f>A351</f>
        <v>5th &amp; 12th Floor (Part Refuge Area)</v>
      </c>
      <c r="H352" s="80"/>
      <c r="I352" s="36"/>
      <c r="N352" s="36"/>
    </row>
    <row r="353" spans="1:14" s="46" customFormat="1" ht="15.6" customHeight="1" x14ac:dyDescent="0.3">
      <c r="A353" s="72">
        <f>A352+1</f>
        <v>2</v>
      </c>
      <c r="B353" s="72"/>
      <c r="C353" s="135" t="s">
        <v>191</v>
      </c>
      <c r="D353" s="136"/>
      <c r="E353" s="136"/>
      <c r="F353" s="137"/>
      <c r="G353" s="81"/>
      <c r="H353" s="82"/>
      <c r="I353" s="36"/>
      <c r="L353" s="53"/>
      <c r="N353" s="36"/>
    </row>
    <row r="354" spans="1:14" s="46" customFormat="1" ht="15.6" customHeight="1" x14ac:dyDescent="0.3">
      <c r="A354" s="72">
        <f>A353+1</f>
        <v>3</v>
      </c>
      <c r="B354" s="72"/>
      <c r="C354" s="52">
        <v>3</v>
      </c>
      <c r="D354" s="41">
        <f>(117.12+1.22*3.96+1.22*3.41)*10.764</f>
        <v>1357.4631096000001</v>
      </c>
      <c r="E354" s="41">
        <v>0</v>
      </c>
      <c r="F354" s="41">
        <f>D354*(($F$321)+1)+(IF(E354&lt;101,E354,IF(E354&lt;201,E354/2,IF(E354&lt;=301,E354/3,E354/4))))</f>
        <v>2171.9409753600003</v>
      </c>
      <c r="G354" s="81"/>
      <c r="H354" s="82"/>
      <c r="I354" s="36"/>
      <c r="N354" s="36"/>
    </row>
    <row r="355" spans="1:14" s="46" customFormat="1" ht="15.6" customHeight="1" x14ac:dyDescent="0.3">
      <c r="A355" s="72">
        <f>A354+1</f>
        <v>4</v>
      </c>
      <c r="B355" s="72"/>
      <c r="C355" s="52">
        <v>3</v>
      </c>
      <c r="D355" s="41">
        <f>(121.37+4.11*1.22+3.56*1.22)*10.764</f>
        <v>1407.1497336</v>
      </c>
      <c r="E355" s="41">
        <v>0</v>
      </c>
      <c r="F355" s="41">
        <f>D355*(($F$321)+1)+(IF(E355&lt;101,E355,IF(E355&lt;201,E355/2,IF(E355&lt;=301,E355/3,E355/4))))</f>
        <v>2251.4395737600003</v>
      </c>
      <c r="G355" s="97"/>
      <c r="H355" s="98"/>
      <c r="I355" s="36"/>
      <c r="N355" s="36"/>
    </row>
    <row r="356" spans="1:14" s="46" customFormat="1" x14ac:dyDescent="0.3">
      <c r="A356" s="99" t="s">
        <v>213</v>
      </c>
      <c r="B356" s="99"/>
      <c r="C356" s="99"/>
      <c r="D356" s="99"/>
      <c r="E356" s="99"/>
      <c r="F356" s="99"/>
      <c r="G356" s="99"/>
      <c r="H356" s="99"/>
      <c r="I356" s="36">
        <v>1</v>
      </c>
      <c r="L356" s="73"/>
      <c r="M356" s="73"/>
    </row>
    <row r="357" spans="1:14" s="46" customFormat="1" ht="15.6" customHeight="1" x14ac:dyDescent="0.3">
      <c r="A357" s="72">
        <v>1</v>
      </c>
      <c r="B357" s="72"/>
      <c r="C357" s="52">
        <v>4</v>
      </c>
      <c r="D357" s="41">
        <f>(172.03+3.2*1.52+8.27*1.82+3.35*1.39)*10.764</f>
        <v>2116.2228516</v>
      </c>
      <c r="E357" s="41">
        <v>0</v>
      </c>
      <c r="F357" s="41">
        <f>D357*(($F$321)+1)+(IF(E357&lt;101,E357,IF(E357&lt;201,E357/2,IF(E357&lt;=301,E357/3,E357/4))))</f>
        <v>3385.9565625600003</v>
      </c>
      <c r="G357" s="79" t="str">
        <f>A356</f>
        <v>19th Floor (Part Refuge Area)</v>
      </c>
      <c r="H357" s="80"/>
      <c r="I357" s="36"/>
      <c r="N357" s="36"/>
    </row>
    <row r="358" spans="1:14" s="46" customFormat="1" ht="15.6" customHeight="1" x14ac:dyDescent="0.3">
      <c r="A358" s="72">
        <f>A357+1</f>
        <v>2</v>
      </c>
      <c r="B358" s="72"/>
      <c r="C358" s="135" t="s">
        <v>191</v>
      </c>
      <c r="D358" s="136"/>
      <c r="E358" s="136"/>
      <c r="F358" s="137"/>
      <c r="G358" s="81" t="str">
        <f>G357</f>
        <v>19th Floor (Part Refuge Area)</v>
      </c>
      <c r="H358" s="82"/>
      <c r="I358" s="36"/>
      <c r="L358" s="53"/>
      <c r="N358" s="36"/>
    </row>
    <row r="359" spans="1:14" s="46" customFormat="1" ht="15.6" customHeight="1" x14ac:dyDescent="0.3">
      <c r="A359" s="72">
        <f>A358+1</f>
        <v>3</v>
      </c>
      <c r="B359" s="72"/>
      <c r="C359" s="52">
        <v>3</v>
      </c>
      <c r="D359" s="41">
        <f>(117.12+1.22*3.96+1.22*3.41)*10.764</f>
        <v>1357.4631096000001</v>
      </c>
      <c r="E359" s="41">
        <v>0</v>
      </c>
      <c r="F359" s="41">
        <f>D359*(($F$321)+1)+(IF(E359&lt;101,E359,IF(E359&lt;201,E359/2,IF(E359&lt;=301,E359/3,E359/4))))</f>
        <v>2171.9409753600003</v>
      </c>
      <c r="G359" s="81" t="str">
        <f>G358</f>
        <v>19th Floor (Part Refuge Area)</v>
      </c>
      <c r="H359" s="82"/>
      <c r="I359" s="36"/>
      <c r="N359" s="36"/>
    </row>
    <row r="360" spans="1:14" s="46" customFormat="1" ht="15.6" customHeight="1" x14ac:dyDescent="0.3">
      <c r="A360" s="72">
        <f>A359+1</f>
        <v>4</v>
      </c>
      <c r="B360" s="72"/>
      <c r="C360" s="52">
        <v>3</v>
      </c>
      <c r="D360" s="41">
        <f>(121.37+4.11*1.22+3.56*1.22)*10.764</f>
        <v>1407.1497336</v>
      </c>
      <c r="E360" s="41">
        <v>0</v>
      </c>
      <c r="F360" s="41">
        <f>D360*(($F$321)+1)+(IF(E360&lt;101,E360,IF(E360&lt;201,E360/2,IF(E360&lt;=301,E360/3,E360/4))))</f>
        <v>2251.4395737600003</v>
      </c>
      <c r="G360" s="97" t="str">
        <f>G359</f>
        <v>19th Floor (Part Refuge Area)</v>
      </c>
      <c r="H360" s="98"/>
      <c r="I360" s="36"/>
      <c r="N360" s="36"/>
    </row>
    <row r="361" spans="1:14" s="46" customFormat="1" x14ac:dyDescent="0.3">
      <c r="A361" s="83" t="s">
        <v>192</v>
      </c>
      <c r="B361" s="84"/>
      <c r="C361" s="84"/>
      <c r="D361" s="84"/>
      <c r="E361" s="84"/>
      <c r="F361" s="84"/>
      <c r="G361" s="84"/>
      <c r="H361" s="85"/>
      <c r="J361" s="36"/>
    </row>
    <row r="362" spans="1:14" s="46" customFormat="1" x14ac:dyDescent="0.3">
      <c r="A362" s="74" t="s">
        <v>190</v>
      </c>
      <c r="B362" s="75"/>
      <c r="C362" s="75"/>
      <c r="D362" s="75"/>
      <c r="E362" s="75"/>
      <c r="F362" s="75"/>
      <c r="G362" s="75"/>
      <c r="H362" s="76"/>
      <c r="J362" s="36"/>
    </row>
    <row r="363" spans="1:14" s="46" customFormat="1" x14ac:dyDescent="0.3">
      <c r="A363" s="74" t="s">
        <v>210</v>
      </c>
      <c r="B363" s="75"/>
      <c r="C363" s="75"/>
      <c r="D363" s="75"/>
      <c r="E363" s="75"/>
      <c r="F363" s="75"/>
      <c r="G363" s="75"/>
      <c r="H363" s="76"/>
      <c r="I363" s="46">
        <v>1</v>
      </c>
      <c r="J363" s="41">
        <v>10.763999999999999</v>
      </c>
    </row>
    <row r="364" spans="1:14" s="46" customFormat="1" ht="15.6" customHeight="1" x14ac:dyDescent="0.3">
      <c r="A364" s="77">
        <v>1</v>
      </c>
      <c r="B364" s="78"/>
      <c r="C364" s="52" t="s">
        <v>214</v>
      </c>
      <c r="D364" s="41">
        <f>(87.31+1.22*3.25+1.22*1.73)*10.764</f>
        <v>1005.2025984000001</v>
      </c>
      <c r="E364" s="41">
        <v>0</v>
      </c>
      <c r="F364" s="41">
        <f>D364*(($F$321)+1)+(IF(E364&lt;101,E364,IF(E364&lt;201,E364/2,IF(E364&lt;=301,E364/3,E364/4))))</f>
        <v>1608.3241574400001</v>
      </c>
      <c r="G364" s="79" t="str">
        <f>A363</f>
        <v>1st Floor for Residentail</v>
      </c>
      <c r="H364" s="80"/>
      <c r="I364" s="36"/>
      <c r="L364" s="73"/>
      <c r="M364" s="73"/>
      <c r="N364" s="36"/>
    </row>
    <row r="365" spans="1:14" s="46" customFormat="1" ht="15.6" customHeight="1" x14ac:dyDescent="0.3">
      <c r="A365" s="77">
        <f t="shared" ref="A365:A370" si="23">A364+1</f>
        <v>2</v>
      </c>
      <c r="B365" s="78"/>
      <c r="C365" s="125" t="s">
        <v>193</v>
      </c>
      <c r="D365" s="126"/>
      <c r="E365" s="126"/>
      <c r="F365" s="127"/>
      <c r="G365" s="81"/>
      <c r="H365" s="82"/>
      <c r="I365" s="36"/>
      <c r="L365" s="73"/>
      <c r="M365" s="73"/>
      <c r="N365" s="36"/>
    </row>
    <row r="366" spans="1:14" s="46" customFormat="1" ht="15.6" customHeight="1" x14ac:dyDescent="0.3">
      <c r="A366" s="77">
        <f t="shared" si="23"/>
        <v>3</v>
      </c>
      <c r="B366" s="78"/>
      <c r="C366" s="141"/>
      <c r="D366" s="142"/>
      <c r="E366" s="142"/>
      <c r="F366" s="143"/>
      <c r="G366" s="81"/>
      <c r="H366" s="82"/>
      <c r="I366" s="36"/>
      <c r="L366" s="73"/>
      <c r="M366" s="73"/>
      <c r="N366" s="36"/>
    </row>
    <row r="367" spans="1:14" s="46" customFormat="1" ht="15.6" customHeight="1" x14ac:dyDescent="0.3">
      <c r="A367" s="77">
        <f t="shared" si="23"/>
        <v>4</v>
      </c>
      <c r="B367" s="78"/>
      <c r="C367" s="128"/>
      <c r="D367" s="129"/>
      <c r="E367" s="129"/>
      <c r="F367" s="130"/>
      <c r="G367" s="81"/>
      <c r="H367" s="82"/>
      <c r="I367" s="36"/>
      <c r="L367" s="73"/>
      <c r="M367" s="73"/>
      <c r="N367" s="36"/>
    </row>
    <row r="368" spans="1:14" s="46" customFormat="1" ht="15.6" customHeight="1" x14ac:dyDescent="0.3">
      <c r="A368" s="77">
        <v>5</v>
      </c>
      <c r="B368" s="78"/>
      <c r="C368" s="52" t="s">
        <v>214</v>
      </c>
      <c r="D368" s="41">
        <f>(99.01+1.22*3.5+1.22*3.55)*10.764</f>
        <v>1158.3248040000001</v>
      </c>
      <c r="E368" s="41">
        <v>0</v>
      </c>
      <c r="F368" s="41">
        <f>D368*(($F$321)+1)+(IF(E368&lt;101,E368,IF(E368&lt;201,E368/2,IF(E368&lt;=301,E368/3,E368/4))))</f>
        <v>1853.3196864000001</v>
      </c>
      <c r="G368" s="81"/>
      <c r="H368" s="82"/>
      <c r="I368" s="36"/>
      <c r="L368" s="73"/>
      <c r="M368" s="73"/>
      <c r="N368" s="36"/>
    </row>
    <row r="369" spans="1:14" s="46" customFormat="1" ht="15.6" customHeight="1" x14ac:dyDescent="0.3">
      <c r="A369" s="77">
        <f t="shared" si="23"/>
        <v>6</v>
      </c>
      <c r="B369" s="78"/>
      <c r="C369" s="52" t="s">
        <v>215</v>
      </c>
      <c r="D369" s="41">
        <f>(58.67+0.91*2.68)*10.764</f>
        <v>657.77512319999994</v>
      </c>
      <c r="E369" s="41">
        <v>0</v>
      </c>
      <c r="F369" s="41">
        <f>D369*(($F$321)+1)+(IF(E369&lt;101,E369,IF(E369&lt;201,E369/2,IF(E369&lt;=301,E369/3,E369/4))))</f>
        <v>1052.44019712</v>
      </c>
      <c r="G369" s="81"/>
      <c r="H369" s="82"/>
      <c r="I369" s="36"/>
      <c r="L369" s="73"/>
      <c r="M369" s="73"/>
      <c r="N369" s="36"/>
    </row>
    <row r="370" spans="1:14" s="46" customFormat="1" ht="15.6" customHeight="1" x14ac:dyDescent="0.3">
      <c r="A370" s="77">
        <f t="shared" si="23"/>
        <v>7</v>
      </c>
      <c r="B370" s="78"/>
      <c r="C370" s="52" t="s">
        <v>215</v>
      </c>
      <c r="D370" s="41">
        <f>(58.67+0.91*2.68)*10.764</f>
        <v>657.77512319999994</v>
      </c>
      <c r="E370" s="41">
        <v>0</v>
      </c>
      <c r="F370" s="41">
        <f>D370*(($F$321)+1)+(IF(E370&lt;101,E370,IF(E370&lt;201,E370/2,IF(E370&lt;=301,E370/3,E370/4))))</f>
        <v>1052.44019712</v>
      </c>
      <c r="G370" s="97"/>
      <c r="H370" s="98"/>
      <c r="I370" s="36"/>
      <c r="L370" s="73"/>
      <c r="M370" s="73"/>
      <c r="N370" s="36"/>
    </row>
    <row r="371" spans="1:14" s="46" customFormat="1" x14ac:dyDescent="0.3">
      <c r="A371" s="74" t="s">
        <v>216</v>
      </c>
      <c r="B371" s="75"/>
      <c r="C371" s="75"/>
      <c r="D371" s="75"/>
      <c r="E371" s="75"/>
      <c r="F371" s="75"/>
      <c r="G371" s="75"/>
      <c r="H371" s="76"/>
      <c r="I371" s="46">
        <v>1</v>
      </c>
      <c r="J371" s="36"/>
    </row>
    <row r="372" spans="1:14" s="46" customFormat="1" ht="15.6" customHeight="1" x14ac:dyDescent="0.3">
      <c r="A372" s="77">
        <v>1</v>
      </c>
      <c r="B372" s="78"/>
      <c r="C372" s="52" t="s">
        <v>214</v>
      </c>
      <c r="D372" s="41">
        <f>(87.31+1.22*3.25+1.22*1.73)*10.764</f>
        <v>1005.2025984000001</v>
      </c>
      <c r="E372" s="41">
        <v>0</v>
      </c>
      <c r="F372" s="41">
        <f>D372*(($F$321)+1)+(IF(E372&lt;101,E372,IF(E372&lt;201,E372/2,IF(E372&lt;=301,E372/3,E372/4))))</f>
        <v>1608.3241574400001</v>
      </c>
      <c r="G372" s="79" t="str">
        <f>A371</f>
        <v>2nd Floor for Residentail</v>
      </c>
      <c r="H372" s="80"/>
      <c r="I372" s="36"/>
      <c r="L372" s="73"/>
      <c r="M372" s="73"/>
      <c r="N372" s="36"/>
    </row>
    <row r="373" spans="1:14" s="46" customFormat="1" ht="15.6" customHeight="1" x14ac:dyDescent="0.3">
      <c r="A373" s="77">
        <f t="shared" ref="A373:A378" si="24">A372+1</f>
        <v>2</v>
      </c>
      <c r="B373" s="78"/>
      <c r="C373" s="52" t="s">
        <v>214</v>
      </c>
      <c r="D373" s="41">
        <f>(87.31+1.22*3.25+1.22*1.73)*10.764</f>
        <v>1005.2025984000001</v>
      </c>
      <c r="E373" s="41">
        <v>0</v>
      </c>
      <c r="F373" s="41">
        <f>D373*(($F$321)+1)+(IF(E373&lt;101,E373,IF(E373&lt;201,E373/2,IF(E373&lt;=301,E373/3,E373/4))))</f>
        <v>1608.3241574400001</v>
      </c>
      <c r="G373" s="81"/>
      <c r="H373" s="82"/>
      <c r="I373" s="36"/>
      <c r="L373" s="73"/>
      <c r="M373" s="73"/>
      <c r="N373" s="36"/>
    </row>
    <row r="374" spans="1:14" s="46" customFormat="1" ht="15.6" customHeight="1" x14ac:dyDescent="0.3">
      <c r="A374" s="77">
        <f t="shared" si="24"/>
        <v>3</v>
      </c>
      <c r="B374" s="78"/>
      <c r="C374" s="135" t="s">
        <v>193</v>
      </c>
      <c r="D374" s="136"/>
      <c r="E374" s="136"/>
      <c r="F374" s="137"/>
      <c r="G374" s="81"/>
      <c r="H374" s="82"/>
      <c r="I374" s="36"/>
      <c r="L374" s="73"/>
      <c r="M374" s="73"/>
      <c r="N374" s="36"/>
    </row>
    <row r="375" spans="1:14" s="46" customFormat="1" ht="15.6" customHeight="1" x14ac:dyDescent="0.3">
      <c r="A375" s="77">
        <f t="shared" si="24"/>
        <v>4</v>
      </c>
      <c r="B375" s="78"/>
      <c r="C375" s="52" t="s">
        <v>214</v>
      </c>
      <c r="D375" s="41">
        <f>(99.01+1.22*3.5+1.22*3.55)*10.764</f>
        <v>1158.3248040000001</v>
      </c>
      <c r="E375" s="41">
        <v>0</v>
      </c>
      <c r="F375" s="41">
        <f>D375*(($F$321)+1)+(IF(E375&lt;101,E375,IF(E375&lt;201,E375/2,IF(E375&lt;=301,E375/3,E375/4))))</f>
        <v>1853.3196864000001</v>
      </c>
      <c r="G375" s="81"/>
      <c r="H375" s="82"/>
      <c r="I375" s="36"/>
      <c r="L375" s="73"/>
      <c r="M375" s="73"/>
      <c r="N375" s="36"/>
    </row>
    <row r="376" spans="1:14" s="46" customFormat="1" ht="15.6" customHeight="1" x14ac:dyDescent="0.3">
      <c r="A376" s="77">
        <v>5</v>
      </c>
      <c r="B376" s="78"/>
      <c r="C376" s="52" t="s">
        <v>214</v>
      </c>
      <c r="D376" s="41">
        <f>(99.01+1.22*3.5+1.22*3.55)*10.764</f>
        <v>1158.3248040000001</v>
      </c>
      <c r="E376" s="41">
        <v>0</v>
      </c>
      <c r="F376" s="41">
        <f>D376*(($F$321)+1)+(IF(E376&lt;101,E376,IF(E376&lt;201,E376/2,IF(E376&lt;=301,E376/3,E376/4))))</f>
        <v>1853.3196864000001</v>
      </c>
      <c r="G376" s="81"/>
      <c r="H376" s="82"/>
      <c r="I376" s="36"/>
      <c r="L376" s="73"/>
      <c r="M376" s="73"/>
      <c r="N376" s="36"/>
    </row>
    <row r="377" spans="1:14" s="46" customFormat="1" ht="15.6" customHeight="1" x14ac:dyDescent="0.3">
      <c r="A377" s="77">
        <f t="shared" si="24"/>
        <v>6</v>
      </c>
      <c r="B377" s="78"/>
      <c r="C377" s="52" t="s">
        <v>215</v>
      </c>
      <c r="D377" s="41">
        <f>(58.67+0.91*2.68)*10.764</f>
        <v>657.77512319999994</v>
      </c>
      <c r="E377" s="41">
        <v>0</v>
      </c>
      <c r="F377" s="41">
        <f>D377*(($F$321)+1)+(IF(E377&lt;101,E377,IF(E377&lt;201,E377/2,IF(E377&lt;=301,E377/3,E377/4))))</f>
        <v>1052.44019712</v>
      </c>
      <c r="G377" s="81"/>
      <c r="H377" s="82"/>
      <c r="I377" s="36"/>
      <c r="L377" s="73"/>
      <c r="M377" s="73"/>
      <c r="N377" s="36"/>
    </row>
    <row r="378" spans="1:14" s="46" customFormat="1" ht="15.6" customHeight="1" x14ac:dyDescent="0.3">
      <c r="A378" s="77">
        <f t="shared" si="24"/>
        <v>7</v>
      </c>
      <c r="B378" s="78"/>
      <c r="C378" s="52" t="s">
        <v>215</v>
      </c>
      <c r="D378" s="41">
        <f>(58.67+0.91*2.68)*10.764</f>
        <v>657.77512319999994</v>
      </c>
      <c r="E378" s="41">
        <v>0</v>
      </c>
      <c r="F378" s="41">
        <f>D378*(($F$321)+1)+(IF(E378&lt;101,E378,IF(E378&lt;201,E378/2,IF(E378&lt;=301,E378/3,E378/4))))</f>
        <v>1052.44019712</v>
      </c>
      <c r="G378" s="97"/>
      <c r="H378" s="98"/>
      <c r="I378" s="36"/>
      <c r="L378" s="73"/>
      <c r="M378" s="73"/>
      <c r="N378" s="36"/>
    </row>
    <row r="379" spans="1:14" s="46" customFormat="1" x14ac:dyDescent="0.3">
      <c r="A379" s="99" t="s">
        <v>217</v>
      </c>
      <c r="B379" s="99"/>
      <c r="C379" s="99"/>
      <c r="D379" s="99"/>
      <c r="E379" s="99"/>
      <c r="F379" s="99"/>
      <c r="G379" s="99"/>
      <c r="H379" s="99"/>
      <c r="I379" s="36">
        <v>1</v>
      </c>
      <c r="L379" s="73"/>
      <c r="M379" s="73"/>
    </row>
    <row r="380" spans="1:14" s="46" customFormat="1" x14ac:dyDescent="0.3">
      <c r="A380" s="72">
        <v>1</v>
      </c>
      <c r="B380" s="72"/>
      <c r="C380" s="52" t="s">
        <v>214</v>
      </c>
      <c r="D380" s="41">
        <f>(87.31+1.22*3.25+1.22*1.73)*10.764</f>
        <v>1005.2025984000001</v>
      </c>
      <c r="E380" s="41">
        <v>0</v>
      </c>
      <c r="F380" s="41">
        <f t="shared" ref="F380:F386" si="25">D380*(($F$321)+1)+(IF(E380&lt;101,E380,IF(E380&lt;201,E380/2,IF(E380&lt;=301,E380/3,E380/4))))</f>
        <v>1608.3241574400001</v>
      </c>
      <c r="G380" s="79" t="str">
        <f>A379</f>
        <v>3rd Floor</v>
      </c>
      <c r="H380" s="80"/>
      <c r="I380" s="36"/>
      <c r="N380" s="36"/>
    </row>
    <row r="381" spans="1:14" s="46" customFormat="1" x14ac:dyDescent="0.3">
      <c r="A381" s="72">
        <v>2</v>
      </c>
      <c r="B381" s="72"/>
      <c r="C381" s="52" t="s">
        <v>214</v>
      </c>
      <c r="D381" s="41">
        <f>(87.31+1.22*3.25+1.22*1.73)*10.764</f>
        <v>1005.2025984000001</v>
      </c>
      <c r="E381" s="41">
        <v>0</v>
      </c>
      <c r="F381" s="41">
        <f t="shared" si="25"/>
        <v>1608.3241574400001</v>
      </c>
      <c r="G381" s="81"/>
      <c r="H381" s="82"/>
      <c r="I381" s="36"/>
      <c r="N381" s="36"/>
    </row>
    <row r="382" spans="1:14" s="46" customFormat="1" x14ac:dyDescent="0.3">
      <c r="A382" s="72">
        <f>A381+1</f>
        <v>3</v>
      </c>
      <c r="B382" s="72"/>
      <c r="C382" s="52">
        <v>3</v>
      </c>
      <c r="D382" s="41">
        <f>(105.1+1.22*3.5+1.22*3.5)*10.764</f>
        <v>1223.2209599999999</v>
      </c>
      <c r="E382" s="41">
        <f>(4.97*1)*10.764</f>
        <v>53.497079999999997</v>
      </c>
      <c r="F382" s="41">
        <f t="shared" si="25"/>
        <v>2010.6506159999999</v>
      </c>
      <c r="G382" s="81"/>
      <c r="H382" s="82"/>
      <c r="I382" s="36"/>
      <c r="N382" s="36"/>
    </row>
    <row r="383" spans="1:14" s="46" customFormat="1" x14ac:dyDescent="0.3">
      <c r="A383" s="77">
        <f t="shared" ref="A383:A386" si="26">A382+1</f>
        <v>4</v>
      </c>
      <c r="B383" s="78"/>
      <c r="C383" s="52" t="s">
        <v>214</v>
      </c>
      <c r="D383" s="41">
        <f>(99.01+1.22*3.5+1.22*3.55)*10.764</f>
        <v>1158.3248040000001</v>
      </c>
      <c r="E383" s="41">
        <v>0</v>
      </c>
      <c r="F383" s="41">
        <f t="shared" si="25"/>
        <v>1853.3196864000001</v>
      </c>
      <c r="G383" s="81"/>
      <c r="H383" s="82"/>
      <c r="I383" s="36"/>
      <c r="L383" s="73"/>
      <c r="M383" s="73"/>
      <c r="N383" s="36"/>
    </row>
    <row r="384" spans="1:14" s="46" customFormat="1" x14ac:dyDescent="0.3">
      <c r="A384" s="77">
        <v>5</v>
      </c>
      <c r="B384" s="78"/>
      <c r="C384" s="52" t="s">
        <v>214</v>
      </c>
      <c r="D384" s="41">
        <f>(99.01+1.22*3.5+1.22*3.55)*10.764</f>
        <v>1158.3248040000001</v>
      </c>
      <c r="E384" s="41">
        <v>0</v>
      </c>
      <c r="F384" s="41">
        <f t="shared" si="25"/>
        <v>1853.3196864000001</v>
      </c>
      <c r="G384" s="81"/>
      <c r="H384" s="82"/>
      <c r="I384" s="36"/>
      <c r="L384" s="73"/>
      <c r="M384" s="73"/>
      <c r="N384" s="36"/>
    </row>
    <row r="385" spans="1:14" s="46" customFormat="1" x14ac:dyDescent="0.3">
      <c r="A385" s="77">
        <f t="shared" si="26"/>
        <v>6</v>
      </c>
      <c r="B385" s="78"/>
      <c r="C385" s="52" t="s">
        <v>215</v>
      </c>
      <c r="D385" s="41">
        <f>(58.67+0.91*2.68)*10.764</f>
        <v>657.77512319999994</v>
      </c>
      <c r="E385" s="41">
        <v>0</v>
      </c>
      <c r="F385" s="41">
        <f t="shared" si="25"/>
        <v>1052.44019712</v>
      </c>
      <c r="G385" s="81"/>
      <c r="H385" s="82"/>
      <c r="I385" s="36"/>
      <c r="L385" s="73"/>
      <c r="M385" s="73"/>
      <c r="N385" s="36"/>
    </row>
    <row r="386" spans="1:14" s="46" customFormat="1" x14ac:dyDescent="0.3">
      <c r="A386" s="77">
        <f t="shared" si="26"/>
        <v>7</v>
      </c>
      <c r="B386" s="78"/>
      <c r="C386" s="52" t="s">
        <v>215</v>
      </c>
      <c r="D386" s="41">
        <f>(58.67+0.91*2.68)*10.764</f>
        <v>657.77512319999994</v>
      </c>
      <c r="E386" s="41">
        <v>0</v>
      </c>
      <c r="F386" s="41">
        <f t="shared" si="25"/>
        <v>1052.44019712</v>
      </c>
      <c r="G386" s="97"/>
      <c r="H386" s="98"/>
      <c r="I386" s="36"/>
      <c r="L386" s="73"/>
      <c r="M386" s="73"/>
      <c r="N386" s="36"/>
    </row>
    <row r="387" spans="1:14" s="46" customFormat="1" x14ac:dyDescent="0.3">
      <c r="A387" s="99" t="s">
        <v>218</v>
      </c>
      <c r="B387" s="99"/>
      <c r="C387" s="99"/>
      <c r="D387" s="99"/>
      <c r="E387" s="99"/>
      <c r="F387" s="99"/>
      <c r="G387" s="99"/>
      <c r="H387" s="99"/>
      <c r="I387" s="36">
        <v>16</v>
      </c>
      <c r="L387" s="73"/>
      <c r="M387" s="73"/>
    </row>
    <row r="388" spans="1:14" s="46" customFormat="1" ht="15.6" customHeight="1" x14ac:dyDescent="0.3">
      <c r="A388" s="72">
        <v>1</v>
      </c>
      <c r="B388" s="72"/>
      <c r="C388" s="52" t="s">
        <v>214</v>
      </c>
      <c r="D388" s="41">
        <f>(87.31+1.22*3.25+1.22*1.73)*10.764</f>
        <v>1005.2025984000001</v>
      </c>
      <c r="E388" s="41">
        <v>0</v>
      </c>
      <c r="F388" s="41">
        <f t="shared" ref="F388:F394" si="27">D388*(($F$321)+1)+(IF(E388&lt;101,E388,IF(E388&lt;201,E388/2,IF(E388&lt;=301,E388/3,E388/4))))</f>
        <v>1608.3241574400001</v>
      </c>
      <c r="G388" s="79" t="str">
        <f>A387</f>
        <v>4th, 6th to 11th, 13th to 18th &amp; 20th to 22nd Floor</v>
      </c>
      <c r="H388" s="80"/>
      <c r="I388" s="36"/>
      <c r="N388" s="36"/>
    </row>
    <row r="389" spans="1:14" s="46" customFormat="1" ht="15.6" customHeight="1" x14ac:dyDescent="0.3">
      <c r="A389" s="72">
        <v>2</v>
      </c>
      <c r="B389" s="72"/>
      <c r="C389" s="52" t="s">
        <v>214</v>
      </c>
      <c r="D389" s="41">
        <f>(87.31+1.22*3.25+1.22*1.73)*10.764</f>
        <v>1005.2025984000001</v>
      </c>
      <c r="E389" s="41">
        <v>0</v>
      </c>
      <c r="F389" s="41">
        <f t="shared" si="27"/>
        <v>1608.3241574400001</v>
      </c>
      <c r="G389" s="81"/>
      <c r="H389" s="82"/>
      <c r="I389" s="36"/>
      <c r="N389" s="36"/>
    </row>
    <row r="390" spans="1:14" s="46" customFormat="1" ht="15.6" customHeight="1" x14ac:dyDescent="0.3">
      <c r="A390" s="72">
        <f>A389+1</f>
        <v>3</v>
      </c>
      <c r="B390" s="72"/>
      <c r="C390" s="52">
        <v>3</v>
      </c>
      <c r="D390" s="41">
        <f>(105.1+1.22*3.5+1.22*3.5)*10.764</f>
        <v>1223.2209599999999</v>
      </c>
      <c r="E390" s="41">
        <v>0</v>
      </c>
      <c r="F390" s="41">
        <f t="shared" si="27"/>
        <v>1957.1535359999998</v>
      </c>
      <c r="G390" s="81"/>
      <c r="H390" s="82"/>
      <c r="I390" s="36"/>
      <c r="N390" s="36"/>
    </row>
    <row r="391" spans="1:14" s="46" customFormat="1" ht="15.6" customHeight="1" x14ac:dyDescent="0.3">
      <c r="A391" s="77">
        <f t="shared" ref="A391:A394" si="28">A390+1</f>
        <v>4</v>
      </c>
      <c r="B391" s="78"/>
      <c r="C391" s="52" t="s">
        <v>214</v>
      </c>
      <c r="D391" s="41">
        <f>(99.01+1.22*3.5+1.22*3.55)*10.764</f>
        <v>1158.3248040000001</v>
      </c>
      <c r="E391" s="41">
        <v>0</v>
      </c>
      <c r="F391" s="41">
        <f t="shared" si="27"/>
        <v>1853.3196864000001</v>
      </c>
      <c r="G391" s="81"/>
      <c r="H391" s="82"/>
      <c r="I391" s="36"/>
      <c r="L391" s="73"/>
      <c r="M391" s="73"/>
      <c r="N391" s="36"/>
    </row>
    <row r="392" spans="1:14" s="46" customFormat="1" ht="15.6" customHeight="1" x14ac:dyDescent="0.3">
      <c r="A392" s="77">
        <v>5</v>
      </c>
      <c r="B392" s="78"/>
      <c r="C392" s="52" t="s">
        <v>214</v>
      </c>
      <c r="D392" s="41">
        <f>(99.01+1.22*3.5+1.22*3.55)*10.764</f>
        <v>1158.3248040000001</v>
      </c>
      <c r="E392" s="41">
        <v>0</v>
      </c>
      <c r="F392" s="41">
        <f t="shared" si="27"/>
        <v>1853.3196864000001</v>
      </c>
      <c r="G392" s="81"/>
      <c r="H392" s="82"/>
      <c r="I392" s="36"/>
      <c r="L392" s="73"/>
      <c r="M392" s="73"/>
      <c r="N392" s="36"/>
    </row>
    <row r="393" spans="1:14" s="46" customFormat="1" ht="15.6" customHeight="1" x14ac:dyDescent="0.3">
      <c r="A393" s="77">
        <f t="shared" si="28"/>
        <v>6</v>
      </c>
      <c r="B393" s="78"/>
      <c r="C393" s="52" t="s">
        <v>215</v>
      </c>
      <c r="D393" s="41">
        <f>(58.67+0.91*2.68)*10.764</f>
        <v>657.77512319999994</v>
      </c>
      <c r="E393" s="41">
        <v>0</v>
      </c>
      <c r="F393" s="41">
        <f t="shared" si="27"/>
        <v>1052.44019712</v>
      </c>
      <c r="G393" s="81"/>
      <c r="H393" s="82"/>
      <c r="I393" s="36"/>
      <c r="L393" s="73"/>
      <c r="M393" s="73"/>
      <c r="N393" s="36"/>
    </row>
    <row r="394" spans="1:14" s="46" customFormat="1" ht="15.6" customHeight="1" x14ac:dyDescent="0.3">
      <c r="A394" s="77">
        <f t="shared" si="28"/>
        <v>7</v>
      </c>
      <c r="B394" s="78"/>
      <c r="C394" s="52" t="s">
        <v>215</v>
      </c>
      <c r="D394" s="41">
        <f>(58.67+0.91*2.68)*10.764</f>
        <v>657.77512319999994</v>
      </c>
      <c r="E394" s="41">
        <v>0</v>
      </c>
      <c r="F394" s="41">
        <f t="shared" si="27"/>
        <v>1052.44019712</v>
      </c>
      <c r="G394" s="97"/>
      <c r="H394" s="98"/>
      <c r="I394" s="36"/>
      <c r="L394" s="73"/>
      <c r="M394" s="73"/>
      <c r="N394" s="36"/>
    </row>
    <row r="395" spans="1:14" s="46" customFormat="1" x14ac:dyDescent="0.3">
      <c r="A395" s="99" t="s">
        <v>212</v>
      </c>
      <c r="B395" s="99"/>
      <c r="C395" s="99"/>
      <c r="D395" s="99"/>
      <c r="E395" s="99"/>
      <c r="F395" s="99"/>
      <c r="G395" s="99"/>
      <c r="H395" s="99"/>
      <c r="I395" s="36">
        <v>2</v>
      </c>
      <c r="L395" s="73"/>
      <c r="M395" s="73"/>
    </row>
    <row r="396" spans="1:14" s="46" customFormat="1" ht="15.6" customHeight="1" x14ac:dyDescent="0.3">
      <c r="A396" s="72">
        <v>1</v>
      </c>
      <c r="B396" s="72"/>
      <c r="C396" s="125" t="s">
        <v>191</v>
      </c>
      <c r="D396" s="126"/>
      <c r="E396" s="126"/>
      <c r="F396" s="127"/>
      <c r="G396" s="79" t="str">
        <f>A395</f>
        <v>5th &amp; 12th Floor (Part Refuge Area)</v>
      </c>
      <c r="H396" s="80"/>
      <c r="I396" s="36"/>
      <c r="N396" s="36"/>
    </row>
    <row r="397" spans="1:14" s="46" customFormat="1" ht="15.6" customHeight="1" x14ac:dyDescent="0.3">
      <c r="A397" s="72">
        <v>2</v>
      </c>
      <c r="B397" s="72"/>
      <c r="C397" s="128"/>
      <c r="D397" s="129"/>
      <c r="E397" s="129"/>
      <c r="F397" s="130"/>
      <c r="G397" s="81" t="str">
        <f>A395</f>
        <v>5th &amp; 12th Floor (Part Refuge Area)</v>
      </c>
      <c r="H397" s="82"/>
      <c r="I397" s="36"/>
      <c r="N397" s="36"/>
    </row>
    <row r="398" spans="1:14" s="46" customFormat="1" ht="15.6" customHeight="1" x14ac:dyDescent="0.3">
      <c r="A398" s="72">
        <f>A397+1</f>
        <v>3</v>
      </c>
      <c r="B398" s="72"/>
      <c r="C398" s="52">
        <v>3</v>
      </c>
      <c r="D398" s="41">
        <f>(105.1+1.22*3.5+1.22*3.5)*10.764</f>
        <v>1223.2209599999999</v>
      </c>
      <c r="E398" s="41">
        <v>0</v>
      </c>
      <c r="F398" s="41">
        <f>D398*(($F$321)+1)+(IF(E398&lt;101,E398,IF(E398&lt;201,E398/2,IF(E398&lt;=301,E398/3,E398/4))))</f>
        <v>1957.1535359999998</v>
      </c>
      <c r="G398" s="81" t="str">
        <f>G397</f>
        <v>5th &amp; 12th Floor (Part Refuge Area)</v>
      </c>
      <c r="H398" s="82"/>
      <c r="I398" s="36"/>
      <c r="N398" s="36"/>
    </row>
    <row r="399" spans="1:14" s="46" customFormat="1" ht="15.6" customHeight="1" x14ac:dyDescent="0.3">
      <c r="A399" s="77">
        <f t="shared" ref="A399:A402" si="29">A398+1</f>
        <v>4</v>
      </c>
      <c r="B399" s="78"/>
      <c r="C399" s="52" t="s">
        <v>214</v>
      </c>
      <c r="D399" s="41">
        <f>(99.01+1.22*3.5+1.22*3.55)*10.764</f>
        <v>1158.3248040000001</v>
      </c>
      <c r="E399" s="41">
        <v>0</v>
      </c>
      <c r="F399" s="41">
        <f>D399*(($F$321)+1)+(IF(E399&lt;101,E399,IF(E399&lt;201,E399/2,IF(E399&lt;=301,E399/3,E399/4))))</f>
        <v>1853.3196864000001</v>
      </c>
      <c r="G399" s="81" t="str">
        <f t="shared" ref="G399:G402" si="30">G398</f>
        <v>5th &amp; 12th Floor (Part Refuge Area)</v>
      </c>
      <c r="H399" s="82"/>
      <c r="I399" s="36"/>
      <c r="L399" s="73"/>
      <c r="M399" s="73"/>
      <c r="N399" s="36"/>
    </row>
    <row r="400" spans="1:14" s="46" customFormat="1" ht="15.6" customHeight="1" x14ac:dyDescent="0.3">
      <c r="A400" s="77">
        <v>5</v>
      </c>
      <c r="B400" s="78"/>
      <c r="C400" s="52" t="s">
        <v>214</v>
      </c>
      <c r="D400" s="41">
        <f>(99.01+1.22*3.5+1.22*3.55)*10.764</f>
        <v>1158.3248040000001</v>
      </c>
      <c r="E400" s="41">
        <v>0</v>
      </c>
      <c r="F400" s="41">
        <f>D400*(($F$321)+1)+(IF(E400&lt;101,E400,IF(E400&lt;201,E400/2,IF(E400&lt;=301,E400/3,E400/4))))</f>
        <v>1853.3196864000001</v>
      </c>
      <c r="G400" s="81" t="str">
        <f>A395</f>
        <v>5th &amp; 12th Floor (Part Refuge Area)</v>
      </c>
      <c r="H400" s="82"/>
      <c r="I400" s="36"/>
      <c r="L400" s="73"/>
      <c r="M400" s="73"/>
      <c r="N400" s="36"/>
    </row>
    <row r="401" spans="1:14" s="46" customFormat="1" ht="15.6" customHeight="1" x14ac:dyDescent="0.3">
      <c r="A401" s="77">
        <f t="shared" si="29"/>
        <v>6</v>
      </c>
      <c r="B401" s="78"/>
      <c r="C401" s="52" t="s">
        <v>215</v>
      </c>
      <c r="D401" s="41">
        <f>(58.67+0.91*2.68)*10.764</f>
        <v>657.77512319999994</v>
      </c>
      <c r="E401" s="41">
        <v>0</v>
      </c>
      <c r="F401" s="41">
        <f>D401*(($F$321)+1)+(IF(E401&lt;101,E401,IF(E401&lt;201,E401/2,IF(E401&lt;=301,E401/3,E401/4))))</f>
        <v>1052.44019712</v>
      </c>
      <c r="G401" s="81" t="str">
        <f t="shared" si="30"/>
        <v>5th &amp; 12th Floor (Part Refuge Area)</v>
      </c>
      <c r="H401" s="82"/>
      <c r="I401" s="36"/>
      <c r="L401" s="73"/>
      <c r="M401" s="73"/>
      <c r="N401" s="36"/>
    </row>
    <row r="402" spans="1:14" s="46" customFormat="1" ht="15.6" customHeight="1" x14ac:dyDescent="0.3">
      <c r="A402" s="77">
        <f t="shared" si="29"/>
        <v>7</v>
      </c>
      <c r="B402" s="78"/>
      <c r="C402" s="52" t="s">
        <v>215</v>
      </c>
      <c r="D402" s="41">
        <f>(58.67+0.91*2.68)*10.764</f>
        <v>657.77512319999994</v>
      </c>
      <c r="E402" s="41">
        <v>0</v>
      </c>
      <c r="F402" s="41">
        <f>D402*(($F$321)+1)+(IF(E402&lt;101,E402,IF(E402&lt;201,E402/2,IF(E402&lt;=301,E402/3,E402/4))))</f>
        <v>1052.44019712</v>
      </c>
      <c r="G402" s="97" t="str">
        <f t="shared" si="30"/>
        <v>5th &amp; 12th Floor (Part Refuge Area)</v>
      </c>
      <c r="H402" s="98"/>
      <c r="I402" s="36"/>
      <c r="L402" s="73"/>
      <c r="M402" s="73"/>
      <c r="N402" s="36"/>
    </row>
    <row r="403" spans="1:14" s="46" customFormat="1" x14ac:dyDescent="0.3">
      <c r="A403" s="99" t="s">
        <v>213</v>
      </c>
      <c r="B403" s="99"/>
      <c r="C403" s="99"/>
      <c r="D403" s="99"/>
      <c r="E403" s="99"/>
      <c r="F403" s="99"/>
      <c r="G403" s="99"/>
      <c r="H403" s="99"/>
      <c r="I403" s="36">
        <v>1</v>
      </c>
      <c r="L403" s="73"/>
      <c r="M403" s="73"/>
    </row>
    <row r="404" spans="1:14" s="46" customFormat="1" ht="15.6" customHeight="1" x14ac:dyDescent="0.3">
      <c r="A404" s="72">
        <v>1</v>
      </c>
      <c r="B404" s="72"/>
      <c r="C404" s="52" t="s">
        <v>214</v>
      </c>
      <c r="D404" s="41">
        <f>(87.31+1.22*3.25+1.22*1.73)*10.764</f>
        <v>1005.2025984000001</v>
      </c>
      <c r="E404" s="41">
        <v>0</v>
      </c>
      <c r="F404" s="41">
        <f t="shared" ref="F404" si="31">D404*(($F$321)+1)+(IF(E404&lt;101,E404,IF(E404&lt;201,E404/2,IF(E404&lt;=301,E404/3,E404/4))))</f>
        <v>1608.3241574400001</v>
      </c>
      <c r="G404" s="79" t="str">
        <f>A403</f>
        <v>19th Floor (Part Refuge Area)</v>
      </c>
      <c r="H404" s="80"/>
      <c r="I404" s="36"/>
      <c r="N404" s="36"/>
    </row>
    <row r="405" spans="1:14" s="46" customFormat="1" ht="15.6" customHeight="1" x14ac:dyDescent="0.3">
      <c r="A405" s="72">
        <v>2</v>
      </c>
      <c r="B405" s="72"/>
      <c r="C405" s="135" t="s">
        <v>191</v>
      </c>
      <c r="D405" s="136"/>
      <c r="E405" s="136"/>
      <c r="F405" s="137"/>
      <c r="G405" s="81" t="str">
        <f>A403</f>
        <v>19th Floor (Part Refuge Area)</v>
      </c>
      <c r="H405" s="82"/>
      <c r="I405" s="36"/>
      <c r="N405" s="36"/>
    </row>
    <row r="406" spans="1:14" s="46" customFormat="1" ht="15.6" customHeight="1" x14ac:dyDescent="0.3">
      <c r="A406" s="72">
        <f>A405+1</f>
        <v>3</v>
      </c>
      <c r="B406" s="72"/>
      <c r="C406" s="52">
        <v>3</v>
      </c>
      <c r="D406" s="41">
        <f>(105.1+1.22*3.5+1.22*3.5)*10.764</f>
        <v>1223.2209599999999</v>
      </c>
      <c r="E406" s="41">
        <v>0</v>
      </c>
      <c r="F406" s="41">
        <f>D406*(($F$321)+1)+(IF(E406&lt;101,E406,IF(E406&lt;201,E406/2,IF(E406&lt;=301,E406/3,E406/4))))</f>
        <v>1957.1535359999998</v>
      </c>
      <c r="G406" s="81" t="str">
        <f>A403</f>
        <v>19th Floor (Part Refuge Area)</v>
      </c>
      <c r="H406" s="82"/>
      <c r="I406" s="36"/>
      <c r="N406" s="36"/>
    </row>
    <row r="407" spans="1:14" s="46" customFormat="1" ht="15.6" customHeight="1" x14ac:dyDescent="0.3">
      <c r="A407" s="77">
        <f t="shared" ref="A407:A410" si="32">A406+1</f>
        <v>4</v>
      </c>
      <c r="B407" s="78"/>
      <c r="C407" s="52" t="s">
        <v>214</v>
      </c>
      <c r="D407" s="41">
        <f>(99.01+1.22*3.5+1.22*3.55)*10.764</f>
        <v>1158.3248040000001</v>
      </c>
      <c r="E407" s="41">
        <v>0</v>
      </c>
      <c r="F407" s="41">
        <f>D407*(($F$321)+1)+(IF(E407&lt;101,E407,IF(E407&lt;201,E407/2,IF(E407&lt;=301,E407/3,E407/4))))</f>
        <v>1853.3196864000001</v>
      </c>
      <c r="G407" s="81" t="str">
        <f>A403</f>
        <v>19th Floor (Part Refuge Area)</v>
      </c>
      <c r="H407" s="82"/>
      <c r="I407" s="36"/>
      <c r="L407" s="73"/>
      <c r="M407" s="73"/>
      <c r="N407" s="36"/>
    </row>
    <row r="408" spans="1:14" s="46" customFormat="1" ht="15.6" customHeight="1" x14ac:dyDescent="0.3">
      <c r="A408" s="77">
        <v>5</v>
      </c>
      <c r="B408" s="78"/>
      <c r="C408" s="52" t="s">
        <v>214</v>
      </c>
      <c r="D408" s="41">
        <f>(99.01+1.22*3.5+1.22*3.55)*10.764</f>
        <v>1158.3248040000001</v>
      </c>
      <c r="E408" s="41">
        <v>0</v>
      </c>
      <c r="F408" s="41">
        <f>D408*(($F$321)+1)+(IF(E408&lt;101,E408,IF(E408&lt;201,E408/2,IF(E408&lt;=301,E408/3,E408/4))))</f>
        <v>1853.3196864000001</v>
      </c>
      <c r="G408" s="81" t="str">
        <f>A403</f>
        <v>19th Floor (Part Refuge Area)</v>
      </c>
      <c r="H408" s="82"/>
      <c r="I408" s="36"/>
      <c r="L408" s="73"/>
      <c r="M408" s="73"/>
      <c r="N408" s="36"/>
    </row>
    <row r="409" spans="1:14" s="46" customFormat="1" ht="15.6" customHeight="1" x14ac:dyDescent="0.3">
      <c r="A409" s="77">
        <f t="shared" si="32"/>
        <v>6</v>
      </c>
      <c r="B409" s="78"/>
      <c r="C409" s="52" t="s">
        <v>215</v>
      </c>
      <c r="D409" s="41">
        <f>(58.67+0.91*2.68)*10.764</f>
        <v>657.77512319999994</v>
      </c>
      <c r="E409" s="41">
        <v>0</v>
      </c>
      <c r="F409" s="41">
        <f>D409*(($F$321)+1)+(IF(E409&lt;101,E409,IF(E409&lt;201,E409/2,IF(E409&lt;=301,E409/3,E409/4))))</f>
        <v>1052.44019712</v>
      </c>
      <c r="G409" s="81" t="str">
        <f>A403</f>
        <v>19th Floor (Part Refuge Area)</v>
      </c>
      <c r="H409" s="82"/>
      <c r="I409" s="36"/>
      <c r="L409" s="73"/>
      <c r="M409" s="73"/>
      <c r="N409" s="36"/>
    </row>
    <row r="410" spans="1:14" s="46" customFormat="1" ht="15.6" customHeight="1" x14ac:dyDescent="0.3">
      <c r="A410" s="77">
        <f t="shared" si="32"/>
        <v>7</v>
      </c>
      <c r="B410" s="78"/>
      <c r="C410" s="52" t="s">
        <v>215</v>
      </c>
      <c r="D410" s="41">
        <f>(58.67+0.91*2.68)*10.764</f>
        <v>657.77512319999994</v>
      </c>
      <c r="E410" s="41">
        <v>0</v>
      </c>
      <c r="F410" s="41">
        <f>D410*(($F$321)+1)+(IF(E410&lt;101,E410,IF(E410&lt;201,E410/2,IF(E410&lt;=301,E410/3,E410/4))))</f>
        <v>1052.44019712</v>
      </c>
      <c r="G410" s="97" t="str">
        <f>A403</f>
        <v>19th Floor (Part Refuge Area)</v>
      </c>
      <c r="H410" s="98"/>
      <c r="I410" s="36">
        <f>24100000/F410</f>
        <v>22899.163359542508</v>
      </c>
      <c r="L410" s="73"/>
      <c r="M410" s="73"/>
      <c r="N410" s="36"/>
    </row>
    <row r="411" spans="1:14" s="46" customFormat="1" x14ac:dyDescent="0.3">
      <c r="A411" s="83" t="s">
        <v>194</v>
      </c>
      <c r="B411" s="84"/>
      <c r="C411" s="84"/>
      <c r="D411" s="84"/>
      <c r="E411" s="84"/>
      <c r="F411" s="84"/>
      <c r="G411" s="84"/>
      <c r="H411" s="85"/>
      <c r="J411" s="36"/>
    </row>
    <row r="412" spans="1:14" s="46" customFormat="1" x14ac:dyDescent="0.3">
      <c r="A412" s="74" t="s">
        <v>190</v>
      </c>
      <c r="B412" s="75"/>
      <c r="C412" s="75"/>
      <c r="D412" s="75"/>
      <c r="E412" s="75"/>
      <c r="F412" s="75"/>
      <c r="G412" s="75"/>
      <c r="H412" s="76"/>
      <c r="J412" s="36"/>
    </row>
    <row r="413" spans="1:14" s="46" customFormat="1" x14ac:dyDescent="0.3">
      <c r="A413" s="74" t="s">
        <v>210</v>
      </c>
      <c r="B413" s="75"/>
      <c r="C413" s="75"/>
      <c r="D413" s="75"/>
      <c r="E413" s="75"/>
      <c r="F413" s="75"/>
      <c r="G413" s="75"/>
      <c r="H413" s="76"/>
      <c r="I413" s="46">
        <v>1</v>
      </c>
      <c r="J413" s="36"/>
    </row>
    <row r="414" spans="1:14" s="46" customFormat="1" ht="15.6" customHeight="1" x14ac:dyDescent="0.3">
      <c r="A414" s="77">
        <v>1</v>
      </c>
      <c r="B414" s="78"/>
      <c r="C414" s="52">
        <v>2</v>
      </c>
      <c r="D414" s="41">
        <f>(70.65+1.22*3.15+0.91*3.2)*10.764</f>
        <v>833.18742000000009</v>
      </c>
      <c r="E414" s="41">
        <v>0</v>
      </c>
      <c r="F414" s="41">
        <f t="shared" ref="F414:F418" si="33">D414*(($F$321)+1)+(IF(E414&lt;101,E414,IF(E414&lt;201,E414/2,IF(E414&lt;=301,E414/3,E414/4))))</f>
        <v>1333.0998720000002</v>
      </c>
      <c r="G414" s="79" t="str">
        <f>A413</f>
        <v>1st Floor for Residentail</v>
      </c>
      <c r="H414" s="80"/>
      <c r="I414" s="36"/>
      <c r="L414" s="73"/>
      <c r="M414" s="73"/>
      <c r="N414" s="36"/>
    </row>
    <row r="415" spans="1:14" s="46" customFormat="1" ht="15.6" customHeight="1" x14ac:dyDescent="0.3">
      <c r="A415" s="77">
        <f t="shared" ref="A415:A421" si="34">A414+1</f>
        <v>2</v>
      </c>
      <c r="B415" s="78"/>
      <c r="C415" s="52">
        <v>2</v>
      </c>
      <c r="D415" s="41">
        <f>(70.65+1.22*3.15+0.91*3.2)*10.764</f>
        <v>833.18742000000009</v>
      </c>
      <c r="E415" s="41">
        <v>0</v>
      </c>
      <c r="F415" s="41">
        <f t="shared" si="33"/>
        <v>1333.0998720000002</v>
      </c>
      <c r="G415" s="81"/>
      <c r="H415" s="82"/>
      <c r="I415" s="36"/>
      <c r="L415" s="73"/>
      <c r="M415" s="73"/>
      <c r="N415" s="36"/>
    </row>
    <row r="416" spans="1:14" s="46" customFormat="1" ht="15.6" customHeight="1" x14ac:dyDescent="0.3">
      <c r="A416" s="77">
        <v>3</v>
      </c>
      <c r="B416" s="78"/>
      <c r="C416" s="52">
        <v>2</v>
      </c>
      <c r="D416" s="41">
        <f>(59.42+0.91*2.68+0.91*2.8)*10.764</f>
        <v>693.27479519999997</v>
      </c>
      <c r="E416" s="41">
        <v>0</v>
      </c>
      <c r="F416" s="41">
        <f t="shared" si="33"/>
        <v>1109.23967232</v>
      </c>
      <c r="G416" s="81"/>
      <c r="H416" s="82"/>
      <c r="I416" s="36"/>
      <c r="K416" s="41">
        <v>10.763999999999999</v>
      </c>
      <c r="L416" s="73"/>
      <c r="M416" s="73"/>
      <c r="N416" s="36"/>
    </row>
    <row r="417" spans="1:14" s="46" customFormat="1" ht="15.6" customHeight="1" x14ac:dyDescent="0.3">
      <c r="A417" s="77">
        <v>4</v>
      </c>
      <c r="B417" s="78"/>
      <c r="C417" s="52">
        <v>2</v>
      </c>
      <c r="D417" s="41">
        <f>(58.7+0.91*2.68)*10.764</f>
        <v>658.09804320000001</v>
      </c>
      <c r="E417" s="41">
        <v>0</v>
      </c>
      <c r="F417" s="41">
        <f t="shared" si="33"/>
        <v>1052.95686912</v>
      </c>
      <c r="G417" s="81"/>
      <c r="H417" s="82"/>
      <c r="I417" s="36"/>
      <c r="L417" s="73"/>
      <c r="M417" s="73"/>
      <c r="N417" s="36"/>
    </row>
    <row r="418" spans="1:14" s="46" customFormat="1" ht="15.6" customHeight="1" x14ac:dyDescent="0.3">
      <c r="A418" s="77">
        <v>5</v>
      </c>
      <c r="B418" s="78"/>
      <c r="C418" s="52">
        <v>4</v>
      </c>
      <c r="D418" s="41">
        <f>(158.65+1.22*3.55+1.22*3.35+1.22*3.35+1.22*3.55)*10.764</f>
        <v>1888.9313039999995</v>
      </c>
      <c r="E418" s="41">
        <v>0</v>
      </c>
      <c r="F418" s="41">
        <f t="shared" si="33"/>
        <v>3022.2900863999994</v>
      </c>
      <c r="G418" s="81"/>
      <c r="H418" s="82"/>
      <c r="I418" s="36"/>
      <c r="L418" s="73"/>
      <c r="M418" s="73"/>
      <c r="N418" s="36"/>
    </row>
    <row r="419" spans="1:14" s="46" customFormat="1" ht="15.6" customHeight="1" x14ac:dyDescent="0.3">
      <c r="A419" s="77">
        <f t="shared" si="34"/>
        <v>6</v>
      </c>
      <c r="B419" s="78"/>
      <c r="C419" s="125" t="s">
        <v>193</v>
      </c>
      <c r="D419" s="126"/>
      <c r="E419" s="126"/>
      <c r="F419" s="127"/>
      <c r="G419" s="81"/>
      <c r="H419" s="82"/>
      <c r="I419" s="36"/>
      <c r="L419" s="73"/>
      <c r="M419" s="73"/>
      <c r="N419" s="36"/>
    </row>
    <row r="420" spans="1:14" s="46" customFormat="1" ht="15.6" customHeight="1" x14ac:dyDescent="0.3">
      <c r="A420" s="77">
        <f t="shared" si="34"/>
        <v>7</v>
      </c>
      <c r="B420" s="78"/>
      <c r="C420" s="141"/>
      <c r="D420" s="142"/>
      <c r="E420" s="142"/>
      <c r="F420" s="143"/>
      <c r="G420" s="81"/>
      <c r="H420" s="82"/>
      <c r="I420" s="36"/>
      <c r="L420" s="73"/>
      <c r="M420" s="73"/>
      <c r="N420" s="36"/>
    </row>
    <row r="421" spans="1:14" s="46" customFormat="1" ht="15.6" customHeight="1" x14ac:dyDescent="0.3">
      <c r="A421" s="77">
        <f t="shared" si="34"/>
        <v>8</v>
      </c>
      <c r="B421" s="78"/>
      <c r="C421" s="128"/>
      <c r="D421" s="129"/>
      <c r="E421" s="129"/>
      <c r="F421" s="130"/>
      <c r="G421" s="97"/>
      <c r="H421" s="98"/>
      <c r="I421" s="36"/>
      <c r="L421" s="73"/>
      <c r="M421" s="73"/>
      <c r="N421" s="36"/>
    </row>
    <row r="422" spans="1:14" s="46" customFormat="1" x14ac:dyDescent="0.3">
      <c r="A422" s="74" t="s">
        <v>219</v>
      </c>
      <c r="B422" s="75"/>
      <c r="C422" s="75"/>
      <c r="D422" s="75"/>
      <c r="E422" s="75"/>
      <c r="F422" s="75"/>
      <c r="G422" s="75"/>
      <c r="H422" s="76"/>
      <c r="I422" s="46">
        <v>1</v>
      </c>
      <c r="J422" s="36"/>
    </row>
    <row r="423" spans="1:14" s="46" customFormat="1" ht="15.6" customHeight="1" x14ac:dyDescent="0.3">
      <c r="A423" s="77">
        <v>1</v>
      </c>
      <c r="B423" s="78"/>
      <c r="C423" s="52">
        <v>2</v>
      </c>
      <c r="D423" s="41">
        <f>(70.65+1.22*3.15+0.91*3.2)*10.764</f>
        <v>833.18742000000009</v>
      </c>
      <c r="E423" s="41">
        <v>0</v>
      </c>
      <c r="F423" s="41">
        <f t="shared" ref="F423:F428" si="35">D423*(($F$321)+1)+(IF(E423&lt;101,E423,IF(E423&lt;201,E423/2,IF(E423&lt;=301,E423/3,E423/4))))</f>
        <v>1333.0998720000002</v>
      </c>
      <c r="G423" s="79" t="str">
        <f>A422</f>
        <v>2nd Floor</v>
      </c>
      <c r="H423" s="80"/>
      <c r="I423" s="36"/>
      <c r="L423" s="73"/>
      <c r="M423" s="73"/>
      <c r="N423" s="36"/>
    </row>
    <row r="424" spans="1:14" s="46" customFormat="1" ht="15.6" customHeight="1" x14ac:dyDescent="0.3">
      <c r="A424" s="77">
        <f t="shared" ref="A424:A430" si="36">A423+1</f>
        <v>2</v>
      </c>
      <c r="B424" s="78"/>
      <c r="C424" s="52">
        <v>2</v>
      </c>
      <c r="D424" s="41">
        <f>(70.65+1.22*3.15+0.91*3.2)*10.764</f>
        <v>833.18742000000009</v>
      </c>
      <c r="E424" s="41">
        <v>0</v>
      </c>
      <c r="F424" s="41">
        <f t="shared" si="35"/>
        <v>1333.0998720000002</v>
      </c>
      <c r="G424" s="81"/>
      <c r="H424" s="82"/>
      <c r="I424" s="36"/>
      <c r="L424" s="73"/>
      <c r="M424" s="73"/>
      <c r="N424" s="36"/>
    </row>
    <row r="425" spans="1:14" s="46" customFormat="1" ht="15.6" customHeight="1" x14ac:dyDescent="0.3">
      <c r="A425" s="77">
        <v>3</v>
      </c>
      <c r="B425" s="78"/>
      <c r="C425" s="52">
        <v>2</v>
      </c>
      <c r="D425" s="41">
        <f>(59.42+0.91*2.68+0.91*2.8)*10.764</f>
        <v>693.27479519999997</v>
      </c>
      <c r="E425" s="41">
        <v>0</v>
      </c>
      <c r="F425" s="41">
        <f t="shared" si="35"/>
        <v>1109.23967232</v>
      </c>
      <c r="G425" s="81"/>
      <c r="H425" s="82"/>
      <c r="I425" s="36"/>
      <c r="K425" s="41">
        <v>10.763999999999999</v>
      </c>
      <c r="L425" s="73"/>
      <c r="M425" s="73"/>
      <c r="N425" s="36"/>
    </row>
    <row r="426" spans="1:14" s="46" customFormat="1" ht="15.6" customHeight="1" x14ac:dyDescent="0.3">
      <c r="A426" s="77">
        <v>4</v>
      </c>
      <c r="B426" s="78"/>
      <c r="C426" s="52">
        <v>2</v>
      </c>
      <c r="D426" s="41">
        <f>(58.7+0.91*2.68)*10.764</f>
        <v>658.09804320000001</v>
      </c>
      <c r="E426" s="41">
        <v>0</v>
      </c>
      <c r="F426" s="41">
        <f t="shared" si="35"/>
        <v>1052.95686912</v>
      </c>
      <c r="G426" s="81"/>
      <c r="H426" s="82"/>
      <c r="I426" s="36"/>
      <c r="L426" s="73"/>
      <c r="M426" s="73"/>
      <c r="N426" s="36"/>
    </row>
    <row r="427" spans="1:14" s="46" customFormat="1" ht="15.6" customHeight="1" x14ac:dyDescent="0.3">
      <c r="A427" s="77">
        <v>5</v>
      </c>
      <c r="B427" s="78"/>
      <c r="C427" s="52">
        <v>3</v>
      </c>
      <c r="D427" s="41">
        <f>(92.49+1.22*3.35+1.22*3.55)*10.764</f>
        <v>1086.173712</v>
      </c>
      <c r="E427" s="41">
        <v>0</v>
      </c>
      <c r="F427" s="41">
        <f t="shared" si="35"/>
        <v>1737.8779392000001</v>
      </c>
      <c r="G427" s="81"/>
      <c r="H427" s="82"/>
      <c r="I427" s="36"/>
      <c r="L427" s="73"/>
      <c r="M427" s="73"/>
      <c r="N427" s="36"/>
    </row>
    <row r="428" spans="1:14" s="46" customFormat="1" ht="15.6" customHeight="1" x14ac:dyDescent="0.3">
      <c r="A428" s="77">
        <f t="shared" si="36"/>
        <v>6</v>
      </c>
      <c r="B428" s="78"/>
      <c r="C428" s="52">
        <v>3</v>
      </c>
      <c r="D428" s="41">
        <f>(92.49+1.22*3.35+1.22*3.55)*10.764</f>
        <v>1086.173712</v>
      </c>
      <c r="E428" s="41">
        <v>0</v>
      </c>
      <c r="F428" s="41">
        <f t="shared" si="35"/>
        <v>1737.8779392000001</v>
      </c>
      <c r="G428" s="81"/>
      <c r="H428" s="82"/>
      <c r="I428" s="36"/>
      <c r="L428" s="73"/>
      <c r="M428" s="73"/>
      <c r="N428" s="36"/>
    </row>
    <row r="429" spans="1:14" s="46" customFormat="1" ht="15.6" customHeight="1" x14ac:dyDescent="0.3">
      <c r="A429" s="77">
        <f t="shared" si="36"/>
        <v>7</v>
      </c>
      <c r="B429" s="78"/>
      <c r="C429" s="241" t="s">
        <v>193</v>
      </c>
      <c r="D429" s="241"/>
      <c r="E429" s="241"/>
      <c r="F429" s="241"/>
      <c r="G429" s="81"/>
      <c r="H429" s="82"/>
      <c r="I429" s="36"/>
      <c r="L429" s="73"/>
      <c r="M429" s="73"/>
      <c r="N429" s="36"/>
    </row>
    <row r="430" spans="1:14" s="46" customFormat="1" ht="15.6" customHeight="1" x14ac:dyDescent="0.3">
      <c r="A430" s="77">
        <f t="shared" si="36"/>
        <v>8</v>
      </c>
      <c r="B430" s="78"/>
      <c r="C430" s="241"/>
      <c r="D430" s="241"/>
      <c r="E430" s="241"/>
      <c r="F430" s="241"/>
      <c r="G430" s="97"/>
      <c r="H430" s="98"/>
      <c r="I430" s="36"/>
      <c r="L430" s="73"/>
      <c r="M430" s="73"/>
      <c r="N430" s="36"/>
    </row>
    <row r="431" spans="1:14" s="46" customFormat="1" x14ac:dyDescent="0.3">
      <c r="A431" s="99" t="s">
        <v>220</v>
      </c>
      <c r="B431" s="99"/>
      <c r="C431" s="99"/>
      <c r="D431" s="99"/>
      <c r="E431" s="99"/>
      <c r="F431" s="99"/>
      <c r="G431" s="99"/>
      <c r="H431" s="99"/>
      <c r="I431" s="36">
        <v>17</v>
      </c>
      <c r="L431" s="73"/>
      <c r="M431" s="73"/>
    </row>
    <row r="432" spans="1:14" s="46" customFormat="1" ht="15.6" customHeight="1" x14ac:dyDescent="0.3">
      <c r="A432" s="72">
        <v>1</v>
      </c>
      <c r="B432" s="72"/>
      <c r="C432" s="52">
        <v>2</v>
      </c>
      <c r="D432" s="41">
        <f>(70.65+1.22*3.15+0.91*3.2)*10.764</f>
        <v>833.18742000000009</v>
      </c>
      <c r="E432" s="41">
        <v>0</v>
      </c>
      <c r="F432" s="41">
        <f t="shared" ref="F432:F439" si="37">D432*(($F$321)+1)+(IF(E432&lt;101,E432,IF(E432&lt;201,E432/2,IF(E432&lt;=301,E432/3,E432/4))))</f>
        <v>1333.0998720000002</v>
      </c>
      <c r="G432" s="79" t="str">
        <f>A431</f>
        <v>3rd to 4th, 6th to 11th, 13th to 18th, 21st &amp; 22nd Floor</v>
      </c>
      <c r="H432" s="80"/>
      <c r="I432" s="36"/>
      <c r="N432" s="36"/>
    </row>
    <row r="433" spans="1:14" s="46" customFormat="1" ht="15.6" customHeight="1" x14ac:dyDescent="0.3">
      <c r="A433" s="72">
        <v>2</v>
      </c>
      <c r="B433" s="72"/>
      <c r="C433" s="52">
        <v>2</v>
      </c>
      <c r="D433" s="41">
        <f>(70.65+1.22*3.15+0.91*3.2)*10.764</f>
        <v>833.18742000000009</v>
      </c>
      <c r="E433" s="41">
        <v>0</v>
      </c>
      <c r="F433" s="41">
        <f t="shared" si="37"/>
        <v>1333.0998720000002</v>
      </c>
      <c r="G433" s="81"/>
      <c r="H433" s="82"/>
      <c r="I433" s="36"/>
      <c r="N433" s="36"/>
    </row>
    <row r="434" spans="1:14" s="46" customFormat="1" ht="15.6" customHeight="1" x14ac:dyDescent="0.3">
      <c r="A434" s="72">
        <f>A433+1</f>
        <v>3</v>
      </c>
      <c r="B434" s="72"/>
      <c r="C434" s="52">
        <v>2</v>
      </c>
      <c r="D434" s="41">
        <f>(59.42+0.91*2.68+0.91*2.8)*10.764</f>
        <v>693.27479519999997</v>
      </c>
      <c r="E434" s="41">
        <v>0</v>
      </c>
      <c r="F434" s="41">
        <f t="shared" si="37"/>
        <v>1109.23967232</v>
      </c>
      <c r="G434" s="81"/>
      <c r="H434" s="82"/>
      <c r="I434" s="36"/>
      <c r="N434" s="36"/>
    </row>
    <row r="435" spans="1:14" s="46" customFormat="1" ht="15.6" customHeight="1" x14ac:dyDescent="0.3">
      <c r="A435" s="77">
        <f t="shared" ref="A435:A439" si="38">A434+1</f>
        <v>4</v>
      </c>
      <c r="B435" s="78"/>
      <c r="C435" s="52">
        <v>2</v>
      </c>
      <c r="D435" s="41">
        <f>(58.7+0.91*2.68)*10.764</f>
        <v>658.09804320000001</v>
      </c>
      <c r="E435" s="41">
        <v>0</v>
      </c>
      <c r="F435" s="41">
        <f t="shared" si="37"/>
        <v>1052.95686912</v>
      </c>
      <c r="G435" s="81"/>
      <c r="H435" s="82"/>
      <c r="I435" s="36"/>
      <c r="L435" s="73"/>
      <c r="M435" s="73"/>
      <c r="N435" s="36"/>
    </row>
    <row r="436" spans="1:14" s="46" customFormat="1" ht="15.6" customHeight="1" x14ac:dyDescent="0.3">
      <c r="A436" s="77">
        <v>5</v>
      </c>
      <c r="B436" s="78"/>
      <c r="C436" s="52">
        <v>3</v>
      </c>
      <c r="D436" s="41">
        <f>(92.49+1.22*3.35+1.22*3.55)*10.764</f>
        <v>1086.173712</v>
      </c>
      <c r="E436" s="41">
        <v>0</v>
      </c>
      <c r="F436" s="41">
        <f t="shared" si="37"/>
        <v>1737.8779392000001</v>
      </c>
      <c r="G436" s="81"/>
      <c r="H436" s="82"/>
      <c r="I436" s="36"/>
      <c r="L436" s="73"/>
      <c r="M436" s="73"/>
      <c r="N436" s="36"/>
    </row>
    <row r="437" spans="1:14" s="46" customFormat="1" ht="15.6" customHeight="1" x14ac:dyDescent="0.3">
      <c r="A437" s="77">
        <f t="shared" si="38"/>
        <v>6</v>
      </c>
      <c r="B437" s="78"/>
      <c r="C437" s="52">
        <v>3</v>
      </c>
      <c r="D437" s="41">
        <f>(92.49+1.22*3.35+1.22*3.55)*10.764</f>
        <v>1086.173712</v>
      </c>
      <c r="E437" s="41">
        <v>0</v>
      </c>
      <c r="F437" s="41">
        <f t="shared" si="37"/>
        <v>1737.8779392000001</v>
      </c>
      <c r="G437" s="81"/>
      <c r="H437" s="82"/>
      <c r="I437" s="36"/>
      <c r="L437" s="73"/>
      <c r="M437" s="73"/>
      <c r="N437" s="36"/>
    </row>
    <row r="438" spans="1:14" s="46" customFormat="1" ht="15.6" customHeight="1" x14ac:dyDescent="0.3">
      <c r="A438" s="77">
        <f t="shared" si="38"/>
        <v>7</v>
      </c>
      <c r="B438" s="78"/>
      <c r="C438" s="52">
        <v>2</v>
      </c>
      <c r="D438" s="41">
        <f>(58.72+0.91*2.68)*10.764</f>
        <v>658.3133231999999</v>
      </c>
      <c r="E438" s="41">
        <v>0</v>
      </c>
      <c r="F438" s="41">
        <f t="shared" si="37"/>
        <v>1053.3013171199998</v>
      </c>
      <c r="G438" s="81"/>
      <c r="H438" s="82"/>
      <c r="I438" s="36"/>
      <c r="L438" s="73"/>
      <c r="M438" s="73"/>
      <c r="N438" s="36"/>
    </row>
    <row r="439" spans="1:14" s="46" customFormat="1" ht="15.6" customHeight="1" x14ac:dyDescent="0.3">
      <c r="A439" s="77">
        <f t="shared" si="38"/>
        <v>8</v>
      </c>
      <c r="B439" s="78"/>
      <c r="C439" s="52">
        <v>2</v>
      </c>
      <c r="D439" s="41">
        <f>(59.49+0.91*2.68+0.91*2.8)*10.764</f>
        <v>694.02827519999994</v>
      </c>
      <c r="E439" s="41">
        <v>0</v>
      </c>
      <c r="F439" s="41">
        <f t="shared" si="37"/>
        <v>1110.44524032</v>
      </c>
      <c r="G439" s="97"/>
      <c r="H439" s="98"/>
      <c r="I439" s="36"/>
      <c r="L439" s="73"/>
      <c r="M439" s="73"/>
      <c r="N439" s="36"/>
    </row>
    <row r="440" spans="1:14" s="46" customFormat="1" x14ac:dyDescent="0.3">
      <c r="A440" s="99" t="s">
        <v>212</v>
      </c>
      <c r="B440" s="99"/>
      <c r="C440" s="99"/>
      <c r="D440" s="99"/>
      <c r="E440" s="99"/>
      <c r="F440" s="99"/>
      <c r="G440" s="99"/>
      <c r="H440" s="99"/>
      <c r="I440" s="36">
        <v>2</v>
      </c>
      <c r="L440" s="73"/>
      <c r="M440" s="73"/>
    </row>
    <row r="441" spans="1:14" s="46" customFormat="1" ht="15.6" customHeight="1" x14ac:dyDescent="0.3">
      <c r="A441" s="72">
        <v>1</v>
      </c>
      <c r="B441" s="72"/>
      <c r="C441" s="125" t="s">
        <v>191</v>
      </c>
      <c r="D441" s="126"/>
      <c r="E441" s="126"/>
      <c r="F441" s="127"/>
      <c r="G441" s="79" t="str">
        <f>A440</f>
        <v>5th &amp; 12th Floor (Part Refuge Area)</v>
      </c>
      <c r="H441" s="80"/>
      <c r="I441" s="36"/>
      <c r="N441" s="36"/>
    </row>
    <row r="442" spans="1:14" s="46" customFormat="1" ht="15.6" customHeight="1" x14ac:dyDescent="0.3">
      <c r="A442" s="72">
        <v>2</v>
      </c>
      <c r="B442" s="72"/>
      <c r="C442" s="128"/>
      <c r="D442" s="129"/>
      <c r="E442" s="129"/>
      <c r="F442" s="130"/>
      <c r="G442" s="81"/>
      <c r="H442" s="82"/>
      <c r="I442" s="36"/>
      <c r="N442" s="36"/>
    </row>
    <row r="443" spans="1:14" s="46" customFormat="1" ht="15.6" customHeight="1" x14ac:dyDescent="0.3">
      <c r="A443" s="72">
        <f>A442+1</f>
        <v>3</v>
      </c>
      <c r="B443" s="72"/>
      <c r="C443" s="52">
        <v>2</v>
      </c>
      <c r="D443" s="41">
        <f>(59.42+0.91*2.68+0.91*2.8)*10.764</f>
        <v>693.27479519999997</v>
      </c>
      <c r="E443" s="41">
        <v>0</v>
      </c>
      <c r="F443" s="41">
        <f t="shared" ref="F443:F448" si="39">D443*(($F$321)+1)+(IF(E443&lt;101,E443,IF(E443&lt;201,E443/2,IF(E443&lt;=301,E443/3,E443/4))))</f>
        <v>1109.23967232</v>
      </c>
      <c r="G443" s="81"/>
      <c r="H443" s="82"/>
      <c r="I443" s="36"/>
      <c r="N443" s="36"/>
    </row>
    <row r="444" spans="1:14" s="46" customFormat="1" ht="15.6" customHeight="1" x14ac:dyDescent="0.3">
      <c r="A444" s="77">
        <f t="shared" ref="A444:A448" si="40">A443+1</f>
        <v>4</v>
      </c>
      <c r="B444" s="78"/>
      <c r="C444" s="52">
        <v>2</v>
      </c>
      <c r="D444" s="41">
        <f>(58.7+0.91*2.68)*10.764</f>
        <v>658.09804320000001</v>
      </c>
      <c r="E444" s="41">
        <v>0</v>
      </c>
      <c r="F444" s="41">
        <f t="shared" si="39"/>
        <v>1052.95686912</v>
      </c>
      <c r="G444" s="81"/>
      <c r="H444" s="82"/>
      <c r="I444" s="36"/>
      <c r="L444" s="73"/>
      <c r="M444" s="73"/>
      <c r="N444" s="36"/>
    </row>
    <row r="445" spans="1:14" s="46" customFormat="1" ht="15.6" customHeight="1" x14ac:dyDescent="0.3">
      <c r="A445" s="77">
        <v>5</v>
      </c>
      <c r="B445" s="78"/>
      <c r="C445" s="52">
        <v>3</v>
      </c>
      <c r="D445" s="41">
        <f>(92.49+1.22*3.35+1.22*3.55)*10.764</f>
        <v>1086.173712</v>
      </c>
      <c r="E445" s="41">
        <v>0</v>
      </c>
      <c r="F445" s="41">
        <f t="shared" si="39"/>
        <v>1737.8779392000001</v>
      </c>
      <c r="G445" s="81"/>
      <c r="H445" s="82"/>
      <c r="I445" s="36"/>
      <c r="L445" s="73"/>
      <c r="M445" s="73"/>
      <c r="N445" s="36"/>
    </row>
    <row r="446" spans="1:14" s="46" customFormat="1" ht="15.6" customHeight="1" x14ac:dyDescent="0.3">
      <c r="A446" s="77">
        <f t="shared" si="40"/>
        <v>6</v>
      </c>
      <c r="B446" s="78"/>
      <c r="C446" s="52">
        <v>3</v>
      </c>
      <c r="D446" s="41">
        <f>(92.49+1.22*3.35+1.22*3.55)*10.764</f>
        <v>1086.173712</v>
      </c>
      <c r="E446" s="41">
        <v>0</v>
      </c>
      <c r="F446" s="41">
        <f t="shared" si="39"/>
        <v>1737.8779392000001</v>
      </c>
      <c r="G446" s="81"/>
      <c r="H446" s="82"/>
      <c r="I446" s="36"/>
      <c r="L446" s="73"/>
      <c r="M446" s="73"/>
      <c r="N446" s="36"/>
    </row>
    <row r="447" spans="1:14" s="46" customFormat="1" ht="15.6" customHeight="1" x14ac:dyDescent="0.3">
      <c r="A447" s="77">
        <f t="shared" si="40"/>
        <v>7</v>
      </c>
      <c r="B447" s="78"/>
      <c r="C447" s="52">
        <v>2</v>
      </c>
      <c r="D447" s="41">
        <f>(58.72+0.91*2.68)*10.764</f>
        <v>658.3133231999999</v>
      </c>
      <c r="E447" s="41">
        <v>0</v>
      </c>
      <c r="F447" s="41">
        <f t="shared" si="39"/>
        <v>1053.3013171199998</v>
      </c>
      <c r="G447" s="81"/>
      <c r="H447" s="82"/>
      <c r="I447" s="36"/>
      <c r="L447" s="73"/>
      <c r="M447" s="73"/>
      <c r="N447" s="36"/>
    </row>
    <row r="448" spans="1:14" s="46" customFormat="1" ht="15.6" customHeight="1" x14ac:dyDescent="0.3">
      <c r="A448" s="77">
        <f t="shared" si="40"/>
        <v>8</v>
      </c>
      <c r="B448" s="78"/>
      <c r="C448" s="52">
        <v>2</v>
      </c>
      <c r="D448" s="41">
        <f>(59.49+0.91*2.68+0.91*2.8)*10.764</f>
        <v>694.02827519999994</v>
      </c>
      <c r="E448" s="41">
        <v>0</v>
      </c>
      <c r="F448" s="41">
        <f t="shared" si="39"/>
        <v>1110.44524032</v>
      </c>
      <c r="G448" s="97"/>
      <c r="H448" s="98"/>
      <c r="I448" s="36"/>
      <c r="L448" s="73"/>
      <c r="M448" s="73"/>
      <c r="N448" s="36"/>
    </row>
    <row r="449" spans="1:14" s="46" customFormat="1" x14ac:dyDescent="0.3">
      <c r="A449" s="99" t="s">
        <v>213</v>
      </c>
      <c r="B449" s="99"/>
      <c r="C449" s="99"/>
      <c r="D449" s="99"/>
      <c r="E449" s="99"/>
      <c r="F449" s="99"/>
      <c r="G449" s="99"/>
      <c r="H449" s="99"/>
      <c r="I449" s="36">
        <v>1</v>
      </c>
      <c r="L449" s="73"/>
      <c r="M449" s="73"/>
    </row>
    <row r="450" spans="1:14" s="46" customFormat="1" ht="15.6" customHeight="1" x14ac:dyDescent="0.3">
      <c r="A450" s="72">
        <v>1</v>
      </c>
      <c r="B450" s="72"/>
      <c r="C450" s="52">
        <v>2</v>
      </c>
      <c r="D450" s="41">
        <f>(70.65+1.22*3.15+0.91*3.2)*10.764</f>
        <v>833.18742000000009</v>
      </c>
      <c r="E450" s="41">
        <v>0</v>
      </c>
      <c r="F450" s="41">
        <f t="shared" ref="F450" si="41">D450*(($F$321)+1)+(IF(E450&lt;101,E450,IF(E450&lt;201,E450/2,IF(E450&lt;=301,E450/3,E450/4))))</f>
        <v>1333.0998720000002</v>
      </c>
      <c r="G450" s="79" t="str">
        <f>A449</f>
        <v>19th Floor (Part Refuge Area)</v>
      </c>
      <c r="H450" s="80"/>
      <c r="I450" s="36"/>
      <c r="N450" s="36"/>
    </row>
    <row r="451" spans="1:14" s="46" customFormat="1" ht="15.6" customHeight="1" x14ac:dyDescent="0.3">
      <c r="A451" s="72">
        <v>2</v>
      </c>
      <c r="B451" s="72"/>
      <c r="C451" s="135" t="s">
        <v>191</v>
      </c>
      <c r="D451" s="136"/>
      <c r="E451" s="136"/>
      <c r="F451" s="137"/>
      <c r="G451" s="81" t="str">
        <f>A449</f>
        <v>19th Floor (Part Refuge Area)</v>
      </c>
      <c r="H451" s="82"/>
      <c r="I451" s="36"/>
      <c r="N451" s="36"/>
    </row>
    <row r="452" spans="1:14" s="46" customFormat="1" ht="15.6" customHeight="1" x14ac:dyDescent="0.3">
      <c r="A452" s="72">
        <f>A451+1</f>
        <v>3</v>
      </c>
      <c r="B452" s="72"/>
      <c r="C452" s="52">
        <v>2</v>
      </c>
      <c r="D452" s="41">
        <f>(59.42+0.91*2.68+0.91*2.8)*10.764</f>
        <v>693.27479519999997</v>
      </c>
      <c r="E452" s="41">
        <v>0</v>
      </c>
      <c r="F452" s="41">
        <f t="shared" ref="F452:F457" si="42">D452*(($F$321)+1)+(IF(E452&lt;101,E452,IF(E452&lt;201,E452/2,IF(E452&lt;=301,E452/3,E452/4))))</f>
        <v>1109.23967232</v>
      </c>
      <c r="G452" s="81" t="str">
        <f>A449</f>
        <v>19th Floor (Part Refuge Area)</v>
      </c>
      <c r="H452" s="82"/>
      <c r="I452" s="36"/>
      <c r="N452" s="36"/>
    </row>
    <row r="453" spans="1:14" s="46" customFormat="1" ht="15.6" customHeight="1" x14ac:dyDescent="0.3">
      <c r="A453" s="77">
        <f t="shared" ref="A453:A457" si="43">A452+1</f>
        <v>4</v>
      </c>
      <c r="B453" s="78"/>
      <c r="C453" s="52">
        <v>2</v>
      </c>
      <c r="D453" s="41">
        <f>(58.7+0.91*2.68)*10.764</f>
        <v>658.09804320000001</v>
      </c>
      <c r="E453" s="41">
        <v>0</v>
      </c>
      <c r="F453" s="41">
        <f t="shared" si="42"/>
        <v>1052.95686912</v>
      </c>
      <c r="G453" s="81" t="str">
        <f>A449</f>
        <v>19th Floor (Part Refuge Area)</v>
      </c>
      <c r="H453" s="82"/>
      <c r="I453" s="36"/>
      <c r="L453" s="73"/>
      <c r="M453" s="73"/>
      <c r="N453" s="36"/>
    </row>
    <row r="454" spans="1:14" s="46" customFormat="1" ht="15.6" customHeight="1" x14ac:dyDescent="0.3">
      <c r="A454" s="77">
        <v>5</v>
      </c>
      <c r="B454" s="78"/>
      <c r="C454" s="52">
        <v>3</v>
      </c>
      <c r="D454" s="41">
        <f>(92.49+1.22*3.35+1.22*3.55)*10.764</f>
        <v>1086.173712</v>
      </c>
      <c r="E454" s="41">
        <v>0</v>
      </c>
      <c r="F454" s="41">
        <f t="shared" si="42"/>
        <v>1737.8779392000001</v>
      </c>
      <c r="G454" s="81" t="str">
        <f>A449</f>
        <v>19th Floor (Part Refuge Area)</v>
      </c>
      <c r="H454" s="82"/>
      <c r="I454" s="36"/>
      <c r="L454" s="73"/>
      <c r="M454" s="73"/>
      <c r="N454" s="36"/>
    </row>
    <row r="455" spans="1:14" s="46" customFormat="1" ht="15.6" customHeight="1" x14ac:dyDescent="0.3">
      <c r="A455" s="77">
        <f t="shared" si="43"/>
        <v>6</v>
      </c>
      <c r="B455" s="78"/>
      <c r="C455" s="52">
        <v>3</v>
      </c>
      <c r="D455" s="41">
        <f>(92.49+1.22*3.35+1.22*3.55)*10.764</f>
        <v>1086.173712</v>
      </c>
      <c r="E455" s="41">
        <v>0</v>
      </c>
      <c r="F455" s="41">
        <f t="shared" si="42"/>
        <v>1737.8779392000001</v>
      </c>
      <c r="G455" s="81" t="str">
        <f>A449</f>
        <v>19th Floor (Part Refuge Area)</v>
      </c>
      <c r="H455" s="82"/>
      <c r="I455" s="36"/>
      <c r="L455" s="73"/>
      <c r="M455" s="73"/>
      <c r="N455" s="36"/>
    </row>
    <row r="456" spans="1:14" s="46" customFormat="1" ht="15.6" customHeight="1" x14ac:dyDescent="0.3">
      <c r="A456" s="77">
        <f t="shared" si="43"/>
        <v>7</v>
      </c>
      <c r="B456" s="78"/>
      <c r="C456" s="52">
        <v>2</v>
      </c>
      <c r="D456" s="41">
        <f>(58.72+0.91*2.68)*10.764</f>
        <v>658.3133231999999</v>
      </c>
      <c r="E456" s="41">
        <v>0</v>
      </c>
      <c r="F456" s="41">
        <f t="shared" si="42"/>
        <v>1053.3013171199998</v>
      </c>
      <c r="G456" s="81" t="str">
        <f>A449</f>
        <v>19th Floor (Part Refuge Area)</v>
      </c>
      <c r="H456" s="82"/>
      <c r="I456" s="36"/>
      <c r="L456" s="73"/>
      <c r="M456" s="73"/>
      <c r="N456" s="36"/>
    </row>
    <row r="457" spans="1:14" s="46" customFormat="1" ht="15.6" customHeight="1" x14ac:dyDescent="0.3">
      <c r="A457" s="77">
        <f t="shared" si="43"/>
        <v>8</v>
      </c>
      <c r="B457" s="78"/>
      <c r="C457" s="52">
        <v>2</v>
      </c>
      <c r="D457" s="41">
        <f>(59.49+0.91*2.68+0.91*2.8)*10.764</f>
        <v>694.02827519999994</v>
      </c>
      <c r="E457" s="41">
        <v>0</v>
      </c>
      <c r="F457" s="41">
        <f t="shared" si="42"/>
        <v>1110.44524032</v>
      </c>
      <c r="G457" s="97" t="str">
        <f>A449</f>
        <v>19th Floor (Part Refuge Area)</v>
      </c>
      <c r="H457" s="98"/>
      <c r="I457" s="36"/>
      <c r="L457" s="73"/>
      <c r="M457" s="73"/>
      <c r="N457" s="36"/>
    </row>
    <row r="458" spans="1:14" s="46" customFormat="1" x14ac:dyDescent="0.3">
      <c r="A458" s="83" t="s">
        <v>272</v>
      </c>
      <c r="B458" s="84"/>
      <c r="C458" s="84"/>
      <c r="D458" s="84"/>
      <c r="E458" s="84"/>
      <c r="F458" s="84"/>
      <c r="G458" s="84"/>
      <c r="H458" s="85"/>
      <c r="J458" s="36"/>
    </row>
    <row r="459" spans="1:14" s="46" customFormat="1" x14ac:dyDescent="0.3">
      <c r="A459" s="74" t="s">
        <v>273</v>
      </c>
      <c r="B459" s="75"/>
      <c r="C459" s="75"/>
      <c r="D459" s="75"/>
      <c r="E459" s="75"/>
      <c r="F459" s="75"/>
      <c r="G459" s="75"/>
      <c r="H459" s="76"/>
      <c r="J459" s="36"/>
    </row>
    <row r="460" spans="1:14" s="46" customFormat="1" x14ac:dyDescent="0.3">
      <c r="A460" s="74" t="s">
        <v>210</v>
      </c>
      <c r="B460" s="75"/>
      <c r="C460" s="75"/>
      <c r="D460" s="75"/>
      <c r="E460" s="75"/>
      <c r="F460" s="75"/>
      <c r="G460" s="75"/>
      <c r="H460" s="76"/>
      <c r="I460" s="46">
        <v>1</v>
      </c>
      <c r="J460" s="36"/>
    </row>
    <row r="461" spans="1:14" s="46" customFormat="1" ht="15.6" customHeight="1" x14ac:dyDescent="0.3">
      <c r="A461" s="77">
        <v>1</v>
      </c>
      <c r="B461" s="78"/>
      <c r="C461" s="52">
        <v>2</v>
      </c>
      <c r="D461" s="41">
        <f>(69.04+1.07*3+1.01*2.95)*10.764</f>
        <v>809.77033799999992</v>
      </c>
      <c r="E461" s="41">
        <v>0</v>
      </c>
      <c r="F461" s="41">
        <f t="shared" ref="F461:F465" si="44">D461*(($F$321)+1)+(IF(E461&lt;101,E461,IF(E461&lt;201,E461/2,IF(E461&lt;=301,E461/3,E461/4))))</f>
        <v>1295.6325408</v>
      </c>
      <c r="G461" s="79" t="str">
        <f>A460</f>
        <v>1st Floor for Residentail</v>
      </c>
      <c r="H461" s="80"/>
      <c r="I461" s="36"/>
      <c r="L461" s="73"/>
      <c r="M461" s="73"/>
      <c r="N461" s="36"/>
    </row>
    <row r="462" spans="1:14" s="46" customFormat="1" ht="15.6" customHeight="1" x14ac:dyDescent="0.3">
      <c r="A462" s="77">
        <f t="shared" ref="A462" si="45">A461+1</f>
        <v>2</v>
      </c>
      <c r="B462" s="78"/>
      <c r="C462" s="52">
        <v>2</v>
      </c>
      <c r="D462" s="41">
        <f>(69.04+1.07*3+1.01*2.95)*10.764</f>
        <v>809.77033799999992</v>
      </c>
      <c r="E462" s="41">
        <v>0</v>
      </c>
      <c r="F462" s="41">
        <f t="shared" si="44"/>
        <v>1295.6325408</v>
      </c>
      <c r="G462" s="81"/>
      <c r="H462" s="82"/>
      <c r="I462" s="36"/>
      <c r="L462" s="73"/>
      <c r="M462" s="73"/>
      <c r="N462" s="36"/>
    </row>
    <row r="463" spans="1:14" s="46" customFormat="1" ht="15.6" customHeight="1" x14ac:dyDescent="0.3">
      <c r="A463" s="77">
        <v>3</v>
      </c>
      <c r="B463" s="78"/>
      <c r="C463" s="52" t="s">
        <v>274</v>
      </c>
      <c r="D463" s="41">
        <f>(35.48+2.78*0.92)*10.764</f>
        <v>409.43672639999994</v>
      </c>
      <c r="E463" s="41">
        <v>0</v>
      </c>
      <c r="F463" s="41">
        <f t="shared" si="44"/>
        <v>655.09876223999993</v>
      </c>
      <c r="G463" s="81"/>
      <c r="H463" s="82"/>
      <c r="I463" s="36"/>
      <c r="K463" s="41">
        <v>10.763999999999999</v>
      </c>
      <c r="L463" s="73"/>
      <c r="M463" s="73"/>
      <c r="N463" s="36"/>
    </row>
    <row r="464" spans="1:14" s="46" customFormat="1" ht="15.6" customHeight="1" x14ac:dyDescent="0.3">
      <c r="A464" s="77">
        <v>4</v>
      </c>
      <c r="B464" s="78"/>
      <c r="C464" s="52" t="s">
        <v>274</v>
      </c>
      <c r="D464" s="41">
        <f>(36.51+3.4*1.07)*10.764</f>
        <v>432.15307199999995</v>
      </c>
      <c r="E464" s="41">
        <v>0</v>
      </c>
      <c r="F464" s="41">
        <f t="shared" si="44"/>
        <v>691.44491519999997</v>
      </c>
      <c r="G464" s="81"/>
      <c r="H464" s="82"/>
      <c r="I464" s="36"/>
      <c r="L464" s="73"/>
      <c r="M464" s="73"/>
      <c r="N464" s="36"/>
    </row>
    <row r="465" spans="1:14" s="46" customFormat="1" ht="15.6" customHeight="1" x14ac:dyDescent="0.3">
      <c r="A465" s="77">
        <v>5</v>
      </c>
      <c r="B465" s="78"/>
      <c r="C465" s="52" t="s">
        <v>274</v>
      </c>
      <c r="D465" s="41">
        <f>(35.48+2.78*0.92)*10.764</f>
        <v>409.43672639999994</v>
      </c>
      <c r="E465" s="41">
        <v>0</v>
      </c>
      <c r="F465" s="41">
        <f t="shared" si="44"/>
        <v>655.09876223999993</v>
      </c>
      <c r="G465" s="81"/>
      <c r="H465" s="82"/>
      <c r="I465" s="36"/>
      <c r="L465" s="73"/>
      <c r="M465" s="73"/>
      <c r="N465" s="36"/>
    </row>
    <row r="466" spans="1:14" s="46" customFormat="1" ht="15.6" customHeight="1" x14ac:dyDescent="0.3">
      <c r="A466" s="77">
        <v>6</v>
      </c>
      <c r="B466" s="78"/>
      <c r="C466" s="52" t="s">
        <v>274</v>
      </c>
      <c r="D466" s="41">
        <f>(36.51+3.4*1.07)*10.764</f>
        <v>432.15307199999995</v>
      </c>
      <c r="E466" s="41">
        <v>0</v>
      </c>
      <c r="F466" s="41">
        <f t="shared" ref="F466:F468" si="46">D466*(($F$321)+1)+(IF(E466&lt;101,E466,IF(E466&lt;201,E466/2,IF(E466&lt;=301,E466/3,E466/4))))</f>
        <v>691.44491519999997</v>
      </c>
      <c r="G466" s="81"/>
      <c r="H466" s="82"/>
      <c r="I466" s="36"/>
      <c r="K466" s="41">
        <v>10.763999999999999</v>
      </c>
      <c r="L466" s="73"/>
      <c r="M466" s="73"/>
      <c r="N466" s="36"/>
    </row>
    <row r="467" spans="1:14" s="46" customFormat="1" ht="15.6" customHeight="1" x14ac:dyDescent="0.3">
      <c r="A467" s="77">
        <v>7</v>
      </c>
      <c r="B467" s="78"/>
      <c r="C467" s="52" t="s">
        <v>274</v>
      </c>
      <c r="D467" s="41">
        <f>(36.51+3.4*1.07)*10.764</f>
        <v>432.15307199999995</v>
      </c>
      <c r="E467" s="41">
        <v>0</v>
      </c>
      <c r="F467" s="41">
        <f t="shared" si="46"/>
        <v>691.44491519999997</v>
      </c>
      <c r="G467" s="81"/>
      <c r="H467" s="82"/>
      <c r="I467" s="36"/>
      <c r="L467" s="73"/>
      <c r="M467" s="73"/>
      <c r="N467" s="36"/>
    </row>
    <row r="468" spans="1:14" s="46" customFormat="1" ht="15.6" customHeight="1" x14ac:dyDescent="0.3">
      <c r="A468" s="77">
        <v>8</v>
      </c>
      <c r="B468" s="78"/>
      <c r="C468" s="52" t="s">
        <v>274</v>
      </c>
      <c r="D468" s="41">
        <f>(35.48+2.78*0.92)*10.764</f>
        <v>409.43672639999994</v>
      </c>
      <c r="E468" s="41">
        <v>0</v>
      </c>
      <c r="F468" s="41">
        <f t="shared" si="46"/>
        <v>655.09876223999993</v>
      </c>
      <c r="G468" s="81"/>
      <c r="H468" s="82"/>
      <c r="I468" s="36"/>
      <c r="L468" s="73"/>
      <c r="M468" s="73"/>
      <c r="N468" s="36"/>
    </row>
    <row r="469" spans="1:14" s="46" customFormat="1" ht="15.6" customHeight="1" x14ac:dyDescent="0.3">
      <c r="A469" s="77">
        <v>9</v>
      </c>
      <c r="B469" s="78"/>
      <c r="C469" s="52" t="s">
        <v>274</v>
      </c>
      <c r="D469" s="41">
        <f>(35.48+2.78*0.92)*10.764</f>
        <v>409.43672639999994</v>
      </c>
      <c r="E469" s="41">
        <v>0</v>
      </c>
      <c r="F469" s="41">
        <f t="shared" ref="F469:F470" si="47">D469*(($F$321)+1)+(IF(E469&lt;101,E469,IF(E469&lt;201,E469/2,IF(E469&lt;=301,E469/3,E469/4))))</f>
        <v>655.09876223999993</v>
      </c>
      <c r="G469" s="81"/>
      <c r="H469" s="82"/>
      <c r="I469" s="36"/>
      <c r="L469" s="73"/>
      <c r="M469" s="73"/>
      <c r="N469" s="36"/>
    </row>
    <row r="470" spans="1:14" s="46" customFormat="1" ht="15.6" customHeight="1" x14ac:dyDescent="0.3">
      <c r="A470" s="77">
        <v>10</v>
      </c>
      <c r="B470" s="78"/>
      <c r="C470" s="52" t="s">
        <v>274</v>
      </c>
      <c r="D470" s="41">
        <f>(36.51+3.4*1.07)*10.764</f>
        <v>432.15307199999995</v>
      </c>
      <c r="E470" s="41">
        <v>0</v>
      </c>
      <c r="F470" s="41">
        <f t="shared" si="47"/>
        <v>691.44491519999997</v>
      </c>
      <c r="G470" s="97"/>
      <c r="H470" s="98"/>
      <c r="I470" s="36"/>
      <c r="L470" s="73"/>
      <c r="M470" s="73"/>
      <c r="N470" s="36"/>
    </row>
    <row r="471" spans="1:14" s="46" customFormat="1" x14ac:dyDescent="0.3">
      <c r="A471" s="74" t="s">
        <v>275</v>
      </c>
      <c r="B471" s="75"/>
      <c r="C471" s="75"/>
      <c r="D471" s="75"/>
      <c r="E471" s="75"/>
      <c r="F471" s="75"/>
      <c r="G471" s="75"/>
      <c r="H471" s="76"/>
      <c r="I471" s="46">
        <v>1</v>
      </c>
      <c r="J471" s="36"/>
    </row>
    <row r="472" spans="1:14" s="46" customFormat="1" ht="15.6" customHeight="1" x14ac:dyDescent="0.3">
      <c r="A472" s="77">
        <v>1</v>
      </c>
      <c r="B472" s="78"/>
      <c r="C472" s="52">
        <v>2</v>
      </c>
      <c r="D472" s="41">
        <f>(69.04+1.07*3+1.01*2.95)*10.764</f>
        <v>809.77033799999992</v>
      </c>
      <c r="E472" s="41">
        <v>0</v>
      </c>
      <c r="F472" s="41">
        <f t="shared" ref="F472:F481" si="48">D472*(($F$321)+1)+(IF(E472&lt;101,E472,IF(E472&lt;201,E472/2,IF(E472&lt;=301,E472/3,E472/4))))</f>
        <v>1295.6325408</v>
      </c>
      <c r="G472" s="79" t="str">
        <f>A471</f>
        <v>2nd to 4th, 6th to 11th, 13th to 18th, 20th to 25th Floor</v>
      </c>
      <c r="H472" s="80"/>
      <c r="I472" s="36"/>
      <c r="L472" s="73"/>
      <c r="M472" s="73"/>
      <c r="N472" s="36"/>
    </row>
    <row r="473" spans="1:14" s="46" customFormat="1" ht="15.6" customHeight="1" x14ac:dyDescent="0.3">
      <c r="A473" s="77">
        <f t="shared" ref="A473" si="49">A472+1</f>
        <v>2</v>
      </c>
      <c r="B473" s="78"/>
      <c r="C473" s="52">
        <v>2</v>
      </c>
      <c r="D473" s="41">
        <f>(69.04+1.07*3+1.01*2.95)*10.764</f>
        <v>809.77033799999992</v>
      </c>
      <c r="E473" s="41">
        <v>0</v>
      </c>
      <c r="F473" s="41">
        <f t="shared" si="48"/>
        <v>1295.6325408</v>
      </c>
      <c r="G473" s="81"/>
      <c r="H473" s="82"/>
      <c r="I473" s="36"/>
      <c r="L473" s="73"/>
      <c r="M473" s="73"/>
      <c r="N473" s="36"/>
    </row>
    <row r="474" spans="1:14" s="46" customFormat="1" ht="15.6" customHeight="1" x14ac:dyDescent="0.3">
      <c r="A474" s="77">
        <v>3</v>
      </c>
      <c r="B474" s="78"/>
      <c r="C474" s="52" t="s">
        <v>274</v>
      </c>
      <c r="D474" s="41">
        <f>(35.48+2.78*0.92)*10.764</f>
        <v>409.43672639999994</v>
      </c>
      <c r="E474" s="41">
        <v>0</v>
      </c>
      <c r="F474" s="41">
        <f t="shared" si="48"/>
        <v>655.09876223999993</v>
      </c>
      <c r="G474" s="81"/>
      <c r="H474" s="82"/>
      <c r="I474" s="36"/>
      <c r="K474" s="41">
        <v>10.763999999999999</v>
      </c>
      <c r="L474" s="73"/>
      <c r="M474" s="73"/>
      <c r="N474" s="36"/>
    </row>
    <row r="475" spans="1:14" s="46" customFormat="1" ht="15.6" customHeight="1" x14ac:dyDescent="0.3">
      <c r="A475" s="77">
        <v>4</v>
      </c>
      <c r="B475" s="78"/>
      <c r="C475" s="52" t="s">
        <v>274</v>
      </c>
      <c r="D475" s="41">
        <f>(36.51+3.4*1.07)*10.764</f>
        <v>432.15307199999995</v>
      </c>
      <c r="E475" s="41">
        <v>0</v>
      </c>
      <c r="F475" s="41">
        <f t="shared" si="48"/>
        <v>691.44491519999997</v>
      </c>
      <c r="G475" s="81"/>
      <c r="H475" s="82"/>
      <c r="I475" s="36"/>
      <c r="L475" s="73"/>
      <c r="M475" s="73"/>
      <c r="N475" s="36"/>
    </row>
    <row r="476" spans="1:14" s="46" customFormat="1" ht="15.6" customHeight="1" x14ac:dyDescent="0.3">
      <c r="A476" s="77">
        <v>5</v>
      </c>
      <c r="B476" s="78"/>
      <c r="C476" s="52" t="s">
        <v>274</v>
      </c>
      <c r="D476" s="41">
        <f>(35.48+2.78*0.92)*10.764</f>
        <v>409.43672639999994</v>
      </c>
      <c r="E476" s="41">
        <v>0</v>
      </c>
      <c r="F476" s="41">
        <f t="shared" si="48"/>
        <v>655.09876223999993</v>
      </c>
      <c r="G476" s="81"/>
      <c r="H476" s="82"/>
      <c r="I476" s="36"/>
      <c r="L476" s="73"/>
      <c r="M476" s="73"/>
      <c r="N476" s="36"/>
    </row>
    <row r="477" spans="1:14" s="46" customFormat="1" ht="15.6" customHeight="1" x14ac:dyDescent="0.3">
      <c r="A477" s="77">
        <v>6</v>
      </c>
      <c r="B477" s="78"/>
      <c r="C477" s="52" t="s">
        <v>274</v>
      </c>
      <c r="D477" s="41">
        <f>(36.51+3.4*1.07)*10.764</f>
        <v>432.15307199999995</v>
      </c>
      <c r="E477" s="41">
        <v>0</v>
      </c>
      <c r="F477" s="41">
        <f t="shared" si="48"/>
        <v>691.44491519999997</v>
      </c>
      <c r="G477" s="81"/>
      <c r="H477" s="82"/>
      <c r="I477" s="36"/>
      <c r="K477" s="41">
        <v>10.763999999999999</v>
      </c>
      <c r="L477" s="73"/>
      <c r="M477" s="73"/>
      <c r="N477" s="36"/>
    </row>
    <row r="478" spans="1:14" s="46" customFormat="1" ht="15.6" customHeight="1" x14ac:dyDescent="0.3">
      <c r="A478" s="77">
        <v>7</v>
      </c>
      <c r="B478" s="78"/>
      <c r="C478" s="52" t="s">
        <v>274</v>
      </c>
      <c r="D478" s="41">
        <f>(36.51+3.4*1.07)*10.764</f>
        <v>432.15307199999995</v>
      </c>
      <c r="E478" s="41">
        <v>0</v>
      </c>
      <c r="F478" s="41">
        <f t="shared" si="48"/>
        <v>691.44491519999997</v>
      </c>
      <c r="G478" s="81"/>
      <c r="H478" s="82"/>
      <c r="I478" s="36"/>
      <c r="L478" s="73"/>
      <c r="M478" s="73"/>
      <c r="N478" s="36"/>
    </row>
    <row r="479" spans="1:14" s="46" customFormat="1" ht="15.6" customHeight="1" x14ac:dyDescent="0.3">
      <c r="A479" s="77">
        <v>8</v>
      </c>
      <c r="B479" s="78"/>
      <c r="C479" s="52" t="s">
        <v>274</v>
      </c>
      <c r="D479" s="41">
        <f>(35.48+2.78*0.92)*10.764</f>
        <v>409.43672639999994</v>
      </c>
      <c r="E479" s="41">
        <v>0</v>
      </c>
      <c r="F479" s="41">
        <f t="shared" si="48"/>
        <v>655.09876223999993</v>
      </c>
      <c r="G479" s="81"/>
      <c r="H479" s="82"/>
      <c r="I479" s="36"/>
      <c r="L479" s="73"/>
      <c r="M479" s="73"/>
      <c r="N479" s="36"/>
    </row>
    <row r="480" spans="1:14" s="46" customFormat="1" ht="15.6" customHeight="1" x14ac:dyDescent="0.3">
      <c r="A480" s="77">
        <v>9</v>
      </c>
      <c r="B480" s="78"/>
      <c r="C480" s="52" t="s">
        <v>274</v>
      </c>
      <c r="D480" s="41">
        <f>(35.48+2.78*0.92)*10.764</f>
        <v>409.43672639999994</v>
      </c>
      <c r="E480" s="41">
        <v>0</v>
      </c>
      <c r="F480" s="41">
        <f t="shared" si="48"/>
        <v>655.09876223999993</v>
      </c>
      <c r="G480" s="81"/>
      <c r="H480" s="82"/>
      <c r="I480" s="36"/>
      <c r="L480" s="73"/>
      <c r="M480" s="73"/>
      <c r="N480" s="36"/>
    </row>
    <row r="481" spans="1:14" s="46" customFormat="1" ht="15.6" customHeight="1" x14ac:dyDescent="0.3">
      <c r="A481" s="77">
        <v>10</v>
      </c>
      <c r="B481" s="78"/>
      <c r="C481" s="52" t="s">
        <v>274</v>
      </c>
      <c r="D481" s="41">
        <f>(36.51+3.4*1.07)*10.764</f>
        <v>432.15307199999995</v>
      </c>
      <c r="E481" s="41">
        <v>0</v>
      </c>
      <c r="F481" s="41">
        <f t="shared" si="48"/>
        <v>691.44491519999997</v>
      </c>
      <c r="G481" s="97"/>
      <c r="H481" s="98"/>
      <c r="I481" s="36"/>
      <c r="L481" s="73"/>
      <c r="M481" s="73"/>
      <c r="N481" s="36"/>
    </row>
    <row r="482" spans="1:14" s="46" customFormat="1" x14ac:dyDescent="0.3">
      <c r="A482" s="99" t="s">
        <v>276</v>
      </c>
      <c r="B482" s="99"/>
      <c r="C482" s="99"/>
      <c r="D482" s="99"/>
      <c r="E482" s="99"/>
      <c r="F482" s="99"/>
      <c r="G482" s="99"/>
      <c r="H482" s="99"/>
      <c r="I482" s="36">
        <v>2</v>
      </c>
      <c r="L482" s="73"/>
      <c r="M482" s="73"/>
    </row>
    <row r="483" spans="1:14" s="46" customFormat="1" ht="15.6" customHeight="1" x14ac:dyDescent="0.3">
      <c r="A483" s="72">
        <v>1</v>
      </c>
      <c r="B483" s="72"/>
      <c r="C483" s="125" t="s">
        <v>191</v>
      </c>
      <c r="D483" s="126"/>
      <c r="E483" s="126"/>
      <c r="F483" s="127"/>
      <c r="G483" s="79" t="str">
        <f>A482</f>
        <v>5th, 12th &amp; 19th Floor (Part Refuge Area)</v>
      </c>
      <c r="H483" s="80"/>
      <c r="I483" s="36"/>
      <c r="N483" s="36"/>
    </row>
    <row r="484" spans="1:14" s="46" customFormat="1" ht="15.6" customHeight="1" x14ac:dyDescent="0.3">
      <c r="A484" s="72">
        <v>2</v>
      </c>
      <c r="B484" s="72"/>
      <c r="C484" s="128"/>
      <c r="D484" s="129"/>
      <c r="E484" s="129"/>
      <c r="F484" s="130"/>
      <c r="G484" s="81"/>
      <c r="H484" s="82"/>
      <c r="I484" s="36"/>
      <c r="N484" s="36"/>
    </row>
    <row r="485" spans="1:14" s="46" customFormat="1" ht="15.6" customHeight="1" x14ac:dyDescent="0.3">
      <c r="A485" s="77">
        <v>3</v>
      </c>
      <c r="B485" s="78"/>
      <c r="C485" s="52" t="s">
        <v>274</v>
      </c>
      <c r="D485" s="41">
        <f>(35.48+2.78*0.92)*10.764</f>
        <v>409.43672639999994</v>
      </c>
      <c r="E485" s="41">
        <v>0</v>
      </c>
      <c r="F485" s="41">
        <f t="shared" ref="F485:F492" si="50">D485*(($F$321)+1)+(IF(E485&lt;101,E485,IF(E485&lt;201,E485/2,IF(E485&lt;=301,E485/3,E485/4))))</f>
        <v>655.09876223999993</v>
      </c>
      <c r="G485" s="81"/>
      <c r="H485" s="82"/>
      <c r="I485" s="36"/>
      <c r="K485" s="41">
        <v>10.763999999999999</v>
      </c>
      <c r="L485" s="73"/>
      <c r="M485" s="73"/>
      <c r="N485" s="36"/>
    </row>
    <row r="486" spans="1:14" s="46" customFormat="1" ht="15.6" customHeight="1" x14ac:dyDescent="0.3">
      <c r="A486" s="77">
        <v>4</v>
      </c>
      <c r="B486" s="78"/>
      <c r="C486" s="52" t="s">
        <v>274</v>
      </c>
      <c r="D486" s="41">
        <f>(36.51+3.4*1.07)*10.764</f>
        <v>432.15307199999995</v>
      </c>
      <c r="E486" s="41">
        <v>0</v>
      </c>
      <c r="F486" s="41">
        <f t="shared" si="50"/>
        <v>691.44491519999997</v>
      </c>
      <c r="G486" s="81"/>
      <c r="H486" s="82"/>
      <c r="I486" s="36"/>
      <c r="L486" s="73"/>
      <c r="M486" s="73"/>
      <c r="N486" s="36"/>
    </row>
    <row r="487" spans="1:14" s="46" customFormat="1" ht="15.6" customHeight="1" x14ac:dyDescent="0.3">
      <c r="A487" s="77">
        <v>5</v>
      </c>
      <c r="B487" s="78"/>
      <c r="C487" s="52" t="s">
        <v>274</v>
      </c>
      <c r="D487" s="41">
        <f>(35.48+2.78*0.92)*10.764</f>
        <v>409.43672639999994</v>
      </c>
      <c r="E487" s="41">
        <v>0</v>
      </c>
      <c r="F487" s="41">
        <f t="shared" si="50"/>
        <v>655.09876223999993</v>
      </c>
      <c r="G487" s="81"/>
      <c r="H487" s="82"/>
      <c r="I487" s="36"/>
      <c r="L487" s="73"/>
      <c r="M487" s="73"/>
      <c r="N487" s="36"/>
    </row>
    <row r="488" spans="1:14" s="46" customFormat="1" ht="15.6" customHeight="1" x14ac:dyDescent="0.3">
      <c r="A488" s="77">
        <v>6</v>
      </c>
      <c r="B488" s="78"/>
      <c r="C488" s="52" t="s">
        <v>274</v>
      </c>
      <c r="D488" s="41">
        <f>(36.51+3.4*1.07)*10.764</f>
        <v>432.15307199999995</v>
      </c>
      <c r="E488" s="41">
        <v>0</v>
      </c>
      <c r="F488" s="41">
        <f t="shared" si="50"/>
        <v>691.44491519999997</v>
      </c>
      <c r="G488" s="81"/>
      <c r="H488" s="82"/>
      <c r="I488" s="36"/>
      <c r="K488" s="41">
        <v>10.763999999999999</v>
      </c>
      <c r="L488" s="73"/>
      <c r="M488" s="73"/>
      <c r="N488" s="36"/>
    </row>
    <row r="489" spans="1:14" s="46" customFormat="1" ht="15.6" customHeight="1" x14ac:dyDescent="0.3">
      <c r="A489" s="77">
        <v>7</v>
      </c>
      <c r="B489" s="78"/>
      <c r="C489" s="52" t="s">
        <v>274</v>
      </c>
      <c r="D489" s="41">
        <f>(36.51+3.4*1.07)*10.764</f>
        <v>432.15307199999995</v>
      </c>
      <c r="E489" s="41">
        <v>0</v>
      </c>
      <c r="F489" s="41">
        <f t="shared" si="50"/>
        <v>691.44491519999997</v>
      </c>
      <c r="G489" s="81"/>
      <c r="H489" s="82"/>
      <c r="I489" s="36"/>
      <c r="L489" s="73"/>
      <c r="M489" s="73"/>
      <c r="N489" s="36"/>
    </row>
    <row r="490" spans="1:14" s="46" customFormat="1" ht="15.6" customHeight="1" x14ac:dyDescent="0.3">
      <c r="A490" s="77">
        <v>8</v>
      </c>
      <c r="B490" s="78"/>
      <c r="C490" s="52" t="s">
        <v>274</v>
      </c>
      <c r="D490" s="41">
        <f>(35.48+2.78*0.92)*10.764</f>
        <v>409.43672639999994</v>
      </c>
      <c r="E490" s="41">
        <v>0</v>
      </c>
      <c r="F490" s="41">
        <f t="shared" si="50"/>
        <v>655.09876223999993</v>
      </c>
      <c r="G490" s="81"/>
      <c r="H490" s="82"/>
      <c r="I490" s="36"/>
      <c r="L490" s="73"/>
      <c r="M490" s="73"/>
      <c r="N490" s="36"/>
    </row>
    <row r="491" spans="1:14" s="46" customFormat="1" ht="15.6" customHeight="1" x14ac:dyDescent="0.3">
      <c r="A491" s="77">
        <v>9</v>
      </c>
      <c r="B491" s="78"/>
      <c r="C491" s="52" t="s">
        <v>274</v>
      </c>
      <c r="D491" s="41">
        <f>(35.48+2.78*0.92)*10.764</f>
        <v>409.43672639999994</v>
      </c>
      <c r="E491" s="41">
        <v>0</v>
      </c>
      <c r="F491" s="41">
        <f t="shared" si="50"/>
        <v>655.09876223999993</v>
      </c>
      <c r="G491" s="81"/>
      <c r="H491" s="82"/>
      <c r="I491" s="36"/>
      <c r="L491" s="73"/>
      <c r="M491" s="73"/>
      <c r="N491" s="36"/>
    </row>
    <row r="492" spans="1:14" s="46" customFormat="1" ht="15.6" customHeight="1" x14ac:dyDescent="0.3">
      <c r="A492" s="77">
        <v>10</v>
      </c>
      <c r="B492" s="78"/>
      <c r="C492" s="52" t="s">
        <v>274</v>
      </c>
      <c r="D492" s="41">
        <f>(36.51+3.4*1.07)*10.764</f>
        <v>432.15307199999995</v>
      </c>
      <c r="E492" s="41">
        <v>0</v>
      </c>
      <c r="F492" s="41">
        <f t="shared" si="50"/>
        <v>691.44491519999997</v>
      </c>
      <c r="G492" s="81"/>
      <c r="H492" s="82"/>
      <c r="I492" s="36"/>
      <c r="L492" s="73"/>
      <c r="M492" s="73"/>
      <c r="N492" s="36"/>
    </row>
    <row r="493" spans="1:14" s="46" customFormat="1" x14ac:dyDescent="0.3">
      <c r="A493" s="83" t="s">
        <v>255</v>
      </c>
      <c r="B493" s="84"/>
      <c r="C493" s="84"/>
      <c r="D493" s="84"/>
      <c r="E493" s="84"/>
      <c r="F493" s="84"/>
      <c r="G493" s="84"/>
      <c r="H493" s="85"/>
      <c r="J493" s="36"/>
    </row>
    <row r="494" spans="1:14" s="46" customFormat="1" x14ac:dyDescent="0.3">
      <c r="A494" s="74" t="s">
        <v>190</v>
      </c>
      <c r="B494" s="75"/>
      <c r="C494" s="75"/>
      <c r="D494" s="75"/>
      <c r="E494" s="75"/>
      <c r="F494" s="75"/>
      <c r="G494" s="75"/>
      <c r="H494" s="76"/>
      <c r="J494" s="36"/>
    </row>
    <row r="495" spans="1:14" s="46" customFormat="1" x14ac:dyDescent="0.3">
      <c r="A495" s="74" t="s">
        <v>240</v>
      </c>
      <c r="B495" s="75"/>
      <c r="C495" s="75"/>
      <c r="D495" s="75"/>
      <c r="E495" s="75"/>
      <c r="F495" s="75"/>
      <c r="G495" s="75"/>
      <c r="H495" s="76"/>
      <c r="J495" s="36"/>
    </row>
    <row r="496" spans="1:14" s="46" customFormat="1" ht="15.6" customHeight="1" x14ac:dyDescent="0.3">
      <c r="A496" s="77">
        <v>1</v>
      </c>
      <c r="B496" s="78"/>
      <c r="C496" s="52" t="s">
        <v>241</v>
      </c>
      <c r="D496" s="41">
        <f>(181.73+8.23*1.83+3.65*1.83)*10.764</f>
        <v>2190.1553855999996</v>
      </c>
      <c r="E496" s="41">
        <v>0</v>
      </c>
      <c r="F496" s="41">
        <f>D496*(($F$321)+1)+(IF(E496&lt;101,E496,IF(E496&lt;201,E496/2,IF(E496&lt;=301,E496/3,E496/4))))</f>
        <v>3504.2486169599997</v>
      </c>
      <c r="G496" s="79" t="str">
        <f>A495</f>
        <v>1st to 4th, 6th to 11th, 13th to 18th &amp; 20th to 26th Floor for Residential</v>
      </c>
      <c r="H496" s="80"/>
      <c r="I496" s="36"/>
      <c r="L496" s="73"/>
      <c r="M496" s="73"/>
      <c r="N496" s="36"/>
    </row>
    <row r="497" spans="1:14" s="46" customFormat="1" ht="15.6" customHeight="1" x14ac:dyDescent="0.3">
      <c r="A497" s="77">
        <f t="shared" ref="A497:A500" si="51">A496+1</f>
        <v>2</v>
      </c>
      <c r="B497" s="78"/>
      <c r="C497" s="52" t="s">
        <v>214</v>
      </c>
      <c r="D497" s="41">
        <f>(114.47+3.63*1.07+3.5*1.06)*10.764</f>
        <v>1313.8979723999998</v>
      </c>
      <c r="E497" s="41">
        <v>0</v>
      </c>
      <c r="F497" s="41">
        <f>D497*(($F$321)+1)+(IF(E497&lt;101,E497,IF(E497&lt;201,E497/2,IF(E497&lt;=301,E497/3,E497/4))))</f>
        <v>2102.2367558399997</v>
      </c>
      <c r="G497" s="81"/>
      <c r="H497" s="82"/>
      <c r="I497" s="36"/>
      <c r="L497" s="73"/>
      <c r="M497" s="73"/>
      <c r="N497" s="36"/>
    </row>
    <row r="498" spans="1:14" s="46" customFormat="1" ht="15.6" customHeight="1" x14ac:dyDescent="0.3">
      <c r="A498" s="77">
        <f t="shared" si="51"/>
        <v>3</v>
      </c>
      <c r="B498" s="78"/>
      <c r="C498" s="52" t="s">
        <v>214</v>
      </c>
      <c r="D498" s="41">
        <f>(114.47+3.63*1.07+3.5*1.06)*10.764</f>
        <v>1313.8979723999998</v>
      </c>
      <c r="E498" s="41">
        <v>0</v>
      </c>
      <c r="F498" s="41">
        <f>D498*(($F$321)+1)+(IF(E498&lt;101,E498,IF(E498&lt;201,E498/2,IF(E498&lt;=301,E498/3,E498/4))))</f>
        <v>2102.2367558399997</v>
      </c>
      <c r="G498" s="81"/>
      <c r="H498" s="82"/>
      <c r="I498" s="36"/>
      <c r="L498" s="73"/>
      <c r="M498" s="73"/>
      <c r="N498" s="36"/>
    </row>
    <row r="499" spans="1:14" s="46" customFormat="1" ht="15.6" customHeight="1" x14ac:dyDescent="0.3">
      <c r="A499" s="77">
        <f t="shared" si="51"/>
        <v>4</v>
      </c>
      <c r="B499" s="78"/>
      <c r="C499" s="52" t="s">
        <v>214</v>
      </c>
      <c r="D499" s="41">
        <f>(123.9+1.57*3.45+1.57*3.4)*10.764</f>
        <v>1449.421038</v>
      </c>
      <c r="E499" s="41">
        <v>0</v>
      </c>
      <c r="F499" s="41">
        <f>D499*(($F$321)+1)+(IF(E499&lt;101,E499,IF(E499&lt;201,E499/2,IF(E499&lt;=301,E499/3,E499/4))))</f>
        <v>2319.0736608000002</v>
      </c>
      <c r="G499" s="81"/>
      <c r="H499" s="82"/>
      <c r="I499" s="36"/>
      <c r="L499" s="73"/>
      <c r="M499" s="73"/>
      <c r="N499" s="36"/>
    </row>
    <row r="500" spans="1:14" s="46" customFormat="1" ht="15.6" customHeight="1" x14ac:dyDescent="0.3">
      <c r="A500" s="77">
        <f t="shared" si="51"/>
        <v>5</v>
      </c>
      <c r="B500" s="78"/>
      <c r="C500" s="52" t="s">
        <v>214</v>
      </c>
      <c r="D500" s="41">
        <f>(123.48+3.68*1.57+3.35*1.52)*10.764</f>
        <v>1446.1390944</v>
      </c>
      <c r="E500" s="41">
        <v>0</v>
      </c>
      <c r="F500" s="41">
        <f>D500*(($F$321)+1)+(IF(E500&lt;101,E500,IF(E500&lt;201,E500/2,IF(E500&lt;=301,E500/3,E500/4))))</f>
        <v>2313.8225510400002</v>
      </c>
      <c r="G500" s="97"/>
      <c r="H500" s="98"/>
      <c r="I500" s="36"/>
      <c r="L500" s="73"/>
      <c r="M500" s="73"/>
      <c r="N500" s="36"/>
    </row>
    <row r="501" spans="1:14" s="46" customFormat="1" x14ac:dyDescent="0.3">
      <c r="A501" s="74" t="s">
        <v>212</v>
      </c>
      <c r="B501" s="75"/>
      <c r="C501" s="75"/>
      <c r="D501" s="75"/>
      <c r="E501" s="75"/>
      <c r="F501" s="75"/>
      <c r="G501" s="75"/>
      <c r="H501" s="76"/>
      <c r="J501" s="36"/>
    </row>
    <row r="502" spans="1:14" s="46" customFormat="1" ht="15.6" customHeight="1" x14ac:dyDescent="0.3">
      <c r="A502" s="77">
        <v>1</v>
      </c>
      <c r="B502" s="78"/>
      <c r="C502" s="125" t="s">
        <v>191</v>
      </c>
      <c r="D502" s="126"/>
      <c r="E502" s="126"/>
      <c r="F502" s="127"/>
      <c r="G502" s="79" t="str">
        <f>A501</f>
        <v>5th &amp; 12th Floor (Part Refuge Area)</v>
      </c>
      <c r="H502" s="80"/>
      <c r="I502" s="36"/>
      <c r="L502" s="73"/>
      <c r="M502" s="73"/>
      <c r="N502" s="36"/>
    </row>
    <row r="503" spans="1:14" s="46" customFormat="1" ht="15.6" customHeight="1" x14ac:dyDescent="0.3">
      <c r="A503" s="77">
        <f t="shared" ref="A503:A506" si="52">A502+1</f>
        <v>2</v>
      </c>
      <c r="B503" s="78"/>
      <c r="C503" s="52" t="s">
        <v>214</v>
      </c>
      <c r="D503" s="41">
        <f>(114.47+3.63*1.07+3.5*1.06)*10.764</f>
        <v>1313.8979723999998</v>
      </c>
      <c r="E503" s="41">
        <v>0</v>
      </c>
      <c r="F503" s="41">
        <f>D503*(($F$321)+1)+(IF(E503&lt;101,E503,IF(E503&lt;201,E503/2,IF(E503&lt;=301,E503/3,E503/4))))</f>
        <v>2102.2367558399997</v>
      </c>
      <c r="G503" s="81"/>
      <c r="H503" s="82"/>
      <c r="I503" s="36"/>
      <c r="L503" s="73"/>
      <c r="M503" s="73"/>
      <c r="N503" s="36"/>
    </row>
    <row r="504" spans="1:14" s="46" customFormat="1" ht="15.6" customHeight="1" x14ac:dyDescent="0.3">
      <c r="A504" s="77">
        <f t="shared" si="52"/>
        <v>3</v>
      </c>
      <c r="B504" s="78"/>
      <c r="C504" s="52" t="s">
        <v>214</v>
      </c>
      <c r="D504" s="41">
        <f>(114.47+3.63*1.07+3.5*1.06)*10.764</f>
        <v>1313.8979723999998</v>
      </c>
      <c r="E504" s="41">
        <v>0</v>
      </c>
      <c r="F504" s="41">
        <f>D504*(($F$321)+1)+(IF(E504&lt;101,E504,IF(E504&lt;201,E504/2,IF(E504&lt;=301,E504/3,E504/4))))</f>
        <v>2102.2367558399997</v>
      </c>
      <c r="G504" s="81"/>
      <c r="H504" s="82"/>
      <c r="I504" s="36"/>
      <c r="L504" s="73"/>
      <c r="M504" s="73"/>
      <c r="N504" s="36"/>
    </row>
    <row r="505" spans="1:14" s="46" customFormat="1" ht="15.6" customHeight="1" x14ac:dyDescent="0.3">
      <c r="A505" s="77">
        <f t="shared" si="52"/>
        <v>4</v>
      </c>
      <c r="B505" s="78"/>
      <c r="C505" s="52" t="s">
        <v>241</v>
      </c>
      <c r="D505" s="41">
        <f>(168.3+5.42*1.88+3.8*1.23)*10.764</f>
        <v>1971.5729904</v>
      </c>
      <c r="E505" s="41">
        <v>0</v>
      </c>
      <c r="F505" s="41">
        <f>D505*(($F$321)+1)+(IF(E505&lt;101,E505,IF(E505&lt;201,E505/2,IF(E505&lt;=301,E505/3,E505/4))))</f>
        <v>3154.51678464</v>
      </c>
      <c r="G505" s="81"/>
      <c r="H505" s="82"/>
      <c r="I505" s="36"/>
      <c r="L505" s="73"/>
      <c r="M505" s="73"/>
      <c r="N505" s="36"/>
    </row>
    <row r="506" spans="1:14" s="46" customFormat="1" ht="15.6" customHeight="1" x14ac:dyDescent="0.3">
      <c r="A506" s="77">
        <f t="shared" si="52"/>
        <v>5</v>
      </c>
      <c r="B506" s="78"/>
      <c r="C506" s="52" t="s">
        <v>214</v>
      </c>
      <c r="D506" s="41">
        <f>(122.18+3.68*1.57+3.35*1.52)*10.764</f>
        <v>1432.1458944000001</v>
      </c>
      <c r="E506" s="41">
        <v>0</v>
      </c>
      <c r="F506" s="41">
        <f>D506*(($F$321)+1)+(IF(E506&lt;101,E506,IF(E506&lt;201,E506/2,IF(E506&lt;=301,E506/3,E506/4))))</f>
        <v>2291.4334310400004</v>
      </c>
      <c r="G506" s="97"/>
      <c r="H506" s="98"/>
      <c r="I506" s="36"/>
      <c r="L506" s="73"/>
      <c r="M506" s="73"/>
      <c r="N506" s="36"/>
    </row>
    <row r="507" spans="1:14" s="46" customFormat="1" x14ac:dyDescent="0.3">
      <c r="A507" s="74" t="s">
        <v>213</v>
      </c>
      <c r="B507" s="75"/>
      <c r="C507" s="75"/>
      <c r="D507" s="75"/>
      <c r="E507" s="75"/>
      <c r="F507" s="75"/>
      <c r="G507" s="75"/>
      <c r="H507" s="76"/>
      <c r="J507" s="36"/>
    </row>
    <row r="508" spans="1:14" s="46" customFormat="1" ht="15.6" customHeight="1" x14ac:dyDescent="0.3">
      <c r="A508" s="77">
        <v>1</v>
      </c>
      <c r="B508" s="78"/>
      <c r="C508" s="125" t="s">
        <v>191</v>
      </c>
      <c r="D508" s="126"/>
      <c r="E508" s="126"/>
      <c r="F508" s="127"/>
      <c r="G508" s="79" t="str">
        <f>A507</f>
        <v>19th Floor (Part Refuge Area)</v>
      </c>
      <c r="H508" s="80"/>
      <c r="I508" s="36"/>
      <c r="L508" s="73"/>
      <c r="M508" s="73"/>
      <c r="N508" s="36"/>
    </row>
    <row r="509" spans="1:14" s="46" customFormat="1" ht="15.6" customHeight="1" x14ac:dyDescent="0.3">
      <c r="A509" s="77">
        <f t="shared" ref="A509:A512" si="53">A508+1</f>
        <v>2</v>
      </c>
      <c r="B509" s="78"/>
      <c r="C509" s="52" t="s">
        <v>214</v>
      </c>
      <c r="D509" s="41">
        <f>(114.47+3.63*1.07+3.5*1.06)*10.764</f>
        <v>1313.8979723999998</v>
      </c>
      <c r="E509" s="41">
        <v>0</v>
      </c>
      <c r="F509" s="41">
        <f>D509*(($F$321)+1)+(IF(E509&lt;101,E509,IF(E509&lt;201,E509/2,IF(E509&lt;=301,E509/3,E509/4))))</f>
        <v>2102.2367558399997</v>
      </c>
      <c r="G509" s="81"/>
      <c r="H509" s="82"/>
      <c r="I509" s="36"/>
      <c r="L509" s="73"/>
      <c r="M509" s="73"/>
      <c r="N509" s="36"/>
    </row>
    <row r="510" spans="1:14" s="46" customFormat="1" ht="15.6" customHeight="1" x14ac:dyDescent="0.3">
      <c r="A510" s="77">
        <f t="shared" si="53"/>
        <v>3</v>
      </c>
      <c r="B510" s="78"/>
      <c r="C510" s="52" t="s">
        <v>214</v>
      </c>
      <c r="D510" s="41">
        <f>(114.47+3.63*1.07+3.5*1.06)*10.764</f>
        <v>1313.8979723999998</v>
      </c>
      <c r="E510" s="41">
        <v>0</v>
      </c>
      <c r="F510" s="41">
        <f>D510*(($F$321)+1)+(IF(E510&lt;101,E510,IF(E510&lt;201,E510/2,IF(E510&lt;=301,E510/3,E510/4))))</f>
        <v>2102.2367558399997</v>
      </c>
      <c r="G510" s="81"/>
      <c r="H510" s="82"/>
      <c r="I510" s="36"/>
      <c r="L510" s="73"/>
      <c r="M510" s="73"/>
      <c r="N510" s="36"/>
    </row>
    <row r="511" spans="1:14" s="46" customFormat="1" ht="15.6" customHeight="1" x14ac:dyDescent="0.3">
      <c r="A511" s="77">
        <f t="shared" si="53"/>
        <v>4</v>
      </c>
      <c r="B511" s="78"/>
      <c r="C511" s="52" t="s">
        <v>241</v>
      </c>
      <c r="D511" s="41">
        <f>(168.3+5.42*1.88+3.8*1.23)*10.764</f>
        <v>1971.5729904</v>
      </c>
      <c r="E511" s="41">
        <v>0</v>
      </c>
      <c r="F511" s="41">
        <f>D511*(($F$321)+1)+(IF(E511&lt;101,E511,IF(E511&lt;201,E511/2,IF(E511&lt;=301,E511/3,E511/4))))</f>
        <v>3154.51678464</v>
      </c>
      <c r="G511" s="81"/>
      <c r="H511" s="82"/>
      <c r="I511" s="36"/>
      <c r="L511" s="73"/>
      <c r="M511" s="73"/>
      <c r="N511" s="36"/>
    </row>
    <row r="512" spans="1:14" s="46" customFormat="1" ht="15.6" customHeight="1" x14ac:dyDescent="0.3">
      <c r="A512" s="77">
        <f t="shared" si="53"/>
        <v>5</v>
      </c>
      <c r="B512" s="78"/>
      <c r="C512" s="52" t="s">
        <v>214</v>
      </c>
      <c r="D512" s="41">
        <f>(122.18+3.68*1.57+3.35*1.52)*10.764</f>
        <v>1432.1458944000001</v>
      </c>
      <c r="E512" s="41">
        <v>0</v>
      </c>
      <c r="F512" s="41">
        <f>D512*(($F$321)+1)+(IF(E512&lt;101,E512,IF(E512&lt;201,E512/2,IF(E512&lt;=301,E512/3,E512/4))))</f>
        <v>2291.4334310400004</v>
      </c>
      <c r="G512" s="97"/>
      <c r="H512" s="98"/>
      <c r="I512" s="36"/>
      <c r="L512" s="73"/>
      <c r="M512" s="73"/>
      <c r="N512" s="36"/>
    </row>
    <row r="513" spans="1:14" s="46" customFormat="1" x14ac:dyDescent="0.3">
      <c r="A513" s="83" t="s">
        <v>235</v>
      </c>
      <c r="B513" s="84"/>
      <c r="C513" s="84"/>
      <c r="D513" s="84"/>
      <c r="E513" s="84"/>
      <c r="F513" s="84"/>
      <c r="G513" s="84"/>
      <c r="H513" s="85"/>
      <c r="J513" s="36"/>
    </row>
    <row r="514" spans="1:14" s="46" customFormat="1" x14ac:dyDescent="0.3">
      <c r="A514" s="74" t="s">
        <v>190</v>
      </c>
      <c r="B514" s="75"/>
      <c r="C514" s="75"/>
      <c r="D514" s="75"/>
      <c r="E514" s="75"/>
      <c r="F514" s="75"/>
      <c r="G514" s="75"/>
      <c r="H514" s="76"/>
      <c r="J514" s="36"/>
    </row>
    <row r="515" spans="1:14" s="46" customFormat="1" x14ac:dyDescent="0.3">
      <c r="A515" s="74" t="s">
        <v>240</v>
      </c>
      <c r="B515" s="75"/>
      <c r="C515" s="75"/>
      <c r="D515" s="75"/>
      <c r="E515" s="75"/>
      <c r="F515" s="75"/>
      <c r="G515" s="75"/>
      <c r="H515" s="76"/>
      <c r="J515" s="36"/>
    </row>
    <row r="516" spans="1:14" s="46" customFormat="1" ht="15.6" customHeight="1" x14ac:dyDescent="0.3">
      <c r="A516" s="77">
        <v>1</v>
      </c>
      <c r="B516" s="78"/>
      <c r="C516" s="52" t="s">
        <v>241</v>
      </c>
      <c r="D516" s="41">
        <f>(181.25+8.23*1.83+3.65*1.83)*10.764</f>
        <v>2184.9886655999999</v>
      </c>
      <c r="E516" s="41">
        <v>0</v>
      </c>
      <c r="F516" s="41">
        <f>D516*(($F$321)+1)+(IF(E516&lt;101,E516,IF(E516&lt;201,E516/2,IF(E516&lt;=301,E516/3,E516/4))))</f>
        <v>3495.9818649600002</v>
      </c>
      <c r="G516" s="79" t="str">
        <f>A515</f>
        <v>1st to 4th, 6th to 11th, 13th to 18th &amp; 20th to 26th Floor for Residential</v>
      </c>
      <c r="H516" s="80"/>
      <c r="I516" s="36"/>
      <c r="L516" s="73"/>
      <c r="M516" s="73"/>
      <c r="N516" s="36"/>
    </row>
    <row r="517" spans="1:14" s="46" customFormat="1" ht="15.6" customHeight="1" x14ac:dyDescent="0.3">
      <c r="A517" s="77">
        <f t="shared" ref="A517:A520" si="54">A516+1</f>
        <v>2</v>
      </c>
      <c r="B517" s="78"/>
      <c r="C517" s="52" t="s">
        <v>214</v>
      </c>
      <c r="D517" s="41">
        <f>(88.23+3.3*1.17+2.51*1.22)*10.764</f>
        <v>1024.2290448000001</v>
      </c>
      <c r="E517" s="41">
        <v>0</v>
      </c>
      <c r="F517" s="41">
        <f>D517*(($F$321)+1)+(IF(E517&lt;101,E517,IF(E517&lt;201,E517/2,IF(E517&lt;=301,E517/3,E517/4))))</f>
        <v>1638.7664716800002</v>
      </c>
      <c r="G517" s="81"/>
      <c r="H517" s="82"/>
      <c r="I517" s="36"/>
      <c r="L517" s="73"/>
      <c r="M517" s="73"/>
      <c r="N517" s="36"/>
    </row>
    <row r="518" spans="1:14" s="46" customFormat="1" ht="15.6" customHeight="1" x14ac:dyDescent="0.3">
      <c r="A518" s="77">
        <f t="shared" si="54"/>
        <v>3</v>
      </c>
      <c r="B518" s="78"/>
      <c r="C518" s="52" t="s">
        <v>214</v>
      </c>
      <c r="D518" s="41">
        <f>(88.23+3.3*1.17+2.51*1.22)*10.764</f>
        <v>1024.2290448000001</v>
      </c>
      <c r="E518" s="41">
        <v>0</v>
      </c>
      <c r="F518" s="41">
        <f>D518*(($F$321)+1)+(IF(E518&lt;101,E518,IF(E518&lt;201,E518/2,IF(E518&lt;=301,E518/3,E518/4))))</f>
        <v>1638.7664716800002</v>
      </c>
      <c r="G518" s="81"/>
      <c r="H518" s="82"/>
      <c r="I518" s="36"/>
      <c r="L518" s="73"/>
      <c r="M518" s="73"/>
      <c r="N518" s="36"/>
    </row>
    <row r="519" spans="1:14" s="46" customFormat="1" ht="15.6" customHeight="1" x14ac:dyDescent="0.3">
      <c r="A519" s="77">
        <f t="shared" si="54"/>
        <v>4</v>
      </c>
      <c r="B519" s="78"/>
      <c r="C519" s="52" t="s">
        <v>241</v>
      </c>
      <c r="D519" s="41">
        <f>(168.3+5.42*1.88+3.8*1.23)*10.764</f>
        <v>1971.5729904</v>
      </c>
      <c r="E519" s="41">
        <v>0</v>
      </c>
      <c r="F519" s="41">
        <f>D519*(($F$321)+1)+(IF(E519&lt;101,E519,IF(E519&lt;201,E519/2,IF(E519&lt;=301,E519/3,E519/4))))</f>
        <v>3154.51678464</v>
      </c>
      <c r="G519" s="81"/>
      <c r="H519" s="82"/>
      <c r="I519" s="36"/>
      <c r="L519" s="73"/>
      <c r="M519" s="73"/>
      <c r="N519" s="36"/>
    </row>
    <row r="520" spans="1:14" s="46" customFormat="1" ht="15.6" customHeight="1" x14ac:dyDescent="0.3">
      <c r="A520" s="77">
        <f t="shared" si="54"/>
        <v>5</v>
      </c>
      <c r="B520" s="78"/>
      <c r="C520" s="52" t="s">
        <v>214</v>
      </c>
      <c r="D520" s="41">
        <f>(122.18+3.68*1.57+3.35*1.52)*10.764</f>
        <v>1432.1458944000001</v>
      </c>
      <c r="E520" s="41">
        <v>0</v>
      </c>
      <c r="F520" s="41">
        <f>D520*(($F$321)+1)+(IF(E520&lt;101,E520,IF(E520&lt;201,E520/2,IF(E520&lt;=301,E520/3,E520/4))))</f>
        <v>2291.4334310400004</v>
      </c>
      <c r="G520" s="97"/>
      <c r="H520" s="98"/>
      <c r="I520" s="36"/>
      <c r="L520" s="73"/>
      <c r="M520" s="73"/>
      <c r="N520" s="36"/>
    </row>
    <row r="521" spans="1:14" s="46" customFormat="1" x14ac:dyDescent="0.3">
      <c r="A521" s="74" t="s">
        <v>212</v>
      </c>
      <c r="B521" s="75"/>
      <c r="C521" s="75"/>
      <c r="D521" s="75"/>
      <c r="E521" s="75"/>
      <c r="F521" s="75"/>
      <c r="G521" s="75"/>
      <c r="H521" s="76"/>
      <c r="J521" s="36"/>
    </row>
    <row r="522" spans="1:14" s="46" customFormat="1" ht="15.6" customHeight="1" x14ac:dyDescent="0.3">
      <c r="A522" s="77">
        <v>1</v>
      </c>
      <c r="B522" s="78"/>
      <c r="C522" s="52" t="s">
        <v>241</v>
      </c>
      <c r="D522" s="41">
        <f>(181.25+8.23*1.83+3.65*1.83)*10.764</f>
        <v>2184.9886655999999</v>
      </c>
      <c r="E522" s="41">
        <v>0</v>
      </c>
      <c r="F522" s="41">
        <f>D522*(($F$321)+1)+(IF(E522&lt;101,E522,IF(E522&lt;201,E522/2,IF(E522&lt;=301,E522/3,E522/4))))</f>
        <v>3495.9818649600002</v>
      </c>
      <c r="G522" s="79" t="str">
        <f>A521</f>
        <v>5th &amp; 12th Floor (Part Refuge Area)</v>
      </c>
      <c r="H522" s="80"/>
      <c r="I522" s="36"/>
      <c r="L522" s="73"/>
      <c r="M522" s="73"/>
      <c r="N522" s="36"/>
    </row>
    <row r="523" spans="1:14" s="46" customFormat="1" ht="15.6" customHeight="1" x14ac:dyDescent="0.3">
      <c r="A523" s="77">
        <f t="shared" ref="A523:A526" si="55">A522+1</f>
        <v>2</v>
      </c>
      <c r="B523" s="78"/>
      <c r="C523" s="125" t="s">
        <v>191</v>
      </c>
      <c r="D523" s="126"/>
      <c r="E523" s="126"/>
      <c r="F523" s="127"/>
      <c r="G523" s="81"/>
      <c r="H523" s="82"/>
      <c r="I523" s="36"/>
      <c r="L523" s="73"/>
      <c r="M523" s="73"/>
      <c r="N523" s="36"/>
    </row>
    <row r="524" spans="1:14" s="46" customFormat="1" ht="15.6" customHeight="1" x14ac:dyDescent="0.3">
      <c r="A524" s="77">
        <f t="shared" si="55"/>
        <v>3</v>
      </c>
      <c r="B524" s="78"/>
      <c r="C524" s="128"/>
      <c r="D524" s="129"/>
      <c r="E524" s="129"/>
      <c r="F524" s="130"/>
      <c r="G524" s="81"/>
      <c r="H524" s="82"/>
      <c r="I524" s="36"/>
      <c r="L524" s="73"/>
      <c r="M524" s="73"/>
      <c r="N524" s="36"/>
    </row>
    <row r="525" spans="1:14" s="46" customFormat="1" ht="15.6" customHeight="1" x14ac:dyDescent="0.3">
      <c r="A525" s="77">
        <f t="shared" si="55"/>
        <v>4</v>
      </c>
      <c r="B525" s="78"/>
      <c r="C525" s="52" t="s">
        <v>241</v>
      </c>
      <c r="D525" s="41">
        <f>(168.3+5.42*1.88+3.8*1.23)*10.764</f>
        <v>1971.5729904</v>
      </c>
      <c r="E525" s="41">
        <v>0</v>
      </c>
      <c r="F525" s="41">
        <f>D525*(($F$321)+1)+(IF(E525&lt;101,E525,IF(E525&lt;201,E525/2,IF(E525&lt;=301,E525/3,E525/4))))</f>
        <v>3154.51678464</v>
      </c>
      <c r="G525" s="81"/>
      <c r="H525" s="82"/>
      <c r="I525" s="36"/>
      <c r="L525" s="73"/>
      <c r="M525" s="73"/>
      <c r="N525" s="36"/>
    </row>
    <row r="526" spans="1:14" s="46" customFormat="1" ht="15.6" customHeight="1" x14ac:dyDescent="0.3">
      <c r="A526" s="77">
        <f t="shared" si="55"/>
        <v>5</v>
      </c>
      <c r="B526" s="78"/>
      <c r="C526" s="52" t="s">
        <v>214</v>
      </c>
      <c r="D526" s="41">
        <f>(122.18+3.68*1.57+3.35*1.52)*10.764</f>
        <v>1432.1458944000001</v>
      </c>
      <c r="E526" s="41">
        <v>0</v>
      </c>
      <c r="F526" s="41">
        <f>D526*(($F$321)+1)+(IF(E526&lt;101,E526,IF(E526&lt;201,E526/2,IF(E526&lt;=301,E526/3,E526/4))))</f>
        <v>2291.4334310400004</v>
      </c>
      <c r="G526" s="97"/>
      <c r="H526" s="98"/>
      <c r="I526" s="36"/>
      <c r="L526" s="73"/>
      <c r="M526" s="73"/>
      <c r="N526" s="36"/>
    </row>
    <row r="527" spans="1:14" s="46" customFormat="1" x14ac:dyDescent="0.3">
      <c r="A527" s="74" t="s">
        <v>213</v>
      </c>
      <c r="B527" s="75"/>
      <c r="C527" s="75"/>
      <c r="D527" s="75"/>
      <c r="E527" s="75"/>
      <c r="F527" s="75"/>
      <c r="G527" s="75"/>
      <c r="H527" s="76"/>
      <c r="J527" s="36"/>
    </row>
    <row r="528" spans="1:14" s="46" customFormat="1" ht="15.6" customHeight="1" x14ac:dyDescent="0.3">
      <c r="A528" s="77">
        <v>1</v>
      </c>
      <c r="B528" s="78"/>
      <c r="C528" s="52" t="s">
        <v>241</v>
      </c>
      <c r="D528" s="41">
        <f>(181.25+8.23*1.83+3.65*1.83)*10.764</f>
        <v>2184.9886655999999</v>
      </c>
      <c r="E528" s="41">
        <v>0</v>
      </c>
      <c r="F528" s="41">
        <f>D528*(($F$321)+1)+(IF(E528&lt;101,E528,IF(E528&lt;201,E528/2,IF(E528&lt;=301,E528/3,E528/4))))</f>
        <v>3495.9818649600002</v>
      </c>
      <c r="G528" s="79" t="str">
        <f>A527</f>
        <v>19th Floor (Part Refuge Area)</v>
      </c>
      <c r="H528" s="80"/>
      <c r="I528" s="36"/>
      <c r="L528" s="73"/>
      <c r="M528" s="73"/>
      <c r="N528" s="36"/>
    </row>
    <row r="529" spans="1:14" s="46" customFormat="1" ht="15.6" customHeight="1" x14ac:dyDescent="0.3">
      <c r="A529" s="77">
        <f t="shared" ref="A529:A532" si="56">A528+1</f>
        <v>2</v>
      </c>
      <c r="B529" s="78"/>
      <c r="C529" s="125" t="s">
        <v>191</v>
      </c>
      <c r="D529" s="126"/>
      <c r="E529" s="126"/>
      <c r="F529" s="127"/>
      <c r="G529" s="81"/>
      <c r="H529" s="82"/>
      <c r="I529" s="36"/>
      <c r="L529" s="73"/>
      <c r="M529" s="73"/>
      <c r="N529" s="36"/>
    </row>
    <row r="530" spans="1:14" s="46" customFormat="1" ht="15.6" customHeight="1" x14ac:dyDescent="0.3">
      <c r="A530" s="77">
        <f t="shared" si="56"/>
        <v>3</v>
      </c>
      <c r="B530" s="78"/>
      <c r="C530" s="128"/>
      <c r="D530" s="129"/>
      <c r="E530" s="129"/>
      <c r="F530" s="130"/>
      <c r="G530" s="81"/>
      <c r="H530" s="82"/>
      <c r="I530" s="36"/>
      <c r="L530" s="73"/>
      <c r="M530" s="73"/>
      <c r="N530" s="36"/>
    </row>
    <row r="531" spans="1:14" s="46" customFormat="1" ht="15.6" customHeight="1" x14ac:dyDescent="0.3">
      <c r="A531" s="77">
        <f t="shared" si="56"/>
        <v>4</v>
      </c>
      <c r="B531" s="78"/>
      <c r="C531" s="52" t="s">
        <v>241</v>
      </c>
      <c r="D531" s="41">
        <f>(168.3+5.42*1.88+3.8*1.23)*10.764</f>
        <v>1971.5729904</v>
      </c>
      <c r="E531" s="41">
        <v>0</v>
      </c>
      <c r="F531" s="41">
        <f>D531*(($F$321)+1)+(IF(E531&lt;101,E531,IF(E531&lt;201,E531/2,IF(E531&lt;=301,E531/3,E531/4))))</f>
        <v>3154.51678464</v>
      </c>
      <c r="G531" s="81"/>
      <c r="H531" s="82"/>
      <c r="I531" s="36"/>
      <c r="L531" s="73"/>
      <c r="M531" s="73"/>
      <c r="N531" s="36"/>
    </row>
    <row r="532" spans="1:14" s="46" customFormat="1" ht="15.6" customHeight="1" x14ac:dyDescent="0.3">
      <c r="A532" s="77">
        <f t="shared" si="56"/>
        <v>5</v>
      </c>
      <c r="B532" s="78"/>
      <c r="C532" s="52" t="s">
        <v>214</v>
      </c>
      <c r="D532" s="41">
        <f>(122.18+3.68*1.57+3.35*1.52)*10.764</f>
        <v>1432.1458944000001</v>
      </c>
      <c r="E532" s="41">
        <v>0</v>
      </c>
      <c r="F532" s="41">
        <f>D532*(($F$321)+1)+(IF(E532&lt;101,E532,IF(E532&lt;201,E532/2,IF(E532&lt;=301,E532/3,E532/4))))</f>
        <v>2291.4334310400004</v>
      </c>
      <c r="G532" s="97"/>
      <c r="H532" s="98"/>
      <c r="I532" s="36"/>
      <c r="L532" s="73"/>
      <c r="M532" s="73"/>
      <c r="N532" s="36"/>
    </row>
    <row r="533" spans="1:14" s="35" customFormat="1" x14ac:dyDescent="0.3">
      <c r="A533" s="245" t="s">
        <v>68</v>
      </c>
      <c r="B533" s="245"/>
      <c r="C533" s="245"/>
      <c r="D533" s="245"/>
      <c r="E533" s="245"/>
      <c r="F533" s="245"/>
      <c r="G533" s="245"/>
      <c r="H533" s="245"/>
    </row>
    <row r="534" spans="1:14" s="35" customFormat="1" ht="48" customHeight="1" x14ac:dyDescent="0.3">
      <c r="A534" s="45" t="s">
        <v>155</v>
      </c>
      <c r="B534" s="94" t="s">
        <v>299</v>
      </c>
      <c r="C534" s="95"/>
      <c r="D534" s="95"/>
      <c r="E534" s="95"/>
      <c r="F534" s="95"/>
      <c r="G534" s="95"/>
      <c r="H534" s="96"/>
      <c r="I534" s="66" t="s">
        <v>280</v>
      </c>
    </row>
    <row r="535" spans="1:14" s="35" customFormat="1" x14ac:dyDescent="0.3">
      <c r="A535" s="45" t="s">
        <v>155</v>
      </c>
      <c r="B535" s="94" t="str">
        <f>(IF(F320="Saleable area Loading :","We have considered Saleable area of Flats as per our Calculation.","We considered Saleable area of Flat as per Builder area Sheet."))</f>
        <v>We have considered Saleable area of Flats as per our Calculation.</v>
      </c>
      <c r="C535" s="95"/>
      <c r="D535" s="95"/>
      <c r="E535" s="95"/>
      <c r="F535" s="95"/>
      <c r="G535" s="95"/>
      <c r="H535" s="96"/>
    </row>
    <row r="536" spans="1:14" s="35" customFormat="1" x14ac:dyDescent="0.3">
      <c r="A536" s="45" t="s">
        <v>155</v>
      </c>
      <c r="B536" s="94" t="str">
        <f>(IF(F211="Saleable area Loading :","We have considered Saleable area of Commercial as per our Calculation.","We considered Saleable area of Commercial as per Builder area Sheet."))</f>
        <v>We have considered Saleable area of Commercial as per our Calculation.</v>
      </c>
      <c r="C536" s="95"/>
      <c r="D536" s="95"/>
      <c r="E536" s="95"/>
      <c r="F536" s="95"/>
      <c r="G536" s="95"/>
      <c r="H536" s="96"/>
    </row>
    <row r="537" spans="1:14" s="35" customFormat="1" x14ac:dyDescent="0.3">
      <c r="A537" s="45" t="s">
        <v>155</v>
      </c>
      <c r="B537" s="151" t="s">
        <v>124</v>
      </c>
      <c r="C537" s="152"/>
      <c r="D537" s="152"/>
      <c r="E537" s="152"/>
      <c r="F537" s="152"/>
      <c r="G537" s="152"/>
      <c r="H537" s="153"/>
    </row>
    <row r="538" spans="1:14" s="35" customFormat="1" x14ac:dyDescent="0.3">
      <c r="A538" s="45" t="s">
        <v>155</v>
      </c>
      <c r="B538" s="151" t="s">
        <v>221</v>
      </c>
      <c r="C538" s="152"/>
      <c r="D538" s="152"/>
      <c r="E538" s="152"/>
      <c r="F538" s="152"/>
      <c r="G538" s="152"/>
      <c r="H538" s="153"/>
    </row>
    <row r="539" spans="1:14" s="35" customFormat="1" x14ac:dyDescent="0.3">
      <c r="A539" s="45" t="s">
        <v>155</v>
      </c>
      <c r="B539" s="151" t="s">
        <v>154</v>
      </c>
      <c r="C539" s="152"/>
      <c r="D539" s="152"/>
      <c r="E539" s="152"/>
      <c r="F539" s="152"/>
      <c r="G539" s="152"/>
      <c r="H539" s="153"/>
    </row>
    <row r="540" spans="1:14" s="35" customFormat="1" x14ac:dyDescent="0.3">
      <c r="A540" s="45" t="s">
        <v>155</v>
      </c>
      <c r="B540" s="151" t="s">
        <v>125</v>
      </c>
      <c r="C540" s="152"/>
      <c r="D540" s="152"/>
      <c r="E540" s="152"/>
      <c r="F540" s="152"/>
      <c r="G540" s="152"/>
      <c r="H540" s="153"/>
    </row>
    <row r="541" spans="1:14" s="35" customFormat="1" ht="32.549999999999997" customHeight="1" x14ac:dyDescent="0.3">
      <c r="A541" s="45" t="s">
        <v>155</v>
      </c>
      <c r="B541" s="151" t="s">
        <v>156</v>
      </c>
      <c r="C541" s="152"/>
      <c r="D541" s="152"/>
      <c r="E541" s="152"/>
      <c r="F541" s="152"/>
      <c r="G541" s="152"/>
      <c r="H541" s="153"/>
    </row>
    <row r="542" spans="1:14" s="35" customFormat="1" x14ac:dyDescent="0.3">
      <c r="A542" s="45" t="s">
        <v>155</v>
      </c>
      <c r="B542" s="151" t="s">
        <v>126</v>
      </c>
      <c r="C542" s="152"/>
      <c r="D542" s="152"/>
      <c r="E542" s="152"/>
      <c r="F542" s="152"/>
      <c r="G542" s="152"/>
      <c r="H542" s="153"/>
    </row>
    <row r="543" spans="1:14" s="35" customFormat="1" ht="35.25" customHeight="1" x14ac:dyDescent="0.3">
      <c r="A543" s="67" t="s">
        <v>155</v>
      </c>
      <c r="B543" s="100" t="s">
        <v>288</v>
      </c>
      <c r="C543" s="101"/>
      <c r="D543" s="101"/>
      <c r="E543" s="101"/>
      <c r="F543" s="101"/>
      <c r="G543" s="101"/>
      <c r="H543" s="102"/>
    </row>
    <row r="544" spans="1:14" s="35" customFormat="1" x14ac:dyDescent="0.3">
      <c r="A544" s="45" t="s">
        <v>155</v>
      </c>
      <c r="B544" s="94" t="s">
        <v>252</v>
      </c>
      <c r="C544" s="95"/>
      <c r="D544" s="95"/>
      <c r="E544" s="95"/>
      <c r="F544" s="95"/>
      <c r="G544" s="95"/>
      <c r="H544" s="96"/>
    </row>
    <row r="545" spans="1:8" s="35" customFormat="1" x14ac:dyDescent="0.3">
      <c r="A545" s="45" t="s">
        <v>155</v>
      </c>
      <c r="B545" s="94" t="s">
        <v>257</v>
      </c>
      <c r="C545" s="95"/>
      <c r="D545" s="95"/>
      <c r="E545" s="95"/>
      <c r="F545" s="95"/>
      <c r="G545" s="95"/>
      <c r="H545" s="96"/>
    </row>
    <row r="546" spans="1:8" s="35" customFormat="1" x14ac:dyDescent="0.3">
      <c r="A546" s="45" t="s">
        <v>155</v>
      </c>
      <c r="B546" s="94" t="s">
        <v>278</v>
      </c>
      <c r="C546" s="95"/>
      <c r="D546" s="95"/>
      <c r="E546" s="95"/>
      <c r="F546" s="95"/>
      <c r="G546" s="95"/>
      <c r="H546" s="96"/>
    </row>
    <row r="547" spans="1:8" s="35" customFormat="1" x14ac:dyDescent="0.3">
      <c r="A547" s="45" t="s">
        <v>155</v>
      </c>
      <c r="B547" s="69" t="s">
        <v>289</v>
      </c>
      <c r="C547" s="70"/>
      <c r="D547" s="70"/>
      <c r="E547" s="70"/>
      <c r="F547" s="70"/>
      <c r="G547" s="70"/>
      <c r="H547" s="71"/>
    </row>
    <row r="548" spans="1:8" s="35" customFormat="1" x14ac:dyDescent="0.3">
      <c r="A548" s="45" t="s">
        <v>155</v>
      </c>
      <c r="B548" s="69" t="s">
        <v>292</v>
      </c>
      <c r="C548" s="70"/>
      <c r="D548" s="70"/>
      <c r="E548" s="70"/>
      <c r="F548" s="70"/>
      <c r="G548" s="70"/>
      <c r="H548" s="71"/>
    </row>
    <row r="549" spans="1:8" s="35" customFormat="1" ht="38.4" customHeight="1" x14ac:dyDescent="0.3">
      <c r="A549" s="45" t="s">
        <v>155</v>
      </c>
      <c r="B549" s="247" t="s">
        <v>297</v>
      </c>
      <c r="C549" s="248"/>
      <c r="D549" s="248"/>
      <c r="E549" s="248"/>
      <c r="F549" s="248"/>
      <c r="G549" s="248"/>
      <c r="H549" s="249"/>
    </row>
    <row r="550" spans="1:8" x14ac:dyDescent="0.3">
      <c r="A550" s="223" t="s">
        <v>61</v>
      </c>
      <c r="B550" s="223"/>
      <c r="C550" s="223"/>
      <c r="D550" s="223"/>
      <c r="E550" s="223"/>
      <c r="F550" s="223"/>
      <c r="G550" s="223"/>
      <c r="H550" s="223"/>
    </row>
    <row r="551" spans="1:8" x14ac:dyDescent="0.3">
      <c r="A551" s="116" t="s">
        <v>62</v>
      </c>
      <c r="B551" s="116"/>
      <c r="C551" s="116"/>
      <c r="D551" s="116"/>
      <c r="E551" s="116"/>
      <c r="F551" s="116"/>
      <c r="G551" s="116"/>
      <c r="H551" s="116"/>
    </row>
    <row r="552" spans="1:8" ht="15.75" customHeight="1" x14ac:dyDescent="0.3">
      <c r="A552" s="219" t="s">
        <v>63</v>
      </c>
      <c r="B552" s="219"/>
      <c r="C552" s="219"/>
      <c r="D552" s="219"/>
      <c r="E552" s="219"/>
      <c r="F552" s="219"/>
      <c r="G552" s="219"/>
      <c r="H552" s="219"/>
    </row>
    <row r="553" spans="1:8" x14ac:dyDescent="0.3">
      <c r="A553" s="116" t="s">
        <v>64</v>
      </c>
      <c r="B553" s="116"/>
      <c r="C553" s="116"/>
      <c r="D553" s="116"/>
      <c r="E553" s="116"/>
      <c r="F553" s="116"/>
      <c r="G553" s="116"/>
      <c r="H553" s="116"/>
    </row>
    <row r="554" spans="1:8" x14ac:dyDescent="0.3">
      <c r="A554" s="116" t="s">
        <v>65</v>
      </c>
      <c r="B554" s="116"/>
      <c r="C554" s="116"/>
      <c r="D554" s="116"/>
      <c r="E554" s="116"/>
      <c r="F554" s="116"/>
      <c r="G554" s="116"/>
      <c r="H554" s="116"/>
    </row>
    <row r="555" spans="1:8" x14ac:dyDescent="0.3">
      <c r="A555" s="116" t="s">
        <v>127</v>
      </c>
      <c r="B555" s="116"/>
      <c r="C555" s="116"/>
      <c r="D555" s="116"/>
      <c r="E555" s="116"/>
      <c r="F555" s="116"/>
      <c r="G555" s="116"/>
      <c r="H555" s="116"/>
    </row>
    <row r="556" spans="1:8" ht="35.25" customHeight="1" x14ac:dyDescent="0.3">
      <c r="A556" s="117" t="s">
        <v>128</v>
      </c>
      <c r="B556" s="117"/>
      <c r="C556" s="117"/>
      <c r="D556" s="117"/>
      <c r="E556" s="117"/>
      <c r="F556" s="117"/>
      <c r="G556" s="117"/>
      <c r="H556" s="117"/>
    </row>
    <row r="557" spans="1:8" x14ac:dyDescent="0.3">
      <c r="A557" s="218" t="s">
        <v>75</v>
      </c>
      <c r="B557" s="218"/>
      <c r="C557" s="218" t="s">
        <v>298</v>
      </c>
      <c r="D557" s="218"/>
      <c r="E557" s="218" t="s">
        <v>104</v>
      </c>
      <c r="F557" s="218"/>
      <c r="G557" s="218" t="s">
        <v>294</v>
      </c>
      <c r="H557" s="218"/>
    </row>
    <row r="558" spans="1:8" x14ac:dyDescent="0.3">
      <c r="A558" s="217" t="s">
        <v>77</v>
      </c>
      <c r="B558" s="217"/>
      <c r="C558" s="217"/>
      <c r="D558" s="217"/>
      <c r="E558" s="217"/>
      <c r="F558" s="217"/>
      <c r="G558" s="217"/>
      <c r="H558" s="217"/>
    </row>
    <row r="559" spans="1:8" x14ac:dyDescent="0.3">
      <c r="A559" s="217"/>
      <c r="B559" s="217"/>
      <c r="C559" s="217"/>
      <c r="D559" s="217"/>
      <c r="E559" s="217"/>
      <c r="F559" s="217"/>
      <c r="G559" s="217"/>
      <c r="H559" s="217"/>
    </row>
    <row r="560" spans="1:8" x14ac:dyDescent="0.3">
      <c r="A560" s="217"/>
      <c r="B560" s="217"/>
      <c r="C560" s="217"/>
      <c r="D560" s="217"/>
      <c r="E560" s="217"/>
      <c r="F560" s="217"/>
      <c r="G560" s="217"/>
      <c r="H560" s="217"/>
    </row>
    <row r="561" spans="1:8" x14ac:dyDescent="0.3">
      <c r="A561" s="217"/>
      <c r="B561" s="217"/>
      <c r="C561" s="217"/>
      <c r="D561" s="217"/>
      <c r="E561" s="217"/>
      <c r="F561" s="217"/>
      <c r="G561" s="217"/>
      <c r="H561" s="217"/>
    </row>
    <row r="562" spans="1:8" ht="33" customHeight="1" x14ac:dyDescent="0.3">
      <c r="A562" s="37" t="s">
        <v>66</v>
      </c>
      <c r="B562" s="38"/>
      <c r="C562" s="38"/>
      <c r="D562" s="244" t="str">
        <f>E8</f>
        <v>L and T Realty Elixir Reserve (Cygnus, Cafer, Iora, Atthis,  Ibis, Dove, Prinia)</v>
      </c>
      <c r="E562" s="244"/>
      <c r="F562" s="244"/>
      <c r="G562" s="244"/>
      <c r="H562" s="244"/>
    </row>
    <row r="563" spans="1:8" x14ac:dyDescent="0.3">
      <c r="A563" s="38"/>
      <c r="B563" s="38"/>
      <c r="C563" s="38"/>
      <c r="D563" s="38"/>
      <c r="E563" s="38"/>
      <c r="F563" s="38"/>
      <c r="G563" s="38"/>
      <c r="H563" s="38"/>
    </row>
    <row r="564" spans="1:8" x14ac:dyDescent="0.3">
      <c r="A564" s="38"/>
      <c r="B564" s="38"/>
      <c r="C564" s="38"/>
      <c r="D564" s="38"/>
      <c r="E564" s="38"/>
      <c r="F564" s="38"/>
      <c r="G564" s="38"/>
      <c r="H564" s="38"/>
    </row>
    <row r="565" spans="1:8" ht="15" customHeight="1" x14ac:dyDescent="0.3"/>
    <row r="603" spans="1:1" x14ac:dyDescent="0.3">
      <c r="A603" s="40" t="s">
        <v>222</v>
      </c>
    </row>
    <row r="645" spans="1:1" x14ac:dyDescent="0.3">
      <c r="A645" s="40" t="s">
        <v>67</v>
      </c>
    </row>
  </sheetData>
  <mergeCells count="1033">
    <mergeCell ref="B549:H549"/>
    <mergeCell ref="A488:B488"/>
    <mergeCell ref="L488:M488"/>
    <mergeCell ref="A489:B489"/>
    <mergeCell ref="A490:B490"/>
    <mergeCell ref="A491:B491"/>
    <mergeCell ref="A492:B492"/>
    <mergeCell ref="L492:M492"/>
    <mergeCell ref="L489:M489"/>
    <mergeCell ref="L490:M490"/>
    <mergeCell ref="L491:M491"/>
    <mergeCell ref="A533:H533"/>
    <mergeCell ref="A506:B506"/>
    <mergeCell ref="L506:M506"/>
    <mergeCell ref="A493:H493"/>
    <mergeCell ref="A496:B496"/>
    <mergeCell ref="C508:F508"/>
    <mergeCell ref="A511:B511"/>
    <mergeCell ref="L511:M511"/>
    <mergeCell ref="A494:H494"/>
    <mergeCell ref="A495:H495"/>
    <mergeCell ref="L528:M528"/>
    <mergeCell ref="A529:B529"/>
    <mergeCell ref="C529:F530"/>
    <mergeCell ref="L529:M529"/>
    <mergeCell ref="A513:H513"/>
    <mergeCell ref="L509:M509"/>
    <mergeCell ref="D562:H562"/>
    <mergeCell ref="B546:H546"/>
    <mergeCell ref="A472:B472"/>
    <mergeCell ref="G472:H481"/>
    <mergeCell ref="L472:M472"/>
    <mergeCell ref="A475:B475"/>
    <mergeCell ref="L475:M475"/>
    <mergeCell ref="A476:B476"/>
    <mergeCell ref="L476:M476"/>
    <mergeCell ref="A477:B477"/>
    <mergeCell ref="L477:M477"/>
    <mergeCell ref="A478:B478"/>
    <mergeCell ref="L478:M478"/>
    <mergeCell ref="A479:B479"/>
    <mergeCell ref="L479:M479"/>
    <mergeCell ref="A480:B480"/>
    <mergeCell ref="L480:M480"/>
    <mergeCell ref="B544:H544"/>
    <mergeCell ref="B540:H540"/>
    <mergeCell ref="B536:H536"/>
    <mergeCell ref="A550:H550"/>
    <mergeCell ref="A551:H551"/>
    <mergeCell ref="B542:H542"/>
    <mergeCell ref="B534:H534"/>
    <mergeCell ref="B535:H535"/>
    <mergeCell ref="B537:H537"/>
    <mergeCell ref="B538:H538"/>
    <mergeCell ref="A482:H482"/>
    <mergeCell ref="L482:M482"/>
    <mergeCell ref="A483:B483"/>
    <mergeCell ref="C483:F484"/>
    <mergeCell ref="G483:H492"/>
    <mergeCell ref="A404:B404"/>
    <mergeCell ref="A405:B405"/>
    <mergeCell ref="L485:M485"/>
    <mergeCell ref="A486:B486"/>
    <mergeCell ref="L486:M486"/>
    <mergeCell ref="A487:B487"/>
    <mergeCell ref="L487:M487"/>
    <mergeCell ref="A469:B469"/>
    <mergeCell ref="L469:M469"/>
    <mergeCell ref="A470:B470"/>
    <mergeCell ref="L470:M470"/>
    <mergeCell ref="G461:H470"/>
    <mergeCell ref="A481:B481"/>
    <mergeCell ref="L481:M481"/>
    <mergeCell ref="A459:H459"/>
    <mergeCell ref="A460:H460"/>
    <mergeCell ref="A461:B461"/>
    <mergeCell ref="L461:M461"/>
    <mergeCell ref="A462:B462"/>
    <mergeCell ref="L462:M462"/>
    <mergeCell ref="A463:B463"/>
    <mergeCell ref="L463:M463"/>
    <mergeCell ref="A471:H471"/>
    <mergeCell ref="A473:B473"/>
    <mergeCell ref="L473:M473"/>
    <mergeCell ref="A474:B474"/>
    <mergeCell ref="L474:M474"/>
    <mergeCell ref="A484:B484"/>
    <mergeCell ref="A485:B485"/>
    <mergeCell ref="A448:B448"/>
    <mergeCell ref="L448:M448"/>
    <mergeCell ref="C441:F442"/>
    <mergeCell ref="A142:B142"/>
    <mergeCell ref="A143:B143"/>
    <mergeCell ref="A144:B144"/>
    <mergeCell ref="A176:E176"/>
    <mergeCell ref="A173:E173"/>
    <mergeCell ref="F178:H178"/>
    <mergeCell ref="F184:H184"/>
    <mergeCell ref="A183:E183"/>
    <mergeCell ref="A184:E184"/>
    <mergeCell ref="A163:B163"/>
    <mergeCell ref="G163:H172"/>
    <mergeCell ref="A164:B164"/>
    <mergeCell ref="A165:B165"/>
    <mergeCell ref="A166:B166"/>
    <mergeCell ref="A167:B167"/>
    <mergeCell ref="A168:B168"/>
    <mergeCell ref="A169:B169"/>
    <mergeCell ref="A170:B170"/>
    <mergeCell ref="A171:B171"/>
    <mergeCell ref="A208:B208"/>
    <mergeCell ref="L373:M373"/>
    <mergeCell ref="A374:B374"/>
    <mergeCell ref="L374:M374"/>
    <mergeCell ref="L247:M247"/>
    <mergeCell ref="L248:M248"/>
    <mergeCell ref="A406:B406"/>
    <mergeCell ref="A407:B407"/>
    <mergeCell ref="A403:H403"/>
    <mergeCell ref="L403:M403"/>
    <mergeCell ref="L285:M285"/>
    <mergeCell ref="A286:B286"/>
    <mergeCell ref="L286:M286"/>
    <mergeCell ref="A287:B287"/>
    <mergeCell ref="L287:M287"/>
    <mergeCell ref="A464:B464"/>
    <mergeCell ref="L464:M464"/>
    <mergeCell ref="A465:B465"/>
    <mergeCell ref="L465:M465"/>
    <mergeCell ref="A466:B466"/>
    <mergeCell ref="L466:M466"/>
    <mergeCell ref="A467:B467"/>
    <mergeCell ref="L467:M467"/>
    <mergeCell ref="A380:B380"/>
    <mergeCell ref="L408:M408"/>
    <mergeCell ref="A409:B409"/>
    <mergeCell ref="L409:M409"/>
    <mergeCell ref="A410:B410"/>
    <mergeCell ref="L410:M410"/>
    <mergeCell ref="A411:H411"/>
    <mergeCell ref="A412:H412"/>
    <mergeCell ref="L402:M402"/>
    <mergeCell ref="L407:M407"/>
    <mergeCell ref="L414:M414"/>
    <mergeCell ref="A415:B415"/>
    <mergeCell ref="L415:M415"/>
    <mergeCell ref="L384:M384"/>
    <mergeCell ref="A385:B385"/>
    <mergeCell ref="A458:H458"/>
    <mergeCell ref="G404:H410"/>
    <mergeCell ref="A420:B420"/>
    <mergeCell ref="L420:M420"/>
    <mergeCell ref="A113:B113"/>
    <mergeCell ref="A55:B56"/>
    <mergeCell ref="G134:H134"/>
    <mergeCell ref="E40:H40"/>
    <mergeCell ref="A40:D40"/>
    <mergeCell ref="C429:F430"/>
    <mergeCell ref="L428:M428"/>
    <mergeCell ref="A429:B429"/>
    <mergeCell ref="L429:M429"/>
    <mergeCell ref="A430:B430"/>
    <mergeCell ref="L430:M430"/>
    <mergeCell ref="G432:H439"/>
    <mergeCell ref="A440:H440"/>
    <mergeCell ref="L440:M440"/>
    <mergeCell ref="G388:H394"/>
    <mergeCell ref="G396:H402"/>
    <mergeCell ref="C396:F397"/>
    <mergeCell ref="L375:M375"/>
    <mergeCell ref="C374:F374"/>
    <mergeCell ref="A399:B399"/>
    <mergeCell ref="A387:H387"/>
    <mergeCell ref="L387:M387"/>
    <mergeCell ref="A388:B388"/>
    <mergeCell ref="L393:M393"/>
    <mergeCell ref="A394:B394"/>
    <mergeCell ref="L394:M394"/>
    <mergeCell ref="A395:H395"/>
    <mergeCell ref="L395:M395"/>
    <mergeCell ref="A396:B396"/>
    <mergeCell ref="A397:B397"/>
    <mergeCell ref="L421:M421"/>
    <mergeCell ref="C419:F421"/>
    <mergeCell ref="D65:H65"/>
    <mergeCell ref="G79:H88"/>
    <mergeCell ref="A80:B80"/>
    <mergeCell ref="A97:B97"/>
    <mergeCell ref="A70:C70"/>
    <mergeCell ref="D70:H70"/>
    <mergeCell ref="C91:H91"/>
    <mergeCell ref="A94:B94"/>
    <mergeCell ref="A96:B96"/>
    <mergeCell ref="E92:F92"/>
    <mergeCell ref="A82:B82"/>
    <mergeCell ref="A83:B83"/>
    <mergeCell ref="A84:B84"/>
    <mergeCell ref="A85:B85"/>
    <mergeCell ref="C36:H36"/>
    <mergeCell ref="G241:H248"/>
    <mergeCell ref="G250:H257"/>
    <mergeCell ref="A103:B103"/>
    <mergeCell ref="C103:H103"/>
    <mergeCell ref="A105:B105"/>
    <mergeCell ref="C105:H105"/>
    <mergeCell ref="A106:B106"/>
    <mergeCell ref="E106:F106"/>
    <mergeCell ref="G106:H106"/>
    <mergeCell ref="A107:B107"/>
    <mergeCell ref="E107:F116"/>
    <mergeCell ref="G107:H116"/>
    <mergeCell ref="A108:B108"/>
    <mergeCell ref="A133:B133"/>
    <mergeCell ref="C133:H133"/>
    <mergeCell ref="A134:B134"/>
    <mergeCell ref="E134:F134"/>
    <mergeCell ref="A117:B117"/>
    <mergeCell ref="C117:H117"/>
    <mergeCell ref="A98:B98"/>
    <mergeCell ref="F174:H174"/>
    <mergeCell ref="G191:H191"/>
    <mergeCell ref="A207:B207"/>
    <mergeCell ref="A253:B253"/>
    <mergeCell ref="B320:B321"/>
    <mergeCell ref="A239:H239"/>
    <mergeCell ref="A249:H249"/>
    <mergeCell ref="A240:H240"/>
    <mergeCell ref="A254:B254"/>
    <mergeCell ref="A256:B256"/>
    <mergeCell ref="A258:H258"/>
    <mergeCell ref="B211:B212"/>
    <mergeCell ref="A211:A212"/>
    <mergeCell ref="G193:H193"/>
    <mergeCell ref="G199:H199"/>
    <mergeCell ref="A189:B189"/>
    <mergeCell ref="A114:B114"/>
    <mergeCell ref="A115:B115"/>
    <mergeCell ref="A116:B116"/>
    <mergeCell ref="E93:F102"/>
    <mergeCell ref="G93:H102"/>
    <mergeCell ref="A101:B101"/>
    <mergeCell ref="A102:B102"/>
    <mergeCell ref="G274:H280"/>
    <mergeCell ref="G262:H269"/>
    <mergeCell ref="A109:B109"/>
    <mergeCell ref="A110:B110"/>
    <mergeCell ref="A111:B111"/>
    <mergeCell ref="A112:B112"/>
    <mergeCell ref="G188:H188"/>
    <mergeCell ref="C191:D191"/>
    <mergeCell ref="E191:F191"/>
    <mergeCell ref="A210:H210"/>
    <mergeCell ref="A468:B468"/>
    <mergeCell ref="A135:B135"/>
    <mergeCell ref="E135:F144"/>
    <mergeCell ref="G135:H144"/>
    <mergeCell ref="A136:B136"/>
    <mergeCell ref="A137:B137"/>
    <mergeCell ref="A199:B199"/>
    <mergeCell ref="D320:D321"/>
    <mergeCell ref="E320:E321"/>
    <mergeCell ref="G320:H321"/>
    <mergeCell ref="A125:B125"/>
    <mergeCell ref="A126:B126"/>
    <mergeCell ref="A127:B127"/>
    <mergeCell ref="A341:H341"/>
    <mergeCell ref="A342:B342"/>
    <mergeCell ref="G414:H421"/>
    <mergeCell ref="A384:B384"/>
    <mergeCell ref="C208:D208"/>
    <mergeCell ref="E208:F208"/>
    <mergeCell ref="G208:H208"/>
    <mergeCell ref="A373:B373"/>
    <mergeCell ref="A187:H187"/>
    <mergeCell ref="A185:E185"/>
    <mergeCell ref="F185:H185"/>
    <mergeCell ref="A186:E186"/>
    <mergeCell ref="F186:H186"/>
    <mergeCell ref="A351:H351"/>
    <mergeCell ref="A201:B201"/>
    <mergeCell ref="C55:E55"/>
    <mergeCell ref="A48:B48"/>
    <mergeCell ref="A57:H57"/>
    <mergeCell ref="A58:C58"/>
    <mergeCell ref="A59:C59"/>
    <mergeCell ref="D59:H59"/>
    <mergeCell ref="G55:H55"/>
    <mergeCell ref="G53:H53"/>
    <mergeCell ref="C54:H54"/>
    <mergeCell ref="D58:H58"/>
    <mergeCell ref="D64:H64"/>
    <mergeCell ref="C56:H56"/>
    <mergeCell ref="A51:B52"/>
    <mergeCell ref="C51:E51"/>
    <mergeCell ref="A81:B81"/>
    <mergeCell ref="A99:B99"/>
    <mergeCell ref="A92:B92"/>
    <mergeCell ref="A95:B95"/>
    <mergeCell ref="A91:B91"/>
    <mergeCell ref="A89:B89"/>
    <mergeCell ref="C89:H89"/>
    <mergeCell ref="D63:H63"/>
    <mergeCell ref="D61:H61"/>
    <mergeCell ref="A86:B86"/>
    <mergeCell ref="A87:B87"/>
    <mergeCell ref="A88:B88"/>
    <mergeCell ref="G92:H92"/>
    <mergeCell ref="A75:B75"/>
    <mergeCell ref="E78:F78"/>
    <mergeCell ref="G78:H78"/>
    <mergeCell ref="A79:B79"/>
    <mergeCell ref="E79:F88"/>
    <mergeCell ref="A558:H561"/>
    <mergeCell ref="A557:B557"/>
    <mergeCell ref="E557:F557"/>
    <mergeCell ref="C557:D557"/>
    <mergeCell ref="G557:H557"/>
    <mergeCell ref="A222:H222"/>
    <mergeCell ref="A223:B223"/>
    <mergeCell ref="G223:H229"/>
    <mergeCell ref="A228:B228"/>
    <mergeCell ref="A215:H215"/>
    <mergeCell ref="A216:B216"/>
    <mergeCell ref="G216:H221"/>
    <mergeCell ref="A221:B221"/>
    <mergeCell ref="A197:B197"/>
    <mergeCell ref="C197:D197"/>
    <mergeCell ref="E197:F197"/>
    <mergeCell ref="G197:H197"/>
    <mergeCell ref="A203:B203"/>
    <mergeCell ref="C203:D203"/>
    <mergeCell ref="A424:B424"/>
    <mergeCell ref="A267:B267"/>
    <mergeCell ref="A284:H284"/>
    <mergeCell ref="A285:B285"/>
    <mergeCell ref="G285:H287"/>
    <mergeCell ref="A367:B367"/>
    <mergeCell ref="A555:H555"/>
    <mergeCell ref="A552:H552"/>
    <mergeCell ref="A352:B352"/>
    <mergeCell ref="A377:B377"/>
    <mergeCell ref="A378:B378"/>
    <mergeCell ref="A345:B345"/>
    <mergeCell ref="G364:H370"/>
    <mergeCell ref="A191:B191"/>
    <mergeCell ref="A553:H553"/>
    <mergeCell ref="A198:H198"/>
    <mergeCell ref="A556:H556"/>
    <mergeCell ref="A554:H554"/>
    <mergeCell ref="A347:B347"/>
    <mergeCell ref="C211:C212"/>
    <mergeCell ref="E188:F188"/>
    <mergeCell ref="A188:B188"/>
    <mergeCell ref="C188:D188"/>
    <mergeCell ref="G207:H207"/>
    <mergeCell ref="A339:H339"/>
    <mergeCell ref="A265:B265"/>
    <mergeCell ref="A192:B192"/>
    <mergeCell ref="C192:D192"/>
    <mergeCell ref="E192:F192"/>
    <mergeCell ref="G192:H192"/>
    <mergeCell ref="A193:B193"/>
    <mergeCell ref="C193:D193"/>
    <mergeCell ref="E193:F193"/>
    <mergeCell ref="A259:H259"/>
    <mergeCell ref="A280:B280"/>
    <mergeCell ref="A325:B325"/>
    <mergeCell ref="G325:H328"/>
    <mergeCell ref="A214:H214"/>
    <mergeCell ref="A376:B376"/>
    <mergeCell ref="A437:B437"/>
    <mergeCell ref="A393:B393"/>
    <mergeCell ref="A390:B390"/>
    <mergeCell ref="A379:H379"/>
    <mergeCell ref="A370:B370"/>
    <mergeCell ref="A369:B369"/>
    <mergeCell ref="A119:B119"/>
    <mergeCell ref="A1:H1"/>
    <mergeCell ref="A2:H2"/>
    <mergeCell ref="A3:D3"/>
    <mergeCell ref="E3:H3"/>
    <mergeCell ref="A4:D4"/>
    <mergeCell ref="A8:D8"/>
    <mergeCell ref="E8:H8"/>
    <mergeCell ref="A9:D9"/>
    <mergeCell ref="E9:H9"/>
    <mergeCell ref="E4:H4"/>
    <mergeCell ref="A10:D10"/>
    <mergeCell ref="A5:D5"/>
    <mergeCell ref="E5:H5"/>
    <mergeCell ref="A6:D6"/>
    <mergeCell ref="E6:H6"/>
    <mergeCell ref="A7:D7"/>
    <mergeCell ref="E7:H7"/>
    <mergeCell ref="A14:B14"/>
    <mergeCell ref="A11:D11"/>
    <mergeCell ref="E11:H11"/>
    <mergeCell ref="A12:D12"/>
    <mergeCell ref="E10:F10"/>
    <mergeCell ref="G10:H10"/>
    <mergeCell ref="A20:D21"/>
    <mergeCell ref="E20:H21"/>
    <mergeCell ref="E12:H12"/>
    <mergeCell ref="A13:B13"/>
    <mergeCell ref="C13:H13"/>
    <mergeCell ref="C14:H14"/>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E24:H24"/>
    <mergeCell ref="C53:E53"/>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C30:E30"/>
    <mergeCell ref="F33:H33"/>
    <mergeCell ref="F30:H30"/>
    <mergeCell ref="A31:B31"/>
    <mergeCell ref="A30:B30"/>
    <mergeCell ref="C31:E31"/>
    <mergeCell ref="A32:B32"/>
    <mergeCell ref="C32:E32"/>
    <mergeCell ref="G51:H51"/>
    <mergeCell ref="C52:E52"/>
    <mergeCell ref="G52:H52"/>
    <mergeCell ref="A53:B54"/>
    <mergeCell ref="A47:B47"/>
    <mergeCell ref="C47:E47"/>
    <mergeCell ref="C48:E48"/>
    <mergeCell ref="C119:H119"/>
    <mergeCell ref="A35:H35"/>
    <mergeCell ref="A34:B34"/>
    <mergeCell ref="C34:E34"/>
    <mergeCell ref="A39:D39"/>
    <mergeCell ref="E39:H39"/>
    <mergeCell ref="F31:H31"/>
    <mergeCell ref="F32:H32"/>
    <mergeCell ref="A38:H38"/>
    <mergeCell ref="A68:C68"/>
    <mergeCell ref="F34:H34"/>
    <mergeCell ref="A36:B36"/>
    <mergeCell ref="A43:D43"/>
    <mergeCell ref="A44:D44"/>
    <mergeCell ref="A45:H45"/>
    <mergeCell ref="D60:H60"/>
    <mergeCell ref="A60:C60"/>
    <mergeCell ref="G48:H48"/>
    <mergeCell ref="A49:B50"/>
    <mergeCell ref="C49:E49"/>
    <mergeCell ref="D62:H62"/>
    <mergeCell ref="C50:E50"/>
    <mergeCell ref="G50:H50"/>
    <mergeCell ref="G47:H47"/>
    <mergeCell ref="G49:H49"/>
    <mergeCell ref="A41:D41"/>
    <mergeCell ref="E41:H41"/>
    <mergeCell ref="E42:H42"/>
    <mergeCell ref="E43:H43"/>
    <mergeCell ref="E44:H44"/>
    <mergeCell ref="A42:D42"/>
    <mergeCell ref="D67:H67"/>
    <mergeCell ref="A93:B93"/>
    <mergeCell ref="L244:M244"/>
    <mergeCell ref="L243:M243"/>
    <mergeCell ref="L242:M242"/>
    <mergeCell ref="L241:M241"/>
    <mergeCell ref="A100:B100"/>
    <mergeCell ref="C201:D201"/>
    <mergeCell ref="E201:F201"/>
    <mergeCell ref="G201:H201"/>
    <mergeCell ref="F180:H180"/>
    <mergeCell ref="A174:E174"/>
    <mergeCell ref="A238:H238"/>
    <mergeCell ref="E211:E212"/>
    <mergeCell ref="G211:H212"/>
    <mergeCell ref="A121:B121"/>
    <mergeCell ref="E121:F130"/>
    <mergeCell ref="A128:B128"/>
    <mergeCell ref="A129:B129"/>
    <mergeCell ref="A130:B130"/>
    <mergeCell ref="F173:H173"/>
    <mergeCell ref="A120:B120"/>
    <mergeCell ref="A180:E180"/>
    <mergeCell ref="A182:E182"/>
    <mergeCell ref="F176:H176"/>
    <mergeCell ref="A181:E181"/>
    <mergeCell ref="A149:B149"/>
    <mergeCell ref="E149:F158"/>
    <mergeCell ref="G149:H158"/>
    <mergeCell ref="A150:B150"/>
    <mergeCell ref="A151:B151"/>
    <mergeCell ref="A152:B152"/>
    <mergeCell ref="A153:B153"/>
    <mergeCell ref="A154:B154"/>
    <mergeCell ref="A155:B155"/>
    <mergeCell ref="A156:B156"/>
    <mergeCell ref="A157:B157"/>
    <mergeCell ref="A158:B158"/>
    <mergeCell ref="A131:B131"/>
    <mergeCell ref="C131:H131"/>
    <mergeCell ref="A178:E178"/>
    <mergeCell ref="F181:H181"/>
    <mergeCell ref="F182:H182"/>
    <mergeCell ref="A159:B159"/>
    <mergeCell ref="C159:H159"/>
    <mergeCell ref="A161:B161"/>
    <mergeCell ref="C161:H161"/>
    <mergeCell ref="A162:B162"/>
    <mergeCell ref="G162:H162"/>
    <mergeCell ref="E163:F172"/>
    <mergeCell ref="A138:B138"/>
    <mergeCell ref="A139:B139"/>
    <mergeCell ref="A140:B140"/>
    <mergeCell ref="A141:B141"/>
    <mergeCell ref="A15:B15"/>
    <mergeCell ref="C15:H15"/>
    <mergeCell ref="A37:B37"/>
    <mergeCell ref="C37:H37"/>
    <mergeCell ref="B541:H541"/>
    <mergeCell ref="A46:B46"/>
    <mergeCell ref="C46:H46"/>
    <mergeCell ref="B539:H539"/>
    <mergeCell ref="G121:H130"/>
    <mergeCell ref="A122:B122"/>
    <mergeCell ref="A123:B123"/>
    <mergeCell ref="A124:B124"/>
    <mergeCell ref="F175:H175"/>
    <mergeCell ref="A175:E175"/>
    <mergeCell ref="D211:D212"/>
    <mergeCell ref="A177:E177"/>
    <mergeCell ref="A241:B241"/>
    <mergeCell ref="A242:B242"/>
    <mergeCell ref="A243:B243"/>
    <mergeCell ref="F177:H177"/>
    <mergeCell ref="F183:H183"/>
    <mergeCell ref="A350:B350"/>
    <mergeCell ref="A353:B353"/>
    <mergeCell ref="A354:B354"/>
    <mergeCell ref="A246:B246"/>
    <mergeCell ref="A247:B247"/>
    <mergeCell ref="A248:B248"/>
    <mergeCell ref="A283:H283"/>
    <mergeCell ref="E120:F120"/>
    <mergeCell ref="G120:H120"/>
    <mergeCell ref="A179:E179"/>
    <mergeCell ref="F179:H179"/>
    <mergeCell ref="L369:M369"/>
    <mergeCell ref="L279:M279"/>
    <mergeCell ref="L256:M256"/>
    <mergeCell ref="A257:B257"/>
    <mergeCell ref="L257:M257"/>
    <mergeCell ref="A245:B245"/>
    <mergeCell ref="L267:M267"/>
    <mergeCell ref="L268:M268"/>
    <mergeCell ref="A269:B269"/>
    <mergeCell ref="L269:M269"/>
    <mergeCell ref="A319:H319"/>
    <mergeCell ref="L280:M280"/>
    <mergeCell ref="L351:M351"/>
    <mergeCell ref="A320:A321"/>
    <mergeCell ref="A264:B264"/>
    <mergeCell ref="L350:M350"/>
    <mergeCell ref="L264:M264"/>
    <mergeCell ref="L265:M265"/>
    <mergeCell ref="L266:M266"/>
    <mergeCell ref="A340:H340"/>
    <mergeCell ref="L347:M347"/>
    <mergeCell ref="A318:B318"/>
    <mergeCell ref="A282:H282"/>
    <mergeCell ref="A289:H289"/>
    <mergeCell ref="A290:H290"/>
    <mergeCell ref="A291:B291"/>
    <mergeCell ref="L262:M262"/>
    <mergeCell ref="L263:M263"/>
    <mergeCell ref="L254:M254"/>
    <mergeCell ref="A255:B255"/>
    <mergeCell ref="L245:M245"/>
    <mergeCell ref="L246:M246"/>
    <mergeCell ref="A366:B366"/>
    <mergeCell ref="L366:M366"/>
    <mergeCell ref="A343:B343"/>
    <mergeCell ref="L343:M343"/>
    <mergeCell ref="A344:B344"/>
    <mergeCell ref="L344:M344"/>
    <mergeCell ref="A356:H356"/>
    <mergeCell ref="A357:B357"/>
    <mergeCell ref="A358:B358"/>
    <mergeCell ref="C358:F358"/>
    <mergeCell ref="L325:M325"/>
    <mergeCell ref="L367:M367"/>
    <mergeCell ref="A368:B368"/>
    <mergeCell ref="A365:B365"/>
    <mergeCell ref="L365:M365"/>
    <mergeCell ref="L368:M368"/>
    <mergeCell ref="C365:F367"/>
    <mergeCell ref="L342:M342"/>
    <mergeCell ref="L326:M326"/>
    <mergeCell ref="A381:B381"/>
    <mergeCell ref="A382:B382"/>
    <mergeCell ref="A383:B383"/>
    <mergeCell ref="L383:M383"/>
    <mergeCell ref="L372:M372"/>
    <mergeCell ref="G352:H355"/>
    <mergeCell ref="G357:H360"/>
    <mergeCell ref="A363:H363"/>
    <mergeCell ref="A364:B364"/>
    <mergeCell ref="A331:B331"/>
    <mergeCell ref="C331:F331"/>
    <mergeCell ref="A332:B332"/>
    <mergeCell ref="A333:B333"/>
    <mergeCell ref="L392:M392"/>
    <mergeCell ref="A326:B326"/>
    <mergeCell ref="L356:M356"/>
    <mergeCell ref="A348:B348"/>
    <mergeCell ref="L348:M348"/>
    <mergeCell ref="A349:B349"/>
    <mergeCell ref="L349:M349"/>
    <mergeCell ref="L385:M385"/>
    <mergeCell ref="A386:B386"/>
    <mergeCell ref="L386:M386"/>
    <mergeCell ref="L370:M370"/>
    <mergeCell ref="A361:H361"/>
    <mergeCell ref="A359:B359"/>
    <mergeCell ref="A389:B389"/>
    <mergeCell ref="L345:M345"/>
    <mergeCell ref="G342:H345"/>
    <mergeCell ref="A362:H362"/>
    <mergeCell ref="L364:M364"/>
    <mergeCell ref="L216:M216"/>
    <mergeCell ref="A217:B217"/>
    <mergeCell ref="L217:M217"/>
    <mergeCell ref="L417:M417"/>
    <mergeCell ref="L446:M446"/>
    <mergeCell ref="A447:B447"/>
    <mergeCell ref="L447:M447"/>
    <mergeCell ref="G450:H457"/>
    <mergeCell ref="L455:M455"/>
    <mergeCell ref="A456:B456"/>
    <mergeCell ref="L456:M456"/>
    <mergeCell ref="L418:M418"/>
    <mergeCell ref="L435:M435"/>
    <mergeCell ref="A436:B436"/>
    <mergeCell ref="L436:M436"/>
    <mergeCell ref="A419:B419"/>
    <mergeCell ref="L419:M419"/>
    <mergeCell ref="A431:H431"/>
    <mergeCell ref="L431:M431"/>
    <mergeCell ref="A432:B432"/>
    <mergeCell ref="A422:H422"/>
    <mergeCell ref="A423:B423"/>
    <mergeCell ref="G423:H430"/>
    <mergeCell ref="L423:M423"/>
    <mergeCell ref="L424:M424"/>
    <mergeCell ref="A425:B425"/>
    <mergeCell ref="L425:M425"/>
    <mergeCell ref="L379:M379"/>
    <mergeCell ref="A398:B398"/>
    <mergeCell ref="G372:H378"/>
    <mergeCell ref="G380:H386"/>
    <mergeCell ref="L378:M378"/>
    <mergeCell ref="E202:F202"/>
    <mergeCell ref="L457:M457"/>
    <mergeCell ref="A452:B452"/>
    <mergeCell ref="A453:B453"/>
    <mergeCell ref="L453:M453"/>
    <mergeCell ref="A454:B454"/>
    <mergeCell ref="L454:M454"/>
    <mergeCell ref="A455:B455"/>
    <mergeCell ref="L437:M437"/>
    <mergeCell ref="A438:B438"/>
    <mergeCell ref="L438:M438"/>
    <mergeCell ref="A449:H449"/>
    <mergeCell ref="L449:M449"/>
    <mergeCell ref="A450:B450"/>
    <mergeCell ref="A439:B439"/>
    <mergeCell ref="L439:M439"/>
    <mergeCell ref="A441:B441"/>
    <mergeCell ref="G441:H448"/>
    <mergeCell ref="A442:B442"/>
    <mergeCell ref="A443:B443"/>
    <mergeCell ref="A444:B444"/>
    <mergeCell ref="L444:M444"/>
    <mergeCell ref="A445:B445"/>
    <mergeCell ref="L445:M445"/>
    <mergeCell ref="L218:M218"/>
    <mergeCell ref="A219:B219"/>
    <mergeCell ref="A209:H209"/>
    <mergeCell ref="G291:H292"/>
    <mergeCell ref="A292:B292"/>
    <mergeCell ref="A205:B205"/>
    <mergeCell ref="C205:D205"/>
    <mergeCell ref="L221:M221"/>
    <mergeCell ref="G205:H205"/>
    <mergeCell ref="A435:B435"/>
    <mergeCell ref="A200:B200"/>
    <mergeCell ref="C200:D200"/>
    <mergeCell ref="E200:F200"/>
    <mergeCell ref="G200:H200"/>
    <mergeCell ref="A324:H324"/>
    <mergeCell ref="A418:B418"/>
    <mergeCell ref="A413:H413"/>
    <mergeCell ref="A414:B414"/>
    <mergeCell ref="C405:F405"/>
    <mergeCell ref="A279:B279"/>
    <mergeCell ref="A274:B274"/>
    <mergeCell ref="A266:B266"/>
    <mergeCell ref="A268:B268"/>
    <mergeCell ref="A322:H322"/>
    <mergeCell ref="A323:H323"/>
    <mergeCell ref="A250:B250"/>
    <mergeCell ref="A251:B251"/>
    <mergeCell ref="E203:F203"/>
    <mergeCell ref="G203:H203"/>
    <mergeCell ref="A421:B421"/>
    <mergeCell ref="A360:B360"/>
    <mergeCell ref="G347:H350"/>
    <mergeCell ref="A433:B433"/>
    <mergeCell ref="A434:B434"/>
    <mergeCell ref="A301:H301"/>
    <mergeCell ref="A302:B302"/>
    <mergeCell ref="A428:B428"/>
    <mergeCell ref="G231:H237"/>
    <mergeCell ref="A224:B224"/>
    <mergeCell ref="C202:D202"/>
    <mergeCell ref="L229:M229"/>
    <mergeCell ref="L309:M309"/>
    <mergeCell ref="L310:M310"/>
    <mergeCell ref="L231:M231"/>
    <mergeCell ref="A237:B237"/>
    <mergeCell ref="L237:M237"/>
    <mergeCell ref="L223:M223"/>
    <mergeCell ref="A337:B337"/>
    <mergeCell ref="A338:B338"/>
    <mergeCell ref="A327:B327"/>
    <mergeCell ref="L327:M327"/>
    <mergeCell ref="A328:B328"/>
    <mergeCell ref="L328:M328"/>
    <mergeCell ref="A329:H329"/>
    <mergeCell ref="L329:M329"/>
    <mergeCell ref="A330:B330"/>
    <mergeCell ref="G330:H333"/>
    <mergeCell ref="L291:M291"/>
    <mergeCell ref="L292:M292"/>
    <mergeCell ref="L224:M224"/>
    <mergeCell ref="L274:M274"/>
    <mergeCell ref="A275:B275"/>
    <mergeCell ref="L275:M275"/>
    <mergeCell ref="A276:B276"/>
    <mergeCell ref="L276:M276"/>
    <mergeCell ref="A277:B277"/>
    <mergeCell ref="L277:M277"/>
    <mergeCell ref="A278:B278"/>
    <mergeCell ref="L278:M278"/>
    <mergeCell ref="L236:M236"/>
    <mergeCell ref="A299:H299"/>
    <mergeCell ref="A300:H300"/>
    <mergeCell ref="L302:M302"/>
    <mergeCell ref="A303:B303"/>
    <mergeCell ref="L303:M303"/>
    <mergeCell ref="A304:B304"/>
    <mergeCell ref="L304:M304"/>
    <mergeCell ref="A305:B305"/>
    <mergeCell ref="L305:M305"/>
    <mergeCell ref="A306:B306"/>
    <mergeCell ref="L306:M306"/>
    <mergeCell ref="A308:B308"/>
    <mergeCell ref="L308:M308"/>
    <mergeCell ref="G302:H306"/>
    <mergeCell ref="A307:H307"/>
    <mergeCell ref="G308:H312"/>
    <mergeCell ref="L314:M314"/>
    <mergeCell ref="L426:M426"/>
    <mergeCell ref="A427:B427"/>
    <mergeCell ref="L427:M427"/>
    <mergeCell ref="A311:B311"/>
    <mergeCell ref="L311:M311"/>
    <mergeCell ref="A312:B312"/>
    <mergeCell ref="L312:M312"/>
    <mergeCell ref="C320:C321"/>
    <mergeCell ref="A355:B355"/>
    <mergeCell ref="C353:F353"/>
    <mergeCell ref="A346:H346"/>
    <mergeCell ref="A371:H371"/>
    <mergeCell ref="A372:B372"/>
    <mergeCell ref="L318:M318"/>
    <mergeCell ref="A391:B391"/>
    <mergeCell ref="L391:M391"/>
    <mergeCell ref="A392:B392"/>
    <mergeCell ref="A375:B375"/>
    <mergeCell ref="A416:B416"/>
    <mergeCell ref="L416:M416"/>
    <mergeCell ref="A417:B417"/>
    <mergeCell ref="A497:B497"/>
    <mergeCell ref="A498:B498"/>
    <mergeCell ref="C502:F502"/>
    <mergeCell ref="A507:H507"/>
    <mergeCell ref="L520:M520"/>
    <mergeCell ref="G516:H520"/>
    <mergeCell ref="A516:B516"/>
    <mergeCell ref="L516:M516"/>
    <mergeCell ref="A517:B517"/>
    <mergeCell ref="L517:M517"/>
    <mergeCell ref="A518:B518"/>
    <mergeCell ref="A457:B457"/>
    <mergeCell ref="A451:B451"/>
    <mergeCell ref="C451:F451"/>
    <mergeCell ref="A426:B426"/>
    <mergeCell ref="A408:B408"/>
    <mergeCell ref="A446:B446"/>
    <mergeCell ref="A512:B512"/>
    <mergeCell ref="L512:M512"/>
    <mergeCell ref="L401:M401"/>
    <mergeCell ref="A402:B402"/>
    <mergeCell ref="A401:B401"/>
    <mergeCell ref="L376:M376"/>
    <mergeCell ref="L377:M377"/>
    <mergeCell ref="L468:M468"/>
    <mergeCell ref="L399:M399"/>
    <mergeCell ref="A400:B400"/>
    <mergeCell ref="L400:M400"/>
    <mergeCell ref="D69:H69"/>
    <mergeCell ref="C75:H75"/>
    <mergeCell ref="A77:B77"/>
    <mergeCell ref="A521:H521"/>
    <mergeCell ref="L496:M496"/>
    <mergeCell ref="L497:M497"/>
    <mergeCell ref="L498:M498"/>
    <mergeCell ref="L499:M499"/>
    <mergeCell ref="L500:M500"/>
    <mergeCell ref="A501:H501"/>
    <mergeCell ref="A502:B502"/>
    <mergeCell ref="G502:H506"/>
    <mergeCell ref="L502:M502"/>
    <mergeCell ref="A503:B503"/>
    <mergeCell ref="L503:M503"/>
    <mergeCell ref="A504:B504"/>
    <mergeCell ref="L504:M504"/>
    <mergeCell ref="A505:B505"/>
    <mergeCell ref="L505:M505"/>
    <mergeCell ref="A334:H334"/>
    <mergeCell ref="L334:M334"/>
    <mergeCell ref="A335:B335"/>
    <mergeCell ref="G335:H338"/>
    <mergeCell ref="A336:B336"/>
    <mergeCell ref="C336:F336"/>
    <mergeCell ref="A315:B315"/>
    <mergeCell ref="L315:M315"/>
    <mergeCell ref="A316:B316"/>
    <mergeCell ref="L316:M316"/>
    <mergeCell ref="A317:B317"/>
    <mergeCell ref="L317:M317"/>
    <mergeCell ref="L508:M508"/>
    <mergeCell ref="A530:B530"/>
    <mergeCell ref="L530:M530"/>
    <mergeCell ref="A531:B531"/>
    <mergeCell ref="L531:M531"/>
    <mergeCell ref="L518:M518"/>
    <mergeCell ref="A519:B519"/>
    <mergeCell ref="L519:M519"/>
    <mergeCell ref="A499:B499"/>
    <mergeCell ref="A500:B500"/>
    <mergeCell ref="A508:B508"/>
    <mergeCell ref="G508:H512"/>
    <mergeCell ref="A522:B522"/>
    <mergeCell ref="G522:H526"/>
    <mergeCell ref="L522:M522"/>
    <mergeCell ref="A523:B523"/>
    <mergeCell ref="L523:M523"/>
    <mergeCell ref="A524:B524"/>
    <mergeCell ref="L524:M524"/>
    <mergeCell ref="A525:B525"/>
    <mergeCell ref="L525:M525"/>
    <mergeCell ref="A526:B526"/>
    <mergeCell ref="L526:M526"/>
    <mergeCell ref="C523:F524"/>
    <mergeCell ref="G496:H500"/>
    <mergeCell ref="A510:B510"/>
    <mergeCell ref="L510:M510"/>
    <mergeCell ref="L532:M532"/>
    <mergeCell ref="B543:H543"/>
    <mergeCell ref="D66:H66"/>
    <mergeCell ref="A145:B145"/>
    <mergeCell ref="C145:H145"/>
    <mergeCell ref="A147:B147"/>
    <mergeCell ref="C147:H147"/>
    <mergeCell ref="A148:B148"/>
    <mergeCell ref="E148:F148"/>
    <mergeCell ref="G148:H148"/>
    <mergeCell ref="A69:C69"/>
    <mergeCell ref="D68:H68"/>
    <mergeCell ref="A71:C71"/>
    <mergeCell ref="D71:H71"/>
    <mergeCell ref="A74:C74"/>
    <mergeCell ref="D74:H74"/>
    <mergeCell ref="A72:C72"/>
    <mergeCell ref="D72:H72"/>
    <mergeCell ref="A73:C73"/>
    <mergeCell ref="D73:H73"/>
    <mergeCell ref="L219:M219"/>
    <mergeCell ref="L220:M220"/>
    <mergeCell ref="L228:M228"/>
    <mergeCell ref="A229:B229"/>
    <mergeCell ref="C77:H77"/>
    <mergeCell ref="A78:B78"/>
    <mergeCell ref="A172:B172"/>
    <mergeCell ref="A61:C67"/>
    <mergeCell ref="A195:B195"/>
    <mergeCell ref="C195:D195"/>
    <mergeCell ref="E162:F162"/>
    <mergeCell ref="G189:H189"/>
    <mergeCell ref="B545:H545"/>
    <mergeCell ref="A196:B196"/>
    <mergeCell ref="C196:D196"/>
    <mergeCell ref="E196:F196"/>
    <mergeCell ref="G196:H196"/>
    <mergeCell ref="A206:B206"/>
    <mergeCell ref="C206:D206"/>
    <mergeCell ref="E206:F206"/>
    <mergeCell ref="G206:H206"/>
    <mergeCell ref="A527:H527"/>
    <mergeCell ref="A528:B528"/>
    <mergeCell ref="G528:H532"/>
    <mergeCell ref="A520:B520"/>
    <mergeCell ref="A514:H514"/>
    <mergeCell ref="A515:H515"/>
    <mergeCell ref="A313:H313"/>
    <mergeCell ref="A314:B314"/>
    <mergeCell ref="G314:H318"/>
    <mergeCell ref="A310:B310"/>
    <mergeCell ref="A309:B309"/>
    <mergeCell ref="A230:H230"/>
    <mergeCell ref="A213:H213"/>
    <mergeCell ref="A532:B532"/>
    <mergeCell ref="A509:B509"/>
    <mergeCell ref="A271:H271"/>
    <mergeCell ref="A272:H272"/>
    <mergeCell ref="A273:H273"/>
    <mergeCell ref="C207:D207"/>
    <mergeCell ref="A202:B202"/>
    <mergeCell ref="A244:B244"/>
    <mergeCell ref="A281:H281"/>
    <mergeCell ref="A236:B236"/>
    <mergeCell ref="A263:B263"/>
    <mergeCell ref="A231:B231"/>
    <mergeCell ref="A288:H288"/>
    <mergeCell ref="A235:B235"/>
    <mergeCell ref="A270:H270"/>
    <mergeCell ref="A234:B234"/>
    <mergeCell ref="A252:B252"/>
    <mergeCell ref="A260:H260"/>
    <mergeCell ref="A261:H261"/>
    <mergeCell ref="E189:F189"/>
    <mergeCell ref="A194:B194"/>
    <mergeCell ref="C194:D194"/>
    <mergeCell ref="E194:F194"/>
    <mergeCell ref="G194:H194"/>
    <mergeCell ref="A204:B204"/>
    <mergeCell ref="C204:D204"/>
    <mergeCell ref="A220:B220"/>
    <mergeCell ref="C199:D199"/>
    <mergeCell ref="A190:B190"/>
    <mergeCell ref="C190:D190"/>
    <mergeCell ref="E190:F190"/>
    <mergeCell ref="G190:H190"/>
    <mergeCell ref="E195:F195"/>
    <mergeCell ref="G195:H195"/>
    <mergeCell ref="G202:H202"/>
    <mergeCell ref="E204:F204"/>
    <mergeCell ref="G204:H204"/>
    <mergeCell ref="A218:B218"/>
    <mergeCell ref="C189:D189"/>
    <mergeCell ref="E207:F207"/>
    <mergeCell ref="E199:F199"/>
    <mergeCell ref="E205:F205"/>
    <mergeCell ref="B548:H548"/>
    <mergeCell ref="B547:H547"/>
    <mergeCell ref="A225:B225"/>
    <mergeCell ref="L225:M225"/>
    <mergeCell ref="A226:B226"/>
    <mergeCell ref="L226:M226"/>
    <mergeCell ref="A227:B227"/>
    <mergeCell ref="L227:M227"/>
    <mergeCell ref="A232:B232"/>
    <mergeCell ref="L232:M232"/>
    <mergeCell ref="A233:B233"/>
    <mergeCell ref="L233:M233"/>
    <mergeCell ref="A296:H296"/>
    <mergeCell ref="A297:B297"/>
    <mergeCell ref="G297:H298"/>
    <mergeCell ref="L297:M297"/>
    <mergeCell ref="A298:B298"/>
    <mergeCell ref="L298:M298"/>
    <mergeCell ref="A293:H293"/>
    <mergeCell ref="A294:B294"/>
    <mergeCell ref="G294:H295"/>
    <mergeCell ref="L294:M294"/>
    <mergeCell ref="A295:B295"/>
    <mergeCell ref="L295:M295"/>
    <mergeCell ref="L234:M234"/>
    <mergeCell ref="L235:M235"/>
    <mergeCell ref="L255:M255"/>
    <mergeCell ref="L250:M250"/>
    <mergeCell ref="L251:M251"/>
    <mergeCell ref="L252:M252"/>
    <mergeCell ref="L253:M253"/>
    <mergeCell ref="A262:B262"/>
  </mergeCells>
  <hyperlinks>
    <hyperlink ref="C37"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6" manualBreakCount="6">
    <brk id="50" max="16383" man="1"/>
    <brk id="102" max="16383" man="1"/>
    <brk id="549" max="7" man="1"/>
    <brk id="561" max="16383" man="1"/>
    <brk id="602" max="16383" man="1"/>
    <brk id="64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46" t="s">
        <v>105</v>
      </c>
      <c r="C3" s="246"/>
      <c r="D3" s="246"/>
      <c r="E3" s="246"/>
      <c r="F3" s="246"/>
      <c r="G3" s="246"/>
      <c r="H3" s="246"/>
    </row>
    <row r="4" spans="1:9" x14ac:dyDescent="0.3">
      <c r="A4" s="2"/>
      <c r="B4" s="3" t="s">
        <v>106</v>
      </c>
      <c r="C4" s="3" t="s">
        <v>107</v>
      </c>
      <c r="D4" s="3" t="s">
        <v>69</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2025-07-11T13:42:47Z</cp:lastPrinted>
  <dcterms:created xsi:type="dcterms:W3CDTF">2019-07-16T09:29:46Z</dcterms:created>
  <dcterms:modified xsi:type="dcterms:W3CDTF">2025-07-11T13:50:47Z</dcterms:modified>
</cp:coreProperties>
</file>