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VSJC-06\Downloads\APF Dump\"/>
    </mc:Choice>
  </mc:AlternateContent>
  <bookViews>
    <workbookView xWindow="0" yWindow="0" windowWidth="20490" windowHeight="702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Report!$A$1:$H$594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4" i="1" l="1"/>
  <c r="C140" i="1"/>
  <c r="C126" i="1"/>
  <c r="C114" i="1"/>
  <c r="C113" i="1"/>
  <c r="C112" i="1"/>
  <c r="C153" i="1"/>
  <c r="C139" i="1"/>
  <c r="C125" i="1"/>
  <c r="C111" i="1"/>
  <c r="C86" i="1"/>
  <c r="C85" i="1"/>
  <c r="C83" i="1"/>
  <c r="C97" i="1" l="1"/>
  <c r="C84" i="1" l="1"/>
  <c r="C98" i="1" l="1"/>
  <c r="C99" i="1" s="1"/>
  <c r="C100" i="1" s="1"/>
  <c r="G414" i="1" l="1"/>
  <c r="G407" i="1"/>
  <c r="G400" i="1"/>
  <c r="G393" i="1"/>
  <c r="G386" i="1"/>
  <c r="G348" i="1"/>
  <c r="G376" i="1"/>
  <c r="G369" i="1"/>
  <c r="G362" i="1"/>
  <c r="G355" i="1"/>
  <c r="D418" i="1"/>
  <c r="F418" i="1" s="1"/>
  <c r="D417" i="1"/>
  <c r="F417" i="1" s="1"/>
  <c r="D416" i="1"/>
  <c r="F416" i="1" s="1"/>
  <c r="D415" i="1"/>
  <c r="F415" i="1" s="1"/>
  <c r="A415" i="1"/>
  <c r="A416" i="1" s="1"/>
  <c r="A417" i="1" s="1"/>
  <c r="A418" i="1" s="1"/>
  <c r="D414" i="1"/>
  <c r="F414" i="1" s="1"/>
  <c r="D411" i="1"/>
  <c r="F411" i="1" s="1"/>
  <c r="D410" i="1"/>
  <c r="F410" i="1" s="1"/>
  <c r="D409" i="1"/>
  <c r="F409" i="1" s="1"/>
  <c r="D408" i="1"/>
  <c r="F408" i="1" s="1"/>
  <c r="A408" i="1"/>
  <c r="A409" i="1" s="1"/>
  <c r="A410" i="1" s="1"/>
  <c r="A411" i="1" s="1"/>
  <c r="A412" i="1" s="1"/>
  <c r="D407" i="1"/>
  <c r="F407" i="1" s="1"/>
  <c r="D405" i="1"/>
  <c r="F405" i="1" s="1"/>
  <c r="D404" i="1"/>
  <c r="F404" i="1" s="1"/>
  <c r="D403" i="1"/>
  <c r="F403" i="1" s="1"/>
  <c r="D402" i="1"/>
  <c r="F402" i="1" s="1"/>
  <c r="D401" i="1"/>
  <c r="F401" i="1" s="1"/>
  <c r="A401" i="1"/>
  <c r="A402" i="1" s="1"/>
  <c r="A403" i="1" s="1"/>
  <c r="A404" i="1" s="1"/>
  <c r="D400" i="1"/>
  <c r="F400" i="1" s="1"/>
  <c r="D397" i="1"/>
  <c r="F397" i="1" s="1"/>
  <c r="D396" i="1"/>
  <c r="F396" i="1" s="1"/>
  <c r="D395" i="1"/>
  <c r="F395" i="1" s="1"/>
  <c r="D394" i="1"/>
  <c r="F394" i="1" s="1"/>
  <c r="A394" i="1"/>
  <c r="A395" i="1" s="1"/>
  <c r="A396" i="1" s="1"/>
  <c r="A397" i="1" s="1"/>
  <c r="D393" i="1"/>
  <c r="F393" i="1" s="1"/>
  <c r="D391" i="1"/>
  <c r="F391" i="1" s="1"/>
  <c r="D390" i="1"/>
  <c r="F390" i="1" s="1"/>
  <c r="D389" i="1"/>
  <c r="F389" i="1" s="1"/>
  <c r="D388" i="1"/>
  <c r="F388" i="1" s="1"/>
  <c r="D387" i="1"/>
  <c r="F387" i="1" s="1"/>
  <c r="A387" i="1"/>
  <c r="A388" i="1" s="1"/>
  <c r="A389" i="1" s="1"/>
  <c r="A390" i="1" s="1"/>
  <c r="D386" i="1"/>
  <c r="F386" i="1" s="1"/>
  <c r="D380" i="1"/>
  <c r="F380" i="1" s="1"/>
  <c r="D379" i="1"/>
  <c r="F379" i="1" s="1"/>
  <c r="D378" i="1"/>
  <c r="F378" i="1" s="1"/>
  <c r="D377" i="1"/>
  <c r="F377" i="1" s="1"/>
  <c r="A377" i="1"/>
  <c r="A378" i="1" s="1"/>
  <c r="A379" i="1" s="1"/>
  <c r="A380" i="1" s="1"/>
  <c r="D376" i="1"/>
  <c r="F376" i="1" s="1"/>
  <c r="D373" i="1"/>
  <c r="F373" i="1" s="1"/>
  <c r="D372" i="1"/>
  <c r="F372" i="1" s="1"/>
  <c r="D371" i="1"/>
  <c r="F371" i="1" s="1"/>
  <c r="D370" i="1"/>
  <c r="F370" i="1" s="1"/>
  <c r="A370" i="1"/>
  <c r="A371" i="1" s="1"/>
  <c r="A372" i="1" s="1"/>
  <c r="A373" i="1" s="1"/>
  <c r="A374" i="1" s="1"/>
  <c r="D369" i="1"/>
  <c r="F369" i="1" s="1"/>
  <c r="D362" i="1"/>
  <c r="F362" i="1" s="1"/>
  <c r="D367" i="1"/>
  <c r="F367" i="1" s="1"/>
  <c r="D366" i="1"/>
  <c r="F366" i="1" s="1"/>
  <c r="D365" i="1"/>
  <c r="F365" i="1" s="1"/>
  <c r="D364" i="1"/>
  <c r="F364" i="1" s="1"/>
  <c r="D363" i="1"/>
  <c r="F363" i="1" s="1"/>
  <c r="A363" i="1"/>
  <c r="A364" i="1" s="1"/>
  <c r="A365" i="1" s="1"/>
  <c r="A366" i="1" s="1"/>
  <c r="D359" i="1"/>
  <c r="F359" i="1" s="1"/>
  <c r="D358" i="1"/>
  <c r="F358" i="1" s="1"/>
  <c r="D357" i="1"/>
  <c r="F357" i="1" s="1"/>
  <c r="D356" i="1"/>
  <c r="F356" i="1" s="1"/>
  <c r="A356" i="1"/>
  <c r="A357" i="1" s="1"/>
  <c r="A358" i="1" s="1"/>
  <c r="A359" i="1" s="1"/>
  <c r="D355" i="1"/>
  <c r="F355" i="1" s="1"/>
  <c r="D353" i="1"/>
  <c r="F353" i="1" s="1"/>
  <c r="D352" i="1"/>
  <c r="F352" i="1" s="1"/>
  <c r="D350" i="1"/>
  <c r="F350" i="1" s="1"/>
  <c r="D349" i="1"/>
  <c r="F349" i="1" s="1"/>
  <c r="D351" i="1"/>
  <c r="F351" i="1" s="1"/>
  <c r="D348" i="1"/>
  <c r="A349" i="1"/>
  <c r="A350" i="1" s="1"/>
  <c r="A351" i="1" s="1"/>
  <c r="A352" i="1" s="1"/>
  <c r="A353" i="1" s="1"/>
  <c r="D224" i="1"/>
  <c r="F224" i="1" s="1"/>
  <c r="D225" i="1"/>
  <c r="F225" i="1" s="1"/>
  <c r="D226" i="1"/>
  <c r="F226" i="1" s="1"/>
  <c r="D227" i="1"/>
  <c r="F227" i="1" s="1"/>
  <c r="D228" i="1"/>
  <c r="F228" i="1" s="1"/>
  <c r="D229" i="1"/>
  <c r="F229" i="1" s="1"/>
  <c r="D230" i="1"/>
  <c r="F230" i="1" s="1"/>
  <c r="D223" i="1"/>
  <c r="F223" i="1" s="1"/>
  <c r="D232" i="1"/>
  <c r="F232" i="1" s="1"/>
  <c r="D231" i="1"/>
  <c r="F231" i="1" s="1"/>
  <c r="A224" i="1"/>
  <c r="A225" i="1" s="1"/>
  <c r="A226" i="1" s="1"/>
  <c r="A227" i="1" s="1"/>
  <c r="A228" i="1" s="1"/>
  <c r="A229" i="1" s="1"/>
  <c r="A230" i="1" s="1"/>
  <c r="A231" i="1" s="1"/>
  <c r="A232" i="1" s="1"/>
  <c r="G223" i="1"/>
  <c r="J158" i="1"/>
  <c r="J157" i="1"/>
  <c r="J156" i="1"/>
  <c r="J155" i="1"/>
  <c r="J144" i="1"/>
  <c r="J143" i="1"/>
  <c r="J142" i="1"/>
  <c r="J141" i="1"/>
  <c r="C61" i="1"/>
  <c r="G60" i="1"/>
  <c r="C60" i="1"/>
  <c r="H134" i="1"/>
  <c r="H148" i="1"/>
  <c r="G182" i="1" l="1"/>
  <c r="C190" i="1"/>
  <c r="G191" i="1"/>
  <c r="F348" i="1"/>
  <c r="G190" i="1" s="1"/>
  <c r="E190" i="1"/>
  <c r="E182" i="1"/>
  <c r="E191" i="1"/>
  <c r="C182" i="1"/>
  <c r="C191" i="1"/>
  <c r="A398" i="1"/>
  <c r="A405" i="1"/>
  <c r="A391" i="1"/>
  <c r="A367" i="1"/>
  <c r="A360" i="1"/>
  <c r="J152" i="1"/>
  <c r="J150" i="1"/>
  <c r="D160" i="1"/>
  <c r="J147" i="1"/>
  <c r="J149" i="1" s="1"/>
  <c r="D156" i="1"/>
  <c r="D155" i="1"/>
  <c r="J151" i="1"/>
  <c r="D159" i="1"/>
  <c r="D158" i="1"/>
  <c r="D154" i="1"/>
  <c r="J153" i="1"/>
  <c r="D157" i="1"/>
  <c r="D153" i="1"/>
  <c r="J138" i="1"/>
  <c r="J136" i="1"/>
  <c r="D142" i="1"/>
  <c r="D146" i="1"/>
  <c r="D145" i="1"/>
  <c r="D141" i="1"/>
  <c r="J137" i="1"/>
  <c r="D140" i="1"/>
  <c r="J139" i="1"/>
  <c r="J133" i="1"/>
  <c r="J135" i="1" s="1"/>
  <c r="D144" i="1"/>
  <c r="D143" i="1"/>
  <c r="D139" i="1"/>
  <c r="J130" i="1"/>
  <c r="J129" i="1"/>
  <c r="J128" i="1"/>
  <c r="J127" i="1"/>
  <c r="H120" i="1"/>
  <c r="J154" i="1" l="1"/>
  <c r="D151" i="1"/>
  <c r="J140" i="1"/>
  <c r="C137" i="1"/>
  <c r="D137" i="1" s="1"/>
  <c r="J124" i="1"/>
  <c r="C123" i="1" s="1"/>
  <c r="D123" i="1" s="1"/>
  <c r="J122" i="1"/>
  <c r="D132" i="1"/>
  <c r="D130" i="1"/>
  <c r="D128" i="1"/>
  <c r="D126" i="1"/>
  <c r="J125" i="1"/>
  <c r="J126" i="1" s="1"/>
  <c r="J131" i="1" s="1"/>
  <c r="D131" i="1"/>
  <c r="D129" i="1"/>
  <c r="D127" i="1"/>
  <c r="D125" i="1"/>
  <c r="J123" i="1"/>
  <c r="J119" i="1"/>
  <c r="J121" i="1" s="1"/>
  <c r="J165" i="1"/>
  <c r="C187" i="1"/>
  <c r="C186" i="1"/>
  <c r="E186" i="1"/>
  <c r="E187" i="1"/>
  <c r="F279" i="1"/>
  <c r="F278" i="1"/>
  <c r="F268" i="1"/>
  <c r="F267" i="1"/>
  <c r="F282" i="1"/>
  <c r="F281" i="1"/>
  <c r="F280" i="1"/>
  <c r="F277" i="1"/>
  <c r="F276" i="1"/>
  <c r="F275" i="1"/>
  <c r="G273" i="1"/>
  <c r="F273" i="1"/>
  <c r="F271" i="1"/>
  <c r="F270" i="1"/>
  <c r="F269" i="1"/>
  <c r="F266" i="1"/>
  <c r="F265" i="1"/>
  <c r="F264" i="1"/>
  <c r="F263" i="1"/>
  <c r="G262" i="1"/>
  <c r="F262" i="1"/>
  <c r="F254" i="1"/>
  <c r="F253" i="1"/>
  <c r="F245" i="1"/>
  <c r="F244" i="1"/>
  <c r="F257" i="1"/>
  <c r="F256" i="1"/>
  <c r="F255" i="1"/>
  <c r="F252" i="1"/>
  <c r="G250" i="1"/>
  <c r="F250" i="1"/>
  <c r="F248" i="1"/>
  <c r="F247" i="1"/>
  <c r="F246" i="1"/>
  <c r="F243" i="1"/>
  <c r="F242" i="1"/>
  <c r="A242" i="1"/>
  <c r="A243" i="1" s="1"/>
  <c r="G241" i="1"/>
  <c r="F241" i="1"/>
  <c r="D208" i="1"/>
  <c r="F208" i="1" s="1"/>
  <c r="D207" i="1"/>
  <c r="D206" i="1"/>
  <c r="D205" i="1"/>
  <c r="F205" i="1" s="1"/>
  <c r="D204" i="1"/>
  <c r="F204" i="1" s="1"/>
  <c r="D203" i="1"/>
  <c r="F203" i="1" s="1"/>
  <c r="D202" i="1"/>
  <c r="F202" i="1" s="1"/>
  <c r="D201" i="1"/>
  <c r="F201" i="1" s="1"/>
  <c r="D200" i="1"/>
  <c r="F200" i="1" s="1"/>
  <c r="F207" i="1"/>
  <c r="F206" i="1"/>
  <c r="A201" i="1"/>
  <c r="A202" i="1" s="1"/>
  <c r="A203" i="1" s="1"/>
  <c r="A204" i="1" s="1"/>
  <c r="A205" i="1" s="1"/>
  <c r="A206" i="1" s="1"/>
  <c r="A207" i="1" s="1"/>
  <c r="A208" i="1" s="1"/>
  <c r="G200" i="1"/>
  <c r="J88" i="1"/>
  <c r="J87" i="1"/>
  <c r="J86" i="1"/>
  <c r="J85" i="1"/>
  <c r="J102" i="1"/>
  <c r="J101" i="1"/>
  <c r="J100" i="1"/>
  <c r="J99" i="1"/>
  <c r="G50" i="1"/>
  <c r="G51" i="1" s="1"/>
  <c r="C50" i="1"/>
  <c r="C51" i="1" s="1"/>
  <c r="D289" i="1"/>
  <c r="D341" i="1"/>
  <c r="D338" i="1"/>
  <c r="D335" i="1"/>
  <c r="D332" i="1"/>
  <c r="D328" i="1"/>
  <c r="D325" i="1"/>
  <c r="D321" i="1"/>
  <c r="D318" i="1"/>
  <c r="D311" i="1"/>
  <c r="D308" i="1"/>
  <c r="D302" i="1"/>
  <c r="D305" i="1"/>
  <c r="D298" i="1"/>
  <c r="D291" i="1"/>
  <c r="D288" i="1"/>
  <c r="H78" i="1"/>
  <c r="H92" i="1"/>
  <c r="J159" i="1" l="1"/>
  <c r="J160" i="1" s="1"/>
  <c r="C152" i="1" s="1"/>
  <c r="G151" i="1" s="1"/>
  <c r="J145" i="1"/>
  <c r="J146" i="1" s="1"/>
  <c r="C138" i="1" s="1"/>
  <c r="G137" i="1" s="1"/>
  <c r="J132" i="1"/>
  <c r="C124" i="1" s="1"/>
  <c r="G123" i="1" s="1"/>
  <c r="G186" i="1"/>
  <c r="G187" i="1"/>
  <c r="A244" i="1"/>
  <c r="A245" i="1" s="1"/>
  <c r="A246" i="1" s="1"/>
  <c r="A247" i="1" s="1"/>
  <c r="A248" i="1" s="1"/>
  <c r="G180" i="1"/>
  <c r="C180" i="1"/>
  <c r="E180" i="1"/>
  <c r="J82" i="1"/>
  <c r="J83" i="1"/>
  <c r="J84" i="1" s="1"/>
  <c r="J89" i="1" s="1"/>
  <c r="J90" i="1" s="1"/>
  <c r="C82" i="1" s="1"/>
  <c r="D82" i="1" s="1"/>
  <c r="J81" i="1"/>
  <c r="D90" i="1"/>
  <c r="D88" i="1"/>
  <c r="D86" i="1"/>
  <c r="D84" i="1"/>
  <c r="J77" i="1"/>
  <c r="J79" i="1" s="1"/>
  <c r="D89" i="1"/>
  <c r="D87" i="1"/>
  <c r="D85" i="1"/>
  <c r="D83" i="1"/>
  <c r="J80" i="1"/>
  <c r="J96" i="1"/>
  <c r="J97" i="1"/>
  <c r="J98" i="1" s="1"/>
  <c r="J103" i="1" s="1"/>
  <c r="J95" i="1"/>
  <c r="D95" i="1" s="1"/>
  <c r="D103" i="1"/>
  <c r="D97" i="1"/>
  <c r="D104" i="1"/>
  <c r="D102" i="1"/>
  <c r="D100" i="1"/>
  <c r="D98" i="1"/>
  <c r="J91" i="1"/>
  <c r="J93" i="1" s="1"/>
  <c r="D101" i="1"/>
  <c r="D99" i="1"/>
  <c r="J94" i="1"/>
  <c r="J163" i="1"/>
  <c r="G332" i="1"/>
  <c r="G302" i="1"/>
  <c r="D343" i="1"/>
  <c r="F343" i="1" s="1"/>
  <c r="F341" i="1"/>
  <c r="D340" i="1"/>
  <c r="F340" i="1" s="1"/>
  <c r="D339" i="1"/>
  <c r="F339" i="1" s="1"/>
  <c r="A339" i="1"/>
  <c r="A340" i="1" s="1"/>
  <c r="A341" i="1" s="1"/>
  <c r="A342" i="1" s="1"/>
  <c r="A343" i="1" s="1"/>
  <c r="G338" i="1"/>
  <c r="F338" i="1"/>
  <c r="D330" i="1"/>
  <c r="F330" i="1" s="1"/>
  <c r="F328" i="1"/>
  <c r="D327" i="1"/>
  <c r="F327" i="1" s="1"/>
  <c r="D326" i="1"/>
  <c r="F326" i="1" s="1"/>
  <c r="A326" i="1"/>
  <c r="A327" i="1" s="1"/>
  <c r="A328" i="1" s="1"/>
  <c r="A329" i="1" s="1"/>
  <c r="A330" i="1" s="1"/>
  <c r="G325" i="1"/>
  <c r="F325" i="1"/>
  <c r="D336" i="1"/>
  <c r="F336" i="1" s="1"/>
  <c r="F335" i="1"/>
  <c r="D334" i="1"/>
  <c r="F334" i="1" s="1"/>
  <c r="D333" i="1"/>
  <c r="F333" i="1" s="1"/>
  <c r="A333" i="1"/>
  <c r="A334" i="1" s="1"/>
  <c r="A335" i="1" s="1"/>
  <c r="A336" i="1" s="1"/>
  <c r="F332" i="1"/>
  <c r="D323" i="1"/>
  <c r="F323" i="1" s="1"/>
  <c r="D322" i="1"/>
  <c r="F322" i="1" s="1"/>
  <c r="F321" i="1"/>
  <c r="D320" i="1"/>
  <c r="F320" i="1" s="1"/>
  <c r="D319" i="1"/>
  <c r="F319" i="1" s="1"/>
  <c r="A319" i="1"/>
  <c r="A320" i="1" s="1"/>
  <c r="A321" i="1" s="1"/>
  <c r="A322" i="1" s="1"/>
  <c r="A323" i="1" s="1"/>
  <c r="G318" i="1"/>
  <c r="F318" i="1"/>
  <c r="D306" i="1"/>
  <c r="F306" i="1" s="1"/>
  <c r="D312" i="1"/>
  <c r="F312" i="1" s="1"/>
  <c r="F311" i="1"/>
  <c r="D310" i="1"/>
  <c r="F310" i="1" s="1"/>
  <c r="D309" i="1"/>
  <c r="F309" i="1" s="1"/>
  <c r="A309" i="1"/>
  <c r="A310" i="1" s="1"/>
  <c r="A311" i="1" s="1"/>
  <c r="A312" i="1" s="1"/>
  <c r="A313" i="1" s="1"/>
  <c r="G308" i="1"/>
  <c r="F308" i="1"/>
  <c r="F305" i="1"/>
  <c r="D304" i="1"/>
  <c r="F304" i="1" s="1"/>
  <c r="D303" i="1"/>
  <c r="F303" i="1" s="1"/>
  <c r="A303" i="1"/>
  <c r="A304" i="1" s="1"/>
  <c r="A305" i="1" s="1"/>
  <c r="A306" i="1" s="1"/>
  <c r="F302" i="1"/>
  <c r="D300" i="1"/>
  <c r="F300" i="1" s="1"/>
  <c r="D299" i="1"/>
  <c r="F299" i="1" s="1"/>
  <c r="F298" i="1"/>
  <c r="D297" i="1"/>
  <c r="F297" i="1" s="1"/>
  <c r="A296" i="1"/>
  <c r="A297" i="1" s="1"/>
  <c r="A298" i="1" s="1"/>
  <c r="A299" i="1" s="1"/>
  <c r="A300" i="1" s="1"/>
  <c r="G295" i="1"/>
  <c r="D295" i="1"/>
  <c r="F295" i="1" s="1"/>
  <c r="D293" i="1"/>
  <c r="D292" i="1"/>
  <c r="D290" i="1"/>
  <c r="D219" i="1"/>
  <c r="F219" i="1" s="1"/>
  <c r="D220" i="1"/>
  <c r="F220" i="1" s="1"/>
  <c r="D218" i="1"/>
  <c r="F218" i="1" s="1"/>
  <c r="D216" i="1"/>
  <c r="F216" i="1" s="1"/>
  <c r="D217" i="1"/>
  <c r="F217" i="1" s="1"/>
  <c r="D215" i="1"/>
  <c r="F215" i="1" s="1"/>
  <c r="D212" i="1"/>
  <c r="D213" i="1"/>
  <c r="D214" i="1"/>
  <c r="D211" i="1"/>
  <c r="E151" i="1" l="1"/>
  <c r="D152" i="1"/>
  <c r="I148" i="1" s="1"/>
  <c r="I149" i="1" s="1"/>
  <c r="J148" i="1"/>
  <c r="D138" i="1"/>
  <c r="I134" i="1" s="1"/>
  <c r="I135" i="1" s="1"/>
  <c r="E137" i="1"/>
  <c r="J134" i="1"/>
  <c r="J120" i="1"/>
  <c r="E123" i="1"/>
  <c r="D124" i="1"/>
  <c r="I120" i="1" s="1"/>
  <c r="E81" i="1"/>
  <c r="J104" i="1"/>
  <c r="C96" i="1" s="1"/>
  <c r="J92" i="1" s="1"/>
  <c r="G81" i="1"/>
  <c r="D81" i="1"/>
  <c r="I78" i="1" s="1"/>
  <c r="I79" i="1" s="1"/>
  <c r="G189" i="1"/>
  <c r="C181" i="1"/>
  <c r="C183" i="1" s="1"/>
  <c r="C189" i="1"/>
  <c r="E181" i="1"/>
  <c r="E183" i="1" s="1"/>
  <c r="E189" i="1"/>
  <c r="F288" i="1"/>
  <c r="F293" i="1"/>
  <c r="F292" i="1"/>
  <c r="F291" i="1"/>
  <c r="F290" i="1"/>
  <c r="F289" i="1"/>
  <c r="A289" i="1"/>
  <c r="A290" i="1" s="1"/>
  <c r="A291" i="1" s="1"/>
  <c r="A292" i="1" s="1"/>
  <c r="A293" i="1" s="1"/>
  <c r="G288" i="1"/>
  <c r="I147" i="1" l="1"/>
  <c r="C149" i="1" s="1"/>
  <c r="I133" i="1"/>
  <c r="C135" i="1" s="1"/>
  <c r="I121" i="1"/>
  <c r="I119" i="1" s="1"/>
  <c r="C121" i="1" s="1"/>
  <c r="G95" i="1"/>
  <c r="E95" i="1"/>
  <c r="D96" i="1"/>
  <c r="I92" i="1" s="1"/>
  <c r="I93" i="1" s="1"/>
  <c r="J78" i="1"/>
  <c r="I77" i="1" s="1"/>
  <c r="C79" i="1" s="1"/>
  <c r="C188" i="1"/>
  <c r="C192" i="1" s="1"/>
  <c r="C193" i="1" s="1"/>
  <c r="E188" i="1"/>
  <c r="E192" i="1" s="1"/>
  <c r="E193" i="1" s="1"/>
  <c r="G188" i="1"/>
  <c r="G192" i="1" s="1"/>
  <c r="C14" i="1"/>
  <c r="I91" i="1" l="1"/>
  <c r="C93" i="1" s="1"/>
  <c r="E29" i="1"/>
  <c r="F422" i="1" l="1"/>
  <c r="F423" i="1"/>
  <c r="F424" i="1"/>
  <c r="F421" i="1"/>
  <c r="A422" i="1"/>
  <c r="A423" i="1" s="1"/>
  <c r="A424" i="1" s="1"/>
  <c r="G421" i="1"/>
  <c r="G422" i="1" s="1"/>
  <c r="G423" i="1" s="1"/>
  <c r="G424" i="1" s="1"/>
  <c r="F177" i="1" l="1"/>
  <c r="F212" i="1" l="1"/>
  <c r="F213" i="1"/>
  <c r="F214" i="1"/>
  <c r="F211" i="1"/>
  <c r="G181" i="1" l="1"/>
  <c r="G183" i="1" s="1"/>
  <c r="G193" i="1" s="1"/>
  <c r="B451" i="1"/>
  <c r="A444" i="1"/>
  <c r="A438" i="1"/>
  <c r="A432" i="1"/>
  <c r="F448" i="1" l="1"/>
  <c r="F447" i="1"/>
  <c r="F446" i="1"/>
  <c r="F445" i="1"/>
  <c r="F444" i="1"/>
  <c r="F442" i="1"/>
  <c r="F441" i="1"/>
  <c r="F440" i="1"/>
  <c r="F439" i="1"/>
  <c r="F438" i="1"/>
  <c r="F436" i="1"/>
  <c r="F435" i="1"/>
  <c r="F434" i="1"/>
  <c r="F433" i="1"/>
  <c r="F432" i="1"/>
  <c r="F430" i="1"/>
  <c r="F429" i="1"/>
  <c r="F427" i="1"/>
  <c r="F426" i="1"/>
  <c r="F428" i="1"/>
  <c r="A439" i="1"/>
  <c r="A445" i="1"/>
  <c r="A433" i="1"/>
  <c r="B452" i="1" l="1"/>
  <c r="A446" i="1"/>
  <c r="A440" i="1"/>
  <c r="A434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473" i="1"/>
  <c r="G444" i="1"/>
  <c r="G445" i="1" s="1"/>
  <c r="G446" i="1" s="1"/>
  <c r="G447" i="1" s="1"/>
  <c r="G448" i="1" s="1"/>
  <c r="G438" i="1"/>
  <c r="G439" i="1" s="1"/>
  <c r="G440" i="1" s="1"/>
  <c r="G441" i="1" s="1"/>
  <c r="G442" i="1" s="1"/>
  <c r="G432" i="1"/>
  <c r="G433" i="1" s="1"/>
  <c r="G434" i="1" s="1"/>
  <c r="G435" i="1" s="1"/>
  <c r="G436" i="1" s="1"/>
  <c r="G426" i="1"/>
  <c r="G427" i="1" s="1"/>
  <c r="G428" i="1" s="1"/>
  <c r="G429" i="1" s="1"/>
  <c r="G430" i="1" s="1"/>
  <c r="A426" i="1"/>
  <c r="A427" i="1" s="1"/>
  <c r="A428" i="1" s="1"/>
  <c r="A429" i="1" s="1"/>
  <c r="A430" i="1" s="1"/>
  <c r="A212" i="1"/>
  <c r="A213" i="1" s="1"/>
  <c r="A214" i="1" s="1"/>
  <c r="A215" i="1" s="1"/>
  <c r="A216" i="1" s="1"/>
  <c r="A217" i="1" s="1"/>
  <c r="A218" i="1" s="1"/>
  <c r="A219" i="1" s="1"/>
  <c r="A220" i="1" s="1"/>
  <c r="G211" i="1"/>
  <c r="J116" i="1"/>
  <c r="J115" i="1"/>
  <c r="J114" i="1"/>
  <c r="J113" i="1"/>
  <c r="D66" i="1"/>
  <c r="G55" i="1"/>
  <c r="G56" i="1" s="1"/>
  <c r="C55" i="1"/>
  <c r="E42" i="1"/>
  <c r="E43" i="1" s="1"/>
  <c r="E26" i="1"/>
  <c r="E24" i="1"/>
  <c r="E7" i="1"/>
  <c r="E3" i="1"/>
  <c r="H106" i="1"/>
  <c r="A447" i="1"/>
  <c r="A441" i="1"/>
  <c r="A435" i="1"/>
  <c r="D71" i="1" l="1"/>
  <c r="D118" i="1"/>
  <c r="D116" i="1"/>
  <c r="D115" i="1"/>
  <c r="D114" i="1"/>
  <c r="D112" i="1"/>
  <c r="J105" i="1"/>
  <c r="D117" i="1"/>
  <c r="D113" i="1"/>
  <c r="J109" i="1"/>
  <c r="J110" i="1"/>
  <c r="C109" i="1" s="1"/>
  <c r="J108" i="1"/>
  <c r="J111" i="1"/>
  <c r="A436" i="1"/>
  <c r="A442" i="1"/>
  <c r="A448" i="1"/>
  <c r="J112" i="1" l="1"/>
  <c r="J117" i="1" s="1"/>
  <c r="D111" i="1"/>
  <c r="J107" i="1"/>
  <c r="D109" i="1"/>
  <c r="J118" i="1" l="1"/>
  <c r="G109" i="1" s="1"/>
  <c r="D75" i="1" s="1"/>
  <c r="F76" i="1" s="1"/>
  <c r="J106" i="1" l="1"/>
  <c r="E109" i="1"/>
  <c r="D110" i="1"/>
  <c r="I106" i="1" s="1"/>
  <c r="I107" i="1" s="1"/>
  <c r="D76" i="1"/>
  <c r="I105" i="1" l="1"/>
  <c r="C107" i="1" s="1"/>
</calcChain>
</file>

<file path=xl/sharedStrings.xml><?xml version="1.0" encoding="utf-8"?>
<sst xmlns="http://schemas.openxmlformats.org/spreadsheetml/2006/main" count="613" uniqueCount="261">
  <si>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</si>
  <si>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</si>
  <si>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</si>
  <si>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</si>
  <si>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</si>
  <si>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</si>
  <si>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</si>
  <si>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</si>
  <si>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</si>
  <si>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</si>
  <si>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</si>
  <si>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</si>
  <si>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</si>
  <si>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</si>
  <si>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</si>
  <si>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</si>
  <si>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</si>
  <si>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</si>
  <si>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</si>
  <si>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</si>
  <si>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</si>
  <si>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</si>
  <si>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</si>
  <si>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</si>
  <si>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</si>
  <si>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</si>
  <si>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</si>
  <si>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</si>
  <si>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</si>
  <si>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</si>
  <si>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</si>
  <si>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</si>
  <si>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</si>
  <si>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</si>
  <si>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</si>
  <si>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</si>
  <si>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</si>
  <si>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</si>
  <si>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</si>
  <si>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</si>
  <si>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</si>
  <si>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</si>
  <si>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</si>
  <si>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</si>
  <si>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</si>
  <si>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</si>
  <si>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</si>
  <si>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</si>
  <si>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</si>
  <si>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</si>
  <si>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</si>
  <si>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</si>
  <si>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</si>
  <si>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</si>
  <si>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</si>
  <si>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</si>
  <si>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</si>
  <si>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</si>
  <si>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</si>
  <si>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</si>
  <si>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</si>
  <si>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</si>
  <si>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</si>
  <si>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</si>
  <si>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</si>
  <si>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</si>
  <si>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</si>
  <si>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</si>
  <si>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</si>
  <si>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</si>
  <si>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</si>
  <si>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</si>
  <si>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</si>
  <si>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</si>
  <si>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</si>
  <si>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</si>
  <si>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</si>
  <si>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</si>
  <si>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</si>
  <si>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</si>
  <si>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</si>
  <si>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</si>
  <si>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</si>
  <si>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</si>
  <si>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</si>
  <si>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</si>
  <si>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</si>
  <si>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</si>
  <si>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</si>
  <si>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</si>
  <si>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</si>
  <si>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</si>
  <si>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</si>
  <si>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</si>
  <si>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Society Formation Charges</t>
  </si>
  <si>
    <t>Excavation in process</t>
  </si>
  <si>
    <t>Excavation Completed</t>
  </si>
  <si>
    <t>Footing in Process</t>
  </si>
  <si>
    <t>Footing Completed</t>
  </si>
  <si>
    <t>Plinth completed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</si>
  <si>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</si>
  <si>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</si>
  <si>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</si>
  <si>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</si>
  <si>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</si>
  <si>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</si>
  <si>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</si>
  <si>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</si>
  <si>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</si>
  <si>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</si>
  <si>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</si>
  <si>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</si>
  <si>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</si>
  <si>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</si>
  <si>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2nd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</si>
  <si>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</si>
  <si>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</si>
  <si>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</si>
  <si>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</si>
  <si>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</si>
  <si>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</si>
  <si>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</si>
  <si>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</si>
  <si>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</si>
  <si>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</si>
  <si>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</si>
  <si>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</si>
  <si>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</si>
  <si>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</si>
  <si>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</si>
  <si>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</si>
  <si>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</si>
  <si>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</si>
  <si>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</si>
  <si>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</si>
  <si>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</si>
  <si>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</si>
  <si>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</si>
  <si>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</si>
  <si>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</si>
  <si>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</si>
  <si>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</si>
  <si>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</si>
  <si>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</si>
  <si>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</si>
  <si>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2nd &amp; 5th Floor</t>
  </si>
  <si>
    <t>Basement 1</t>
  </si>
  <si>
    <t>Plinth in process</t>
  </si>
  <si>
    <t xml:space="preserve">Violations Observed if any : </t>
  </si>
  <si>
    <t>Saleable area Loading :</t>
  </si>
  <si>
    <t>3rd, 5th, 7th, 9th, 11th, 13th, 15th Floor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</si>
  <si>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</si>
  <si>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</si>
  <si>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</si>
  <si>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</si>
  <si>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</si>
  <si>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</si>
  <si>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</si>
  <si>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</si>
  <si>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</si>
  <si>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</si>
  <si>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On Saleable Area</t>
  </si>
  <si>
    <t>Legal Charges</t>
  </si>
  <si>
    <t>Location Link</t>
  </si>
  <si>
    <t>Locality</t>
  </si>
  <si>
    <t>Village</t>
  </si>
  <si>
    <t xml:space="preserve">O. Certificate No.: 
Approved upto : </t>
  </si>
  <si>
    <t>Axis Thane</t>
  </si>
  <si>
    <t>Raheja Universal (Pvt.) Ltd</t>
  </si>
  <si>
    <t>T.T.C. Industrial Area</t>
  </si>
  <si>
    <t>Maharashtra Industrial Development Corporation</t>
  </si>
  <si>
    <t>Wing 2A</t>
  </si>
  <si>
    <t>1st, 3rd to 6th, 8th to 11th &amp; 13th to 16th Floor</t>
  </si>
  <si>
    <t>Shop</t>
  </si>
  <si>
    <t>Ground Floor For Commercial</t>
  </si>
  <si>
    <t>3 Podium Floor For Parking</t>
  </si>
  <si>
    <t>Eco-Deck/Stilt Floor For Amenities</t>
  </si>
  <si>
    <t>Refuge Area</t>
  </si>
  <si>
    <t>2nd, 7th, 12th &amp; 17th Floor (Part Refuge Area)</t>
  </si>
  <si>
    <t>18th to 21st, 23rd &amp; 24th Floor</t>
  </si>
  <si>
    <t>22nd Floor (Part Refuge Area)</t>
  </si>
  <si>
    <t>Wing 2B</t>
  </si>
  <si>
    <t>2A &amp; 2B Wing = G + 3P +1A + 1st to 24th Floor</t>
  </si>
  <si>
    <t>Juinagar</t>
  </si>
  <si>
    <t>Juinagar East</t>
  </si>
  <si>
    <t>EE/Dn. II/MHP/SPA/C34188/of 2022</t>
  </si>
  <si>
    <t>https://goo.gl/maps/XPhj2KJXtdMygv649</t>
  </si>
  <si>
    <t>MIDC Industrial Area</t>
  </si>
  <si>
    <t>K Raheja Mindspace Juinagar</t>
  </si>
  <si>
    <t>1.4 KM from Juinagar Railway Station</t>
  </si>
  <si>
    <t>Thane</t>
  </si>
  <si>
    <t>Mindspace Juinagar</t>
  </si>
  <si>
    <t>MIDC IOC Terminal Road</t>
  </si>
  <si>
    <t>9920027688/7718010687/7066882368</t>
  </si>
  <si>
    <t>D Gen 2/1/B</t>
  </si>
  <si>
    <t>EE/Dn.II/SPA/E08560/of 2021</t>
  </si>
  <si>
    <t xml:space="preserve"> Raheja Solaris 1</t>
  </si>
  <si>
    <t>1A &amp; 1B Wing = Gr/St + 1st to 20th Floor</t>
  </si>
  <si>
    <t xml:space="preserve">1. Vitrified tiles flooring 2. Granite Kitchen Platform 3. Decorative Enternace etc.
</t>
  </si>
  <si>
    <t>1A Wing = Gr/St + 3P + 1st to 24th Floor</t>
  </si>
  <si>
    <t>1B Wing = Gr/St + 3P + 1st to 25th Floor</t>
  </si>
  <si>
    <t>Raheja Solaris 1</t>
  </si>
  <si>
    <t>Wing 1A</t>
  </si>
  <si>
    <t>Podium 1 to Podium 3 for Parking</t>
  </si>
  <si>
    <t>1BHK</t>
  </si>
  <si>
    <t>2BHK</t>
  </si>
  <si>
    <t>1st, 3rd to 6th, 8th to 11th, 13th to 16th, 18th to 21st, 23rd to 24th Floor</t>
  </si>
  <si>
    <t>2nd, 7th, 12th, 17th, 22nd Floor (Part Refuge Area)</t>
  </si>
  <si>
    <t>Wing 1B</t>
  </si>
  <si>
    <t>1st, 3rd to 6th, 8th to 11th, 13th to 16th, 18th to 21st, 23rd to 25th Floor</t>
  </si>
  <si>
    <t>Raheja Solaris 2</t>
  </si>
  <si>
    <t>As per MIDC Approved plan, 
Address of Raheja Solaris 1 is Survey No. 90, Plot No. D Gen 2/1/B and 
Address of Raheja Solaris 2, Survey No. 180, Plot No. D Gen 2/1/B.
But as per the builder's mail, we have to consider Plot No. D Gen 2/1/B for APF. So as discussed we have compile both Raheja Solaris 1 &amp; Raheja Solaris 2 in single report only.</t>
  </si>
  <si>
    <t>Mayur</t>
  </si>
  <si>
    <t>Club House Charges</t>
  </si>
  <si>
    <t>13000 to 14000</t>
  </si>
  <si>
    <t>cost sheet</t>
  </si>
  <si>
    <t>smith pal sir</t>
  </si>
  <si>
    <t>Floor rise (From 2nd Floor)</t>
  </si>
  <si>
    <t>Recommended Rates of the Property : (Only For 4BHK)</t>
  </si>
  <si>
    <t>2B Wing = G + 1st to 3rd Podium Floor + E-Deck Floor + 1st to 24th Floor</t>
  </si>
  <si>
    <t>2A Wing = G + 1st to 3rd Podium Floor + E-Deck Floor + 1st to 24th Floor</t>
  </si>
  <si>
    <t>Office No. 1031, Wing J, Akshar Business Park, Plot No. 03 Sector 25, Near APMC Market,
Vashi, Navi Mumbai, Maharashtra 400703 TEL: 022-46090378/79/80                                                                       
E mail : vsjcapf@gmail.com. Web site : www.vsjadon.com</t>
  </si>
  <si>
    <t>Raheja Solaris 1, 2 &amp; 3</t>
  </si>
  <si>
    <t>Documents Provided</t>
  </si>
  <si>
    <t>Raheja Solaris 1 = P51700030509
Raheja Solaris 2 = P51700046184
Raheja Solaris 3 = P51700053551</t>
  </si>
  <si>
    <t>Raheja Solaris 1 = Wing 1A &amp; 1B
Raheja Solaris 2 = Wing 2A &amp; 2B
Raheja Solaris 3 = Wing 3A &amp; 3B</t>
  </si>
  <si>
    <t>Plot No</t>
  </si>
  <si>
    <t>Raheja Solaris 3</t>
  </si>
  <si>
    <t xml:space="preserve">EE/Dn. II/MHP/SPA/I/20792/of 2023 </t>
  </si>
  <si>
    <t>1A Wing = Gr/St + 3P + 1st to 24th Floor
1B Wing = Gr/St + 3P +  1st to 25th Floor
2A &amp; 2B Wing = G + 1st to 3rd Podium Floor + E-Deck Floor + 1st to 24th Floor
3A &amp; 3B Wing = Gr/St +  1st to 28th Floor</t>
  </si>
  <si>
    <t>As per RERA - 1A &amp; 1B = 30/12/2026
                         2A &amp; 2B = 31/12/2027
                         3A &amp; 3B = 31/12/2029</t>
  </si>
  <si>
    <t>6 Wings</t>
  </si>
  <si>
    <t>Grand Total</t>
  </si>
  <si>
    <t>Wing 3A</t>
  </si>
  <si>
    <t>Ground Floor For Commercial, Meter Room, Panel Room, Society Office &amp; Parking</t>
  </si>
  <si>
    <t>1st, 2nd &amp; 3rd Podium Floor For Parking</t>
  </si>
  <si>
    <t>4th Floor For Eco Deck Floor</t>
  </si>
  <si>
    <t>5th Floor For Residential</t>
  </si>
  <si>
    <t>6th, 11th &amp; 16th Floor (Part Refuge Area)</t>
  </si>
  <si>
    <t>7th to 10th, 12th to 15th Floor</t>
  </si>
  <si>
    <t>17th to 20th, 22nd to 25th, 27th &amp; 28th Floor</t>
  </si>
  <si>
    <t>We considered Gross carpet area = Net carpet + Deck + Dry Yard.</t>
  </si>
  <si>
    <t>Wing 3B</t>
  </si>
  <si>
    <t>We have updated approved layout plan, floor plan &amp; CC for Wing 3A &amp; 3B (on 03/01/2024).</t>
  </si>
  <si>
    <t>Advance Maintenance Charges (9 Month)</t>
  </si>
  <si>
    <t>Layout Plan :</t>
  </si>
  <si>
    <t>Site Meet Person Contact Details ( Name &amp; Contact No.)</t>
  </si>
  <si>
    <t xml:space="preserve">Details of Commercial &amp; Residential in Building   </t>
  </si>
  <si>
    <t>Ground Floor Parking</t>
  </si>
  <si>
    <t>Flats - 956, Shops - 29</t>
  </si>
  <si>
    <t>21st &amp; 26th Floor  (Part Refuge Area)</t>
  </si>
  <si>
    <t>1A Wing = Gr/St + 3P + 1st to 24th Floor
1B Wing = Gr/St + 3P +  1st to 25th Floor
2A &amp; 2B Wing = G + 1st to 3rd Podium + E-Deck Floor + 1st to 24th Floor
3A &amp; 3B Wing = Gr/St +  1st to 28th Floor</t>
  </si>
  <si>
    <t>3B Wing = Gr/St +  1st to 28th Floor</t>
  </si>
  <si>
    <t>3A Wing = Gr/St +  1st to 28th Floor</t>
  </si>
  <si>
    <t>Approved Plans, CC</t>
  </si>
  <si>
    <t>3A &amp; 3B Wing = G + 1st to 28th Floor</t>
  </si>
  <si>
    <t>Latitude,Longitude</t>
  </si>
  <si>
    <t>19.0527074,73.0217838</t>
  </si>
  <si>
    <t>Visit dated 09/01/2025 Work speed seems to be slow if the condition is same in next visit mention in remark slow speed</t>
  </si>
  <si>
    <t>Pranita Mhatre</t>
  </si>
  <si>
    <t>Wing 1A, 2A, 2B, 3A &amp; 3B = Construction work is in process at the time of Visit.
Wing 1B = Construction work is same as last visit dtd.07/04/2025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</si>
</sst>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64" formatCode="_(* #,##0.00_);_(* \(#,##0.00\);_(* &quot;-&quot;??_);_(@_)"/>
    <numFmt numFmtId="165" formatCode="_-* #,##0.00_-;\-* #,##0.00_-;_-* &quot;-&quot;??_-;_-@_-"/>
    <numFmt numFmtId="166" formatCode="0.0"/>
    <numFmt numFmtId="167" formatCode="_(* #,##0_);_(* \(#,##0\);_(* &quot;-&quot;??_);_(@_)"/>
    <numFmt numFmtId="168" formatCode="_ * #,##0_ ;_ * \-#,##0_ ;_ * &quot;-&quot;??_ ;_ @_ "/>
    <numFmt numFmtId="169" formatCode="[&gt;0]0&quot;BHK&quot;;&quot;1RK&quot;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4" fillId="0" borderId="0"/>
    <xf numFmtId="0" fontId="6" fillId="0" borderId="0"/>
    <xf numFmtId="0" fontId="3" fillId="0" borderId="0"/>
    <xf numFmtId="0" fontId="6" fillId="0" borderId="0"/>
    <xf numFmtId="0" fontId="2" fillId="0" borderId="0"/>
    <xf numFmtId="164" fontId="6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6" fillId="0" borderId="0" applyFont="0" applyFill="0" applyBorder="0" applyAlignment="0" applyProtection="0"/>
  </cellStyleXfs>
  <cellXfs count="242">
    <xf numFmtId="0" fontId="0" fillId="0" borderId="0" xfId="0"/>
    <xf numFmtId="0" fontId="6" fillId="0" borderId="0" xfId="4"/>
    <xf numFmtId="0" fontId="2" fillId="0" borderId="0" xfId="5"/>
    <xf numFmtId="0" fontId="10" fillId="0" borderId="1" xfId="5" applyFont="1" applyBorder="1" applyAlignment="1">
      <alignment horizontal="center" vertical="top" wrapText="1"/>
    </xf>
    <xf numFmtId="0" fontId="20" fillId="0" borderId="0" xfId="4" applyFont="1"/>
    <xf numFmtId="0" fontId="2" fillId="0" borderId="1" xfId="5" applyBorder="1" applyAlignment="1">
      <alignment horizontal="center" vertical="center"/>
    </xf>
    <xf numFmtId="0" fontId="2" fillId="0" borderId="1" xfId="5" applyBorder="1" applyAlignment="1">
      <alignment horizontal="left" vertical="center"/>
    </xf>
    <xf numFmtId="1" fontId="2" fillId="0" borderId="1" xfId="5" applyNumberFormat="1" applyBorder="1" applyAlignment="1">
      <alignment horizontal="center" vertical="center"/>
    </xf>
    <xf numFmtId="167" fontId="2" fillId="0" borderId="1" xfId="6" applyNumberFormat="1" applyFont="1" applyBorder="1" applyAlignment="1">
      <alignment horizontal="right" vertical="center"/>
    </xf>
    <xf numFmtId="0" fontId="2" fillId="0" borderId="1" xfId="5" applyBorder="1" applyAlignment="1">
      <alignment horizontal="left" vertical="center" wrapText="1"/>
    </xf>
    <xf numFmtId="0" fontId="10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6" fillId="0" borderId="1" xfId="4" applyBorder="1" applyAlignment="1">
      <alignment horizontal="center" vertical="center"/>
    </xf>
    <xf numFmtId="9" fontId="9" fillId="0" borderId="15" xfId="8" applyFont="1" applyFill="1" applyBorder="1" applyAlignment="1" applyProtection="1">
      <alignment horizontal="center" vertical="top" wrapText="1"/>
      <protection locked="0"/>
    </xf>
    <xf numFmtId="0" fontId="18" fillId="0" borderId="0" xfId="0" applyFont="1" applyProtection="1">
      <protection hidden="1"/>
    </xf>
    <xf numFmtId="0" fontId="18" fillId="0" borderId="10" xfId="0" applyFont="1" applyBorder="1" applyProtection="1">
      <protection hidden="1"/>
    </xf>
    <xf numFmtId="0" fontId="13" fillId="0" borderId="3" xfId="1" applyFont="1" applyBorder="1" applyAlignment="1" applyProtection="1">
      <alignment horizontal="center" vertical="top"/>
      <protection locked="0"/>
    </xf>
    <xf numFmtId="0" fontId="13" fillId="0" borderId="4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vertical="top" wrapText="1"/>
      <protection locked="0"/>
    </xf>
    <xf numFmtId="9" fontId="8" fillId="0" borderId="1" xfId="8" applyFont="1" applyFill="1" applyBorder="1" applyAlignment="1" applyProtection="1">
      <alignment horizontal="center" vertical="top" wrapText="1"/>
      <protection locked="0"/>
    </xf>
    <xf numFmtId="9" fontId="8" fillId="0" borderId="6" xfId="8" applyFont="1" applyFill="1" applyBorder="1" applyAlignment="1" applyProtection="1">
      <alignment horizontal="center" vertical="top" wrapText="1"/>
      <protection locked="0"/>
    </xf>
    <xf numFmtId="0" fontId="8" fillId="0" borderId="0" xfId="1" applyFont="1"/>
    <xf numFmtId="0" fontId="16" fillId="0" borderId="0" xfId="1" applyFont="1"/>
    <xf numFmtId="0" fontId="13" fillId="0" borderId="0" xfId="1" applyFont="1"/>
    <xf numFmtId="1" fontId="8" fillId="0" borderId="0" xfId="1" applyNumberFormat="1" applyFont="1"/>
    <xf numFmtId="14" fontId="8" fillId="0" borderId="0" xfId="1" applyNumberFormat="1" applyFont="1"/>
    <xf numFmtId="0" fontId="8" fillId="0" borderId="0" xfId="1" applyFont="1" applyProtection="1">
      <protection hidden="1"/>
    </xf>
    <xf numFmtId="0" fontId="24" fillId="0" borderId="0" xfId="1" applyFont="1"/>
    <xf numFmtId="0" fontId="8" fillId="0" borderId="9" xfId="1" applyFont="1" applyBorder="1"/>
    <xf numFmtId="0" fontId="18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7" fillId="0" borderId="0" xfId="1" applyFont="1"/>
    <xf numFmtId="0" fontId="7" fillId="0" borderId="0" xfId="2" applyFont="1"/>
    <xf numFmtId="0" fontId="8" fillId="0" borderId="0" xfId="0" applyFont="1" applyAlignment="1">
      <alignment horizontal="center" vertical="center"/>
    </xf>
    <xf numFmtId="1" fontId="8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 applyProtection="1">
      <alignment vertical="top"/>
      <protection locked="0"/>
    </xf>
    <xf numFmtId="0" fontId="9" fillId="0" borderId="0" xfId="1" applyFont="1" applyAlignment="1" applyProtection="1">
      <alignment vertical="top" wrapText="1"/>
      <protection locked="0"/>
    </xf>
    <xf numFmtId="0" fontId="8" fillId="0" borderId="0" xfId="1" applyFont="1" applyProtection="1">
      <protection locked="0"/>
    </xf>
    <xf numFmtId="0" fontId="11" fillId="0" borderId="0" xfId="1" applyFont="1" applyProtection="1"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" fontId="9" fillId="0" borderId="2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 wrapText="1"/>
      <protection locked="0"/>
    </xf>
    <xf numFmtId="0" fontId="8" fillId="0" borderId="6" xfId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0" fontId="25" fillId="2" borderId="29" xfId="0" applyFont="1" applyFill="1" applyBorder="1"/>
    <xf numFmtId="0" fontId="26" fillId="0" borderId="30" xfId="0" applyFont="1" applyBorder="1"/>
    <xf numFmtId="0" fontId="26" fillId="0" borderId="1" xfId="0" applyFont="1" applyBorder="1"/>
    <xf numFmtId="0" fontId="26" fillId="0" borderId="4" xfId="0" applyFont="1" applyBorder="1"/>
    <xf numFmtId="0" fontId="9" fillId="0" borderId="1" xfId="1" applyFont="1" applyBorder="1" applyAlignment="1" applyProtection="1">
      <alignment vertical="top"/>
      <protection locked="0"/>
    </xf>
    <xf numFmtId="169" fontId="7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168" fontId="17" fillId="0" borderId="0" xfId="1" applyNumberFormat="1" applyFont="1"/>
    <xf numFmtId="0" fontId="8" fillId="2" borderId="0" xfId="1" applyFont="1" applyFill="1"/>
    <xf numFmtId="14" fontId="8" fillId="2" borderId="0" xfId="1" applyNumberFormat="1" applyFont="1" applyFill="1"/>
    <xf numFmtId="0" fontId="8" fillId="0" borderId="1" xfId="1" applyFont="1" applyBorder="1" applyAlignment="1" applyProtection="1">
      <alignment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1" fontId="7" fillId="0" borderId="7" xfId="1" applyNumberFormat="1" applyFont="1" applyBorder="1" applyAlignment="1" applyProtection="1">
      <alignment horizontal="center" vertical="center" wrapText="1"/>
      <protection locked="0"/>
    </xf>
    <xf numFmtId="1" fontId="7" fillId="0" borderId="8" xfId="1" applyNumberFormat="1" applyFont="1" applyBorder="1" applyAlignment="1" applyProtection="1">
      <alignment horizontal="center" vertical="center" wrapText="1"/>
      <protection locked="0"/>
    </xf>
    <xf numFmtId="0" fontId="8" fillId="0" borderId="0" xfId="1" applyFont="1" applyAlignment="1">
      <alignment horizontal="center" vertical="center"/>
    </xf>
    <xf numFmtId="1" fontId="14" fillId="0" borderId="7" xfId="0" applyNumberFormat="1" applyFont="1" applyBorder="1" applyAlignment="1" applyProtection="1">
      <alignment vertical="top" wrapText="1"/>
      <protection locked="0"/>
    </xf>
    <xf numFmtId="1" fontId="14" fillId="0" borderId="20" xfId="0" applyNumberFormat="1" applyFont="1" applyBorder="1" applyAlignment="1" applyProtection="1">
      <alignment vertical="top" wrapText="1"/>
      <protection locked="0"/>
    </xf>
    <xf numFmtId="1" fontId="14" fillId="0" borderId="8" xfId="0" applyNumberFormat="1" applyFont="1" applyBorder="1" applyAlignment="1" applyProtection="1">
      <alignment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1" xfId="0" applyFont="1" applyBorder="1" applyAlignment="1" applyProtection="1">
      <alignment horizontal="center" vertical="top" wrapText="1"/>
      <protection locked="0"/>
    </xf>
    <xf numFmtId="1" fontId="7" fillId="0" borderId="16" xfId="1" applyNumberFormat="1" applyFont="1" applyBorder="1" applyAlignment="1" applyProtection="1">
      <alignment horizontal="center" vertical="center" wrapText="1"/>
      <protection locked="0"/>
    </xf>
    <xf numFmtId="1" fontId="7" fillId="0" borderId="17" xfId="1" applyNumberFormat="1" applyFont="1" applyBorder="1" applyAlignment="1" applyProtection="1">
      <alignment horizontal="center" vertical="center" wrapText="1"/>
      <protection locked="0"/>
    </xf>
    <xf numFmtId="1" fontId="7" fillId="0" borderId="24" xfId="1" applyNumberFormat="1" applyFont="1" applyBorder="1" applyAlignment="1" applyProtection="1">
      <alignment horizontal="center" vertical="center" wrapText="1"/>
      <protection locked="0"/>
    </xf>
    <xf numFmtId="1" fontId="7" fillId="0" borderId="25" xfId="1" applyNumberFormat="1" applyFont="1" applyBorder="1" applyAlignment="1" applyProtection="1">
      <alignment horizontal="center" vertical="center" wrapText="1"/>
      <protection locked="0"/>
    </xf>
    <xf numFmtId="1" fontId="7" fillId="0" borderId="18" xfId="1" applyNumberFormat="1" applyFont="1" applyBorder="1" applyAlignment="1" applyProtection="1">
      <alignment horizontal="center" vertical="center" wrapText="1"/>
      <protection locked="0"/>
    </xf>
    <xf numFmtId="1" fontId="7" fillId="0" borderId="19" xfId="1" applyNumberFormat="1" applyFont="1" applyBorder="1" applyAlignment="1" applyProtection="1">
      <alignment horizontal="center" vertical="center" wrapText="1"/>
      <protection locked="0"/>
    </xf>
    <xf numFmtId="1" fontId="9" fillId="0" borderId="7" xfId="1" applyNumberFormat="1" applyFont="1" applyBorder="1" applyAlignment="1" applyProtection="1">
      <alignment horizontal="center" vertical="center" wrapText="1"/>
      <protection locked="0"/>
    </xf>
    <xf numFmtId="1" fontId="9" fillId="0" borderId="20" xfId="1" applyNumberFormat="1" applyFont="1" applyBorder="1" applyAlignment="1" applyProtection="1">
      <alignment horizontal="center" vertical="center" wrapText="1"/>
      <protection locked="0"/>
    </xf>
    <xf numFmtId="1" fontId="9" fillId="0" borderId="8" xfId="1" applyNumberFormat="1" applyFont="1" applyBorder="1" applyAlignment="1" applyProtection="1">
      <alignment horizontal="center" vertical="center" wrapText="1"/>
      <protection locked="0"/>
    </xf>
    <xf numFmtId="169" fontId="7" fillId="0" borderId="7" xfId="1" applyNumberFormat="1" applyFont="1" applyBorder="1" applyAlignment="1" applyProtection="1">
      <alignment horizontal="center" vertical="center" wrapText="1"/>
      <protection locked="0"/>
    </xf>
    <xf numFmtId="169" fontId="7" fillId="0" borderId="20" xfId="1" applyNumberFormat="1" applyFont="1" applyBorder="1" applyAlignment="1" applyProtection="1">
      <alignment horizontal="center" vertical="center" wrapText="1"/>
      <protection locked="0"/>
    </xf>
    <xf numFmtId="169" fontId="7" fillId="0" borderId="8" xfId="1" applyNumberFormat="1" applyFont="1" applyBorder="1" applyAlignment="1" applyProtection="1">
      <alignment horizontal="center" vertical="center" wrapText="1"/>
      <protection locked="0"/>
    </xf>
    <xf numFmtId="1" fontId="11" fillId="0" borderId="32" xfId="0" applyNumberFormat="1" applyFont="1" applyBorder="1" applyAlignment="1" applyProtection="1">
      <alignment horizontal="center" vertical="center"/>
      <protection locked="0"/>
    </xf>
    <xf numFmtId="0" fontId="11" fillId="0" borderId="32" xfId="0" applyFont="1" applyBorder="1" applyAlignment="1" applyProtection="1">
      <alignment horizontal="center" vertical="center"/>
      <protection locked="0"/>
    </xf>
    <xf numFmtId="0" fontId="9" fillId="0" borderId="21" xfId="1" applyFont="1" applyBorder="1" applyAlignment="1" applyProtection="1">
      <alignment horizontal="left" vertical="top" wrapText="1"/>
      <protection locked="0"/>
    </xf>
    <xf numFmtId="0" fontId="9" fillId="0" borderId="14" xfId="1" applyFont="1" applyBorder="1" applyAlignment="1" applyProtection="1">
      <alignment horizontal="left" vertical="top" wrapText="1"/>
      <protection locked="0"/>
    </xf>
    <xf numFmtId="0" fontId="9" fillId="0" borderId="12" xfId="1" applyFont="1" applyBorder="1" applyAlignment="1" applyProtection="1">
      <alignment horizontal="left" vertical="top" wrapText="1"/>
      <protection locked="0"/>
    </xf>
    <xf numFmtId="0" fontId="9" fillId="0" borderId="13" xfId="1" applyFont="1" applyBorder="1" applyAlignment="1" applyProtection="1">
      <alignment horizontal="left" vertical="top" wrapText="1"/>
      <protection locked="0"/>
    </xf>
    <xf numFmtId="0" fontId="9" fillId="0" borderId="22" xfId="1" applyFont="1" applyBorder="1" applyAlignment="1" applyProtection="1">
      <alignment horizontal="left" vertical="top" wrapText="1"/>
      <protection locked="0"/>
    </xf>
    <xf numFmtId="0" fontId="14" fillId="0" borderId="3" xfId="1" applyFont="1" applyBorder="1" applyAlignment="1" applyProtection="1">
      <alignment horizontal="left" vertical="top"/>
      <protection locked="0"/>
    </xf>
    <xf numFmtId="0" fontId="14" fillId="0" borderId="1" xfId="1" applyFont="1" applyBorder="1" applyAlignment="1" applyProtection="1">
      <alignment horizontal="left" vertical="top"/>
      <protection locked="0"/>
    </xf>
    <xf numFmtId="0" fontId="14" fillId="0" borderId="1" xfId="1" applyFont="1" applyBorder="1" applyAlignment="1" applyProtection="1">
      <alignment horizontal="left" vertical="top" wrapText="1"/>
      <protection locked="0"/>
    </xf>
    <xf numFmtId="0" fontId="14" fillId="0" borderId="4" xfId="1" applyFont="1" applyBorder="1" applyAlignment="1" applyProtection="1">
      <alignment horizontal="left" vertical="top" wrapText="1"/>
      <protection locked="0"/>
    </xf>
    <xf numFmtId="0" fontId="8" fillId="0" borderId="3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 wrapText="1"/>
      <protection locked="0"/>
    </xf>
    <xf numFmtId="0" fontId="8" fillId="0" borderId="4" xfId="1" applyFont="1" applyBorder="1" applyAlignment="1" applyProtection="1">
      <alignment horizontal="center" vertical="top" wrapText="1"/>
      <protection locked="0"/>
    </xf>
    <xf numFmtId="9" fontId="8" fillId="0" borderId="16" xfId="8" applyFont="1" applyFill="1" applyBorder="1" applyAlignment="1" applyProtection="1">
      <alignment horizontal="center" vertical="center" wrapText="1"/>
      <protection locked="0"/>
    </xf>
    <xf numFmtId="9" fontId="8" fillId="0" borderId="17" xfId="8" applyFont="1" applyFill="1" applyBorder="1" applyAlignment="1" applyProtection="1">
      <alignment horizontal="center" vertical="center" wrapText="1"/>
      <protection locked="0"/>
    </xf>
    <xf numFmtId="9" fontId="8" fillId="0" borderId="24" xfId="8" applyFont="1" applyFill="1" applyBorder="1" applyAlignment="1" applyProtection="1">
      <alignment horizontal="center" vertical="center" wrapText="1"/>
      <protection locked="0"/>
    </xf>
    <xf numFmtId="9" fontId="8" fillId="0" borderId="25" xfId="8" applyFont="1" applyFill="1" applyBorder="1" applyAlignment="1" applyProtection="1">
      <alignment horizontal="center" vertical="center" wrapText="1"/>
      <protection locked="0"/>
    </xf>
    <xf numFmtId="9" fontId="8" fillId="0" borderId="27" xfId="8" applyFont="1" applyFill="1" applyBorder="1" applyAlignment="1" applyProtection="1">
      <alignment horizontal="center" vertical="center" wrapText="1"/>
      <protection locked="0"/>
    </xf>
    <xf numFmtId="9" fontId="8" fillId="0" borderId="28" xfId="8" applyFont="1" applyFill="1" applyBorder="1" applyAlignment="1" applyProtection="1">
      <alignment horizontal="center" vertical="center" wrapText="1"/>
      <protection locked="0"/>
    </xf>
    <xf numFmtId="9" fontId="8" fillId="0" borderId="26" xfId="8" applyFont="1" applyFill="1" applyBorder="1" applyAlignment="1" applyProtection="1">
      <alignment horizontal="center" vertical="center" wrapText="1"/>
      <protection locked="0"/>
    </xf>
    <xf numFmtId="9" fontId="8" fillId="0" borderId="9" xfId="8" applyFont="1" applyFill="1" applyBorder="1" applyAlignment="1" applyProtection="1">
      <alignment horizontal="center" vertical="center" wrapText="1"/>
      <protection locked="0"/>
    </xf>
    <xf numFmtId="9" fontId="8" fillId="0" borderId="11" xfId="8" applyFont="1" applyFill="1" applyBorder="1" applyAlignment="1" applyProtection="1">
      <alignment horizontal="center" vertical="center" wrapText="1"/>
      <protection locked="0"/>
    </xf>
    <xf numFmtId="0" fontId="8" fillId="0" borderId="5" xfId="1" applyFont="1" applyBorder="1" applyAlignment="1" applyProtection="1">
      <alignment horizontal="center" vertical="top" wrapText="1"/>
      <protection locked="0"/>
    </xf>
    <xf numFmtId="0" fontId="8" fillId="0" borderId="6" xfId="1" applyFont="1" applyBorder="1" applyAlignment="1" applyProtection="1">
      <alignment horizontal="center" vertical="top" wrapText="1"/>
      <protection locked="0"/>
    </xf>
    <xf numFmtId="0" fontId="14" fillId="0" borderId="12" xfId="1" applyFont="1" applyBorder="1" applyAlignment="1" applyProtection="1">
      <alignment horizontal="left" vertical="top" wrapText="1"/>
      <protection locked="0"/>
    </xf>
    <xf numFmtId="0" fontId="14" fillId="0" borderId="13" xfId="1" applyFont="1" applyBorder="1" applyAlignment="1" applyProtection="1">
      <alignment horizontal="left" vertical="top" wrapText="1"/>
      <protection locked="0"/>
    </xf>
    <xf numFmtId="0" fontId="14" fillId="0" borderId="22" xfId="1" applyFont="1" applyBorder="1" applyAlignment="1" applyProtection="1">
      <alignment horizontal="left" vertical="top" wrapText="1"/>
      <protection locked="0"/>
    </xf>
    <xf numFmtId="168" fontId="13" fillId="0" borderId="1" xfId="9" applyNumberFormat="1" applyFont="1" applyFill="1" applyBorder="1" applyAlignment="1" applyProtection="1">
      <alignment horizontal="left" vertical="top"/>
      <protection locked="0"/>
    </xf>
    <xf numFmtId="0" fontId="9" fillId="3" borderId="15" xfId="1" applyFont="1" applyFill="1" applyBorder="1" applyAlignment="1" applyProtection="1">
      <alignment horizontal="left" vertical="top"/>
      <protection locked="0"/>
    </xf>
    <xf numFmtId="0" fontId="9" fillId="3" borderId="15" xfId="1" applyFont="1" applyFill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168" fontId="14" fillId="0" borderId="1" xfId="9" applyNumberFormat="1" applyFont="1" applyFill="1" applyBorder="1" applyAlignment="1" applyProtection="1">
      <alignment horizontal="left" vertical="top"/>
      <protection locked="0"/>
    </xf>
    <xf numFmtId="0" fontId="13" fillId="0" borderId="1" xfId="11" applyFont="1" applyBorder="1" applyAlignment="1" applyProtection="1">
      <alignment horizontal="left" vertical="top"/>
      <protection locked="0"/>
    </xf>
    <xf numFmtId="1" fontId="9" fillId="0" borderId="31" xfId="0" applyNumberFormat="1" applyFont="1" applyBorder="1" applyAlignment="1" applyProtection="1">
      <alignment horizontal="center" vertical="center" wrapText="1"/>
      <protection locked="0"/>
    </xf>
    <xf numFmtId="1" fontId="9" fillId="0" borderId="32" xfId="0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7" fillId="0" borderId="7" xfId="1" applyFont="1" applyBorder="1" applyAlignment="1" applyProtection="1">
      <alignment horizontal="left" vertical="top" wrapText="1"/>
      <protection locked="0"/>
    </xf>
    <xf numFmtId="0" fontId="7" fillId="0" borderId="20" xfId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9" fillId="0" borderId="7" xfId="1" applyFont="1" applyBorder="1" applyAlignment="1" applyProtection="1">
      <alignment horizontal="left" vertical="top" wrapText="1"/>
      <protection locked="0"/>
    </xf>
    <xf numFmtId="0" fontId="9" fillId="0" borderId="20" xfId="1" applyFont="1" applyBorder="1" applyAlignment="1" applyProtection="1">
      <alignment horizontal="left" vertical="top" wrapText="1"/>
      <protection locked="0"/>
    </xf>
    <xf numFmtId="0" fontId="9" fillId="0" borderId="8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14" fontId="8" fillId="0" borderId="7" xfId="1" applyNumberFormat="1" applyFont="1" applyBorder="1" applyAlignment="1" applyProtection="1">
      <alignment horizontal="left" vertical="top" wrapText="1"/>
      <protection locked="0"/>
    </xf>
    <xf numFmtId="14" fontId="8" fillId="0" borderId="8" xfId="1" applyNumberFormat="1" applyFont="1" applyBorder="1" applyAlignment="1" applyProtection="1">
      <alignment horizontal="left" vertical="top" wrapText="1"/>
      <protection locked="0"/>
    </xf>
    <xf numFmtId="0" fontId="8" fillId="0" borderId="16" xfId="1" applyFont="1" applyBorder="1" applyAlignment="1" applyProtection="1">
      <alignment horizontal="left" vertical="top" wrapText="1"/>
      <protection locked="0"/>
    </xf>
    <xf numFmtId="0" fontId="8" fillId="0" borderId="17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8" fillId="0" borderId="19" xfId="1" applyFont="1" applyBorder="1" applyAlignment="1" applyProtection="1">
      <alignment horizontal="left" vertical="top" wrapText="1"/>
      <protection locked="0"/>
    </xf>
    <xf numFmtId="0" fontId="9" fillId="0" borderId="1" xfId="1" applyFont="1" applyBorder="1" applyAlignment="1" applyProtection="1">
      <alignment horizontal="center" vertical="top"/>
      <protection locked="0"/>
    </xf>
    <xf numFmtId="14" fontId="7" fillId="0" borderId="7" xfId="1" applyNumberFormat="1" applyFont="1" applyBorder="1" applyAlignment="1" applyProtection="1">
      <alignment horizontal="left" vertical="top" wrapText="1"/>
      <protection locked="0"/>
    </xf>
    <xf numFmtId="14" fontId="7" fillId="0" borderId="8" xfId="1" applyNumberFormat="1" applyFont="1" applyBorder="1" applyAlignment="1" applyProtection="1">
      <alignment horizontal="left" vertical="top" wrapText="1"/>
      <protection locked="0"/>
    </xf>
    <xf numFmtId="0" fontId="7" fillId="0" borderId="16" xfId="1" applyFont="1" applyBorder="1" applyAlignment="1" applyProtection="1">
      <alignment horizontal="left" vertical="top" wrapText="1"/>
      <protection locked="0"/>
    </xf>
    <xf numFmtId="0" fontId="7" fillId="0" borderId="17" xfId="1" applyFont="1" applyBorder="1" applyAlignment="1" applyProtection="1">
      <alignment horizontal="left" vertical="top" wrapText="1"/>
      <protection locked="0"/>
    </xf>
    <xf numFmtId="0" fontId="7" fillId="0" borderId="18" xfId="1" applyFont="1" applyBorder="1" applyAlignment="1" applyProtection="1">
      <alignment horizontal="left" vertical="top" wrapText="1"/>
      <protection locked="0"/>
    </xf>
    <xf numFmtId="0" fontId="7" fillId="0" borderId="19" xfId="1" applyFont="1" applyBorder="1" applyAlignment="1" applyProtection="1">
      <alignment horizontal="left" vertical="top" wrapText="1"/>
      <protection locked="0"/>
    </xf>
    <xf numFmtId="166" fontId="7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vertical="top"/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" fontId="9" fillId="0" borderId="1" xfId="0" applyNumberFormat="1" applyFont="1" applyBorder="1" applyAlignment="1" applyProtection="1">
      <alignment horizontal="center" vertical="top" wrapText="1"/>
      <protection locked="0"/>
    </xf>
    <xf numFmtId="1" fontId="9" fillId="0" borderId="2" xfId="1" applyNumberFormat="1" applyFont="1" applyBorder="1" applyAlignment="1" applyProtection="1">
      <alignment horizontal="center" vertical="top" wrapText="1"/>
      <protection locked="0"/>
    </xf>
    <xf numFmtId="1" fontId="9" fillId="0" borderId="15" xfId="1" applyNumberFormat="1" applyFont="1" applyBorder="1" applyAlignment="1" applyProtection="1">
      <alignment horizontal="center" vertical="top" wrapText="1"/>
      <protection locked="0"/>
    </xf>
    <xf numFmtId="1" fontId="5" fillId="0" borderId="2" xfId="1" applyNumberFormat="1" applyFont="1" applyBorder="1" applyAlignment="1" applyProtection="1">
      <alignment horizontal="center" vertical="top" wrapText="1"/>
      <protection locked="0"/>
    </xf>
    <xf numFmtId="1" fontId="5" fillId="0" borderId="15" xfId="1" applyNumberFormat="1" applyFont="1" applyBorder="1" applyAlignment="1" applyProtection="1">
      <alignment horizontal="center" vertical="top" wrapText="1"/>
      <protection locked="0"/>
    </xf>
    <xf numFmtId="1" fontId="9" fillId="0" borderId="16" xfId="1" applyNumberFormat="1" applyFont="1" applyBorder="1" applyAlignment="1" applyProtection="1">
      <alignment horizontal="center" vertical="top" wrapText="1"/>
      <protection locked="0"/>
    </xf>
    <xf numFmtId="1" fontId="9" fillId="0" borderId="17" xfId="1" applyNumberFormat="1" applyFont="1" applyBorder="1" applyAlignment="1" applyProtection="1">
      <alignment horizontal="center" vertical="top" wrapText="1"/>
      <protection locked="0"/>
    </xf>
    <xf numFmtId="1" fontId="9" fillId="0" borderId="18" xfId="1" applyNumberFormat="1" applyFont="1" applyBorder="1" applyAlignment="1" applyProtection="1">
      <alignment horizontal="center" vertical="top" wrapText="1"/>
      <protection locked="0"/>
    </xf>
    <xf numFmtId="1" fontId="9" fillId="0" borderId="19" xfId="1" applyNumberFormat="1" applyFont="1" applyBorder="1" applyAlignment="1" applyProtection="1">
      <alignment horizontal="center" vertical="top" wrapText="1"/>
      <protection locked="0"/>
    </xf>
    <xf numFmtId="0" fontId="9" fillId="0" borderId="1" xfId="1" applyFont="1" applyBorder="1" applyAlignment="1" applyProtection="1">
      <alignment vertical="top"/>
      <protection locked="0"/>
    </xf>
    <xf numFmtId="0" fontId="11" fillId="0" borderId="1" xfId="0" applyFont="1" applyBorder="1" applyAlignment="1" applyProtection="1">
      <alignment horizontal="center" vertical="top" wrapText="1"/>
      <protection locked="0"/>
    </xf>
    <xf numFmtId="1" fontId="9" fillId="0" borderId="7" xfId="0" applyNumberFormat="1" applyFont="1" applyBorder="1" applyAlignment="1" applyProtection="1">
      <alignment vertical="top" wrapText="1"/>
      <protection locked="0"/>
    </xf>
    <xf numFmtId="1" fontId="9" fillId="0" borderId="20" xfId="0" applyNumberFormat="1" applyFont="1" applyBorder="1" applyAlignment="1" applyProtection="1">
      <alignment vertical="top" wrapText="1"/>
      <protection locked="0"/>
    </xf>
    <xf numFmtId="1" fontId="9" fillId="0" borderId="8" xfId="0" applyNumberFormat="1" applyFont="1" applyBorder="1" applyAlignment="1" applyProtection="1">
      <alignment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9" fillId="0" borderId="15" xfId="1" applyFont="1" applyBorder="1" applyAlignment="1" applyProtection="1">
      <alignment horizontal="center" vertical="top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5" fillId="0" borderId="1" xfId="1" applyFont="1" applyBorder="1" applyAlignment="1" applyProtection="1">
      <alignment horizontal="center" vertical="top" wrapText="1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1" xfId="1" applyFont="1" applyBorder="1" applyAlignment="1" applyProtection="1">
      <alignment horizontal="left" vertical="top"/>
      <protection locked="0"/>
    </xf>
    <xf numFmtId="1" fontId="9" fillId="0" borderId="1" xfId="1" applyNumberFormat="1" applyFont="1" applyBorder="1" applyAlignment="1" applyProtection="1">
      <alignment horizontal="center" vertical="center" wrapText="1"/>
      <protection locked="0"/>
    </xf>
    <xf numFmtId="1" fontId="9" fillId="0" borderId="7" xfId="0" applyNumberFormat="1" applyFont="1" applyBorder="1" applyAlignment="1" applyProtection="1">
      <alignment horizontal="center" vertical="center" wrapText="1"/>
      <protection locked="0"/>
    </xf>
    <xf numFmtId="1" fontId="9" fillId="0" borderId="20" xfId="0" applyNumberFormat="1" applyFont="1" applyBorder="1" applyAlignment="1" applyProtection="1">
      <alignment horizontal="center" vertical="center" wrapText="1"/>
      <protection locked="0"/>
    </xf>
    <xf numFmtId="1" fontId="9" fillId="0" borderId="8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4" fontId="13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wrapText="1"/>
      <protection locked="0"/>
    </xf>
    <xf numFmtId="0" fontId="13" fillId="0" borderId="1" xfId="1" applyFont="1" applyBorder="1" applyAlignment="1" applyProtection="1">
      <alignment horizontal="left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4" fillId="0" borderId="1" xfId="1" applyFont="1" applyBorder="1" applyAlignment="1" applyProtection="1">
      <alignment horizontal="center" vertical="top"/>
      <protection locked="0"/>
    </xf>
    <xf numFmtId="0" fontId="14" fillId="0" borderId="1" xfId="1" applyFont="1" applyBorder="1" applyAlignment="1" applyProtection="1">
      <alignment horizontal="center"/>
      <protection locked="0"/>
    </xf>
    <xf numFmtId="2" fontId="7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2" xfId="1" applyFont="1" applyBorder="1" applyAlignment="1" applyProtection="1">
      <alignment horizontal="left" vertical="top" wrapText="1"/>
      <protection locked="0"/>
    </xf>
    <xf numFmtId="0" fontId="13" fillId="0" borderId="2" xfId="1" applyFont="1" applyBorder="1" applyAlignment="1" applyProtection="1">
      <alignment horizontal="left" vertical="top"/>
      <protection locked="0"/>
    </xf>
    <xf numFmtId="0" fontId="13" fillId="0" borderId="16" xfId="1" applyFont="1" applyBorder="1" applyAlignment="1" applyProtection="1">
      <alignment horizontal="left" vertical="top" wrapText="1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0" fontId="13" fillId="0" borderId="17" xfId="1" applyFont="1" applyBorder="1" applyAlignment="1" applyProtection="1">
      <alignment horizontal="left" vertical="top" wrapText="1"/>
      <protection locked="0"/>
    </xf>
    <xf numFmtId="14" fontId="9" fillId="0" borderId="7" xfId="1" applyNumberFormat="1" applyFont="1" applyBorder="1" applyAlignment="1" applyProtection="1">
      <alignment horizontal="left" vertical="top"/>
      <protection locked="0"/>
    </xf>
    <xf numFmtId="0" fontId="9" fillId="0" borderId="8" xfId="1" applyFont="1" applyBorder="1" applyAlignment="1" applyProtection="1">
      <alignment horizontal="left" vertical="top"/>
      <protection locked="0"/>
    </xf>
    <xf numFmtId="0" fontId="9" fillId="0" borderId="16" xfId="1" applyFont="1" applyBorder="1" applyAlignment="1" applyProtection="1">
      <alignment horizontal="left" vertical="top" wrapText="1"/>
      <protection locked="0"/>
    </xf>
    <xf numFmtId="0" fontId="9" fillId="0" borderId="17" xfId="1" applyFont="1" applyBorder="1" applyAlignment="1" applyProtection="1">
      <alignment horizontal="left" vertical="top" wrapText="1"/>
      <protection locked="0"/>
    </xf>
    <xf numFmtId="0" fontId="9" fillId="0" borderId="18" xfId="1" applyFont="1" applyBorder="1" applyAlignment="1" applyProtection="1">
      <alignment horizontal="left" vertical="top" wrapText="1"/>
      <protection locked="0"/>
    </xf>
    <xf numFmtId="0" fontId="9" fillId="0" borderId="19" xfId="1" applyFont="1" applyBorder="1" applyAlignment="1" applyProtection="1">
      <alignment horizontal="left" vertical="top" wrapText="1"/>
      <protection locked="0"/>
    </xf>
    <xf numFmtId="0" fontId="7" fillId="0" borderId="2" xfId="1" applyFont="1" applyBorder="1" applyAlignment="1" applyProtection="1">
      <alignment horizontal="left" vertical="top" wrapText="1"/>
      <protection locked="0"/>
    </xf>
    <xf numFmtId="0" fontId="7" fillId="0" borderId="2" xfId="1" applyFont="1" applyBorder="1" applyAlignment="1" applyProtection="1">
      <alignment horizontal="left" vertical="top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1" fontId="9" fillId="0" borderId="2" xfId="0" applyNumberFormat="1" applyFont="1" applyBorder="1" applyAlignment="1" applyProtection="1">
      <alignment horizontal="center" vertical="center" wrapText="1"/>
      <protection locked="0"/>
    </xf>
    <xf numFmtId="1" fontId="11" fillId="0" borderId="1" xfId="0" applyNumberFormat="1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1" fontId="11" fillId="0" borderId="2" xfId="0" applyNumberFormat="1" applyFont="1" applyBorder="1" applyAlignment="1" applyProtection="1">
      <alignment horizontal="center" vertical="center"/>
      <protection locked="0"/>
    </xf>
    <xf numFmtId="1" fontId="9" fillId="0" borderId="1" xfId="0" applyNumberFormat="1" applyFont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 wrapText="1"/>
      <protection locked="0"/>
    </xf>
    <xf numFmtId="0" fontId="13" fillId="0" borderId="20" xfId="1" applyFont="1" applyBorder="1" applyAlignment="1" applyProtection="1">
      <alignment horizontal="left" vertical="top" wrapText="1"/>
      <protection locked="0"/>
    </xf>
    <xf numFmtId="0" fontId="27" fillId="0" borderId="1" xfId="10" applyFill="1" applyBorder="1" applyAlignment="1" applyProtection="1">
      <alignment horizontal="left" vertical="top" wrapText="1"/>
      <protection locked="0"/>
    </xf>
    <xf numFmtId="0" fontId="7" fillId="0" borderId="15" xfId="1" applyFont="1" applyBorder="1" applyAlignment="1" applyProtection="1">
      <alignment horizontal="left" vertical="top" wrapText="1"/>
      <protection locked="0"/>
    </xf>
    <xf numFmtId="1" fontId="7" fillId="0" borderId="1" xfId="1" applyNumberFormat="1" applyFont="1" applyBorder="1" applyAlignment="1" applyProtection="1">
      <alignment horizontal="left" vertical="top" wrapText="1"/>
      <protection locked="0"/>
    </xf>
    <xf numFmtId="2" fontId="7" fillId="0" borderId="1" xfId="1" applyNumberFormat="1" applyFont="1" applyBorder="1" applyAlignment="1" applyProtection="1">
      <alignment horizontal="left" vertical="top"/>
      <protection locked="0"/>
    </xf>
    <xf numFmtId="0" fontId="9" fillId="4" borderId="15" xfId="1" applyFont="1" applyFill="1" applyBorder="1" applyAlignment="1" applyProtection="1">
      <alignment horizontal="center" vertical="top"/>
      <protection locked="0"/>
    </xf>
    <xf numFmtId="0" fontId="9" fillId="4" borderId="15" xfId="1" applyFont="1" applyFill="1" applyBorder="1" applyAlignment="1" applyProtection="1">
      <alignment horizontal="left" vertical="top"/>
      <protection locked="0"/>
    </xf>
    <xf numFmtId="0" fontId="14" fillId="0" borderId="7" xfId="1" applyFont="1" applyBorder="1" applyAlignment="1" applyProtection="1">
      <alignment horizontal="left" vertical="top"/>
      <protection locked="0"/>
    </xf>
    <xf numFmtId="0" fontId="14" fillId="0" borderId="20" xfId="1" applyFont="1" applyBorder="1" applyAlignment="1" applyProtection="1">
      <alignment horizontal="left" vertical="top"/>
      <protection locked="0"/>
    </xf>
    <xf numFmtId="0" fontId="14" fillId="0" borderId="8" xfId="1" applyFont="1" applyBorder="1" applyAlignment="1" applyProtection="1">
      <alignment horizontal="left" vertical="top"/>
      <protection locked="0"/>
    </xf>
    <xf numFmtId="1" fontId="7" fillId="0" borderId="20" xfId="1" applyNumberFormat="1" applyFont="1" applyBorder="1" applyAlignment="1" applyProtection="1">
      <alignment horizontal="center" vertical="center" wrapText="1"/>
      <protection locked="0"/>
    </xf>
    <xf numFmtId="0" fontId="8" fillId="0" borderId="2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1" fillId="0" borderId="7" xfId="1" applyFont="1" applyBorder="1" applyAlignment="1" applyProtection="1">
      <alignment horizontal="left"/>
      <protection locked="0"/>
    </xf>
    <xf numFmtId="0" fontId="11" fillId="0" borderId="20" xfId="1" applyFont="1" applyBorder="1" applyAlignment="1" applyProtection="1">
      <alignment horizontal="left"/>
      <protection locked="0"/>
    </xf>
    <xf numFmtId="0" fontId="11" fillId="0" borderId="8" xfId="1" applyFont="1" applyBorder="1" applyAlignment="1" applyProtection="1">
      <alignment horizontal="left"/>
      <protection locked="0"/>
    </xf>
    <xf numFmtId="0" fontId="10" fillId="0" borderId="1" xfId="5" applyFont="1" applyBorder="1" applyAlignment="1">
      <alignment horizontal="left"/>
    </xf>
    <xf numFmtId="0" fontId="14" fillId="0" borderId="21" xfId="1" applyFont="1" applyBorder="1" applyAlignment="1" applyProtection="1">
      <alignment horizontal="left" vertical="top" wrapText="1"/>
      <protection locked="0"/>
    </xf>
    <xf numFmtId="0" fontId="14" fillId="0" borderId="14" xfId="1" applyFont="1" applyBorder="1" applyAlignment="1" applyProtection="1">
      <alignment horizontal="left" vertical="top" wrapText="1"/>
      <protection locked="0"/>
    </xf>
    <xf numFmtId="0" fontId="13" fillId="0" borderId="3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3" fillId="0" borderId="4" xfId="1" applyFont="1" applyBorder="1" applyAlignment="1" applyProtection="1">
      <alignment horizontal="center" vertical="top" wrapText="1"/>
      <protection locked="0"/>
    </xf>
    <xf numFmtId="9" fontId="13" fillId="0" borderId="1" xfId="8" applyFont="1" applyFill="1" applyBorder="1" applyAlignment="1" applyProtection="1">
      <alignment horizontal="center" vertical="top" wrapText="1"/>
      <protection locked="0"/>
    </xf>
    <xf numFmtId="9" fontId="13" fillId="0" borderId="16" xfId="8" applyFont="1" applyFill="1" applyBorder="1" applyAlignment="1" applyProtection="1">
      <alignment horizontal="center" vertical="center" wrapText="1"/>
      <protection locked="0"/>
    </xf>
    <xf numFmtId="9" fontId="13" fillId="0" borderId="17" xfId="8" applyFont="1" applyFill="1" applyBorder="1" applyAlignment="1" applyProtection="1">
      <alignment horizontal="center" vertical="center" wrapText="1"/>
      <protection locked="0"/>
    </xf>
    <xf numFmtId="9" fontId="13" fillId="0" borderId="26" xfId="8" applyFont="1" applyFill="1" applyBorder="1" applyAlignment="1" applyProtection="1">
      <alignment horizontal="center" vertical="center" wrapText="1"/>
      <protection locked="0"/>
    </xf>
    <xf numFmtId="1" fontId="13" fillId="0" borderId="1" xfId="1" applyNumberFormat="1" applyFont="1" applyBorder="1" applyAlignment="1" applyProtection="1">
      <alignment horizontal="center" vertical="top" wrapText="1"/>
      <protection locked="0"/>
    </xf>
    <xf numFmtId="9" fontId="13" fillId="0" borderId="24" xfId="8" applyFont="1" applyFill="1" applyBorder="1" applyAlignment="1" applyProtection="1">
      <alignment horizontal="center" vertical="center" wrapText="1"/>
      <protection locked="0"/>
    </xf>
    <xf numFmtId="9" fontId="13" fillId="0" borderId="25" xfId="8" applyFont="1" applyFill="1" applyBorder="1" applyAlignment="1" applyProtection="1">
      <alignment horizontal="center" vertical="center" wrapText="1"/>
      <protection locked="0"/>
    </xf>
    <xf numFmtId="9" fontId="13" fillId="0" borderId="9" xfId="8" applyFont="1" applyFill="1" applyBorder="1" applyAlignment="1" applyProtection="1">
      <alignment horizontal="center" vertical="center" wrapText="1"/>
      <protection locked="0"/>
    </xf>
    <xf numFmtId="0" fontId="13" fillId="0" borderId="5" xfId="1" applyFont="1" applyBorder="1" applyAlignment="1" applyProtection="1">
      <alignment horizontal="center" vertical="top" wrapText="1"/>
      <protection locked="0"/>
    </xf>
    <xf numFmtId="0" fontId="13" fillId="0" borderId="6" xfId="1" applyFont="1" applyBorder="1" applyAlignment="1" applyProtection="1">
      <alignment horizontal="center" vertical="top" wrapText="1"/>
      <protection locked="0"/>
    </xf>
    <xf numFmtId="0" fontId="13" fillId="0" borderId="6" xfId="1" applyFont="1" applyBorder="1" applyAlignment="1" applyProtection="1">
      <alignment horizontal="center" vertical="top" wrapText="1"/>
      <protection locked="0"/>
    </xf>
    <xf numFmtId="9" fontId="13" fillId="0" borderId="6" xfId="8" applyFont="1" applyFill="1" applyBorder="1" applyAlignment="1" applyProtection="1">
      <alignment horizontal="center" vertical="top" wrapText="1"/>
      <protection locked="0"/>
    </xf>
    <xf numFmtId="9" fontId="13" fillId="0" borderId="27" xfId="8" applyFont="1" applyFill="1" applyBorder="1" applyAlignment="1" applyProtection="1">
      <alignment horizontal="center" vertical="center" wrapText="1"/>
      <protection locked="0"/>
    </xf>
    <xf numFmtId="9" fontId="13" fillId="0" borderId="28" xfId="8" applyFont="1" applyFill="1" applyBorder="1" applyAlignment="1" applyProtection="1">
      <alignment horizontal="center" vertical="center" wrapText="1"/>
      <protection locked="0"/>
    </xf>
    <xf numFmtId="9" fontId="13" fillId="0" borderId="11" xfId="8" applyFont="1" applyFill="1" applyBorder="1" applyAlignment="1" applyProtection="1">
      <alignment horizontal="center" vertical="center" wrapText="1"/>
      <protection locked="0"/>
    </xf>
    <xf numFmtId="0" fontId="8" fillId="0" borderId="3" xfId="1" applyFont="1" applyBorder="1" applyAlignment="1" applyProtection="1">
      <alignment horizontal="center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</cellXfs>
  <cellStyles count="15">
    <cellStyle name="Comma" xfId="9" builtinId="3"/>
    <cellStyle name="Comma 2" xfId="6"/>
    <cellStyle name="Comma 2 2" xfId="14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2 2" xfId="12"/>
    <cellStyle name="Normal 3" xfId="1"/>
    <cellStyle name="Normal 3 2" xfId="11"/>
    <cellStyle name="Normal 3 3" xfId="7"/>
    <cellStyle name="Normal 4" xfId="5"/>
    <cellStyle name="Normal 4 2" xfId="13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pn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e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g"/><Relationship Id="rId24" Type="http://schemas.openxmlformats.org/officeDocument/2006/relationships/image" Target="../media/image24.jpeg"/><Relationship Id="rId5" Type="http://schemas.openxmlformats.org/officeDocument/2006/relationships/image" Target="../media/image5.png"/><Relationship Id="rId15" Type="http://schemas.openxmlformats.org/officeDocument/2006/relationships/image" Target="../media/image15.jpg"/><Relationship Id="rId23" Type="http://schemas.openxmlformats.org/officeDocument/2006/relationships/image" Target="../media/image23.jpeg"/><Relationship Id="rId10" Type="http://schemas.openxmlformats.org/officeDocument/2006/relationships/image" Target="../media/image10.jp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7.png"/><Relationship Id="rId1" Type="http://schemas.openxmlformats.org/officeDocument/2006/relationships/image" Target="../media/image2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558</xdr:row>
      <xdr:rowOff>28575</xdr:rowOff>
    </xdr:from>
    <xdr:to>
      <xdr:col>7</xdr:col>
      <xdr:colOff>1290</xdr:colOff>
      <xdr:row>574</xdr:row>
      <xdr:rowOff>68175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38200" y="73113900"/>
          <a:ext cx="5257358" cy="32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28575</xdr:colOff>
      <xdr:row>575</xdr:row>
      <xdr:rowOff>85725</xdr:rowOff>
    </xdr:from>
    <xdr:to>
      <xdr:col>7</xdr:col>
      <xdr:colOff>1292</xdr:colOff>
      <xdr:row>591</xdr:row>
      <xdr:rowOff>125325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47725" y="76571475"/>
          <a:ext cx="5257360" cy="32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9</xdr:col>
      <xdr:colOff>449580</xdr:colOff>
      <xdr:row>520</xdr:row>
      <xdr:rowOff>22860</xdr:rowOff>
    </xdr:from>
    <xdr:to>
      <xdr:col>13</xdr:col>
      <xdr:colOff>544098</xdr:colOff>
      <xdr:row>539</xdr:row>
      <xdr:rowOff>80031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313420" y="103700580"/>
          <a:ext cx="3203478" cy="3821452"/>
        </a:xfrm>
        <a:prstGeom prst="rect">
          <a:avLst/>
        </a:prstGeom>
      </xdr:spPr>
    </xdr:pic>
    <xdr:clientData/>
  </xdr:twoCellAnchor>
  <xdr:twoCellAnchor editAs="oneCell">
    <xdr:from>
      <xdr:col>13</xdr:col>
      <xdr:colOff>706755</xdr:colOff>
      <xdr:row>520</xdr:row>
      <xdr:rowOff>22860</xdr:rowOff>
    </xdr:from>
    <xdr:to>
      <xdr:col>18</xdr:col>
      <xdr:colOff>300258</xdr:colOff>
      <xdr:row>539</xdr:row>
      <xdr:rowOff>80031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679555" y="103700580"/>
          <a:ext cx="3174903" cy="3821452"/>
        </a:xfrm>
        <a:prstGeom prst="rect">
          <a:avLst/>
        </a:prstGeom>
      </xdr:spPr>
    </xdr:pic>
    <xdr:clientData/>
  </xdr:twoCellAnchor>
  <xdr:twoCellAnchor editAs="oneCell">
    <xdr:from>
      <xdr:col>11</xdr:col>
      <xdr:colOff>289463</xdr:colOff>
      <xdr:row>540</xdr:row>
      <xdr:rowOff>49014</xdr:rowOff>
    </xdr:from>
    <xdr:to>
      <xdr:col>15</xdr:col>
      <xdr:colOff>307243</xdr:colOff>
      <xdr:row>559</xdr:row>
      <xdr:rowOff>104281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723023" y="107689134"/>
          <a:ext cx="3096260" cy="3819546"/>
        </a:xfrm>
        <a:prstGeom prst="rect">
          <a:avLst/>
        </a:prstGeom>
      </xdr:spPr>
    </xdr:pic>
    <xdr:clientData/>
  </xdr:twoCellAnchor>
  <xdr:twoCellAnchor>
    <xdr:from>
      <xdr:col>1</xdr:col>
      <xdr:colOff>348624</xdr:colOff>
      <xdr:row>486</xdr:row>
      <xdr:rowOff>2556</xdr:rowOff>
    </xdr:from>
    <xdr:to>
      <xdr:col>3</xdr:col>
      <xdr:colOff>101843</xdr:colOff>
      <xdr:row>487</xdr:row>
      <xdr:rowOff>183207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1167774" y="66687081"/>
          <a:ext cx="1524869" cy="380676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N"/>
        </a:p>
      </xdr:txBody>
    </xdr:sp>
    <xdr:clientData/>
  </xdr:twoCellAnchor>
  <xdr:twoCellAnchor editAs="oneCell">
    <xdr:from>
      <xdr:col>0</xdr:col>
      <xdr:colOff>381000</xdr:colOff>
      <xdr:row>515</xdr:row>
      <xdr:rowOff>104775</xdr:rowOff>
    </xdr:from>
    <xdr:to>
      <xdr:col>7</xdr:col>
      <xdr:colOff>445050</xdr:colOff>
      <xdr:row>528</xdr:row>
      <xdr:rowOff>137594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0" y="104117775"/>
          <a:ext cx="5760000" cy="263314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693958</xdr:colOff>
      <xdr:row>529</xdr:row>
      <xdr:rowOff>20308</xdr:rowOff>
    </xdr:from>
    <xdr:to>
      <xdr:col>6</xdr:col>
      <xdr:colOff>141058</xdr:colOff>
      <xdr:row>544</xdr:row>
      <xdr:rowOff>51512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55958" y="106833658"/>
          <a:ext cx="3600000" cy="303157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412349</xdr:colOff>
      <xdr:row>544</xdr:row>
      <xdr:rowOff>143781</xdr:rowOff>
    </xdr:from>
    <xdr:to>
      <xdr:col>5</xdr:col>
      <xdr:colOff>457199</xdr:colOff>
      <xdr:row>555</xdr:row>
      <xdr:rowOff>10852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15862" y="109169416"/>
          <a:ext cx="2682033" cy="205367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</xdr:col>
      <xdr:colOff>574094</xdr:colOff>
      <xdr:row>480</xdr:row>
      <xdr:rowOff>15273</xdr:rowOff>
    </xdr:from>
    <xdr:to>
      <xdr:col>16</xdr:col>
      <xdr:colOff>601914</xdr:colOff>
      <xdr:row>516</xdr:row>
      <xdr:rowOff>65194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B68595AC-6791-D679-B941-643F2C6E7039}"/>
            </a:ext>
          </a:extLst>
        </xdr:cNvPr>
        <xdr:cNvGrpSpPr/>
      </xdr:nvGrpSpPr>
      <xdr:grpSpPr>
        <a:xfrm>
          <a:off x="1336094" y="99048059"/>
          <a:ext cx="12219820" cy="7397778"/>
          <a:chOff x="-4914416" y="150378"/>
          <a:chExt cx="11067699" cy="7188229"/>
        </a:xfrm>
      </xdr:grpSpPr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3CBA1161-892F-4814-FA71-77768FD8D99E}"/>
              </a:ext>
            </a:extLst>
          </xdr:cNvPr>
          <xdr:cNvGrpSpPr/>
        </xdr:nvGrpSpPr>
        <xdr:grpSpPr>
          <a:xfrm>
            <a:off x="981727" y="5524500"/>
            <a:ext cx="4358587" cy="1814107"/>
            <a:chOff x="1109929" y="5524500"/>
            <a:chExt cx="4358587" cy="1814107"/>
          </a:xfrm>
        </xdr:grpSpPr>
        <xdr:pic>
          <xdr:nvPicPr>
            <xdr:cNvPr id="26" name="Picture 25">
              <a:extLst>
                <a:ext uri="{FF2B5EF4-FFF2-40B4-BE49-F238E27FC236}">
                  <a16:creationId xmlns:a16="http://schemas.microsoft.com/office/drawing/2014/main" id="{2A31D9B4-FB0D-CA79-AA47-8AA20831016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109929" y="5524500"/>
              <a:ext cx="1353766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7" name="Picture 26">
              <a:extLst>
                <a:ext uri="{FF2B5EF4-FFF2-40B4-BE49-F238E27FC236}">
                  <a16:creationId xmlns:a16="http://schemas.microsoft.com/office/drawing/2014/main" id="{36154391-5916-B203-FE47-1A7F5EDB10D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114750" y="5538607"/>
              <a:ext cx="1353766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8" name="Picture 27">
              <a:extLst>
                <a:ext uri="{FF2B5EF4-FFF2-40B4-BE49-F238E27FC236}">
                  <a16:creationId xmlns:a16="http://schemas.microsoft.com/office/drawing/2014/main" id="{9ACB2910-93A1-D1FE-410D-CECFB00929A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615160" y="5538607"/>
              <a:ext cx="1348125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91A602B7-D534-57D2-A6DC-D8D3886456C3}"/>
              </a:ext>
            </a:extLst>
          </xdr:cNvPr>
          <xdr:cNvGrpSpPr/>
        </xdr:nvGrpSpPr>
        <xdr:grpSpPr>
          <a:xfrm>
            <a:off x="168758" y="2843273"/>
            <a:ext cx="5984525" cy="2520000"/>
            <a:chOff x="168758" y="2843273"/>
            <a:chExt cx="5984525" cy="2520000"/>
          </a:xfrm>
        </xdr:grpSpPr>
        <xdr:pic>
          <xdr:nvPicPr>
            <xdr:cNvPr id="19" name="Picture 18">
              <a:extLst>
                <a:ext uri="{FF2B5EF4-FFF2-40B4-BE49-F238E27FC236}">
                  <a16:creationId xmlns:a16="http://schemas.microsoft.com/office/drawing/2014/main" id="{ED4FCA61-46F6-A8A2-A984-44C27D852C4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258011" y="2843273"/>
              <a:ext cx="1895272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0" name="Picture 19">
              <a:extLst>
                <a:ext uri="{FF2B5EF4-FFF2-40B4-BE49-F238E27FC236}">
                  <a16:creationId xmlns:a16="http://schemas.microsoft.com/office/drawing/2014/main" id="{E59B2695-C831-61E0-AB23-2B742073B42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219478" y="2843273"/>
              <a:ext cx="1895272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2" name="Picture 21">
              <a:extLst>
                <a:ext uri="{FF2B5EF4-FFF2-40B4-BE49-F238E27FC236}">
                  <a16:creationId xmlns:a16="http://schemas.microsoft.com/office/drawing/2014/main" id="{F85947B4-B315-4A8F-3AB8-46621C2A679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68758" y="2843273"/>
              <a:ext cx="1895272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23" name="TextBox 32">
              <a:extLst>
                <a:ext uri="{FF2B5EF4-FFF2-40B4-BE49-F238E27FC236}">
                  <a16:creationId xmlns:a16="http://schemas.microsoft.com/office/drawing/2014/main" id="{C11458C2-7A0F-43C3-C52C-F858AA5FB1C6}"/>
                </a:ext>
              </a:extLst>
            </xdr:cNvPr>
            <xdr:cNvSpPr txBox="1"/>
          </xdr:nvSpPr>
          <xdr:spPr>
            <a:xfrm>
              <a:off x="3289223" y="2843273"/>
              <a:ext cx="441146" cy="3693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IN" b="1"/>
                <a:t>3A</a:t>
              </a:r>
            </a:p>
          </xdr:txBody>
        </xdr:sp>
        <xdr:sp macro="" textlink="">
          <xdr:nvSpPr>
            <xdr:cNvPr id="24" name="TextBox 33">
              <a:extLst>
                <a:ext uri="{FF2B5EF4-FFF2-40B4-BE49-F238E27FC236}">
                  <a16:creationId xmlns:a16="http://schemas.microsoft.com/office/drawing/2014/main" id="{DB2F7CAD-F4BF-3810-2CDB-81FBB7B4E092}"/>
                </a:ext>
              </a:extLst>
            </xdr:cNvPr>
            <xdr:cNvSpPr txBox="1"/>
          </xdr:nvSpPr>
          <xdr:spPr>
            <a:xfrm>
              <a:off x="5546543" y="3108846"/>
              <a:ext cx="431528" cy="3693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IN" b="1"/>
                <a:t>3B</a:t>
              </a:r>
            </a:p>
          </xdr:txBody>
        </xdr:sp>
        <xdr:sp macro="" textlink="">
          <xdr:nvSpPr>
            <xdr:cNvPr id="25" name="TextBox 34">
              <a:extLst>
                <a:ext uri="{FF2B5EF4-FFF2-40B4-BE49-F238E27FC236}">
                  <a16:creationId xmlns:a16="http://schemas.microsoft.com/office/drawing/2014/main" id="{87DADC70-41EC-4D70-EEA1-EE9F1F5B4CA1}"/>
                </a:ext>
              </a:extLst>
            </xdr:cNvPr>
            <xdr:cNvSpPr txBox="1"/>
          </xdr:nvSpPr>
          <xdr:spPr>
            <a:xfrm>
              <a:off x="1019802" y="2924180"/>
              <a:ext cx="431528" cy="3693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IN" b="1"/>
                <a:t>2B</a:t>
              </a:r>
            </a:p>
          </xdr:txBody>
        </xdr:sp>
      </xdr:grpSp>
      <xdr:grpSp>
        <xdr:nvGrpSpPr>
          <xdr:cNvPr id="7" name="Group 6">
            <a:extLst>
              <a:ext uri="{FF2B5EF4-FFF2-40B4-BE49-F238E27FC236}">
                <a16:creationId xmlns:a16="http://schemas.microsoft.com/office/drawing/2014/main" id="{5207CA76-69D1-0D62-1BB3-288B3DB2A63C}"/>
              </a:ext>
            </a:extLst>
          </xdr:cNvPr>
          <xdr:cNvGrpSpPr/>
        </xdr:nvGrpSpPr>
        <xdr:grpSpPr>
          <a:xfrm>
            <a:off x="-4914416" y="150378"/>
            <a:ext cx="11059819" cy="2531668"/>
            <a:chOff x="-4922295" y="150378"/>
            <a:chExt cx="11059819" cy="2531668"/>
          </a:xfrm>
        </xdr:grpSpPr>
        <xdr:pic>
          <xdr:nvPicPr>
            <xdr:cNvPr id="8" name="Picture 7">
              <a:extLst>
                <a:ext uri="{FF2B5EF4-FFF2-40B4-BE49-F238E27FC236}">
                  <a16:creationId xmlns:a16="http://schemas.microsoft.com/office/drawing/2014/main" id="{35986C9C-67A6-FF3F-B8BF-9D4FD86B0BB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205505" y="162046"/>
              <a:ext cx="1895272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2" name="Picture 11">
              <a:extLst>
                <a:ext uri="{FF2B5EF4-FFF2-40B4-BE49-F238E27FC236}">
                  <a16:creationId xmlns:a16="http://schemas.microsoft.com/office/drawing/2014/main" id="{D70965E7-3C4A-28E0-5FB9-2C103EC6E02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242252" y="162046"/>
              <a:ext cx="1895272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3" name="Picture 12">
              <a:extLst>
                <a:ext uri="{FF2B5EF4-FFF2-40B4-BE49-F238E27FC236}">
                  <a16:creationId xmlns:a16="http://schemas.microsoft.com/office/drawing/2014/main" id="{F4743143-63A9-503A-A677-93E9B72ED6E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68758" y="162046"/>
              <a:ext cx="1895272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14" name="Rectangle 13">
              <a:extLst>
                <a:ext uri="{FF2B5EF4-FFF2-40B4-BE49-F238E27FC236}">
                  <a16:creationId xmlns:a16="http://schemas.microsoft.com/office/drawing/2014/main" id="{034EE562-2499-C3F0-D976-1E733D6A615F}"/>
                </a:ext>
              </a:extLst>
            </xdr:cNvPr>
            <xdr:cNvSpPr/>
          </xdr:nvSpPr>
          <xdr:spPr>
            <a:xfrm rot="291329">
              <a:off x="1076325" y="1402080"/>
              <a:ext cx="89535" cy="53340"/>
            </a:xfrm>
            <a:prstGeom prst="rect">
              <a:avLst/>
            </a:prstGeom>
            <a:solidFill>
              <a:srgbClr val="9DA0A0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/>
            </a:p>
          </xdr:txBody>
        </xdr:sp>
        <xdr:sp macro="" textlink="">
          <xdr:nvSpPr>
            <xdr:cNvPr id="15" name="Rectangle 14">
              <a:extLst>
                <a:ext uri="{FF2B5EF4-FFF2-40B4-BE49-F238E27FC236}">
                  <a16:creationId xmlns:a16="http://schemas.microsoft.com/office/drawing/2014/main" id="{CA4017A5-A222-7EA6-61A7-34AB84457E9D}"/>
                </a:ext>
              </a:extLst>
            </xdr:cNvPr>
            <xdr:cNvSpPr/>
          </xdr:nvSpPr>
          <xdr:spPr>
            <a:xfrm rot="291329">
              <a:off x="3108105" y="1395757"/>
              <a:ext cx="98791" cy="59282"/>
            </a:xfrm>
            <a:prstGeom prst="rect">
              <a:avLst/>
            </a:prstGeom>
            <a:solidFill>
              <a:srgbClr val="36352D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/>
            </a:p>
          </xdr:txBody>
        </xdr:sp>
        <xdr:sp macro="" textlink="">
          <xdr:nvSpPr>
            <xdr:cNvPr id="16" name="TextBox 35">
              <a:extLst>
                <a:ext uri="{FF2B5EF4-FFF2-40B4-BE49-F238E27FC236}">
                  <a16:creationId xmlns:a16="http://schemas.microsoft.com/office/drawing/2014/main" id="{32715AE7-BC3F-4C7B-383A-1AE197E20CC9}"/>
                </a:ext>
              </a:extLst>
            </xdr:cNvPr>
            <xdr:cNvSpPr txBox="1"/>
          </xdr:nvSpPr>
          <xdr:spPr>
            <a:xfrm>
              <a:off x="5546543" y="150378"/>
              <a:ext cx="441146" cy="3693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IN" b="1"/>
                <a:t>2A</a:t>
              </a:r>
            </a:p>
          </xdr:txBody>
        </xdr:sp>
        <xdr:sp macro="" textlink="">
          <xdr:nvSpPr>
            <xdr:cNvPr id="17" name="TextBox 36">
              <a:extLst>
                <a:ext uri="{FF2B5EF4-FFF2-40B4-BE49-F238E27FC236}">
                  <a16:creationId xmlns:a16="http://schemas.microsoft.com/office/drawing/2014/main" id="{FCC3AE5C-3AD8-299A-E537-945C38AC4341}"/>
                </a:ext>
              </a:extLst>
            </xdr:cNvPr>
            <xdr:cNvSpPr txBox="1"/>
          </xdr:nvSpPr>
          <xdr:spPr>
            <a:xfrm>
              <a:off x="3509796" y="150378"/>
              <a:ext cx="441146" cy="3693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IN" b="1"/>
                <a:t>1B</a:t>
              </a:r>
            </a:p>
          </xdr:txBody>
        </xdr:sp>
        <xdr:sp macro="" textlink="">
          <xdr:nvSpPr>
            <xdr:cNvPr id="18" name="TextBox 37">
              <a:extLst>
                <a:ext uri="{FF2B5EF4-FFF2-40B4-BE49-F238E27FC236}">
                  <a16:creationId xmlns:a16="http://schemas.microsoft.com/office/drawing/2014/main" id="{872658EF-6724-0EDA-7E4C-DB50D5498163}"/>
                </a:ext>
              </a:extLst>
            </xdr:cNvPr>
            <xdr:cNvSpPr txBox="1"/>
          </xdr:nvSpPr>
          <xdr:spPr>
            <a:xfrm>
              <a:off x="578656" y="162046"/>
              <a:ext cx="441146" cy="3693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IN" b="1"/>
                <a:t>1A</a:t>
              </a:r>
            </a:p>
          </xdr:txBody>
        </xdr:sp>
        <xdr:sp macro="" textlink="">
          <xdr:nvSpPr>
            <xdr:cNvPr id="70" name="TextBox 37">
              <a:extLst>
                <a:ext uri="{FF2B5EF4-FFF2-40B4-BE49-F238E27FC236}">
                  <a16:creationId xmlns:a16="http://schemas.microsoft.com/office/drawing/2014/main" id="{872658EF-6724-0EDA-7E4C-DB50D5498163}"/>
                </a:ext>
              </a:extLst>
            </xdr:cNvPr>
            <xdr:cNvSpPr txBox="1"/>
          </xdr:nvSpPr>
          <xdr:spPr>
            <a:xfrm>
              <a:off x="-4922295" y="591577"/>
              <a:ext cx="441146" cy="3693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IN" b="1"/>
                <a:t>1A</a:t>
              </a:r>
            </a:p>
          </xdr:txBody>
        </xdr:sp>
      </xdr:grpSp>
    </xdr:grpSp>
    <xdr:clientData/>
  </xdr:twoCellAnchor>
  <xdr:twoCellAnchor>
    <xdr:from>
      <xdr:col>9</xdr:col>
      <xdr:colOff>0</xdr:colOff>
      <xdr:row>460</xdr:row>
      <xdr:rowOff>0</xdr:rowOff>
    </xdr:from>
    <xdr:to>
      <xdr:col>9</xdr:col>
      <xdr:colOff>571500</xdr:colOff>
      <xdr:row>462</xdr:row>
      <xdr:rowOff>57150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7648575" y="92811600"/>
          <a:ext cx="571500" cy="457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N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Raheja Solaris 1, 2 &amp; 3</a:t>
          </a:r>
        </a:p>
      </xdr:txBody>
    </xdr:sp>
    <xdr:clientData/>
  </xdr:twoCellAnchor>
  <xdr:twoCellAnchor>
    <xdr:from>
      <xdr:col>0</xdr:col>
      <xdr:colOff>95250</xdr:colOff>
      <xdr:row>473</xdr:row>
      <xdr:rowOff>93723</xdr:rowOff>
    </xdr:from>
    <xdr:to>
      <xdr:col>7</xdr:col>
      <xdr:colOff>95250</xdr:colOff>
      <xdr:row>512</xdr:row>
      <xdr:rowOff>100854</xdr:rowOff>
    </xdr:to>
    <xdr:grpSp>
      <xdr:nvGrpSpPr>
        <xdr:cNvPr id="29" name="Group 28"/>
        <xdr:cNvGrpSpPr/>
      </xdr:nvGrpSpPr>
      <xdr:grpSpPr>
        <a:xfrm>
          <a:off x="95250" y="97711366"/>
          <a:ext cx="5674179" cy="7953702"/>
          <a:chOff x="95250" y="96486804"/>
          <a:chExt cx="5658971" cy="7862373"/>
        </a:xfrm>
      </xdr:grpSpPr>
      <xdr:grpSp>
        <xdr:nvGrpSpPr>
          <xdr:cNvPr id="47" name="Group 46"/>
          <xdr:cNvGrpSpPr/>
        </xdr:nvGrpSpPr>
        <xdr:grpSpPr>
          <a:xfrm>
            <a:off x="95250" y="96486804"/>
            <a:ext cx="5658971" cy="7862373"/>
            <a:chOff x="951924" y="323585"/>
            <a:chExt cx="5179989" cy="7140715"/>
          </a:xfrm>
        </xdr:grpSpPr>
        <xdr:pic>
          <xdr:nvPicPr>
            <xdr:cNvPr id="62" name="Picture 61" descr="https://vsjcllp.vsjadon.com/upload/insp-239718-1525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973841" y="5791202"/>
              <a:ext cx="1258745" cy="1673098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3" name="Picture 62" descr="https://vsjcllp.vsjadon.com/upload/insp-239718-844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601541" y="5791202"/>
              <a:ext cx="1258745" cy="1673098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4" name="Picture 63" descr="https://vsjcllp.vsjadon.com/upload/insp-239718-860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506850" y="3516400"/>
              <a:ext cx="1625063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5" name="Picture 64" descr="https://vsjcllp.vsjadon.com/upload/insp-239718-871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729387" y="3516400"/>
              <a:ext cx="1625063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6" name="Picture 65" descr="https://vsjcllp.vsjadon.com/upload/insp-239718-877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47409" y="323585"/>
              <a:ext cx="2293442" cy="3048396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7" name="Picture 66" descr="https://vsjcllp.vsjadon.com/upload/insp-239718-940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776425" y="329988"/>
              <a:ext cx="2293442" cy="3048396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8" name="Picture 67" descr="https://vsjcllp.vsjadon.com/upload/insp-239718-1022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51924" y="3516400"/>
              <a:ext cx="1625063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9" name="Picture 68" descr="https://vsjcllp.vsjadon.com/upload/insp-239718-883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67500" y="5791202"/>
              <a:ext cx="1253517" cy="1673098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72" name="TextBox 37">
            <a:extLst>
              <a:ext uri="{FF2B5EF4-FFF2-40B4-BE49-F238E27FC236}">
                <a16:creationId xmlns:a16="http://schemas.microsoft.com/office/drawing/2014/main" id="{872658EF-6724-0EDA-7E4C-DB50D5498163}"/>
              </a:ext>
            </a:extLst>
          </xdr:cNvPr>
          <xdr:cNvSpPr txBox="1"/>
        </xdr:nvSpPr>
        <xdr:spPr>
          <a:xfrm>
            <a:off x="798642" y="96646246"/>
            <a:ext cx="487068" cy="375780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1A</a:t>
            </a:r>
          </a:p>
        </xdr:txBody>
      </xdr:sp>
      <xdr:sp macro="" textlink="">
        <xdr:nvSpPr>
          <xdr:cNvPr id="73" name="TextBox 37">
            <a:extLst>
              <a:ext uri="{FF2B5EF4-FFF2-40B4-BE49-F238E27FC236}">
                <a16:creationId xmlns:a16="http://schemas.microsoft.com/office/drawing/2014/main" id="{872658EF-6724-0EDA-7E4C-DB50D5498163}"/>
              </a:ext>
            </a:extLst>
          </xdr:cNvPr>
          <xdr:cNvSpPr txBox="1"/>
        </xdr:nvSpPr>
        <xdr:spPr>
          <a:xfrm>
            <a:off x="4510368" y="96740382"/>
            <a:ext cx="487068" cy="375780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1B</a:t>
            </a:r>
          </a:p>
        </xdr:txBody>
      </xdr:sp>
      <xdr:sp macro="" textlink="">
        <xdr:nvSpPr>
          <xdr:cNvPr id="74" name="TextBox 37">
            <a:extLst>
              <a:ext uri="{FF2B5EF4-FFF2-40B4-BE49-F238E27FC236}">
                <a16:creationId xmlns:a16="http://schemas.microsoft.com/office/drawing/2014/main" id="{872658EF-6724-0EDA-7E4C-DB50D5498163}"/>
              </a:ext>
            </a:extLst>
          </xdr:cNvPr>
          <xdr:cNvSpPr txBox="1"/>
        </xdr:nvSpPr>
        <xdr:spPr>
          <a:xfrm>
            <a:off x="207309" y="100247824"/>
            <a:ext cx="487068" cy="375780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2A</a:t>
            </a:r>
          </a:p>
        </xdr:txBody>
      </xdr:sp>
      <xdr:sp macro="" textlink="">
        <xdr:nvSpPr>
          <xdr:cNvPr id="75" name="TextBox 37">
            <a:extLst>
              <a:ext uri="{FF2B5EF4-FFF2-40B4-BE49-F238E27FC236}">
                <a16:creationId xmlns:a16="http://schemas.microsoft.com/office/drawing/2014/main" id="{872658EF-6724-0EDA-7E4C-DB50D5498163}"/>
              </a:ext>
            </a:extLst>
          </xdr:cNvPr>
          <xdr:cNvSpPr txBox="1"/>
        </xdr:nvSpPr>
        <xdr:spPr>
          <a:xfrm>
            <a:off x="2381250" y="100068530"/>
            <a:ext cx="487068" cy="375780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2B</a:t>
            </a:r>
          </a:p>
        </xdr:txBody>
      </xdr:sp>
      <xdr:sp macro="" textlink="">
        <xdr:nvSpPr>
          <xdr:cNvPr id="76" name="TextBox 37">
            <a:extLst>
              <a:ext uri="{FF2B5EF4-FFF2-40B4-BE49-F238E27FC236}">
                <a16:creationId xmlns:a16="http://schemas.microsoft.com/office/drawing/2014/main" id="{872658EF-6724-0EDA-7E4C-DB50D5498163}"/>
              </a:ext>
            </a:extLst>
          </xdr:cNvPr>
          <xdr:cNvSpPr txBox="1"/>
        </xdr:nvSpPr>
        <xdr:spPr>
          <a:xfrm>
            <a:off x="5261162" y="100090941"/>
            <a:ext cx="487068" cy="375780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3A</a:t>
            </a:r>
          </a:p>
        </xdr:txBody>
      </xdr:sp>
      <xdr:sp macro="" textlink="">
        <xdr:nvSpPr>
          <xdr:cNvPr id="77" name="TextBox 37">
            <a:extLst>
              <a:ext uri="{FF2B5EF4-FFF2-40B4-BE49-F238E27FC236}">
                <a16:creationId xmlns:a16="http://schemas.microsoft.com/office/drawing/2014/main" id="{872658EF-6724-0EDA-7E4C-DB50D5498163}"/>
              </a:ext>
            </a:extLst>
          </xdr:cNvPr>
          <xdr:cNvSpPr txBox="1"/>
        </xdr:nvSpPr>
        <xdr:spPr>
          <a:xfrm>
            <a:off x="1395133" y="102545030"/>
            <a:ext cx="487068" cy="375780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3B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XPhj2KJXtdMygv649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557"/>
  <sheetViews>
    <sheetView tabSelected="1" view="pageBreakPreview" topLeftCell="A484" zoomScale="70" zoomScaleNormal="100" zoomScaleSheetLayoutView="70" workbookViewId="0">
      <selection activeCell="S501" sqref="S501:T501"/>
    </sheetView>
  </sheetViews>
  <sheetFormatPr defaultColWidth="9.140625" defaultRowHeight="15.75" x14ac:dyDescent="0.25"/>
  <cols>
    <col min="1" max="1" width="11.42578125" style="40" customWidth="1"/>
    <col min="2" max="2" width="12" style="40" customWidth="1"/>
    <col min="3" max="3" width="12.5703125" style="40" customWidth="1"/>
    <col min="4" max="4" width="14.140625" style="40" customWidth="1"/>
    <col min="5" max="7" width="11.5703125" style="40" customWidth="1"/>
    <col min="8" max="8" width="12.42578125" style="40" customWidth="1"/>
    <col min="9" max="9" width="17.42578125" style="21" customWidth="1"/>
    <col min="10" max="10" width="11.42578125" style="21" customWidth="1"/>
    <col min="11" max="11" width="11.42578125" style="21" bestFit="1" customWidth="1"/>
    <col min="12" max="12" width="10.5703125" style="21" customWidth="1"/>
    <col min="13" max="13" width="11.85546875" style="21" customWidth="1"/>
    <col min="14" max="14" width="12.5703125" style="21" customWidth="1"/>
    <col min="15" max="15" width="9.85546875" style="21" customWidth="1"/>
    <col min="16" max="16" width="11.5703125" style="21" customWidth="1"/>
    <col min="17" max="247" width="9.140625" style="21"/>
    <col min="248" max="248" width="8.5703125" style="21" customWidth="1"/>
    <col min="249" max="249" width="9.85546875" style="21" customWidth="1"/>
    <col min="250" max="250" width="14.42578125" style="21" customWidth="1"/>
    <col min="251" max="251" width="7.42578125" style="21" customWidth="1"/>
    <col min="252" max="252" width="5.5703125" style="21" customWidth="1"/>
    <col min="253" max="253" width="9" style="21" customWidth="1"/>
    <col min="254" max="255" width="9.85546875" style="21" customWidth="1"/>
    <col min="256" max="256" width="11.140625" style="21" customWidth="1"/>
    <col min="257" max="257" width="2.85546875" style="21" customWidth="1"/>
    <col min="258" max="258" width="3.5703125" style="21" customWidth="1"/>
    <col min="259" max="503" width="9.140625" style="21"/>
    <col min="504" max="504" width="8.5703125" style="21" customWidth="1"/>
    <col min="505" max="505" width="9.85546875" style="21" customWidth="1"/>
    <col min="506" max="506" width="14.42578125" style="21" customWidth="1"/>
    <col min="507" max="507" width="7.42578125" style="21" customWidth="1"/>
    <col min="508" max="508" width="5.5703125" style="21" customWidth="1"/>
    <col min="509" max="509" width="9" style="21" customWidth="1"/>
    <col min="510" max="511" width="9.85546875" style="21" customWidth="1"/>
    <col min="512" max="512" width="11.140625" style="21" customWidth="1"/>
    <col min="513" max="513" width="2.85546875" style="21" customWidth="1"/>
    <col min="514" max="514" width="3.5703125" style="21" customWidth="1"/>
    <col min="515" max="759" width="9.140625" style="21"/>
    <col min="760" max="760" width="8.5703125" style="21" customWidth="1"/>
    <col min="761" max="761" width="9.85546875" style="21" customWidth="1"/>
    <col min="762" max="762" width="14.42578125" style="21" customWidth="1"/>
    <col min="763" max="763" width="7.42578125" style="21" customWidth="1"/>
    <col min="764" max="764" width="5.5703125" style="21" customWidth="1"/>
    <col min="765" max="765" width="9" style="21" customWidth="1"/>
    <col min="766" max="767" width="9.85546875" style="21" customWidth="1"/>
    <col min="768" max="768" width="11.140625" style="21" customWidth="1"/>
    <col min="769" max="769" width="2.85546875" style="21" customWidth="1"/>
    <col min="770" max="770" width="3.5703125" style="21" customWidth="1"/>
    <col min="771" max="1015" width="9.140625" style="21"/>
    <col min="1016" max="1016" width="8.5703125" style="21" customWidth="1"/>
    <col min="1017" max="1017" width="9.85546875" style="21" customWidth="1"/>
    <col min="1018" max="1018" width="14.42578125" style="21" customWidth="1"/>
    <col min="1019" max="1019" width="7.42578125" style="21" customWidth="1"/>
    <col min="1020" max="1020" width="5.5703125" style="21" customWidth="1"/>
    <col min="1021" max="1021" width="9" style="21" customWidth="1"/>
    <col min="1022" max="1023" width="9.85546875" style="21" customWidth="1"/>
    <col min="1024" max="1024" width="11.140625" style="21" customWidth="1"/>
    <col min="1025" max="1025" width="2.85546875" style="21" customWidth="1"/>
    <col min="1026" max="1026" width="3.5703125" style="21" customWidth="1"/>
    <col min="1027" max="1271" width="9.140625" style="21"/>
    <col min="1272" max="1272" width="8.5703125" style="21" customWidth="1"/>
    <col min="1273" max="1273" width="9.85546875" style="21" customWidth="1"/>
    <col min="1274" max="1274" width="14.42578125" style="21" customWidth="1"/>
    <col min="1275" max="1275" width="7.42578125" style="21" customWidth="1"/>
    <col min="1276" max="1276" width="5.5703125" style="21" customWidth="1"/>
    <col min="1277" max="1277" width="9" style="21" customWidth="1"/>
    <col min="1278" max="1279" width="9.85546875" style="21" customWidth="1"/>
    <col min="1280" max="1280" width="11.140625" style="21" customWidth="1"/>
    <col min="1281" max="1281" width="2.85546875" style="21" customWidth="1"/>
    <col min="1282" max="1282" width="3.5703125" style="21" customWidth="1"/>
    <col min="1283" max="1527" width="9.140625" style="21"/>
    <col min="1528" max="1528" width="8.5703125" style="21" customWidth="1"/>
    <col min="1529" max="1529" width="9.85546875" style="21" customWidth="1"/>
    <col min="1530" max="1530" width="14.42578125" style="21" customWidth="1"/>
    <col min="1531" max="1531" width="7.42578125" style="21" customWidth="1"/>
    <col min="1532" max="1532" width="5.5703125" style="21" customWidth="1"/>
    <col min="1533" max="1533" width="9" style="21" customWidth="1"/>
    <col min="1534" max="1535" width="9.85546875" style="21" customWidth="1"/>
    <col min="1536" max="1536" width="11.140625" style="21" customWidth="1"/>
    <col min="1537" max="1537" width="2.85546875" style="21" customWidth="1"/>
    <col min="1538" max="1538" width="3.5703125" style="21" customWidth="1"/>
    <col min="1539" max="1783" width="9.140625" style="21"/>
    <col min="1784" max="1784" width="8.5703125" style="21" customWidth="1"/>
    <col min="1785" max="1785" width="9.85546875" style="21" customWidth="1"/>
    <col min="1786" max="1786" width="14.42578125" style="21" customWidth="1"/>
    <col min="1787" max="1787" width="7.42578125" style="21" customWidth="1"/>
    <col min="1788" max="1788" width="5.5703125" style="21" customWidth="1"/>
    <col min="1789" max="1789" width="9" style="21" customWidth="1"/>
    <col min="1790" max="1791" width="9.85546875" style="21" customWidth="1"/>
    <col min="1792" max="1792" width="11.140625" style="21" customWidth="1"/>
    <col min="1793" max="1793" width="2.85546875" style="21" customWidth="1"/>
    <col min="1794" max="1794" width="3.5703125" style="21" customWidth="1"/>
    <col min="1795" max="2039" width="9.140625" style="21"/>
    <col min="2040" max="2040" width="8.5703125" style="21" customWidth="1"/>
    <col min="2041" max="2041" width="9.85546875" style="21" customWidth="1"/>
    <col min="2042" max="2042" width="14.42578125" style="21" customWidth="1"/>
    <col min="2043" max="2043" width="7.42578125" style="21" customWidth="1"/>
    <col min="2044" max="2044" width="5.5703125" style="21" customWidth="1"/>
    <col min="2045" max="2045" width="9" style="21" customWidth="1"/>
    <col min="2046" max="2047" width="9.85546875" style="21" customWidth="1"/>
    <col min="2048" max="2048" width="11.140625" style="21" customWidth="1"/>
    <col min="2049" max="2049" width="2.85546875" style="21" customWidth="1"/>
    <col min="2050" max="2050" width="3.5703125" style="21" customWidth="1"/>
    <col min="2051" max="2295" width="9.140625" style="21"/>
    <col min="2296" max="2296" width="8.5703125" style="21" customWidth="1"/>
    <col min="2297" max="2297" width="9.85546875" style="21" customWidth="1"/>
    <col min="2298" max="2298" width="14.42578125" style="21" customWidth="1"/>
    <col min="2299" max="2299" width="7.42578125" style="21" customWidth="1"/>
    <col min="2300" max="2300" width="5.5703125" style="21" customWidth="1"/>
    <col min="2301" max="2301" width="9" style="21" customWidth="1"/>
    <col min="2302" max="2303" width="9.85546875" style="21" customWidth="1"/>
    <col min="2304" max="2304" width="11.140625" style="21" customWidth="1"/>
    <col min="2305" max="2305" width="2.85546875" style="21" customWidth="1"/>
    <col min="2306" max="2306" width="3.5703125" style="21" customWidth="1"/>
    <col min="2307" max="2551" width="9.140625" style="21"/>
    <col min="2552" max="2552" width="8.5703125" style="21" customWidth="1"/>
    <col min="2553" max="2553" width="9.85546875" style="21" customWidth="1"/>
    <col min="2554" max="2554" width="14.42578125" style="21" customWidth="1"/>
    <col min="2555" max="2555" width="7.42578125" style="21" customWidth="1"/>
    <col min="2556" max="2556" width="5.5703125" style="21" customWidth="1"/>
    <col min="2557" max="2557" width="9" style="21" customWidth="1"/>
    <col min="2558" max="2559" width="9.85546875" style="21" customWidth="1"/>
    <col min="2560" max="2560" width="11.140625" style="21" customWidth="1"/>
    <col min="2561" max="2561" width="2.85546875" style="21" customWidth="1"/>
    <col min="2562" max="2562" width="3.5703125" style="21" customWidth="1"/>
    <col min="2563" max="2807" width="9.140625" style="21"/>
    <col min="2808" max="2808" width="8.5703125" style="21" customWidth="1"/>
    <col min="2809" max="2809" width="9.85546875" style="21" customWidth="1"/>
    <col min="2810" max="2810" width="14.42578125" style="21" customWidth="1"/>
    <col min="2811" max="2811" width="7.42578125" style="21" customWidth="1"/>
    <col min="2812" max="2812" width="5.5703125" style="21" customWidth="1"/>
    <col min="2813" max="2813" width="9" style="21" customWidth="1"/>
    <col min="2814" max="2815" width="9.85546875" style="21" customWidth="1"/>
    <col min="2816" max="2816" width="11.140625" style="21" customWidth="1"/>
    <col min="2817" max="2817" width="2.85546875" style="21" customWidth="1"/>
    <col min="2818" max="2818" width="3.5703125" style="21" customWidth="1"/>
    <col min="2819" max="3063" width="9.140625" style="21"/>
    <col min="3064" max="3064" width="8.5703125" style="21" customWidth="1"/>
    <col min="3065" max="3065" width="9.85546875" style="21" customWidth="1"/>
    <col min="3066" max="3066" width="14.42578125" style="21" customWidth="1"/>
    <col min="3067" max="3067" width="7.42578125" style="21" customWidth="1"/>
    <col min="3068" max="3068" width="5.5703125" style="21" customWidth="1"/>
    <col min="3069" max="3069" width="9" style="21" customWidth="1"/>
    <col min="3070" max="3071" width="9.85546875" style="21" customWidth="1"/>
    <col min="3072" max="3072" width="11.140625" style="21" customWidth="1"/>
    <col min="3073" max="3073" width="2.85546875" style="21" customWidth="1"/>
    <col min="3074" max="3074" width="3.5703125" style="21" customWidth="1"/>
    <col min="3075" max="3319" width="9.140625" style="21"/>
    <col min="3320" max="3320" width="8.5703125" style="21" customWidth="1"/>
    <col min="3321" max="3321" width="9.85546875" style="21" customWidth="1"/>
    <col min="3322" max="3322" width="14.42578125" style="21" customWidth="1"/>
    <col min="3323" max="3323" width="7.42578125" style="21" customWidth="1"/>
    <col min="3324" max="3324" width="5.5703125" style="21" customWidth="1"/>
    <col min="3325" max="3325" width="9" style="21" customWidth="1"/>
    <col min="3326" max="3327" width="9.85546875" style="21" customWidth="1"/>
    <col min="3328" max="3328" width="11.140625" style="21" customWidth="1"/>
    <col min="3329" max="3329" width="2.85546875" style="21" customWidth="1"/>
    <col min="3330" max="3330" width="3.5703125" style="21" customWidth="1"/>
    <col min="3331" max="3575" width="9.140625" style="21"/>
    <col min="3576" max="3576" width="8.5703125" style="21" customWidth="1"/>
    <col min="3577" max="3577" width="9.85546875" style="21" customWidth="1"/>
    <col min="3578" max="3578" width="14.42578125" style="21" customWidth="1"/>
    <col min="3579" max="3579" width="7.42578125" style="21" customWidth="1"/>
    <col min="3580" max="3580" width="5.5703125" style="21" customWidth="1"/>
    <col min="3581" max="3581" width="9" style="21" customWidth="1"/>
    <col min="3582" max="3583" width="9.85546875" style="21" customWidth="1"/>
    <col min="3584" max="3584" width="11.140625" style="21" customWidth="1"/>
    <col min="3585" max="3585" width="2.85546875" style="21" customWidth="1"/>
    <col min="3586" max="3586" width="3.5703125" style="21" customWidth="1"/>
    <col min="3587" max="3831" width="9.140625" style="21"/>
    <col min="3832" max="3832" width="8.5703125" style="21" customWidth="1"/>
    <col min="3833" max="3833" width="9.85546875" style="21" customWidth="1"/>
    <col min="3834" max="3834" width="14.42578125" style="21" customWidth="1"/>
    <col min="3835" max="3835" width="7.42578125" style="21" customWidth="1"/>
    <col min="3836" max="3836" width="5.5703125" style="21" customWidth="1"/>
    <col min="3837" max="3837" width="9" style="21" customWidth="1"/>
    <col min="3838" max="3839" width="9.85546875" style="21" customWidth="1"/>
    <col min="3840" max="3840" width="11.140625" style="21" customWidth="1"/>
    <col min="3841" max="3841" width="2.85546875" style="21" customWidth="1"/>
    <col min="3842" max="3842" width="3.5703125" style="21" customWidth="1"/>
    <col min="3843" max="4087" width="9.140625" style="21"/>
    <col min="4088" max="4088" width="8.5703125" style="21" customWidth="1"/>
    <col min="4089" max="4089" width="9.85546875" style="21" customWidth="1"/>
    <col min="4090" max="4090" width="14.42578125" style="21" customWidth="1"/>
    <col min="4091" max="4091" width="7.42578125" style="21" customWidth="1"/>
    <col min="4092" max="4092" width="5.5703125" style="21" customWidth="1"/>
    <col min="4093" max="4093" width="9" style="21" customWidth="1"/>
    <col min="4094" max="4095" width="9.85546875" style="21" customWidth="1"/>
    <col min="4096" max="4096" width="11.140625" style="21" customWidth="1"/>
    <col min="4097" max="4097" width="2.85546875" style="21" customWidth="1"/>
    <col min="4098" max="4098" width="3.5703125" style="21" customWidth="1"/>
    <col min="4099" max="4343" width="9.140625" style="21"/>
    <col min="4344" max="4344" width="8.5703125" style="21" customWidth="1"/>
    <col min="4345" max="4345" width="9.85546875" style="21" customWidth="1"/>
    <col min="4346" max="4346" width="14.42578125" style="21" customWidth="1"/>
    <col min="4347" max="4347" width="7.42578125" style="21" customWidth="1"/>
    <col min="4348" max="4348" width="5.5703125" style="21" customWidth="1"/>
    <col min="4349" max="4349" width="9" style="21" customWidth="1"/>
    <col min="4350" max="4351" width="9.85546875" style="21" customWidth="1"/>
    <col min="4352" max="4352" width="11.140625" style="21" customWidth="1"/>
    <col min="4353" max="4353" width="2.85546875" style="21" customWidth="1"/>
    <col min="4354" max="4354" width="3.5703125" style="21" customWidth="1"/>
    <col min="4355" max="4599" width="9.140625" style="21"/>
    <col min="4600" max="4600" width="8.5703125" style="21" customWidth="1"/>
    <col min="4601" max="4601" width="9.85546875" style="21" customWidth="1"/>
    <col min="4602" max="4602" width="14.42578125" style="21" customWidth="1"/>
    <col min="4603" max="4603" width="7.42578125" style="21" customWidth="1"/>
    <col min="4604" max="4604" width="5.5703125" style="21" customWidth="1"/>
    <col min="4605" max="4605" width="9" style="21" customWidth="1"/>
    <col min="4606" max="4607" width="9.85546875" style="21" customWidth="1"/>
    <col min="4608" max="4608" width="11.140625" style="21" customWidth="1"/>
    <col min="4609" max="4609" width="2.85546875" style="21" customWidth="1"/>
    <col min="4610" max="4610" width="3.5703125" style="21" customWidth="1"/>
    <col min="4611" max="4855" width="9.140625" style="21"/>
    <col min="4856" max="4856" width="8.5703125" style="21" customWidth="1"/>
    <col min="4857" max="4857" width="9.85546875" style="21" customWidth="1"/>
    <col min="4858" max="4858" width="14.42578125" style="21" customWidth="1"/>
    <col min="4859" max="4859" width="7.42578125" style="21" customWidth="1"/>
    <col min="4860" max="4860" width="5.5703125" style="21" customWidth="1"/>
    <col min="4861" max="4861" width="9" style="21" customWidth="1"/>
    <col min="4862" max="4863" width="9.85546875" style="21" customWidth="1"/>
    <col min="4864" max="4864" width="11.140625" style="21" customWidth="1"/>
    <col min="4865" max="4865" width="2.85546875" style="21" customWidth="1"/>
    <col min="4866" max="4866" width="3.5703125" style="21" customWidth="1"/>
    <col min="4867" max="5111" width="9.140625" style="21"/>
    <col min="5112" max="5112" width="8.5703125" style="21" customWidth="1"/>
    <col min="5113" max="5113" width="9.85546875" style="21" customWidth="1"/>
    <col min="5114" max="5114" width="14.42578125" style="21" customWidth="1"/>
    <col min="5115" max="5115" width="7.42578125" style="21" customWidth="1"/>
    <col min="5116" max="5116" width="5.5703125" style="21" customWidth="1"/>
    <col min="5117" max="5117" width="9" style="21" customWidth="1"/>
    <col min="5118" max="5119" width="9.85546875" style="21" customWidth="1"/>
    <col min="5120" max="5120" width="11.140625" style="21" customWidth="1"/>
    <col min="5121" max="5121" width="2.85546875" style="21" customWidth="1"/>
    <col min="5122" max="5122" width="3.5703125" style="21" customWidth="1"/>
    <col min="5123" max="5367" width="9.140625" style="21"/>
    <col min="5368" max="5368" width="8.5703125" style="21" customWidth="1"/>
    <col min="5369" max="5369" width="9.85546875" style="21" customWidth="1"/>
    <col min="5370" max="5370" width="14.42578125" style="21" customWidth="1"/>
    <col min="5371" max="5371" width="7.42578125" style="21" customWidth="1"/>
    <col min="5372" max="5372" width="5.5703125" style="21" customWidth="1"/>
    <col min="5373" max="5373" width="9" style="21" customWidth="1"/>
    <col min="5374" max="5375" width="9.85546875" style="21" customWidth="1"/>
    <col min="5376" max="5376" width="11.140625" style="21" customWidth="1"/>
    <col min="5377" max="5377" width="2.85546875" style="21" customWidth="1"/>
    <col min="5378" max="5378" width="3.5703125" style="21" customWidth="1"/>
    <col min="5379" max="5623" width="9.140625" style="21"/>
    <col min="5624" max="5624" width="8.5703125" style="21" customWidth="1"/>
    <col min="5625" max="5625" width="9.85546875" style="21" customWidth="1"/>
    <col min="5626" max="5626" width="14.42578125" style="21" customWidth="1"/>
    <col min="5627" max="5627" width="7.42578125" style="21" customWidth="1"/>
    <col min="5628" max="5628" width="5.5703125" style="21" customWidth="1"/>
    <col min="5629" max="5629" width="9" style="21" customWidth="1"/>
    <col min="5630" max="5631" width="9.85546875" style="21" customWidth="1"/>
    <col min="5632" max="5632" width="11.140625" style="21" customWidth="1"/>
    <col min="5633" max="5633" width="2.85546875" style="21" customWidth="1"/>
    <col min="5634" max="5634" width="3.5703125" style="21" customWidth="1"/>
    <col min="5635" max="5879" width="9.140625" style="21"/>
    <col min="5880" max="5880" width="8.5703125" style="21" customWidth="1"/>
    <col min="5881" max="5881" width="9.85546875" style="21" customWidth="1"/>
    <col min="5882" max="5882" width="14.42578125" style="21" customWidth="1"/>
    <col min="5883" max="5883" width="7.42578125" style="21" customWidth="1"/>
    <col min="5884" max="5884" width="5.5703125" style="21" customWidth="1"/>
    <col min="5885" max="5885" width="9" style="21" customWidth="1"/>
    <col min="5886" max="5887" width="9.85546875" style="21" customWidth="1"/>
    <col min="5888" max="5888" width="11.140625" style="21" customWidth="1"/>
    <col min="5889" max="5889" width="2.85546875" style="21" customWidth="1"/>
    <col min="5890" max="5890" width="3.5703125" style="21" customWidth="1"/>
    <col min="5891" max="6135" width="9.140625" style="21"/>
    <col min="6136" max="6136" width="8.5703125" style="21" customWidth="1"/>
    <col min="6137" max="6137" width="9.85546875" style="21" customWidth="1"/>
    <col min="6138" max="6138" width="14.42578125" style="21" customWidth="1"/>
    <col min="6139" max="6139" width="7.42578125" style="21" customWidth="1"/>
    <col min="6140" max="6140" width="5.5703125" style="21" customWidth="1"/>
    <col min="6141" max="6141" width="9" style="21" customWidth="1"/>
    <col min="6142" max="6143" width="9.85546875" style="21" customWidth="1"/>
    <col min="6144" max="6144" width="11.140625" style="21" customWidth="1"/>
    <col min="6145" max="6145" width="2.85546875" style="21" customWidth="1"/>
    <col min="6146" max="6146" width="3.5703125" style="21" customWidth="1"/>
    <col min="6147" max="6391" width="9.140625" style="21"/>
    <col min="6392" max="6392" width="8.5703125" style="21" customWidth="1"/>
    <col min="6393" max="6393" width="9.85546875" style="21" customWidth="1"/>
    <col min="6394" max="6394" width="14.42578125" style="21" customWidth="1"/>
    <col min="6395" max="6395" width="7.42578125" style="21" customWidth="1"/>
    <col min="6396" max="6396" width="5.5703125" style="21" customWidth="1"/>
    <col min="6397" max="6397" width="9" style="21" customWidth="1"/>
    <col min="6398" max="6399" width="9.85546875" style="21" customWidth="1"/>
    <col min="6400" max="6400" width="11.140625" style="21" customWidth="1"/>
    <col min="6401" max="6401" width="2.85546875" style="21" customWidth="1"/>
    <col min="6402" max="6402" width="3.5703125" style="21" customWidth="1"/>
    <col min="6403" max="6647" width="9.140625" style="21"/>
    <col min="6648" max="6648" width="8.5703125" style="21" customWidth="1"/>
    <col min="6649" max="6649" width="9.85546875" style="21" customWidth="1"/>
    <col min="6650" max="6650" width="14.42578125" style="21" customWidth="1"/>
    <col min="6651" max="6651" width="7.42578125" style="21" customWidth="1"/>
    <col min="6652" max="6652" width="5.5703125" style="21" customWidth="1"/>
    <col min="6653" max="6653" width="9" style="21" customWidth="1"/>
    <col min="6654" max="6655" width="9.85546875" style="21" customWidth="1"/>
    <col min="6656" max="6656" width="11.140625" style="21" customWidth="1"/>
    <col min="6657" max="6657" width="2.85546875" style="21" customWidth="1"/>
    <col min="6658" max="6658" width="3.5703125" style="21" customWidth="1"/>
    <col min="6659" max="6903" width="9.140625" style="21"/>
    <col min="6904" max="6904" width="8.5703125" style="21" customWidth="1"/>
    <col min="6905" max="6905" width="9.85546875" style="21" customWidth="1"/>
    <col min="6906" max="6906" width="14.42578125" style="21" customWidth="1"/>
    <col min="6907" max="6907" width="7.42578125" style="21" customWidth="1"/>
    <col min="6908" max="6908" width="5.5703125" style="21" customWidth="1"/>
    <col min="6909" max="6909" width="9" style="21" customWidth="1"/>
    <col min="6910" max="6911" width="9.85546875" style="21" customWidth="1"/>
    <col min="6912" max="6912" width="11.140625" style="21" customWidth="1"/>
    <col min="6913" max="6913" width="2.85546875" style="21" customWidth="1"/>
    <col min="6914" max="6914" width="3.5703125" style="21" customWidth="1"/>
    <col min="6915" max="7159" width="9.140625" style="21"/>
    <col min="7160" max="7160" width="8.5703125" style="21" customWidth="1"/>
    <col min="7161" max="7161" width="9.85546875" style="21" customWidth="1"/>
    <col min="7162" max="7162" width="14.42578125" style="21" customWidth="1"/>
    <col min="7163" max="7163" width="7.42578125" style="21" customWidth="1"/>
    <col min="7164" max="7164" width="5.5703125" style="21" customWidth="1"/>
    <col min="7165" max="7165" width="9" style="21" customWidth="1"/>
    <col min="7166" max="7167" width="9.85546875" style="21" customWidth="1"/>
    <col min="7168" max="7168" width="11.140625" style="21" customWidth="1"/>
    <col min="7169" max="7169" width="2.85546875" style="21" customWidth="1"/>
    <col min="7170" max="7170" width="3.5703125" style="21" customWidth="1"/>
    <col min="7171" max="7415" width="9.140625" style="21"/>
    <col min="7416" max="7416" width="8.5703125" style="21" customWidth="1"/>
    <col min="7417" max="7417" width="9.85546875" style="21" customWidth="1"/>
    <col min="7418" max="7418" width="14.42578125" style="21" customWidth="1"/>
    <col min="7419" max="7419" width="7.42578125" style="21" customWidth="1"/>
    <col min="7420" max="7420" width="5.5703125" style="21" customWidth="1"/>
    <col min="7421" max="7421" width="9" style="21" customWidth="1"/>
    <col min="7422" max="7423" width="9.85546875" style="21" customWidth="1"/>
    <col min="7424" max="7424" width="11.140625" style="21" customWidth="1"/>
    <col min="7425" max="7425" width="2.85546875" style="21" customWidth="1"/>
    <col min="7426" max="7426" width="3.5703125" style="21" customWidth="1"/>
    <col min="7427" max="7671" width="9.140625" style="21"/>
    <col min="7672" max="7672" width="8.5703125" style="21" customWidth="1"/>
    <col min="7673" max="7673" width="9.85546875" style="21" customWidth="1"/>
    <col min="7674" max="7674" width="14.42578125" style="21" customWidth="1"/>
    <col min="7675" max="7675" width="7.42578125" style="21" customWidth="1"/>
    <col min="7676" max="7676" width="5.5703125" style="21" customWidth="1"/>
    <col min="7677" max="7677" width="9" style="21" customWidth="1"/>
    <col min="7678" max="7679" width="9.85546875" style="21" customWidth="1"/>
    <col min="7680" max="7680" width="11.140625" style="21" customWidth="1"/>
    <col min="7681" max="7681" width="2.85546875" style="21" customWidth="1"/>
    <col min="7682" max="7682" width="3.5703125" style="21" customWidth="1"/>
    <col min="7683" max="7927" width="9.140625" style="21"/>
    <col min="7928" max="7928" width="8.5703125" style="21" customWidth="1"/>
    <col min="7929" max="7929" width="9.85546875" style="21" customWidth="1"/>
    <col min="7930" max="7930" width="14.42578125" style="21" customWidth="1"/>
    <col min="7931" max="7931" width="7.42578125" style="21" customWidth="1"/>
    <col min="7932" max="7932" width="5.5703125" style="21" customWidth="1"/>
    <col min="7933" max="7933" width="9" style="21" customWidth="1"/>
    <col min="7934" max="7935" width="9.85546875" style="21" customWidth="1"/>
    <col min="7936" max="7936" width="11.140625" style="21" customWidth="1"/>
    <col min="7937" max="7937" width="2.85546875" style="21" customWidth="1"/>
    <col min="7938" max="7938" width="3.5703125" style="21" customWidth="1"/>
    <col min="7939" max="8183" width="9.140625" style="21"/>
    <col min="8184" max="8184" width="8.5703125" style="21" customWidth="1"/>
    <col min="8185" max="8185" width="9.85546875" style="21" customWidth="1"/>
    <col min="8186" max="8186" width="14.42578125" style="21" customWidth="1"/>
    <col min="8187" max="8187" width="7.42578125" style="21" customWidth="1"/>
    <col min="8188" max="8188" width="5.5703125" style="21" customWidth="1"/>
    <col min="8189" max="8189" width="9" style="21" customWidth="1"/>
    <col min="8190" max="8191" width="9.85546875" style="21" customWidth="1"/>
    <col min="8192" max="8192" width="11.140625" style="21" customWidth="1"/>
    <col min="8193" max="8193" width="2.85546875" style="21" customWidth="1"/>
    <col min="8194" max="8194" width="3.5703125" style="21" customWidth="1"/>
    <col min="8195" max="8439" width="9.140625" style="21"/>
    <col min="8440" max="8440" width="8.5703125" style="21" customWidth="1"/>
    <col min="8441" max="8441" width="9.85546875" style="21" customWidth="1"/>
    <col min="8442" max="8442" width="14.42578125" style="21" customWidth="1"/>
    <col min="8443" max="8443" width="7.42578125" style="21" customWidth="1"/>
    <col min="8444" max="8444" width="5.5703125" style="21" customWidth="1"/>
    <col min="8445" max="8445" width="9" style="21" customWidth="1"/>
    <col min="8446" max="8447" width="9.85546875" style="21" customWidth="1"/>
    <col min="8448" max="8448" width="11.140625" style="21" customWidth="1"/>
    <col min="8449" max="8449" width="2.85546875" style="21" customWidth="1"/>
    <col min="8450" max="8450" width="3.5703125" style="21" customWidth="1"/>
    <col min="8451" max="8695" width="9.140625" style="21"/>
    <col min="8696" max="8696" width="8.5703125" style="21" customWidth="1"/>
    <col min="8697" max="8697" width="9.85546875" style="21" customWidth="1"/>
    <col min="8698" max="8698" width="14.42578125" style="21" customWidth="1"/>
    <col min="8699" max="8699" width="7.42578125" style="21" customWidth="1"/>
    <col min="8700" max="8700" width="5.5703125" style="21" customWidth="1"/>
    <col min="8701" max="8701" width="9" style="21" customWidth="1"/>
    <col min="8702" max="8703" width="9.85546875" style="21" customWidth="1"/>
    <col min="8704" max="8704" width="11.140625" style="21" customWidth="1"/>
    <col min="8705" max="8705" width="2.85546875" style="21" customWidth="1"/>
    <col min="8706" max="8706" width="3.5703125" style="21" customWidth="1"/>
    <col min="8707" max="8951" width="9.140625" style="21"/>
    <col min="8952" max="8952" width="8.5703125" style="21" customWidth="1"/>
    <col min="8953" max="8953" width="9.85546875" style="21" customWidth="1"/>
    <col min="8954" max="8954" width="14.42578125" style="21" customWidth="1"/>
    <col min="8955" max="8955" width="7.42578125" style="21" customWidth="1"/>
    <col min="8956" max="8956" width="5.5703125" style="21" customWidth="1"/>
    <col min="8957" max="8957" width="9" style="21" customWidth="1"/>
    <col min="8958" max="8959" width="9.85546875" style="21" customWidth="1"/>
    <col min="8960" max="8960" width="11.140625" style="21" customWidth="1"/>
    <col min="8961" max="8961" width="2.85546875" style="21" customWidth="1"/>
    <col min="8962" max="8962" width="3.5703125" style="21" customWidth="1"/>
    <col min="8963" max="9207" width="9.140625" style="21"/>
    <col min="9208" max="9208" width="8.5703125" style="21" customWidth="1"/>
    <col min="9209" max="9209" width="9.85546875" style="21" customWidth="1"/>
    <col min="9210" max="9210" width="14.42578125" style="21" customWidth="1"/>
    <col min="9211" max="9211" width="7.42578125" style="21" customWidth="1"/>
    <col min="9212" max="9212" width="5.5703125" style="21" customWidth="1"/>
    <col min="9213" max="9213" width="9" style="21" customWidth="1"/>
    <col min="9214" max="9215" width="9.85546875" style="21" customWidth="1"/>
    <col min="9216" max="9216" width="11.140625" style="21" customWidth="1"/>
    <col min="9217" max="9217" width="2.85546875" style="21" customWidth="1"/>
    <col min="9218" max="9218" width="3.5703125" style="21" customWidth="1"/>
    <col min="9219" max="9463" width="9.140625" style="21"/>
    <col min="9464" max="9464" width="8.5703125" style="21" customWidth="1"/>
    <col min="9465" max="9465" width="9.85546875" style="21" customWidth="1"/>
    <col min="9466" max="9466" width="14.42578125" style="21" customWidth="1"/>
    <col min="9467" max="9467" width="7.42578125" style="21" customWidth="1"/>
    <col min="9468" max="9468" width="5.5703125" style="21" customWidth="1"/>
    <col min="9469" max="9469" width="9" style="21" customWidth="1"/>
    <col min="9470" max="9471" width="9.85546875" style="21" customWidth="1"/>
    <col min="9472" max="9472" width="11.140625" style="21" customWidth="1"/>
    <col min="9473" max="9473" width="2.85546875" style="21" customWidth="1"/>
    <col min="9474" max="9474" width="3.5703125" style="21" customWidth="1"/>
    <col min="9475" max="9719" width="9.140625" style="21"/>
    <col min="9720" max="9720" width="8.5703125" style="21" customWidth="1"/>
    <col min="9721" max="9721" width="9.85546875" style="21" customWidth="1"/>
    <col min="9722" max="9722" width="14.42578125" style="21" customWidth="1"/>
    <col min="9723" max="9723" width="7.42578125" style="21" customWidth="1"/>
    <col min="9724" max="9724" width="5.5703125" style="21" customWidth="1"/>
    <col min="9725" max="9725" width="9" style="21" customWidth="1"/>
    <col min="9726" max="9727" width="9.85546875" style="21" customWidth="1"/>
    <col min="9728" max="9728" width="11.140625" style="21" customWidth="1"/>
    <col min="9729" max="9729" width="2.85546875" style="21" customWidth="1"/>
    <col min="9730" max="9730" width="3.5703125" style="21" customWidth="1"/>
    <col min="9731" max="9975" width="9.140625" style="21"/>
    <col min="9976" max="9976" width="8.5703125" style="21" customWidth="1"/>
    <col min="9977" max="9977" width="9.85546875" style="21" customWidth="1"/>
    <col min="9978" max="9978" width="14.42578125" style="21" customWidth="1"/>
    <col min="9979" max="9979" width="7.42578125" style="21" customWidth="1"/>
    <col min="9980" max="9980" width="5.5703125" style="21" customWidth="1"/>
    <col min="9981" max="9981" width="9" style="21" customWidth="1"/>
    <col min="9982" max="9983" width="9.85546875" style="21" customWidth="1"/>
    <col min="9984" max="9984" width="11.140625" style="21" customWidth="1"/>
    <col min="9985" max="9985" width="2.85546875" style="21" customWidth="1"/>
    <col min="9986" max="9986" width="3.5703125" style="21" customWidth="1"/>
    <col min="9987" max="10231" width="9.140625" style="21"/>
    <col min="10232" max="10232" width="8.5703125" style="21" customWidth="1"/>
    <col min="10233" max="10233" width="9.85546875" style="21" customWidth="1"/>
    <col min="10234" max="10234" width="14.42578125" style="21" customWidth="1"/>
    <col min="10235" max="10235" width="7.42578125" style="21" customWidth="1"/>
    <col min="10236" max="10236" width="5.5703125" style="21" customWidth="1"/>
    <col min="10237" max="10237" width="9" style="21" customWidth="1"/>
    <col min="10238" max="10239" width="9.85546875" style="21" customWidth="1"/>
    <col min="10240" max="10240" width="11.140625" style="21" customWidth="1"/>
    <col min="10241" max="10241" width="2.85546875" style="21" customWidth="1"/>
    <col min="10242" max="10242" width="3.5703125" style="21" customWidth="1"/>
    <col min="10243" max="10487" width="9.140625" style="21"/>
    <col min="10488" max="10488" width="8.5703125" style="21" customWidth="1"/>
    <col min="10489" max="10489" width="9.85546875" style="21" customWidth="1"/>
    <col min="10490" max="10490" width="14.42578125" style="21" customWidth="1"/>
    <col min="10491" max="10491" width="7.42578125" style="21" customWidth="1"/>
    <col min="10492" max="10492" width="5.5703125" style="21" customWidth="1"/>
    <col min="10493" max="10493" width="9" style="21" customWidth="1"/>
    <col min="10494" max="10495" width="9.85546875" style="21" customWidth="1"/>
    <col min="10496" max="10496" width="11.140625" style="21" customWidth="1"/>
    <col min="10497" max="10497" width="2.85546875" style="21" customWidth="1"/>
    <col min="10498" max="10498" width="3.5703125" style="21" customWidth="1"/>
    <col min="10499" max="10743" width="9.140625" style="21"/>
    <col min="10744" max="10744" width="8.5703125" style="21" customWidth="1"/>
    <col min="10745" max="10745" width="9.85546875" style="21" customWidth="1"/>
    <col min="10746" max="10746" width="14.42578125" style="21" customWidth="1"/>
    <col min="10747" max="10747" width="7.42578125" style="21" customWidth="1"/>
    <col min="10748" max="10748" width="5.5703125" style="21" customWidth="1"/>
    <col min="10749" max="10749" width="9" style="21" customWidth="1"/>
    <col min="10750" max="10751" width="9.85546875" style="21" customWidth="1"/>
    <col min="10752" max="10752" width="11.140625" style="21" customWidth="1"/>
    <col min="10753" max="10753" width="2.85546875" style="21" customWidth="1"/>
    <col min="10754" max="10754" width="3.5703125" style="21" customWidth="1"/>
    <col min="10755" max="10999" width="9.140625" style="21"/>
    <col min="11000" max="11000" width="8.5703125" style="21" customWidth="1"/>
    <col min="11001" max="11001" width="9.85546875" style="21" customWidth="1"/>
    <col min="11002" max="11002" width="14.42578125" style="21" customWidth="1"/>
    <col min="11003" max="11003" width="7.42578125" style="21" customWidth="1"/>
    <col min="11004" max="11004" width="5.5703125" style="21" customWidth="1"/>
    <col min="11005" max="11005" width="9" style="21" customWidth="1"/>
    <col min="11006" max="11007" width="9.85546875" style="21" customWidth="1"/>
    <col min="11008" max="11008" width="11.140625" style="21" customWidth="1"/>
    <col min="11009" max="11009" width="2.85546875" style="21" customWidth="1"/>
    <col min="11010" max="11010" width="3.5703125" style="21" customWidth="1"/>
    <col min="11011" max="11255" width="9.140625" style="21"/>
    <col min="11256" max="11256" width="8.5703125" style="21" customWidth="1"/>
    <col min="11257" max="11257" width="9.85546875" style="21" customWidth="1"/>
    <col min="11258" max="11258" width="14.42578125" style="21" customWidth="1"/>
    <col min="11259" max="11259" width="7.42578125" style="21" customWidth="1"/>
    <col min="11260" max="11260" width="5.5703125" style="21" customWidth="1"/>
    <col min="11261" max="11261" width="9" style="21" customWidth="1"/>
    <col min="11262" max="11263" width="9.85546875" style="21" customWidth="1"/>
    <col min="11264" max="11264" width="11.140625" style="21" customWidth="1"/>
    <col min="11265" max="11265" width="2.85546875" style="21" customWidth="1"/>
    <col min="11266" max="11266" width="3.5703125" style="21" customWidth="1"/>
    <col min="11267" max="11511" width="9.140625" style="21"/>
    <col min="11512" max="11512" width="8.5703125" style="21" customWidth="1"/>
    <col min="11513" max="11513" width="9.85546875" style="21" customWidth="1"/>
    <col min="11514" max="11514" width="14.42578125" style="21" customWidth="1"/>
    <col min="11515" max="11515" width="7.42578125" style="21" customWidth="1"/>
    <col min="11516" max="11516" width="5.5703125" style="21" customWidth="1"/>
    <col min="11517" max="11517" width="9" style="21" customWidth="1"/>
    <col min="11518" max="11519" width="9.85546875" style="21" customWidth="1"/>
    <col min="11520" max="11520" width="11.140625" style="21" customWidth="1"/>
    <col min="11521" max="11521" width="2.85546875" style="21" customWidth="1"/>
    <col min="11522" max="11522" width="3.5703125" style="21" customWidth="1"/>
    <col min="11523" max="11767" width="9.140625" style="21"/>
    <col min="11768" max="11768" width="8.5703125" style="21" customWidth="1"/>
    <col min="11769" max="11769" width="9.85546875" style="21" customWidth="1"/>
    <col min="11770" max="11770" width="14.42578125" style="21" customWidth="1"/>
    <col min="11771" max="11771" width="7.42578125" style="21" customWidth="1"/>
    <col min="11772" max="11772" width="5.5703125" style="21" customWidth="1"/>
    <col min="11773" max="11773" width="9" style="21" customWidth="1"/>
    <col min="11774" max="11775" width="9.85546875" style="21" customWidth="1"/>
    <col min="11776" max="11776" width="11.140625" style="21" customWidth="1"/>
    <col min="11777" max="11777" width="2.85546875" style="21" customWidth="1"/>
    <col min="11778" max="11778" width="3.5703125" style="21" customWidth="1"/>
    <col min="11779" max="12023" width="9.140625" style="21"/>
    <col min="12024" max="12024" width="8.5703125" style="21" customWidth="1"/>
    <col min="12025" max="12025" width="9.85546875" style="21" customWidth="1"/>
    <col min="12026" max="12026" width="14.42578125" style="21" customWidth="1"/>
    <col min="12027" max="12027" width="7.42578125" style="21" customWidth="1"/>
    <col min="12028" max="12028" width="5.5703125" style="21" customWidth="1"/>
    <col min="12029" max="12029" width="9" style="21" customWidth="1"/>
    <col min="12030" max="12031" width="9.85546875" style="21" customWidth="1"/>
    <col min="12032" max="12032" width="11.140625" style="21" customWidth="1"/>
    <col min="12033" max="12033" width="2.85546875" style="21" customWidth="1"/>
    <col min="12034" max="12034" width="3.5703125" style="21" customWidth="1"/>
    <col min="12035" max="12279" width="9.140625" style="21"/>
    <col min="12280" max="12280" width="8.5703125" style="21" customWidth="1"/>
    <col min="12281" max="12281" width="9.85546875" style="21" customWidth="1"/>
    <col min="12282" max="12282" width="14.42578125" style="21" customWidth="1"/>
    <col min="12283" max="12283" width="7.42578125" style="21" customWidth="1"/>
    <col min="12284" max="12284" width="5.5703125" style="21" customWidth="1"/>
    <col min="12285" max="12285" width="9" style="21" customWidth="1"/>
    <col min="12286" max="12287" width="9.85546875" style="21" customWidth="1"/>
    <col min="12288" max="12288" width="11.140625" style="21" customWidth="1"/>
    <col min="12289" max="12289" width="2.85546875" style="21" customWidth="1"/>
    <col min="12290" max="12290" width="3.5703125" style="21" customWidth="1"/>
    <col min="12291" max="12535" width="9.140625" style="21"/>
    <col min="12536" max="12536" width="8.5703125" style="21" customWidth="1"/>
    <col min="12537" max="12537" width="9.85546875" style="21" customWidth="1"/>
    <col min="12538" max="12538" width="14.42578125" style="21" customWidth="1"/>
    <col min="12539" max="12539" width="7.42578125" style="21" customWidth="1"/>
    <col min="12540" max="12540" width="5.5703125" style="21" customWidth="1"/>
    <col min="12541" max="12541" width="9" style="21" customWidth="1"/>
    <col min="12542" max="12543" width="9.85546875" style="21" customWidth="1"/>
    <col min="12544" max="12544" width="11.140625" style="21" customWidth="1"/>
    <col min="12545" max="12545" width="2.85546875" style="21" customWidth="1"/>
    <col min="12546" max="12546" width="3.5703125" style="21" customWidth="1"/>
    <col min="12547" max="12791" width="9.140625" style="21"/>
    <col min="12792" max="12792" width="8.5703125" style="21" customWidth="1"/>
    <col min="12793" max="12793" width="9.85546875" style="21" customWidth="1"/>
    <col min="12794" max="12794" width="14.42578125" style="21" customWidth="1"/>
    <col min="12795" max="12795" width="7.42578125" style="21" customWidth="1"/>
    <col min="12796" max="12796" width="5.5703125" style="21" customWidth="1"/>
    <col min="12797" max="12797" width="9" style="21" customWidth="1"/>
    <col min="12798" max="12799" width="9.85546875" style="21" customWidth="1"/>
    <col min="12800" max="12800" width="11.140625" style="21" customWidth="1"/>
    <col min="12801" max="12801" width="2.85546875" style="21" customWidth="1"/>
    <col min="12802" max="12802" width="3.5703125" style="21" customWidth="1"/>
    <col min="12803" max="13047" width="9.140625" style="21"/>
    <col min="13048" max="13048" width="8.5703125" style="21" customWidth="1"/>
    <col min="13049" max="13049" width="9.85546875" style="21" customWidth="1"/>
    <col min="13050" max="13050" width="14.42578125" style="21" customWidth="1"/>
    <col min="13051" max="13051" width="7.42578125" style="21" customWidth="1"/>
    <col min="13052" max="13052" width="5.5703125" style="21" customWidth="1"/>
    <col min="13053" max="13053" width="9" style="21" customWidth="1"/>
    <col min="13054" max="13055" width="9.85546875" style="21" customWidth="1"/>
    <col min="13056" max="13056" width="11.140625" style="21" customWidth="1"/>
    <col min="13057" max="13057" width="2.85546875" style="21" customWidth="1"/>
    <col min="13058" max="13058" width="3.5703125" style="21" customWidth="1"/>
    <col min="13059" max="13303" width="9.140625" style="21"/>
    <col min="13304" max="13304" width="8.5703125" style="21" customWidth="1"/>
    <col min="13305" max="13305" width="9.85546875" style="21" customWidth="1"/>
    <col min="13306" max="13306" width="14.42578125" style="21" customWidth="1"/>
    <col min="13307" max="13307" width="7.42578125" style="21" customWidth="1"/>
    <col min="13308" max="13308" width="5.5703125" style="21" customWidth="1"/>
    <col min="13309" max="13309" width="9" style="21" customWidth="1"/>
    <col min="13310" max="13311" width="9.85546875" style="21" customWidth="1"/>
    <col min="13312" max="13312" width="11.140625" style="21" customWidth="1"/>
    <col min="13313" max="13313" width="2.85546875" style="21" customWidth="1"/>
    <col min="13314" max="13314" width="3.5703125" style="21" customWidth="1"/>
    <col min="13315" max="13559" width="9.140625" style="21"/>
    <col min="13560" max="13560" width="8.5703125" style="21" customWidth="1"/>
    <col min="13561" max="13561" width="9.85546875" style="21" customWidth="1"/>
    <col min="13562" max="13562" width="14.42578125" style="21" customWidth="1"/>
    <col min="13563" max="13563" width="7.42578125" style="21" customWidth="1"/>
    <col min="13564" max="13564" width="5.5703125" style="21" customWidth="1"/>
    <col min="13565" max="13565" width="9" style="21" customWidth="1"/>
    <col min="13566" max="13567" width="9.85546875" style="21" customWidth="1"/>
    <col min="13568" max="13568" width="11.140625" style="21" customWidth="1"/>
    <col min="13569" max="13569" width="2.85546875" style="21" customWidth="1"/>
    <col min="13570" max="13570" width="3.5703125" style="21" customWidth="1"/>
    <col min="13571" max="13815" width="9.140625" style="21"/>
    <col min="13816" max="13816" width="8.5703125" style="21" customWidth="1"/>
    <col min="13817" max="13817" width="9.85546875" style="21" customWidth="1"/>
    <col min="13818" max="13818" width="14.42578125" style="21" customWidth="1"/>
    <col min="13819" max="13819" width="7.42578125" style="21" customWidth="1"/>
    <col min="13820" max="13820" width="5.5703125" style="21" customWidth="1"/>
    <col min="13821" max="13821" width="9" style="21" customWidth="1"/>
    <col min="13822" max="13823" width="9.85546875" style="21" customWidth="1"/>
    <col min="13824" max="13824" width="11.140625" style="21" customWidth="1"/>
    <col min="13825" max="13825" width="2.85546875" style="21" customWidth="1"/>
    <col min="13826" max="13826" width="3.5703125" style="21" customWidth="1"/>
    <col min="13827" max="14071" width="9.140625" style="21"/>
    <col min="14072" max="14072" width="8.5703125" style="21" customWidth="1"/>
    <col min="14073" max="14073" width="9.85546875" style="21" customWidth="1"/>
    <col min="14074" max="14074" width="14.42578125" style="21" customWidth="1"/>
    <col min="14075" max="14075" width="7.42578125" style="21" customWidth="1"/>
    <col min="14076" max="14076" width="5.5703125" style="21" customWidth="1"/>
    <col min="14077" max="14077" width="9" style="21" customWidth="1"/>
    <col min="14078" max="14079" width="9.85546875" style="21" customWidth="1"/>
    <col min="14080" max="14080" width="11.140625" style="21" customWidth="1"/>
    <col min="14081" max="14081" width="2.85546875" style="21" customWidth="1"/>
    <col min="14082" max="14082" width="3.5703125" style="21" customWidth="1"/>
    <col min="14083" max="14327" width="9.140625" style="21"/>
    <col min="14328" max="14328" width="8.5703125" style="21" customWidth="1"/>
    <col min="14329" max="14329" width="9.85546875" style="21" customWidth="1"/>
    <col min="14330" max="14330" width="14.42578125" style="21" customWidth="1"/>
    <col min="14331" max="14331" width="7.42578125" style="21" customWidth="1"/>
    <col min="14332" max="14332" width="5.5703125" style="21" customWidth="1"/>
    <col min="14333" max="14333" width="9" style="21" customWidth="1"/>
    <col min="14334" max="14335" width="9.85546875" style="21" customWidth="1"/>
    <col min="14336" max="14336" width="11.140625" style="21" customWidth="1"/>
    <col min="14337" max="14337" width="2.85546875" style="21" customWidth="1"/>
    <col min="14338" max="14338" width="3.5703125" style="21" customWidth="1"/>
    <col min="14339" max="14583" width="9.140625" style="21"/>
    <col min="14584" max="14584" width="8.5703125" style="21" customWidth="1"/>
    <col min="14585" max="14585" width="9.85546875" style="21" customWidth="1"/>
    <col min="14586" max="14586" width="14.42578125" style="21" customWidth="1"/>
    <col min="14587" max="14587" width="7.42578125" style="21" customWidth="1"/>
    <col min="14588" max="14588" width="5.5703125" style="21" customWidth="1"/>
    <col min="14589" max="14589" width="9" style="21" customWidth="1"/>
    <col min="14590" max="14591" width="9.85546875" style="21" customWidth="1"/>
    <col min="14592" max="14592" width="11.140625" style="21" customWidth="1"/>
    <col min="14593" max="14593" width="2.85546875" style="21" customWidth="1"/>
    <col min="14594" max="14594" width="3.5703125" style="21" customWidth="1"/>
    <col min="14595" max="14839" width="9.140625" style="21"/>
    <col min="14840" max="14840" width="8.5703125" style="21" customWidth="1"/>
    <col min="14841" max="14841" width="9.85546875" style="21" customWidth="1"/>
    <col min="14842" max="14842" width="14.42578125" style="21" customWidth="1"/>
    <col min="14843" max="14843" width="7.42578125" style="21" customWidth="1"/>
    <col min="14844" max="14844" width="5.5703125" style="21" customWidth="1"/>
    <col min="14845" max="14845" width="9" style="21" customWidth="1"/>
    <col min="14846" max="14847" width="9.85546875" style="21" customWidth="1"/>
    <col min="14848" max="14848" width="11.140625" style="21" customWidth="1"/>
    <col min="14849" max="14849" width="2.85546875" style="21" customWidth="1"/>
    <col min="14850" max="14850" width="3.5703125" style="21" customWidth="1"/>
    <col min="14851" max="15095" width="9.140625" style="21"/>
    <col min="15096" max="15096" width="8.5703125" style="21" customWidth="1"/>
    <col min="15097" max="15097" width="9.85546875" style="21" customWidth="1"/>
    <col min="15098" max="15098" width="14.42578125" style="21" customWidth="1"/>
    <col min="15099" max="15099" width="7.42578125" style="21" customWidth="1"/>
    <col min="15100" max="15100" width="5.5703125" style="21" customWidth="1"/>
    <col min="15101" max="15101" width="9" style="21" customWidth="1"/>
    <col min="15102" max="15103" width="9.85546875" style="21" customWidth="1"/>
    <col min="15104" max="15104" width="11.140625" style="21" customWidth="1"/>
    <col min="15105" max="15105" width="2.85546875" style="21" customWidth="1"/>
    <col min="15106" max="15106" width="3.5703125" style="21" customWidth="1"/>
    <col min="15107" max="15351" width="9.140625" style="21"/>
    <col min="15352" max="15352" width="8.5703125" style="21" customWidth="1"/>
    <col min="15353" max="15353" width="9.85546875" style="21" customWidth="1"/>
    <col min="15354" max="15354" width="14.42578125" style="21" customWidth="1"/>
    <col min="15355" max="15355" width="7.42578125" style="21" customWidth="1"/>
    <col min="15356" max="15356" width="5.5703125" style="21" customWidth="1"/>
    <col min="15357" max="15357" width="9" style="21" customWidth="1"/>
    <col min="15358" max="15359" width="9.85546875" style="21" customWidth="1"/>
    <col min="15360" max="15360" width="11.140625" style="21" customWidth="1"/>
    <col min="15361" max="15361" width="2.85546875" style="21" customWidth="1"/>
    <col min="15362" max="15362" width="3.5703125" style="21" customWidth="1"/>
    <col min="15363" max="15607" width="9.140625" style="21"/>
    <col min="15608" max="15608" width="8.5703125" style="21" customWidth="1"/>
    <col min="15609" max="15609" width="9.85546875" style="21" customWidth="1"/>
    <col min="15610" max="15610" width="14.42578125" style="21" customWidth="1"/>
    <col min="15611" max="15611" width="7.42578125" style="21" customWidth="1"/>
    <col min="15612" max="15612" width="5.5703125" style="21" customWidth="1"/>
    <col min="15613" max="15613" width="9" style="21" customWidth="1"/>
    <col min="15614" max="15615" width="9.85546875" style="21" customWidth="1"/>
    <col min="15616" max="15616" width="11.140625" style="21" customWidth="1"/>
    <col min="15617" max="15617" width="2.85546875" style="21" customWidth="1"/>
    <col min="15618" max="15618" width="3.5703125" style="21" customWidth="1"/>
    <col min="15619" max="15863" width="9.140625" style="21"/>
    <col min="15864" max="15864" width="8.5703125" style="21" customWidth="1"/>
    <col min="15865" max="15865" width="9.85546875" style="21" customWidth="1"/>
    <col min="15866" max="15866" width="14.42578125" style="21" customWidth="1"/>
    <col min="15867" max="15867" width="7.42578125" style="21" customWidth="1"/>
    <col min="15868" max="15868" width="5.5703125" style="21" customWidth="1"/>
    <col min="15869" max="15869" width="9" style="21" customWidth="1"/>
    <col min="15870" max="15871" width="9.85546875" style="21" customWidth="1"/>
    <col min="15872" max="15872" width="11.140625" style="21" customWidth="1"/>
    <col min="15873" max="15873" width="2.85546875" style="21" customWidth="1"/>
    <col min="15874" max="15874" width="3.5703125" style="21" customWidth="1"/>
    <col min="15875" max="16119" width="9.140625" style="21"/>
    <col min="16120" max="16120" width="8.5703125" style="21" customWidth="1"/>
    <col min="16121" max="16121" width="9.85546875" style="21" customWidth="1"/>
    <col min="16122" max="16122" width="14.42578125" style="21" customWidth="1"/>
    <col min="16123" max="16123" width="7.42578125" style="21" customWidth="1"/>
    <col min="16124" max="16124" width="5.5703125" style="21" customWidth="1"/>
    <col min="16125" max="16125" width="9" style="21" customWidth="1"/>
    <col min="16126" max="16127" width="9.85546875" style="21" customWidth="1"/>
    <col min="16128" max="16128" width="11.140625" style="21" customWidth="1"/>
    <col min="16129" max="16129" width="2.85546875" style="21" customWidth="1"/>
    <col min="16130" max="16130" width="3.5703125" style="21" customWidth="1"/>
    <col min="16131" max="16384" width="9.140625" style="21"/>
  </cols>
  <sheetData>
    <row r="1" spans="1:8" ht="46.5" customHeight="1" x14ac:dyDescent="0.25">
      <c r="A1" s="172" t="s">
        <v>221</v>
      </c>
      <c r="B1" s="172"/>
      <c r="C1" s="172"/>
      <c r="D1" s="172"/>
      <c r="E1" s="172"/>
      <c r="F1" s="172"/>
      <c r="G1" s="172"/>
      <c r="H1" s="172"/>
    </row>
    <row r="2" spans="1:8" ht="16.5" customHeight="1" x14ac:dyDescent="0.25">
      <c r="A2" s="138" t="s">
        <v>0</v>
      </c>
      <c r="B2" s="138"/>
      <c r="C2" s="138"/>
      <c r="D2" s="138"/>
      <c r="E2" s="138"/>
      <c r="F2" s="138"/>
      <c r="G2" s="138"/>
      <c r="H2" s="138"/>
    </row>
    <row r="3" spans="1:8" x14ac:dyDescent="0.25">
      <c r="A3" s="121" t="s">
        <v>1</v>
      </c>
      <c r="B3" s="121"/>
      <c r="C3" s="121"/>
      <c r="D3" s="121"/>
      <c r="E3" s="121" t="str">
        <f ca="1">TEXT(TODAY(),"DD/MM/YYYY")</f>
        <v>10/07/2025</v>
      </c>
      <c r="F3" s="121"/>
      <c r="G3" s="121"/>
      <c r="H3" s="121"/>
    </row>
    <row r="4" spans="1:8" ht="15" customHeight="1" x14ac:dyDescent="0.25">
      <c r="A4" s="121" t="s">
        <v>2</v>
      </c>
      <c r="B4" s="121"/>
      <c r="C4" s="121"/>
      <c r="D4" s="121"/>
      <c r="E4" s="121" t="s">
        <v>167</v>
      </c>
      <c r="F4" s="121"/>
      <c r="G4" s="121"/>
      <c r="H4" s="121"/>
    </row>
    <row r="5" spans="1:8" x14ac:dyDescent="0.25">
      <c r="A5" s="121" t="s">
        <v>3</v>
      </c>
      <c r="B5" s="121"/>
      <c r="C5" s="121"/>
      <c r="D5" s="121"/>
      <c r="E5" s="173">
        <v>45846</v>
      </c>
      <c r="F5" s="121"/>
      <c r="G5" s="121"/>
      <c r="H5" s="121"/>
    </row>
    <row r="6" spans="1:8" ht="16.5" customHeight="1" x14ac:dyDescent="0.25">
      <c r="A6" s="121" t="s">
        <v>4</v>
      </c>
      <c r="B6" s="121"/>
      <c r="C6" s="121"/>
      <c r="D6" s="121"/>
      <c r="E6" s="121" t="s">
        <v>168</v>
      </c>
      <c r="F6" s="121"/>
      <c r="G6" s="121"/>
      <c r="H6" s="121"/>
    </row>
    <row r="7" spans="1:8" ht="15" customHeight="1" x14ac:dyDescent="0.25">
      <c r="A7" s="121" t="s">
        <v>5</v>
      </c>
      <c r="B7" s="121"/>
      <c r="C7" s="121"/>
      <c r="D7" s="121"/>
      <c r="E7" s="121" t="str">
        <f>E6</f>
        <v>Raheja Universal (Pvt.) Ltd</v>
      </c>
      <c r="F7" s="121"/>
      <c r="G7" s="121"/>
      <c r="H7" s="121"/>
    </row>
    <row r="8" spans="1:8" x14ac:dyDescent="0.25">
      <c r="A8" s="121" t="s">
        <v>6</v>
      </c>
      <c r="B8" s="121"/>
      <c r="C8" s="121"/>
      <c r="D8" s="121"/>
      <c r="E8" s="92" t="s">
        <v>222</v>
      </c>
      <c r="F8" s="92"/>
      <c r="G8" s="92"/>
      <c r="H8" s="92"/>
    </row>
    <row r="9" spans="1:8" x14ac:dyDescent="0.25">
      <c r="A9" s="121" t="s">
        <v>119</v>
      </c>
      <c r="B9" s="121"/>
      <c r="C9" s="121"/>
      <c r="D9" s="121"/>
      <c r="E9" s="121" t="s">
        <v>193</v>
      </c>
      <c r="F9" s="121"/>
      <c r="G9" s="121"/>
      <c r="H9" s="121"/>
    </row>
    <row r="10" spans="1:8" x14ac:dyDescent="0.25">
      <c r="A10" s="121" t="s">
        <v>246</v>
      </c>
      <c r="B10" s="121"/>
      <c r="C10" s="121"/>
      <c r="D10" s="121"/>
      <c r="E10" s="121">
        <v>8976095695</v>
      </c>
      <c r="F10" s="121"/>
      <c r="G10" s="121"/>
      <c r="H10" s="121"/>
    </row>
    <row r="11" spans="1:8" ht="50.25" customHeight="1" x14ac:dyDescent="0.25">
      <c r="A11" s="121" t="s">
        <v>7</v>
      </c>
      <c r="B11" s="121"/>
      <c r="C11" s="121"/>
      <c r="D11" s="121"/>
      <c r="E11" s="120" t="s">
        <v>225</v>
      </c>
      <c r="F11" s="121"/>
      <c r="G11" s="121"/>
      <c r="H11" s="121"/>
    </row>
    <row r="12" spans="1:8" ht="17.25" customHeight="1" x14ac:dyDescent="0.25">
      <c r="A12" s="115" t="s">
        <v>223</v>
      </c>
      <c r="B12" s="115"/>
      <c r="C12" s="115"/>
      <c r="D12" s="115"/>
      <c r="E12" s="120" t="s">
        <v>254</v>
      </c>
      <c r="F12" s="120"/>
      <c r="G12" s="120"/>
      <c r="H12" s="120"/>
    </row>
    <row r="13" spans="1:8" ht="48.75" customHeight="1" x14ac:dyDescent="0.25">
      <c r="A13" s="115" t="s">
        <v>8</v>
      </c>
      <c r="B13" s="115"/>
      <c r="C13" s="115"/>
      <c r="D13" s="115"/>
      <c r="E13" s="120" t="s">
        <v>224</v>
      </c>
      <c r="F13" s="121"/>
      <c r="G13" s="121"/>
      <c r="H13" s="121"/>
    </row>
    <row r="14" spans="1:8" ht="48" customHeight="1" x14ac:dyDescent="0.25">
      <c r="A14" s="162" t="s">
        <v>9</v>
      </c>
      <c r="B14" s="162"/>
      <c r="C14" s="162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Raheja Solaris 1, 2 &amp; 3, Plot No.D Gen 2/1/B, near Mindspace Juinagar, MIDC IOC Terminal Road, T.T.C. Industrial Area, Juinagar, Juinagar East, Thane, Thane - 400705.</v>
      </c>
      <c r="D14" s="162"/>
      <c r="E14" s="162"/>
      <c r="F14" s="162"/>
      <c r="G14" s="162"/>
      <c r="H14" s="162"/>
    </row>
    <row r="15" spans="1:8" x14ac:dyDescent="0.25">
      <c r="A15" s="120" t="s">
        <v>226</v>
      </c>
      <c r="B15" s="120"/>
      <c r="C15" s="120" t="s">
        <v>194</v>
      </c>
      <c r="D15" s="120"/>
      <c r="E15" s="120"/>
      <c r="F15" s="120"/>
      <c r="G15" s="120"/>
      <c r="H15" s="120"/>
    </row>
    <row r="16" spans="1:8" ht="15.75" customHeight="1" x14ac:dyDescent="0.25">
      <c r="A16" s="200" t="s">
        <v>164</v>
      </c>
      <c r="B16" s="201"/>
      <c r="C16" s="200" t="s">
        <v>169</v>
      </c>
      <c r="D16" s="202"/>
      <c r="E16" s="202"/>
      <c r="F16" s="202"/>
      <c r="G16" s="202"/>
      <c r="H16" s="201"/>
    </row>
    <row r="17" spans="1:8" ht="15.75" customHeight="1" x14ac:dyDescent="0.25">
      <c r="A17" s="162" t="s">
        <v>10</v>
      </c>
      <c r="B17" s="162"/>
      <c r="C17" s="121" t="s">
        <v>192</v>
      </c>
      <c r="D17" s="121"/>
      <c r="E17" s="162" t="s">
        <v>165</v>
      </c>
      <c r="F17" s="162"/>
      <c r="G17" s="120" t="s">
        <v>183</v>
      </c>
      <c r="H17" s="120"/>
    </row>
    <row r="18" spans="1:8" x14ac:dyDescent="0.25">
      <c r="A18" s="115" t="s">
        <v>12</v>
      </c>
      <c r="B18" s="115"/>
      <c r="C18" s="120" t="s">
        <v>184</v>
      </c>
      <c r="D18" s="120"/>
      <c r="E18" s="162" t="s">
        <v>11</v>
      </c>
      <c r="F18" s="162"/>
      <c r="G18" s="174" t="s">
        <v>190</v>
      </c>
      <c r="H18" s="175"/>
    </row>
    <row r="19" spans="1:8" x14ac:dyDescent="0.25">
      <c r="A19" s="115" t="s">
        <v>72</v>
      </c>
      <c r="B19" s="115"/>
      <c r="C19" s="120" t="s">
        <v>190</v>
      </c>
      <c r="D19" s="120"/>
      <c r="E19" s="162" t="s">
        <v>13</v>
      </c>
      <c r="F19" s="162"/>
      <c r="G19" s="120">
        <v>400705</v>
      </c>
      <c r="H19" s="120"/>
    </row>
    <row r="20" spans="1:8" ht="32.25" customHeight="1" x14ac:dyDescent="0.25">
      <c r="A20" s="115" t="s">
        <v>120</v>
      </c>
      <c r="B20" s="115"/>
      <c r="C20" s="120" t="s">
        <v>191</v>
      </c>
      <c r="D20" s="120"/>
      <c r="E20" s="162" t="s">
        <v>14</v>
      </c>
      <c r="F20" s="162"/>
      <c r="G20" s="120" t="s">
        <v>189</v>
      </c>
      <c r="H20" s="120"/>
    </row>
    <row r="21" spans="1:8" ht="15" customHeight="1" x14ac:dyDescent="0.25">
      <c r="A21" s="162" t="s">
        <v>75</v>
      </c>
      <c r="B21" s="162"/>
      <c r="C21" s="162"/>
      <c r="D21" s="162"/>
      <c r="E21" s="121" t="s">
        <v>15</v>
      </c>
      <c r="F21" s="121"/>
      <c r="G21" s="121"/>
      <c r="H21" s="121"/>
    </row>
    <row r="22" spans="1:8" ht="18.75" customHeight="1" x14ac:dyDescent="0.25">
      <c r="A22" s="162"/>
      <c r="B22" s="162"/>
      <c r="C22" s="162"/>
      <c r="D22" s="162"/>
      <c r="E22" s="121"/>
      <c r="F22" s="121"/>
      <c r="G22" s="121"/>
      <c r="H22" s="121"/>
    </row>
    <row r="23" spans="1:8" ht="15" customHeight="1" x14ac:dyDescent="0.25">
      <c r="A23" s="162" t="s">
        <v>16</v>
      </c>
      <c r="B23" s="162"/>
      <c r="C23" s="162"/>
      <c r="D23" s="162"/>
      <c r="E23" s="120" t="s">
        <v>17</v>
      </c>
      <c r="F23" s="120"/>
      <c r="G23" s="120"/>
      <c r="H23" s="120"/>
    </row>
    <row r="24" spans="1:8" ht="15" customHeight="1" x14ac:dyDescent="0.25">
      <c r="A24" s="115" t="s">
        <v>18</v>
      </c>
      <c r="B24" s="115"/>
      <c r="C24" s="115"/>
      <c r="D24" s="115"/>
      <c r="E24" s="120" t="str">
        <f>IF(AND(G18="Mumbai"),"Upper Class","Middle Class")</f>
        <v>Middle Class</v>
      </c>
      <c r="F24" s="120"/>
      <c r="G24" s="120"/>
      <c r="H24" s="120"/>
    </row>
    <row r="25" spans="1:8" x14ac:dyDescent="0.25">
      <c r="A25" s="115" t="s">
        <v>19</v>
      </c>
      <c r="B25" s="115"/>
      <c r="C25" s="115"/>
      <c r="D25" s="115"/>
      <c r="E25" s="120" t="s">
        <v>20</v>
      </c>
      <c r="F25" s="120"/>
      <c r="G25" s="120"/>
      <c r="H25" s="120"/>
    </row>
    <row r="26" spans="1:8" ht="15.75" customHeight="1" x14ac:dyDescent="0.25">
      <c r="A26" s="115" t="s">
        <v>21</v>
      </c>
      <c r="B26" s="115"/>
      <c r="C26" s="115"/>
      <c r="D26" s="115"/>
      <c r="E26" s="120" t="str">
        <f>IF(AND(G18="Mumbai"),"Developed","Developing")</f>
        <v>Developing</v>
      </c>
      <c r="F26" s="120"/>
      <c r="G26" s="120"/>
      <c r="H26" s="120"/>
    </row>
    <row r="27" spans="1:8" x14ac:dyDescent="0.25">
      <c r="A27" s="115" t="s">
        <v>22</v>
      </c>
      <c r="B27" s="115"/>
      <c r="C27" s="115"/>
      <c r="D27" s="115"/>
      <c r="E27" s="120" t="s">
        <v>23</v>
      </c>
      <c r="F27" s="120"/>
      <c r="G27" s="120"/>
      <c r="H27" s="120"/>
    </row>
    <row r="28" spans="1:8" ht="15.75" customHeight="1" x14ac:dyDescent="0.25">
      <c r="A28" s="115" t="s">
        <v>80</v>
      </c>
      <c r="B28" s="115"/>
      <c r="C28" s="115"/>
      <c r="D28" s="115"/>
      <c r="E28" s="120" t="s">
        <v>81</v>
      </c>
      <c r="F28" s="120"/>
      <c r="G28" s="120"/>
      <c r="H28" s="120"/>
    </row>
    <row r="29" spans="1:8" ht="15" customHeight="1" x14ac:dyDescent="0.25">
      <c r="A29" s="115" t="s">
        <v>32</v>
      </c>
      <c r="B29" s="115"/>
      <c r="C29" s="115"/>
      <c r="D29" s="115"/>
      <c r="E29" s="120" t="str">
        <f>IF(AND(ISNUMBER(SEARCH("Flat",D67)),ISNUMBER(SEARCH("Shop",D67)),ISNUMBER(SEARCH("Office",D67))),"Residential + Commercial",IF(AND(ISNUMBER(SEARCH("Flat",D67)),ISNUMBER(SEARCH("Shop",D67))),"Residential + Commercial",IF(AND(ISNUMBER(SEARCH("Flat",D67)),ISNUMBER(SEARCH("Office",D67))),"Residential + Commercial",IF(AND(ISNUMBER(SEARCH("Shop",D67)),ISNUMBER(SEARCH("Office",D67))),"Commercial",IF(ISNUMBER(SEARCH("Shop",D67)),"Commercial",IF(ISNUMBER(SEARCH("Office",D67)),"Commercial",IF(ISNUMBER(SEARCH("Flat",D67)),"Residential")))))))</f>
        <v>Residential + Commercial</v>
      </c>
      <c r="F29" s="120"/>
      <c r="G29" s="120"/>
      <c r="H29" s="120"/>
    </row>
    <row r="30" spans="1:8" ht="15.75" customHeight="1" x14ac:dyDescent="0.25">
      <c r="A30" s="115" t="s">
        <v>92</v>
      </c>
      <c r="B30" s="115"/>
      <c r="C30" s="115"/>
      <c r="D30" s="115"/>
      <c r="E30" s="120" t="s">
        <v>33</v>
      </c>
      <c r="F30" s="120"/>
      <c r="G30" s="120"/>
      <c r="H30" s="120"/>
    </row>
    <row r="31" spans="1:8" s="22" customFormat="1" x14ac:dyDescent="0.25">
      <c r="A31" s="179" t="s">
        <v>93</v>
      </c>
      <c r="B31" s="179"/>
      <c r="C31" s="178" t="s">
        <v>28</v>
      </c>
      <c r="D31" s="178"/>
      <c r="E31" s="178"/>
      <c r="F31" s="178" t="s">
        <v>30</v>
      </c>
      <c r="G31" s="178"/>
      <c r="H31" s="178"/>
    </row>
    <row r="32" spans="1:8" s="22" customFormat="1" x14ac:dyDescent="0.25">
      <c r="A32" s="176" t="s">
        <v>24</v>
      </c>
      <c r="B32" s="176" t="s">
        <v>29</v>
      </c>
      <c r="C32" s="177" t="s">
        <v>29</v>
      </c>
      <c r="D32" s="177"/>
      <c r="E32" s="177"/>
      <c r="F32" s="177" t="s">
        <v>187</v>
      </c>
      <c r="G32" s="177"/>
      <c r="H32" s="177"/>
    </row>
    <row r="33" spans="1:8" x14ac:dyDescent="0.25">
      <c r="A33" s="176" t="s">
        <v>25</v>
      </c>
      <c r="B33" s="176" t="s">
        <v>29</v>
      </c>
      <c r="C33" s="177" t="s">
        <v>29</v>
      </c>
      <c r="D33" s="177"/>
      <c r="E33" s="177"/>
      <c r="F33" s="177" t="s">
        <v>188</v>
      </c>
      <c r="G33" s="177"/>
      <c r="H33" s="177"/>
    </row>
    <row r="34" spans="1:8" s="22" customFormat="1" x14ac:dyDescent="0.25">
      <c r="A34" s="176" t="s">
        <v>27</v>
      </c>
      <c r="B34" s="176" t="s">
        <v>29</v>
      </c>
      <c r="C34" s="177" t="s">
        <v>29</v>
      </c>
      <c r="D34" s="177"/>
      <c r="E34" s="177"/>
      <c r="F34" s="177" t="s">
        <v>192</v>
      </c>
      <c r="G34" s="177"/>
      <c r="H34" s="177"/>
    </row>
    <row r="35" spans="1:8" x14ac:dyDescent="0.25">
      <c r="A35" s="176" t="s">
        <v>26</v>
      </c>
      <c r="B35" s="176" t="s">
        <v>29</v>
      </c>
      <c r="C35" s="177" t="s">
        <v>29</v>
      </c>
      <c r="D35" s="177"/>
      <c r="E35" s="177"/>
      <c r="F35" s="177" t="s">
        <v>188</v>
      </c>
      <c r="G35" s="177"/>
      <c r="H35" s="177"/>
    </row>
    <row r="36" spans="1:8" x14ac:dyDescent="0.25">
      <c r="A36" s="115" t="s">
        <v>31</v>
      </c>
      <c r="B36" s="115"/>
      <c r="C36" s="115"/>
      <c r="D36" s="115"/>
      <c r="E36" s="115"/>
      <c r="F36" s="115"/>
      <c r="G36" s="115"/>
      <c r="H36" s="115"/>
    </row>
    <row r="37" spans="1:8" ht="15.75" customHeight="1" x14ac:dyDescent="0.25">
      <c r="A37" s="115" t="s">
        <v>256</v>
      </c>
      <c r="B37" s="115"/>
      <c r="C37" s="215" t="s">
        <v>257</v>
      </c>
      <c r="D37" s="216"/>
      <c r="E37" s="216"/>
      <c r="F37" s="216"/>
      <c r="G37" s="216"/>
      <c r="H37" s="217"/>
    </row>
    <row r="38" spans="1:8" x14ac:dyDescent="0.25">
      <c r="A38" s="115" t="s">
        <v>163</v>
      </c>
      <c r="B38" s="115"/>
      <c r="C38" s="203" t="s">
        <v>186</v>
      </c>
      <c r="D38" s="120"/>
      <c r="E38" s="120"/>
      <c r="F38" s="120"/>
      <c r="G38" s="120"/>
      <c r="H38" s="120"/>
    </row>
    <row r="39" spans="1:8" x14ac:dyDescent="0.25">
      <c r="A39" s="167" t="s">
        <v>34</v>
      </c>
      <c r="B39" s="167"/>
      <c r="C39" s="167"/>
      <c r="D39" s="167"/>
      <c r="E39" s="167"/>
      <c r="F39" s="167"/>
      <c r="G39" s="167"/>
      <c r="H39" s="167"/>
    </row>
    <row r="40" spans="1:8" x14ac:dyDescent="0.25">
      <c r="A40" s="115" t="s">
        <v>35</v>
      </c>
      <c r="B40" s="115"/>
      <c r="C40" s="115"/>
      <c r="D40" s="115"/>
      <c r="E40" s="180">
        <v>275309.84999999998</v>
      </c>
      <c r="F40" s="180"/>
      <c r="G40" s="180"/>
      <c r="H40" s="180"/>
    </row>
    <row r="41" spans="1:8" x14ac:dyDescent="0.25">
      <c r="A41" s="115" t="s">
        <v>36</v>
      </c>
      <c r="B41" s="115"/>
      <c r="C41" s="115"/>
      <c r="D41" s="115"/>
      <c r="E41" s="145">
        <v>2.5</v>
      </c>
      <c r="F41" s="145"/>
      <c r="G41" s="145"/>
      <c r="H41" s="145"/>
    </row>
    <row r="42" spans="1:8" x14ac:dyDescent="0.25">
      <c r="A42" s="115" t="s">
        <v>37</v>
      </c>
      <c r="B42" s="115"/>
      <c r="C42" s="115"/>
      <c r="D42" s="115"/>
      <c r="E42" s="145">
        <f>E44/E40-E41</f>
        <v>1.816135553056597E-8</v>
      </c>
      <c r="F42" s="145"/>
      <c r="G42" s="145"/>
      <c r="H42" s="145"/>
    </row>
    <row r="43" spans="1:8" x14ac:dyDescent="0.25">
      <c r="A43" s="115" t="s">
        <v>38</v>
      </c>
      <c r="B43" s="115"/>
      <c r="C43" s="115"/>
      <c r="D43" s="115"/>
      <c r="E43" s="145">
        <f>E41+E42</f>
        <v>2.5000000181613555</v>
      </c>
      <c r="F43" s="145"/>
      <c r="G43" s="145"/>
      <c r="H43" s="145"/>
    </row>
    <row r="44" spans="1:8" x14ac:dyDescent="0.25">
      <c r="A44" s="115" t="s">
        <v>91</v>
      </c>
      <c r="B44" s="115"/>
      <c r="C44" s="115"/>
      <c r="D44" s="115"/>
      <c r="E44" s="206">
        <v>688274.63</v>
      </c>
      <c r="F44" s="206"/>
      <c r="G44" s="206"/>
      <c r="H44" s="206"/>
    </row>
    <row r="45" spans="1:8" x14ac:dyDescent="0.25">
      <c r="A45" s="121" t="s">
        <v>39</v>
      </c>
      <c r="B45" s="121"/>
      <c r="C45" s="121"/>
      <c r="D45" s="121"/>
      <c r="E45" s="121" t="s">
        <v>231</v>
      </c>
      <c r="F45" s="121"/>
      <c r="G45" s="121"/>
      <c r="H45" s="121"/>
    </row>
    <row r="46" spans="1:8" x14ac:dyDescent="0.25">
      <c r="A46" s="167" t="s">
        <v>40</v>
      </c>
      <c r="B46" s="167"/>
      <c r="C46" s="167"/>
      <c r="D46" s="167"/>
      <c r="E46" s="167"/>
      <c r="F46" s="167"/>
      <c r="G46" s="167"/>
      <c r="H46" s="167"/>
    </row>
    <row r="47" spans="1:8" ht="33.75" customHeight="1" x14ac:dyDescent="0.25">
      <c r="A47" s="122" t="s">
        <v>152</v>
      </c>
      <c r="B47" s="124"/>
      <c r="C47" s="209" t="s">
        <v>170</v>
      </c>
      <c r="D47" s="210"/>
      <c r="E47" s="210"/>
      <c r="F47" s="210"/>
      <c r="G47" s="210"/>
      <c r="H47" s="211"/>
    </row>
    <row r="48" spans="1:8" x14ac:dyDescent="0.25">
      <c r="A48" s="138" t="s">
        <v>196</v>
      </c>
      <c r="B48" s="138"/>
      <c r="C48" s="138"/>
      <c r="D48" s="138"/>
      <c r="E48" s="138"/>
      <c r="F48" s="138"/>
      <c r="G48" s="138"/>
      <c r="H48" s="138"/>
    </row>
    <row r="49" spans="1:8" ht="16.5" customHeight="1" x14ac:dyDescent="0.25">
      <c r="A49" s="122" t="s">
        <v>41</v>
      </c>
      <c r="B49" s="124"/>
      <c r="C49" s="122" t="s">
        <v>195</v>
      </c>
      <c r="D49" s="123"/>
      <c r="E49" s="124"/>
      <c r="F49" s="18" t="s">
        <v>42</v>
      </c>
      <c r="G49" s="139">
        <v>44753</v>
      </c>
      <c r="H49" s="124"/>
    </row>
    <row r="50" spans="1:8" x14ac:dyDescent="0.25">
      <c r="A50" s="122" t="s">
        <v>43</v>
      </c>
      <c r="B50" s="124"/>
      <c r="C50" s="122" t="str">
        <f>C49</f>
        <v>EE/Dn.II/SPA/E08560/of 2021</v>
      </c>
      <c r="D50" s="123"/>
      <c r="E50" s="124"/>
      <c r="F50" s="18" t="s">
        <v>42</v>
      </c>
      <c r="G50" s="139">
        <f>G49</f>
        <v>44753</v>
      </c>
      <c r="H50" s="140"/>
    </row>
    <row r="51" spans="1:8" s="23" customFormat="1" ht="15.75" customHeight="1" x14ac:dyDescent="0.25">
      <c r="A51" s="141" t="s">
        <v>156</v>
      </c>
      <c r="B51" s="142"/>
      <c r="C51" s="122" t="str">
        <f>C50</f>
        <v>EE/Dn.II/SPA/E08560/of 2021</v>
      </c>
      <c r="D51" s="123"/>
      <c r="E51" s="124"/>
      <c r="F51" s="18" t="s">
        <v>42</v>
      </c>
      <c r="G51" s="139">
        <f>G50</f>
        <v>44753</v>
      </c>
      <c r="H51" s="140"/>
    </row>
    <row r="52" spans="1:8" s="23" customFormat="1" ht="16.5" customHeight="1" x14ac:dyDescent="0.25">
      <c r="A52" s="143"/>
      <c r="B52" s="144"/>
      <c r="C52" s="122" t="s">
        <v>197</v>
      </c>
      <c r="D52" s="123"/>
      <c r="E52" s="123"/>
      <c r="F52" s="123"/>
      <c r="G52" s="123"/>
      <c r="H52" s="124"/>
    </row>
    <row r="53" spans="1:8" x14ac:dyDescent="0.25">
      <c r="A53" s="138" t="s">
        <v>210</v>
      </c>
      <c r="B53" s="138"/>
      <c r="C53" s="138"/>
      <c r="D53" s="138"/>
      <c r="E53" s="138"/>
      <c r="F53" s="138"/>
      <c r="G53" s="138"/>
      <c r="H53" s="138"/>
    </row>
    <row r="54" spans="1:8" ht="15.75" customHeight="1" x14ac:dyDescent="0.25">
      <c r="A54" s="122" t="s">
        <v>41</v>
      </c>
      <c r="B54" s="124"/>
      <c r="C54" s="122" t="s">
        <v>185</v>
      </c>
      <c r="D54" s="123"/>
      <c r="E54" s="124"/>
      <c r="F54" s="18" t="s">
        <v>42</v>
      </c>
      <c r="G54" s="139">
        <v>44483</v>
      </c>
      <c r="H54" s="124"/>
    </row>
    <row r="55" spans="1:8" x14ac:dyDescent="0.25">
      <c r="A55" s="122" t="s">
        <v>43</v>
      </c>
      <c r="B55" s="124"/>
      <c r="C55" s="122" t="str">
        <f>C54</f>
        <v>EE/Dn. II/MHP/SPA/C34188/of 2022</v>
      </c>
      <c r="D55" s="123"/>
      <c r="E55" s="124"/>
      <c r="F55" s="18" t="s">
        <v>42</v>
      </c>
      <c r="G55" s="139">
        <f>G54</f>
        <v>44483</v>
      </c>
      <c r="H55" s="140"/>
    </row>
    <row r="56" spans="1:8" s="23" customFormat="1" ht="15.75" customHeight="1" x14ac:dyDescent="0.25">
      <c r="A56" s="141" t="s">
        <v>156</v>
      </c>
      <c r="B56" s="142"/>
      <c r="C56" s="122" t="s">
        <v>185</v>
      </c>
      <c r="D56" s="123"/>
      <c r="E56" s="124"/>
      <c r="F56" s="18" t="s">
        <v>42</v>
      </c>
      <c r="G56" s="139">
        <f>G55</f>
        <v>44483</v>
      </c>
      <c r="H56" s="140"/>
    </row>
    <row r="57" spans="1:8" s="23" customFormat="1" ht="16.5" customHeight="1" x14ac:dyDescent="0.25">
      <c r="A57" s="143"/>
      <c r="B57" s="144"/>
      <c r="C57" s="122" t="s">
        <v>182</v>
      </c>
      <c r="D57" s="123"/>
      <c r="E57" s="123"/>
      <c r="F57" s="123"/>
      <c r="G57" s="123"/>
      <c r="H57" s="124"/>
    </row>
    <row r="58" spans="1:8" x14ac:dyDescent="0.25">
      <c r="A58" s="128" t="s">
        <v>227</v>
      </c>
      <c r="B58" s="128"/>
      <c r="C58" s="128"/>
      <c r="D58" s="128"/>
      <c r="E58" s="128"/>
      <c r="F58" s="128"/>
      <c r="G58" s="128"/>
      <c r="H58" s="128"/>
    </row>
    <row r="59" spans="1:8" ht="15.75" customHeight="1" x14ac:dyDescent="0.25">
      <c r="A59" s="129" t="s">
        <v>41</v>
      </c>
      <c r="B59" s="130"/>
      <c r="C59" s="129" t="s">
        <v>228</v>
      </c>
      <c r="D59" s="131"/>
      <c r="E59" s="130"/>
      <c r="F59" s="59" t="s">
        <v>42</v>
      </c>
      <c r="G59" s="132">
        <v>45208</v>
      </c>
      <c r="H59" s="130"/>
    </row>
    <row r="60" spans="1:8" x14ac:dyDescent="0.25">
      <c r="A60" s="129" t="s">
        <v>43</v>
      </c>
      <c r="B60" s="130"/>
      <c r="C60" s="129" t="str">
        <f>C59</f>
        <v xml:space="preserve">EE/Dn. II/MHP/SPA/I/20792/of 2023 </v>
      </c>
      <c r="D60" s="131"/>
      <c r="E60" s="130"/>
      <c r="F60" s="59" t="s">
        <v>42</v>
      </c>
      <c r="G60" s="132">
        <f>G59</f>
        <v>45208</v>
      </c>
      <c r="H60" s="133"/>
    </row>
    <row r="61" spans="1:8" s="23" customFormat="1" ht="15.75" customHeight="1" x14ac:dyDescent="0.25">
      <c r="A61" s="134" t="s">
        <v>156</v>
      </c>
      <c r="B61" s="135"/>
      <c r="C61" s="129" t="str">
        <f>C59</f>
        <v xml:space="preserve">EE/Dn. II/MHP/SPA/I/20792/of 2023 </v>
      </c>
      <c r="D61" s="131"/>
      <c r="E61" s="130"/>
      <c r="F61" s="59" t="s">
        <v>42</v>
      </c>
      <c r="G61" s="132">
        <v>45205</v>
      </c>
      <c r="H61" s="133"/>
    </row>
    <row r="62" spans="1:8" s="23" customFormat="1" ht="16.5" customHeight="1" x14ac:dyDescent="0.25">
      <c r="A62" s="136"/>
      <c r="B62" s="137"/>
      <c r="C62" s="129" t="s">
        <v>255</v>
      </c>
      <c r="D62" s="131"/>
      <c r="E62" s="131"/>
      <c r="F62" s="131"/>
      <c r="G62" s="131"/>
      <c r="H62" s="130"/>
    </row>
    <row r="63" spans="1:8" x14ac:dyDescent="0.25">
      <c r="A63" s="188" t="s">
        <v>166</v>
      </c>
      <c r="B63" s="189"/>
      <c r="C63" s="125" t="s">
        <v>29</v>
      </c>
      <c r="D63" s="126"/>
      <c r="E63" s="127"/>
      <c r="F63" s="53" t="s">
        <v>42</v>
      </c>
      <c r="G63" s="186" t="s">
        <v>29</v>
      </c>
      <c r="H63" s="187"/>
    </row>
    <row r="64" spans="1:8" hidden="1" x14ac:dyDescent="0.25">
      <c r="A64" s="190"/>
      <c r="B64" s="191"/>
      <c r="C64" s="125" t="s">
        <v>29</v>
      </c>
      <c r="D64" s="126"/>
      <c r="E64" s="126"/>
      <c r="F64" s="126"/>
      <c r="G64" s="126"/>
      <c r="H64" s="127"/>
    </row>
    <row r="65" spans="1:14" x14ac:dyDescent="0.25">
      <c r="A65" s="157" t="s">
        <v>45</v>
      </c>
      <c r="B65" s="157"/>
      <c r="C65" s="157"/>
      <c r="D65" s="157"/>
      <c r="E65" s="157"/>
      <c r="F65" s="157"/>
      <c r="G65" s="157"/>
      <c r="H65" s="157"/>
    </row>
    <row r="66" spans="1:14" x14ac:dyDescent="0.25">
      <c r="A66" s="162" t="s">
        <v>90</v>
      </c>
      <c r="B66" s="162"/>
      <c r="C66" s="162"/>
      <c r="D66" s="115">
        <f>E44</f>
        <v>688274.63</v>
      </c>
      <c r="E66" s="115"/>
      <c r="F66" s="115"/>
      <c r="G66" s="115"/>
      <c r="H66" s="115"/>
    </row>
    <row r="67" spans="1:14" x14ac:dyDescent="0.25">
      <c r="A67" s="120" t="s">
        <v>46</v>
      </c>
      <c r="B67" s="121"/>
      <c r="C67" s="121"/>
      <c r="D67" s="121" t="s">
        <v>249</v>
      </c>
      <c r="E67" s="121"/>
      <c r="F67" s="121"/>
      <c r="G67" s="121"/>
      <c r="H67" s="121"/>
      <c r="I67" s="24"/>
    </row>
    <row r="68" spans="1:14" ht="80.25" customHeight="1" x14ac:dyDescent="0.25">
      <c r="A68" s="183" t="s">
        <v>47</v>
      </c>
      <c r="B68" s="184"/>
      <c r="C68" s="185"/>
      <c r="D68" s="181" t="s">
        <v>229</v>
      </c>
      <c r="E68" s="182"/>
      <c r="F68" s="182"/>
      <c r="G68" s="182"/>
      <c r="H68" s="182"/>
    </row>
    <row r="69" spans="1:14" ht="81.75" customHeight="1" x14ac:dyDescent="0.25">
      <c r="A69" s="183" t="s">
        <v>88</v>
      </c>
      <c r="B69" s="184"/>
      <c r="C69" s="184"/>
      <c r="D69" s="120" t="s">
        <v>251</v>
      </c>
      <c r="E69" s="121"/>
      <c r="F69" s="121"/>
      <c r="G69" s="121"/>
      <c r="H69" s="121"/>
    </row>
    <row r="70" spans="1:14" ht="49.5" customHeight="1" x14ac:dyDescent="0.25">
      <c r="A70" s="115" t="s">
        <v>44</v>
      </c>
      <c r="B70" s="115"/>
      <c r="C70" s="115"/>
      <c r="D70" s="204" t="s">
        <v>230</v>
      </c>
      <c r="E70" s="204"/>
      <c r="F70" s="204"/>
      <c r="G70" s="204"/>
      <c r="H70" s="204"/>
      <c r="J70" s="25"/>
      <c r="K70" s="24"/>
      <c r="N70" s="24"/>
    </row>
    <row r="71" spans="1:14" ht="15.75" customHeight="1" x14ac:dyDescent="0.25">
      <c r="A71" s="115" t="s">
        <v>86</v>
      </c>
      <c r="B71" s="115"/>
      <c r="C71" s="115"/>
      <c r="D71" s="205" t="str">
        <f>(IF(G63="NA","60 Years After Completion",IF(G63&lt;&gt;"NA",""&amp;60-ROUNDDOWN((E3-G63)/360,0)&amp;" Years"," ")))</f>
        <v>60 Years After Completion</v>
      </c>
      <c r="E71" s="205"/>
      <c r="F71" s="205"/>
      <c r="G71" s="205"/>
      <c r="H71" s="205"/>
      <c r="N71" s="24"/>
    </row>
    <row r="72" spans="1:14" ht="15.75" customHeight="1" x14ac:dyDescent="0.25">
      <c r="A72" s="115" t="s">
        <v>87</v>
      </c>
      <c r="B72" s="115"/>
      <c r="C72" s="115"/>
      <c r="D72" s="162" t="s">
        <v>23</v>
      </c>
      <c r="E72" s="162"/>
      <c r="F72" s="162"/>
      <c r="G72" s="162"/>
      <c r="H72" s="162"/>
      <c r="J72" s="26"/>
      <c r="K72" s="26"/>
    </row>
    <row r="73" spans="1:14" ht="30" customHeight="1" x14ac:dyDescent="0.25">
      <c r="A73" s="115" t="s">
        <v>73</v>
      </c>
      <c r="B73" s="115"/>
      <c r="C73" s="115"/>
      <c r="D73" s="120" t="s">
        <v>198</v>
      </c>
      <c r="E73" s="162"/>
      <c r="F73" s="162"/>
      <c r="G73" s="162"/>
      <c r="H73" s="162"/>
    </row>
    <row r="74" spans="1:14" x14ac:dyDescent="0.25">
      <c r="A74" s="162" t="s">
        <v>148</v>
      </c>
      <c r="B74" s="162"/>
      <c r="C74" s="162"/>
      <c r="D74" s="162" t="s">
        <v>29</v>
      </c>
      <c r="E74" s="162"/>
      <c r="F74" s="162"/>
      <c r="G74" s="162"/>
      <c r="H74" s="162"/>
      <c r="I74" s="27"/>
      <c r="J74" s="27"/>
      <c r="K74" s="27"/>
      <c r="L74" s="27"/>
      <c r="M74" s="27"/>
      <c r="N74" s="27"/>
    </row>
    <row r="75" spans="1:14" ht="15.75" customHeight="1" x14ac:dyDescent="0.25">
      <c r="A75" s="193" t="s">
        <v>85</v>
      </c>
      <c r="B75" s="193"/>
      <c r="C75" s="193"/>
      <c r="D75" s="181" t="str">
        <f ca="1">(IF(G109&gt;95%,"Nothing",IF(G109&gt;0%,"Cement, Aggregate, Steel, etc",IF(G109=0%,"Work not yet Started"))))</f>
        <v>Cement, Aggregate, Steel, etc</v>
      </c>
      <c r="E75" s="181"/>
      <c r="F75" s="181"/>
      <c r="G75" s="181"/>
      <c r="H75" s="181"/>
      <c r="J75" s="26"/>
    </row>
    <row r="76" spans="1:14" ht="33.75" customHeight="1" thickBot="1" x14ac:dyDescent="0.3">
      <c r="A76" s="192" t="s">
        <v>112</v>
      </c>
      <c r="B76" s="192"/>
      <c r="C76" s="192"/>
      <c r="D76" s="181" t="str">
        <f ca="1">(IF(D75="Nothing","Yes",IF(D75="Cement, Aggregate, Steel, etc","Under Construction",IF(D75="Work not yet Started","Work not yet Started"))))</f>
        <v>Under Construction</v>
      </c>
      <c r="E76" s="181"/>
      <c r="F76" s="181" t="str">
        <f ca="1">(IF(D75="Nothing","Yes",IF(D75="Cement, Aggregate, Steel, etc","Under Construction",IF(D75="Work not yet Started","Work not yet Started"))))</f>
        <v>Under Construction</v>
      </c>
      <c r="G76" s="181"/>
      <c r="H76" s="181"/>
    </row>
    <row r="77" spans="1:14" ht="15.75" customHeight="1" x14ac:dyDescent="0.25">
      <c r="A77" s="86" t="s">
        <v>138</v>
      </c>
      <c r="B77" s="87"/>
      <c r="C77" s="88" t="s">
        <v>199</v>
      </c>
      <c r="D77" s="89"/>
      <c r="E77" s="89"/>
      <c r="F77" s="89"/>
      <c r="G77" s="89"/>
      <c r="H77" s="90"/>
      <c r="I77" s="49" t="str">
        <f ca="1">IF(D90=100%,"All work Completed. Possession granted to the Building.",IF(D89=100%,"All work Completed, Waiting for OC",I78&amp;""&amp;I79&amp;""&amp;J78&amp;""&amp;J77&amp;" "&amp;J79))</f>
        <v>Excavation, Plinth Completed, RCC upto 25 Slab, Brickwork upto 20 Floor, Internal Plaster upto 17 Floor, External Plaster upto 14 Floor Completed</v>
      </c>
      <c r="J77" s="50" t="str">
        <f ca="1">(IF(C83=(D78+F78+H78),"",IF(C83&gt;0,", RCC upto "&amp;C83&amp;" Slab","")))&amp;(IF(C84=H78,"",IF(C84&gt;0,", Brickwork upto "&amp;C84&amp;" Floor","")))&amp;(IF(C85=H78,"",IF(C85&gt;0,", Internal Plaster upto "&amp;C85&amp;" Floor","")))&amp;(IF(C86=H78,"",IF(C86&gt;0,", External Plaster upto "&amp;C86&amp;" Floor","")))&amp;(IF(C87=H78,"",IF(C87&gt;0,", Flooring upto "&amp;C87&amp;" Floor","")))&amp;(IF(C88=H78,"",IF(C88&gt;0,", Painting upto "&amp;C88&amp;" Floor","")))&amp;(IF(C89=H78,"",IF(C89&gt;0,", Finishing upto "&amp;C89&amp;" Floor","")))&amp;(IF(C90=H78,"",IF(C90&gt;0,", Possession upto "&amp;C90&amp;" Floor","")))</f>
        <v>, RCC upto 25 Slab, Brickwork upto 20 Floor, Internal Plaster upto 17 Floor, External Plaster upto 14 Floor</v>
      </c>
    </row>
    <row r="78" spans="1:14" x14ac:dyDescent="0.25">
      <c r="A78" s="16" t="s">
        <v>140</v>
      </c>
      <c r="B78" s="47">
        <v>0</v>
      </c>
      <c r="C78" s="47" t="s">
        <v>71</v>
      </c>
      <c r="D78" s="47">
        <v>1</v>
      </c>
      <c r="E78" s="47" t="s">
        <v>70</v>
      </c>
      <c r="F78" s="47">
        <v>4</v>
      </c>
      <c r="G78" s="48" t="s">
        <v>79</v>
      </c>
      <c r="H78" s="17">
        <f ca="1">--TRIM(RIGHT(SUBSTITUTE(LEFT(C77,_xlfn.AGGREGATE(16,6,FIND({0,1,2,3,4,5,6,7,8,9},C77,ROW(INDIRECT("1:"&amp;LEN(C77)))),1))," ",REPT(" ",LEN(C77))),LEN(C77)))</f>
        <v>24</v>
      </c>
      <c r="I78" s="51" t="str">
        <f ca="1">IF(D81=100%,"Excavation","")&amp;IF(D82=100%,", Plinth","")&amp;IF(D83=100%,", RCC Slab","")&amp;IF(D84=100%,", Brickwork","")&amp;IF(D85=100%,", Internal Plaster","")&amp;IF(D86=100%,", External Plaster","")&amp;IF(D87=100%,", Flooring","")&amp;IF(D88=100%,", Painting","")&amp;IF(D89=100%,", Building common Amenities","")</f>
        <v>Excavation, Plinth</v>
      </c>
      <c r="J78" s="52" t="str">
        <f ca="1">(IF(C81=0,"Work not yet Started.",IF(D81=25%,"Piling work in process",IF(D81=50%,"Excavation work in process",IF(D81=100%,"","0")))))&amp;(IF(C82=0%,"",IF(C82=J83,", Footing work is process",IF(C82=J84,", Footing work Completed",IF(C82=J85,", 1st Basement Completed",IF(C82=J86,", 1st &amp; 2nd Basement Completed",IF(C82=J87,", 1st to 3rd Basement Completed",IF(C82=J88,", 1st to 4th Basement Completed",IF(C82=J89,", Plinth work is process",IF(C82=J90,"","0"))))))))))</f>
        <v/>
      </c>
    </row>
    <row r="79" spans="1:14" ht="34.700000000000003" customHeight="1" x14ac:dyDescent="0.25">
      <c r="A79" s="91" t="s">
        <v>89</v>
      </c>
      <c r="B79" s="92"/>
      <c r="C79" s="93" t="str">
        <f ca="1">(IF($C$64=C77,"All work Completed. OC Received.",I77))</f>
        <v>Excavation, Plinth Completed, RCC upto 25 Slab, Brickwork upto 20 Floor, Internal Plaster upto 17 Floor, External Plaster upto 14 Floor Completed</v>
      </c>
      <c r="D79" s="93"/>
      <c r="E79" s="93"/>
      <c r="F79" s="93"/>
      <c r="G79" s="93"/>
      <c r="H79" s="94"/>
      <c r="I79" s="51" t="str">
        <f ca="1">IF(I78&lt;&gt;""," Completed","")</f>
        <v xml:space="preserve"> Completed</v>
      </c>
      <c r="J79" s="52" t="str">
        <f ca="1">IF(J77&lt;&gt;"","Completed","")</f>
        <v>Completed</v>
      </c>
    </row>
    <row r="80" spans="1:14" ht="15.75" customHeight="1" x14ac:dyDescent="0.25">
      <c r="A80" s="95" t="s">
        <v>48</v>
      </c>
      <c r="B80" s="96"/>
      <c r="C80" s="44" t="s">
        <v>137</v>
      </c>
      <c r="D80" s="44" t="s">
        <v>82</v>
      </c>
      <c r="E80" s="96" t="s">
        <v>84</v>
      </c>
      <c r="F80" s="96"/>
      <c r="G80" s="96" t="s">
        <v>83</v>
      </c>
      <c r="H80" s="97"/>
      <c r="I80" s="14" t="s">
        <v>139</v>
      </c>
      <c r="J80" s="28">
        <f ca="1">H78*25%</f>
        <v>6</v>
      </c>
    </row>
    <row r="81" spans="1:10" x14ac:dyDescent="0.25">
      <c r="A81" s="95" t="s">
        <v>126</v>
      </c>
      <c r="B81" s="96"/>
      <c r="C81" s="44">
        <v>24</v>
      </c>
      <c r="D81" s="19">
        <f ca="1">((100/H78)*C81)/100</f>
        <v>1</v>
      </c>
      <c r="E81" s="98">
        <f ca="1">(((C82/H78*10)+(40/(D78+F78+H78)*C83)+(7.5/(H78)*C84)+(7.5/(H78)*C85)+(10/H78*C86)+(10/H78*C87)+(5/H78*C88)+(5/H78*C89)+(5/H78*C90))/100)</f>
        <v>0.61878591954022999</v>
      </c>
      <c r="F81" s="99"/>
      <c r="G81" s="98">
        <f ca="1">((((C81/H78)*20)+((C82/H78)*25)+(30/(H78+F78+D78)*C83)+(5/H78*C84)+(5/H78*C85)+(5/H78*C86)+(5/H78*C87)+(0/H78*C88)+(0/H78*C89)+(5/H78*C90))/100)</f>
        <v>0.81487068965517251</v>
      </c>
      <c r="H81" s="104"/>
      <c r="I81" s="14" t="s">
        <v>95</v>
      </c>
      <c r="J81" s="29">
        <f ca="1">H78*50%</f>
        <v>12</v>
      </c>
    </row>
    <row r="82" spans="1:10" x14ac:dyDescent="0.25">
      <c r="A82" s="95" t="s">
        <v>49</v>
      </c>
      <c r="B82" s="96"/>
      <c r="C82" s="55">
        <f ca="1">J90</f>
        <v>24</v>
      </c>
      <c r="D82" s="19">
        <f ca="1">((100/H78)*C82)/100</f>
        <v>1</v>
      </c>
      <c r="E82" s="100"/>
      <c r="F82" s="101"/>
      <c r="G82" s="100"/>
      <c r="H82" s="105"/>
      <c r="I82" s="14" t="s">
        <v>96</v>
      </c>
      <c r="J82" s="29">
        <f ca="1">H78</f>
        <v>24</v>
      </c>
    </row>
    <row r="83" spans="1:10" ht="15.75" customHeight="1" x14ac:dyDescent="0.25">
      <c r="A83" s="95" t="s">
        <v>127</v>
      </c>
      <c r="B83" s="96"/>
      <c r="C83" s="44">
        <f>F78+D78+20</f>
        <v>25</v>
      </c>
      <c r="D83" s="19">
        <f ca="1">((100/(D78+F78+H78))*C83)/100</f>
        <v>0.86206896551724133</v>
      </c>
      <c r="E83" s="100"/>
      <c r="F83" s="101"/>
      <c r="G83" s="100"/>
      <c r="H83" s="105"/>
      <c r="I83" s="14" t="s">
        <v>97</v>
      </c>
      <c r="J83" s="30">
        <f ca="1">(IF(B78&gt;1,(H78/(B78+2)),H78/4))</f>
        <v>6</v>
      </c>
    </row>
    <row r="84" spans="1:10" ht="15.75" customHeight="1" x14ac:dyDescent="0.25">
      <c r="A84" s="95" t="s">
        <v>134</v>
      </c>
      <c r="B84" s="96" t="s">
        <v>128</v>
      </c>
      <c r="C84" s="44">
        <f>C83-F78-D78</f>
        <v>20</v>
      </c>
      <c r="D84" s="19">
        <f ca="1">((100/H78)*C84)/100</f>
        <v>0.83333333333333348</v>
      </c>
      <c r="E84" s="100"/>
      <c r="F84" s="101"/>
      <c r="G84" s="100"/>
      <c r="H84" s="105"/>
      <c r="I84" s="14" t="s">
        <v>98</v>
      </c>
      <c r="J84" s="30">
        <f ca="1">(IF(B78&gt;1,(H78/(B78+2)+J83),H78/4+J83))</f>
        <v>12</v>
      </c>
    </row>
    <row r="85" spans="1:10" ht="15.75" customHeight="1" x14ac:dyDescent="0.25">
      <c r="A85" s="95" t="s">
        <v>135</v>
      </c>
      <c r="B85" s="96" t="s">
        <v>128</v>
      </c>
      <c r="C85" s="55">
        <f>C84*0.85</f>
        <v>17</v>
      </c>
      <c r="D85" s="19">
        <f ca="1">((100/H78)*C85)/100</f>
        <v>0.70833333333333348</v>
      </c>
      <c r="E85" s="100"/>
      <c r="F85" s="101"/>
      <c r="G85" s="100"/>
      <c r="H85" s="105"/>
      <c r="I85" s="14" t="s">
        <v>146</v>
      </c>
      <c r="J85" s="30">
        <f>(IF(B78&gt;1,(H78/(B78+2)+J84),0))</f>
        <v>0</v>
      </c>
    </row>
    <row r="86" spans="1:10" ht="15" customHeight="1" x14ac:dyDescent="0.25">
      <c r="A86" s="95" t="s">
        <v>133</v>
      </c>
      <c r="B86" s="96" t="s">
        <v>130</v>
      </c>
      <c r="C86" s="55">
        <f>C84*0.7</f>
        <v>14</v>
      </c>
      <c r="D86" s="19">
        <f ca="1">((100/(H78))*C86)/100</f>
        <v>0.58333333333333337</v>
      </c>
      <c r="E86" s="100"/>
      <c r="F86" s="101"/>
      <c r="G86" s="100"/>
      <c r="H86" s="105"/>
      <c r="I86" s="14" t="s">
        <v>141</v>
      </c>
      <c r="J86" s="30">
        <f>(IF(B78&gt;2,(H78/(B78+2)+J85),0))</f>
        <v>0</v>
      </c>
    </row>
    <row r="87" spans="1:10" ht="15.75" customHeight="1" x14ac:dyDescent="0.25">
      <c r="A87" s="95" t="s">
        <v>129</v>
      </c>
      <c r="B87" s="96" t="s">
        <v>129</v>
      </c>
      <c r="C87" s="44">
        <v>0</v>
      </c>
      <c r="D87" s="19">
        <f ca="1">((100/H78)*C87)/100</f>
        <v>0</v>
      </c>
      <c r="E87" s="100"/>
      <c r="F87" s="101"/>
      <c r="G87" s="100"/>
      <c r="H87" s="105"/>
      <c r="I87" s="14" t="s">
        <v>142</v>
      </c>
      <c r="J87" s="31">
        <f>(IF(B78&gt;3,(H78/(B78+2)+J86),0))</f>
        <v>0</v>
      </c>
    </row>
    <row r="88" spans="1:10" ht="15.75" customHeight="1" x14ac:dyDescent="0.25">
      <c r="A88" s="95" t="s">
        <v>136</v>
      </c>
      <c r="B88" s="96"/>
      <c r="C88" s="44">
        <v>0</v>
      </c>
      <c r="D88" s="19">
        <f ca="1">((100/H78)*C88)/100</f>
        <v>0</v>
      </c>
      <c r="E88" s="100"/>
      <c r="F88" s="101"/>
      <c r="G88" s="100"/>
      <c r="H88" s="105"/>
      <c r="I88" s="14" t="s">
        <v>143</v>
      </c>
      <c r="J88" s="30">
        <f>(IF(B78&gt;4,(H78/(B78+2)+J87),0))</f>
        <v>0</v>
      </c>
    </row>
    <row r="89" spans="1:10" ht="15.75" customHeight="1" x14ac:dyDescent="0.25">
      <c r="A89" s="95" t="s">
        <v>131</v>
      </c>
      <c r="B89" s="96" t="s">
        <v>131</v>
      </c>
      <c r="C89" s="44">
        <v>0</v>
      </c>
      <c r="D89" s="19">
        <f ca="1">((100/(H78))*C89)/100</f>
        <v>0</v>
      </c>
      <c r="E89" s="100"/>
      <c r="F89" s="101"/>
      <c r="G89" s="100"/>
      <c r="H89" s="105"/>
      <c r="I89" s="14" t="s">
        <v>147</v>
      </c>
      <c r="J89" s="30">
        <f ca="1">(IF(B78=1,(H78/(B78+3)+J84),IF(B78=0,(H78/4+J84),IF(B78&gt;1,0))))</f>
        <v>18</v>
      </c>
    </row>
    <row r="90" spans="1:10" ht="16.5" thickBot="1" x14ac:dyDescent="0.3">
      <c r="A90" s="107" t="s">
        <v>132</v>
      </c>
      <c r="B90" s="108"/>
      <c r="C90" s="45">
        <v>0</v>
      </c>
      <c r="D90" s="20">
        <f ca="1">((100/(H78))*C90)/100</f>
        <v>0</v>
      </c>
      <c r="E90" s="102"/>
      <c r="F90" s="103"/>
      <c r="G90" s="102"/>
      <c r="H90" s="106"/>
      <c r="I90" s="15" t="s">
        <v>99</v>
      </c>
      <c r="J90" s="32">
        <f ca="1">(IF(B78&gt;1.5,(H78/(B78+2)+J84+MAX(0,J85-J84)+MAX(0,J86-J85)+MAX(0,J87-J86)+MAX(0,J88-J87)+MAX(0,J89-J88)),IF(B78=1,(H78/(B78+3)+J89),IF(B78=0,H78/4+J89))))</f>
        <v>24</v>
      </c>
    </row>
    <row r="91" spans="1:10" ht="15.75" customHeight="1" x14ac:dyDescent="0.25">
      <c r="A91" s="219" t="s">
        <v>138</v>
      </c>
      <c r="B91" s="220"/>
      <c r="C91" s="109" t="s">
        <v>200</v>
      </c>
      <c r="D91" s="110"/>
      <c r="E91" s="110"/>
      <c r="F91" s="110"/>
      <c r="G91" s="110"/>
      <c r="H91" s="111"/>
      <c r="I91" s="49" t="str">
        <f ca="1">IF(D104=100%,"All work Completed. Possession granted to the Building.",IF(D103=100%,"All work Completed, Waiting for OC",I92&amp;""&amp;I93&amp;""&amp;J92&amp;""&amp;J91&amp;" "&amp;J93))</f>
        <v>Excavation, Plinth Completed, RCC upto 16 Slab, Brickwork upto 11 Floor, Internal Plaster upto 9 Floor, External Plaster upto 9 Floor Completed</v>
      </c>
      <c r="J91" s="50" t="str">
        <f ca="1">(IF(C97=(D92+F92+H92),"",IF(C97&gt;0,", RCC upto "&amp;C97&amp;" Slab","")))&amp;(IF(C98=H92,"",IF(C98&gt;0,", Brickwork upto "&amp;C98&amp;" Floor","")))&amp;(IF(C99=H92,"",IF(C99&gt;0,", Internal Plaster upto "&amp;C99&amp;" Floor","")))&amp;(IF(C100=H92,"",IF(C100&gt;0,", External Plaster upto "&amp;C100&amp;" Floor","")))&amp;(IF(C101=H92,"",IF(C101&gt;0,", Flooring upto "&amp;C101&amp;" Floor","")))&amp;(IF(C102=H92,"",IF(C102&gt;0,", Painting upto "&amp;C102&amp;" Floor","")))&amp;(IF(C103=H92,"",IF(C103&gt;0,", Finishing upto "&amp;C103&amp;" Floor","")))&amp;(IF(C104=H92,"",IF(C104&gt;0,", Possession upto "&amp;C104&amp;" Floor","")))</f>
        <v>, RCC upto 16 Slab, Brickwork upto 11 Floor, Internal Plaster upto 9 Floor, External Plaster upto 9 Floor</v>
      </c>
    </row>
    <row r="92" spans="1:10" x14ac:dyDescent="0.25">
      <c r="A92" s="16" t="s">
        <v>140</v>
      </c>
      <c r="B92" s="60">
        <v>0</v>
      </c>
      <c r="C92" s="60" t="s">
        <v>71</v>
      </c>
      <c r="D92" s="60">
        <v>1</v>
      </c>
      <c r="E92" s="60" t="s">
        <v>70</v>
      </c>
      <c r="F92" s="60">
        <v>4</v>
      </c>
      <c r="G92" s="60" t="s">
        <v>79</v>
      </c>
      <c r="H92" s="17">
        <f ca="1">--TRIM(RIGHT(SUBSTITUTE(LEFT(C91,_xlfn.AGGREGATE(16,6,FIND({0,1,2,3,4,5,6,7,8,9},C91,ROW(INDIRECT("1:"&amp;LEN(C91)))),1))," ",REPT(" ",LEN(C91))),LEN(C91)))</f>
        <v>25</v>
      </c>
      <c r="I92" s="51" t="str">
        <f ca="1">IF(D95=100%,"Excavation","")&amp;IF(D96=100%,", Plinth","")&amp;IF(D97=100%,", RCC Slab","")&amp;IF(D98=100%,", Brickwork","")&amp;IF(D99=100%,", Internal Plaster","")&amp;IF(D100=100%,", External Plaster","")&amp;IF(D101=100%,", Flooring","")&amp;IF(D102=100%,", Painting","")&amp;IF(D103=100%,", Building common Amenities","")</f>
        <v>Excavation, Plinth</v>
      </c>
      <c r="J92" s="52" t="str">
        <f ca="1">(IF(C95=0,"Work not yet Started.",IF(D95=25%,"Piling work in process",IF(D95=50%,"Excavation work in process",IF(D95=100%,"","0")))))&amp;(IF(C96=0%,"",IF(C96=J97,", Footing work is process",IF(C96=J98,", Footing work Completed",IF(C96=J99,", 1st Basement Completed",IF(C96=J100,", 1st &amp; 2nd Basement Completed",IF(C96=J101,", 1st to 3rd Basement Completed",IF(C96=J102,", 1st to 4th Basement Completed",IF(C96=J103,", Plinth work is process",IF(C96=J104,"","0"))))))))))</f>
        <v/>
      </c>
    </row>
    <row r="93" spans="1:10" ht="31.7" customHeight="1" x14ac:dyDescent="0.25">
      <c r="A93" s="91" t="s">
        <v>89</v>
      </c>
      <c r="B93" s="92"/>
      <c r="C93" s="93" t="str">
        <f ca="1">(IF($C$64=C91,"All work Completed. OC Received.",I91))</f>
        <v>Excavation, Plinth Completed, RCC upto 16 Slab, Brickwork upto 11 Floor, Internal Plaster upto 9 Floor, External Plaster upto 9 Floor Completed</v>
      </c>
      <c r="D93" s="93"/>
      <c r="E93" s="93"/>
      <c r="F93" s="93"/>
      <c r="G93" s="93"/>
      <c r="H93" s="94"/>
      <c r="I93" s="51" t="str">
        <f ca="1">IF(I92&lt;&gt;""," Completed","")</f>
        <v xml:space="preserve"> Completed</v>
      </c>
      <c r="J93" s="52" t="str">
        <f ca="1">IF(J91&lt;&gt;"","Completed","")</f>
        <v>Completed</v>
      </c>
    </row>
    <row r="94" spans="1:10" ht="15.75" customHeight="1" x14ac:dyDescent="0.25">
      <c r="A94" s="221" t="s">
        <v>48</v>
      </c>
      <c r="B94" s="222"/>
      <c r="C94" s="223" t="s">
        <v>137</v>
      </c>
      <c r="D94" s="223" t="s">
        <v>82</v>
      </c>
      <c r="E94" s="222" t="s">
        <v>84</v>
      </c>
      <c r="F94" s="222"/>
      <c r="G94" s="222" t="s">
        <v>83</v>
      </c>
      <c r="H94" s="224"/>
      <c r="I94" s="14" t="s">
        <v>139</v>
      </c>
      <c r="J94" s="28">
        <f ca="1">H92*25%</f>
        <v>6.25</v>
      </c>
    </row>
    <row r="95" spans="1:10" x14ac:dyDescent="0.25">
      <c r="A95" s="221" t="s">
        <v>126</v>
      </c>
      <c r="B95" s="222"/>
      <c r="C95" s="223">
        <v>25</v>
      </c>
      <c r="D95" s="225">
        <f ca="1">((100/H92)*C95)/100</f>
        <v>1</v>
      </c>
      <c r="E95" s="226">
        <f ca="1">(((C96/H92*10)+(40/(D92+F92+H92)*C97)+(7.5/(H92)*C98)+(7.5/(H92)*C99)+(10/H92*C100)+(10/H92*C101)+(5/H92*C102)+(5/H92*C103)+(5/H92*C104))/100)</f>
        <v>0.40933333333333338</v>
      </c>
      <c r="F95" s="227"/>
      <c r="G95" s="226">
        <f ca="1">((((C95/H92)*20)+((C96/H92)*25)+(30/(H92+F92+D92)*C97)+(5/H92*C98)+(5/H92*C99)+(5/H92*C100)+(5/H92*C101)+(0/H92*C102)+(0/H92*C103)+(5/H92*C104))/100)</f>
        <v>0.66799999999999993</v>
      </c>
      <c r="H95" s="228"/>
      <c r="I95" s="14" t="s">
        <v>95</v>
      </c>
      <c r="J95" s="29">
        <f ca="1">H92*50%</f>
        <v>12.5</v>
      </c>
    </row>
    <row r="96" spans="1:10" x14ac:dyDescent="0.25">
      <c r="A96" s="221" t="s">
        <v>49</v>
      </c>
      <c r="B96" s="222"/>
      <c r="C96" s="229">
        <f ca="1">J104</f>
        <v>25</v>
      </c>
      <c r="D96" s="225">
        <f ca="1">((100/H92)*C96)/100</f>
        <v>1</v>
      </c>
      <c r="E96" s="230"/>
      <c r="F96" s="231"/>
      <c r="G96" s="230"/>
      <c r="H96" s="232"/>
      <c r="I96" s="14" t="s">
        <v>96</v>
      </c>
      <c r="J96" s="29">
        <f ca="1">H92</f>
        <v>25</v>
      </c>
    </row>
    <row r="97" spans="1:10" ht="15.75" customHeight="1" x14ac:dyDescent="0.25">
      <c r="A97" s="221" t="s">
        <v>127</v>
      </c>
      <c r="B97" s="222"/>
      <c r="C97" s="223">
        <f>F92+D92+11</f>
        <v>16</v>
      </c>
      <c r="D97" s="225">
        <f ca="1">((100/(D92+F92+H92))*C97)/100</f>
        <v>0.53333333333333333</v>
      </c>
      <c r="E97" s="230"/>
      <c r="F97" s="231"/>
      <c r="G97" s="230"/>
      <c r="H97" s="232"/>
      <c r="I97" s="14" t="s">
        <v>97</v>
      </c>
      <c r="J97" s="30">
        <f ca="1">(IF(B92&gt;1,(H92/(B92+2)),H92/4))</f>
        <v>6.25</v>
      </c>
    </row>
    <row r="98" spans="1:10" ht="15.75" customHeight="1" x14ac:dyDescent="0.25">
      <c r="A98" s="221" t="s">
        <v>134</v>
      </c>
      <c r="B98" s="222" t="s">
        <v>128</v>
      </c>
      <c r="C98" s="223">
        <f>C97-F92-D92</f>
        <v>11</v>
      </c>
      <c r="D98" s="225">
        <f ca="1">((100/H92)*C98)/100</f>
        <v>0.44</v>
      </c>
      <c r="E98" s="230"/>
      <c r="F98" s="231"/>
      <c r="G98" s="230"/>
      <c r="H98" s="232"/>
      <c r="I98" s="14" t="s">
        <v>98</v>
      </c>
      <c r="J98" s="30">
        <f ca="1">(IF(B92&gt;1,(H92/(B92+2)+J97),H92/4+J97))</f>
        <v>12.5</v>
      </c>
    </row>
    <row r="99" spans="1:10" ht="15.75" customHeight="1" x14ac:dyDescent="0.25">
      <c r="A99" s="221" t="s">
        <v>135</v>
      </c>
      <c r="B99" s="222" t="s">
        <v>128</v>
      </c>
      <c r="C99" s="229">
        <f>C98-2</f>
        <v>9</v>
      </c>
      <c r="D99" s="225">
        <f ca="1">((100/H92)*C99)/100</f>
        <v>0.36</v>
      </c>
      <c r="E99" s="230"/>
      <c r="F99" s="231"/>
      <c r="G99" s="230"/>
      <c r="H99" s="232"/>
      <c r="I99" s="14" t="s">
        <v>146</v>
      </c>
      <c r="J99" s="30">
        <f>(IF(B92&gt;1,(H92/(B92+2)+J98),0))</f>
        <v>0</v>
      </c>
    </row>
    <row r="100" spans="1:10" ht="15" customHeight="1" x14ac:dyDescent="0.25">
      <c r="A100" s="221" t="s">
        <v>133</v>
      </c>
      <c r="B100" s="222" t="s">
        <v>130</v>
      </c>
      <c r="C100" s="229">
        <f>C99</f>
        <v>9</v>
      </c>
      <c r="D100" s="225">
        <f ca="1">((100/(H92))*C100)/100</f>
        <v>0.36</v>
      </c>
      <c r="E100" s="230"/>
      <c r="F100" s="231"/>
      <c r="G100" s="230"/>
      <c r="H100" s="232"/>
      <c r="I100" s="14" t="s">
        <v>141</v>
      </c>
      <c r="J100" s="30">
        <f>(IF(B92&gt;2,(H92/(B92+2)+J99),0))</f>
        <v>0</v>
      </c>
    </row>
    <row r="101" spans="1:10" ht="15.75" customHeight="1" x14ac:dyDescent="0.25">
      <c r="A101" s="221" t="s">
        <v>129</v>
      </c>
      <c r="B101" s="222" t="s">
        <v>129</v>
      </c>
      <c r="C101" s="223">
        <v>0</v>
      </c>
      <c r="D101" s="225">
        <f ca="1">((100/H92)*C101)/100</f>
        <v>0</v>
      </c>
      <c r="E101" s="230"/>
      <c r="F101" s="231"/>
      <c r="G101" s="230"/>
      <c r="H101" s="232"/>
      <c r="I101" s="14" t="s">
        <v>142</v>
      </c>
      <c r="J101" s="31">
        <f>(IF(B92&gt;3,(H92/(B92+2)+J100),0))</f>
        <v>0</v>
      </c>
    </row>
    <row r="102" spans="1:10" ht="15.75" customHeight="1" x14ac:dyDescent="0.25">
      <c r="A102" s="221" t="s">
        <v>136</v>
      </c>
      <c r="B102" s="222"/>
      <c r="C102" s="223">
        <v>0</v>
      </c>
      <c r="D102" s="225">
        <f ca="1">((100/H92)*C102)/100</f>
        <v>0</v>
      </c>
      <c r="E102" s="230"/>
      <c r="F102" s="231"/>
      <c r="G102" s="230"/>
      <c r="H102" s="232"/>
      <c r="I102" s="14" t="s">
        <v>143</v>
      </c>
      <c r="J102" s="30">
        <f>(IF(B92&gt;4,(H92/(B92+2)+J101),0))</f>
        <v>0</v>
      </c>
    </row>
    <row r="103" spans="1:10" ht="15.75" customHeight="1" x14ac:dyDescent="0.25">
      <c r="A103" s="221" t="s">
        <v>131</v>
      </c>
      <c r="B103" s="222" t="s">
        <v>131</v>
      </c>
      <c r="C103" s="223">
        <v>0</v>
      </c>
      <c r="D103" s="225">
        <f ca="1">((100/(H92))*C103)/100</f>
        <v>0</v>
      </c>
      <c r="E103" s="230"/>
      <c r="F103" s="231"/>
      <c r="G103" s="230"/>
      <c r="H103" s="232"/>
      <c r="I103" s="14" t="s">
        <v>147</v>
      </c>
      <c r="J103" s="30">
        <f ca="1">(IF(B92=1,(H92/(B92+3)+J98),IF(B92=0,(H92/4+J98),IF(B92&gt;1,0))))</f>
        <v>18.75</v>
      </c>
    </row>
    <row r="104" spans="1:10" ht="16.5" thickBot="1" x14ac:dyDescent="0.3">
      <c r="A104" s="233" t="s">
        <v>132</v>
      </c>
      <c r="B104" s="234"/>
      <c r="C104" s="235">
        <v>0</v>
      </c>
      <c r="D104" s="236">
        <f ca="1">((100/(H92))*C104)/100</f>
        <v>0</v>
      </c>
      <c r="E104" s="237"/>
      <c r="F104" s="238"/>
      <c r="G104" s="237"/>
      <c r="H104" s="239"/>
      <c r="I104" s="15" t="s">
        <v>99</v>
      </c>
      <c r="J104" s="32">
        <f ca="1">(IF(B92&gt;1.5,(H92/(B92+2)+J98+MAX(0,J99-J98)+MAX(0,J100-J99)+MAX(0,J101-J100)+MAX(0,J102-J101)+MAX(0,J103-J102)),IF(B92=1,(H92/(B92+3)+J103),IF(B92=0,H92/4+J103))))</f>
        <v>25</v>
      </c>
    </row>
    <row r="105" spans="1:10" x14ac:dyDescent="0.25">
      <c r="A105" s="86" t="s">
        <v>138</v>
      </c>
      <c r="B105" s="87"/>
      <c r="C105" s="88" t="s">
        <v>220</v>
      </c>
      <c r="D105" s="89"/>
      <c r="E105" s="89"/>
      <c r="F105" s="89"/>
      <c r="G105" s="89"/>
      <c r="H105" s="90"/>
      <c r="I105" s="49" t="str">
        <f ca="1">IF(D118=100%,"All work Completed. Possession granted to the Building.",IF(D117=100%,"All work Completed, Waiting for OC",I106&amp;""&amp;I107&amp;""&amp;J106&amp;""&amp;J105&amp;" "&amp;J107))</f>
        <v>Excavation, Plinth Completed, RCC upto 16 Slab, Brickwork upto 11 Floor, Internal Plaster upto 9.35 Floor, External Plaster upto 7.7 Floor Completed</v>
      </c>
      <c r="J105" s="50" t="str">
        <f ca="1">(IF(C111=(D106+F106+H106),"",IF(C111&gt;0,", RCC upto "&amp;C111&amp;" Slab","")))&amp;(IF(C112=H106,"",IF(C112&gt;0,", Brickwork upto "&amp;C112&amp;" Floor","")))&amp;(IF(C113=H106,"",IF(C113&gt;0,", Internal Plaster upto "&amp;C113&amp;" Floor","")))&amp;(IF(C114=H106,"",IF(C114&gt;0,", External Plaster upto "&amp;C114&amp;" Floor","")))&amp;(IF(C115=H106,"",IF(C115&gt;0,", Flooring upto "&amp;C115&amp;" Floor","")))&amp;(IF(C116=H106,"",IF(C116&gt;0,", Painting upto "&amp;C116&amp;" Floor","")))&amp;(IF(C117=H106,"",IF(C117&gt;0,", Finishing upto "&amp;C117&amp;" Floor","")))&amp;(IF(C118=H106,"",IF(C118&gt;0,", Possession upto "&amp;C118&amp;" Floor","")))</f>
        <v>, RCC upto 16 Slab, Brickwork upto 11 Floor, Internal Plaster upto 9.35 Floor, External Plaster upto 7.7 Floor</v>
      </c>
    </row>
    <row r="106" spans="1:10" x14ac:dyDescent="0.25">
      <c r="A106" s="16" t="s">
        <v>140</v>
      </c>
      <c r="B106" s="47">
        <v>0</v>
      </c>
      <c r="C106" s="47" t="s">
        <v>71</v>
      </c>
      <c r="D106" s="47">
        <v>1</v>
      </c>
      <c r="E106" s="47" t="s">
        <v>70</v>
      </c>
      <c r="F106" s="47">
        <v>4</v>
      </c>
      <c r="G106" s="48" t="s">
        <v>79</v>
      </c>
      <c r="H106" s="17">
        <f ca="1">--TRIM(RIGHT(SUBSTITUTE(LEFT(C105,_xlfn.AGGREGATE(16,6,FIND({0,1,2,3,4,5,6,7,8,9},C105,ROW(INDIRECT("1:"&amp;LEN(C105)))),1))," ",REPT(" ",LEN(C105))),LEN(C105)))</f>
        <v>24</v>
      </c>
      <c r="I106" s="51" t="str">
        <f ca="1">IF(D109=100%,"Excavation","")&amp;IF(D110=100%,", Plinth","")&amp;IF(D111=100%,", RCC Slab","")&amp;IF(D112=100%,", Brickwork","")&amp;IF(D113=100%,", Internal Plaster","")&amp;IF(D114=100%,", External Plaster","")&amp;IF(D115=100%,", Flooring","")&amp;IF(D116=100%,", Painting","")&amp;IF(D117=100%,", Building common Amenities","")</f>
        <v>Excavation, Plinth</v>
      </c>
      <c r="J106" s="52" t="str">
        <f ca="1">(IF(C109=0,"Work not yet Started.",IF(D109=25%,"Piling work in process",IF(D109=50%,"Excavation work in process",IF(D109=100%,"","0")))))&amp;(IF(C110=0%,"",IF(C110=J111,", Footing work is process",IF(C110=J112,", Footing work Completed",IF(C110=J113,", 1st Basement Completed",IF(C110=J114,", 1st &amp; 2nd Basement Completed",IF(C110=J115,", 1st to 3rd Basement Completed",IF(C110=J116,", 1st to 4th Basement Completed",IF(C110=J117,", Plinth work is process",IF(C110=J118,"","0"))))))))))</f>
        <v/>
      </c>
    </row>
    <row r="107" spans="1:10" ht="33" customHeight="1" x14ac:dyDescent="0.25">
      <c r="A107" s="91" t="s">
        <v>89</v>
      </c>
      <c r="B107" s="92"/>
      <c r="C107" s="93" t="str">
        <f ca="1">(IF($C$64=C105,"All work Completed. OC Received.",I105))</f>
        <v>Excavation, Plinth Completed, RCC upto 16 Slab, Brickwork upto 11 Floor, Internal Plaster upto 9.35 Floor, External Plaster upto 7.7 Floor Completed</v>
      </c>
      <c r="D107" s="93"/>
      <c r="E107" s="93"/>
      <c r="F107" s="93"/>
      <c r="G107" s="93"/>
      <c r="H107" s="94"/>
      <c r="I107" s="51" t="str">
        <f ca="1">IF(I106&lt;&gt;""," Completed","")</f>
        <v xml:space="preserve"> Completed</v>
      </c>
      <c r="J107" s="52" t="str">
        <f ca="1">IF(J105&lt;&gt;"","Completed","")</f>
        <v>Completed</v>
      </c>
    </row>
    <row r="108" spans="1:10" ht="15.75" customHeight="1" x14ac:dyDescent="0.25">
      <c r="A108" s="95" t="s">
        <v>48</v>
      </c>
      <c r="B108" s="96"/>
      <c r="C108" s="44" t="s">
        <v>137</v>
      </c>
      <c r="D108" s="44" t="s">
        <v>82</v>
      </c>
      <c r="E108" s="96" t="s">
        <v>84</v>
      </c>
      <c r="F108" s="96"/>
      <c r="G108" s="96" t="s">
        <v>83</v>
      </c>
      <c r="H108" s="97"/>
      <c r="I108" s="14" t="s">
        <v>139</v>
      </c>
      <c r="J108" s="28">
        <f ca="1">H106*25%</f>
        <v>6</v>
      </c>
    </row>
    <row r="109" spans="1:10" x14ac:dyDescent="0.25">
      <c r="A109" s="95" t="s">
        <v>126</v>
      </c>
      <c r="B109" s="96"/>
      <c r="C109" s="44">
        <f ca="1">J110</f>
        <v>24</v>
      </c>
      <c r="D109" s="19">
        <f ca="1">((100/H106)*C109)/100</f>
        <v>1</v>
      </c>
      <c r="E109" s="98">
        <f ca="1">(((C110/H106*10)+(40/(D106+F106+H106)*C111)+(7.5/(H106)*C112)+(7.5/(H106)*C113)+(10/H106*C114)+(10/H106*C115)+(5/H106*C116)+(5/H106*C117)+(5/H106*C118))/100)</f>
        <v>0.41636673850574718</v>
      </c>
      <c r="F109" s="99"/>
      <c r="G109" s="98">
        <f ca="1">((((C109/H106)*20)+((C110/H106)*25)+(30/(H106+F106+D106)*C111)+(5/H106*C112)+(5/H106*C113)+(5/H106*C114)+(5/H106*C115)+(0/H106*C116)+(0/H106*C117)+(5/H106*C118))/100)</f>
        <v>0.67395474137931033</v>
      </c>
      <c r="H109" s="104"/>
      <c r="I109" s="14" t="s">
        <v>95</v>
      </c>
      <c r="J109" s="29">
        <f ca="1">H106*50%</f>
        <v>12</v>
      </c>
    </row>
    <row r="110" spans="1:10" x14ac:dyDescent="0.25">
      <c r="A110" s="95" t="s">
        <v>49</v>
      </c>
      <c r="B110" s="96"/>
      <c r="C110" s="55">
        <v>24</v>
      </c>
      <c r="D110" s="19">
        <f ca="1">((100/H106)*C110)/100</f>
        <v>1</v>
      </c>
      <c r="E110" s="100"/>
      <c r="F110" s="101"/>
      <c r="G110" s="100"/>
      <c r="H110" s="105"/>
      <c r="I110" s="14" t="s">
        <v>96</v>
      </c>
      <c r="J110" s="29">
        <f ca="1">H106</f>
        <v>24</v>
      </c>
    </row>
    <row r="111" spans="1:10" ht="15.75" customHeight="1" x14ac:dyDescent="0.25">
      <c r="A111" s="95" t="s">
        <v>127</v>
      </c>
      <c r="B111" s="96"/>
      <c r="C111" s="44">
        <f>F106+D106+11</f>
        <v>16</v>
      </c>
      <c r="D111" s="19">
        <f ca="1">((100/(D106+F106+H106))*C111)/100</f>
        <v>0.55172413793103448</v>
      </c>
      <c r="E111" s="100"/>
      <c r="F111" s="101"/>
      <c r="G111" s="100"/>
      <c r="H111" s="105"/>
      <c r="I111" s="14" t="s">
        <v>97</v>
      </c>
      <c r="J111" s="30">
        <f ca="1">(IF(B106&gt;1,(H106/(B106+2)),H106/4))</f>
        <v>6</v>
      </c>
    </row>
    <row r="112" spans="1:10" ht="15.75" customHeight="1" x14ac:dyDescent="0.25">
      <c r="A112" s="95" t="s">
        <v>134</v>
      </c>
      <c r="B112" s="96" t="s">
        <v>128</v>
      </c>
      <c r="C112" s="55">
        <f>C111-D106-F106</f>
        <v>11</v>
      </c>
      <c r="D112" s="19">
        <f ca="1">((100/H106)*C112)/100</f>
        <v>0.45833333333333337</v>
      </c>
      <c r="E112" s="100"/>
      <c r="F112" s="101"/>
      <c r="G112" s="100"/>
      <c r="H112" s="105"/>
      <c r="I112" s="14" t="s">
        <v>98</v>
      </c>
      <c r="J112" s="30">
        <f ca="1">(IF(B106&gt;1,(H106/(B106+2)+J111),H106/4+J111))</f>
        <v>12</v>
      </c>
    </row>
    <row r="113" spans="1:10" ht="15.75" customHeight="1" x14ac:dyDescent="0.25">
      <c r="A113" s="95" t="s">
        <v>135</v>
      </c>
      <c r="B113" s="96" t="s">
        <v>128</v>
      </c>
      <c r="C113" s="55">
        <f>C112*0.85</f>
        <v>9.35</v>
      </c>
      <c r="D113" s="19">
        <f ca="1">((100/H106)*C113)/100</f>
        <v>0.38958333333333334</v>
      </c>
      <c r="E113" s="100"/>
      <c r="F113" s="101"/>
      <c r="G113" s="100"/>
      <c r="H113" s="105"/>
      <c r="I113" s="14" t="s">
        <v>146</v>
      </c>
      <c r="J113" s="30">
        <f>(IF(B106&gt;1,(H106/(B106+2)+J112),0))</f>
        <v>0</v>
      </c>
    </row>
    <row r="114" spans="1:10" ht="15" customHeight="1" x14ac:dyDescent="0.25">
      <c r="A114" s="240" t="s">
        <v>133</v>
      </c>
      <c r="B114" s="241" t="s">
        <v>130</v>
      </c>
      <c r="C114" s="55">
        <f>C112*0.7</f>
        <v>7.6999999999999993</v>
      </c>
      <c r="D114" s="19">
        <f ca="1">((100/(H106))*C114)/100</f>
        <v>0.32083333333333336</v>
      </c>
      <c r="E114" s="100"/>
      <c r="F114" s="101"/>
      <c r="G114" s="100"/>
      <c r="H114" s="105"/>
      <c r="I114" s="14" t="s">
        <v>141</v>
      </c>
      <c r="J114" s="30">
        <f>(IF(B106&gt;2,(H106/(B106+2)+J113),0))</f>
        <v>0</v>
      </c>
    </row>
    <row r="115" spans="1:10" ht="15.75" customHeight="1" x14ac:dyDescent="0.25">
      <c r="A115" s="95" t="s">
        <v>129</v>
      </c>
      <c r="B115" s="96" t="s">
        <v>129</v>
      </c>
      <c r="C115" s="44">
        <v>0</v>
      </c>
      <c r="D115" s="19">
        <f ca="1">((100/H106)*C115)/100</f>
        <v>0</v>
      </c>
      <c r="E115" s="100"/>
      <c r="F115" s="101"/>
      <c r="G115" s="100"/>
      <c r="H115" s="105"/>
      <c r="I115" s="14" t="s">
        <v>142</v>
      </c>
      <c r="J115" s="31">
        <f>(IF(B106&gt;3,(H106/(B106+2)+J114),0))</f>
        <v>0</v>
      </c>
    </row>
    <row r="116" spans="1:10" ht="15.75" customHeight="1" x14ac:dyDescent="0.25">
      <c r="A116" s="95" t="s">
        <v>136</v>
      </c>
      <c r="B116" s="96"/>
      <c r="C116" s="44">
        <v>0</v>
      </c>
      <c r="D116" s="19">
        <f ca="1">((100/H106)*C116)/100</f>
        <v>0</v>
      </c>
      <c r="E116" s="100"/>
      <c r="F116" s="101"/>
      <c r="G116" s="100"/>
      <c r="H116" s="105"/>
      <c r="I116" s="14" t="s">
        <v>143</v>
      </c>
      <c r="J116" s="30">
        <f>(IF(B106&gt;4,(H106/(B106+2)+J115),0))</f>
        <v>0</v>
      </c>
    </row>
    <row r="117" spans="1:10" ht="15.75" customHeight="1" x14ac:dyDescent="0.25">
      <c r="A117" s="95" t="s">
        <v>131</v>
      </c>
      <c r="B117" s="96" t="s">
        <v>131</v>
      </c>
      <c r="C117" s="44">
        <v>0</v>
      </c>
      <c r="D117" s="19">
        <f ca="1">((100/(H106))*C117)/100</f>
        <v>0</v>
      </c>
      <c r="E117" s="100"/>
      <c r="F117" s="101"/>
      <c r="G117" s="100"/>
      <c r="H117" s="105"/>
      <c r="I117" s="14" t="s">
        <v>147</v>
      </c>
      <c r="J117" s="30">
        <f ca="1">(IF(B106=1,(H106/(B106+3)+J112),IF(B106=0,(H106/4+J112),IF(B106&gt;1,0))))</f>
        <v>18</v>
      </c>
    </row>
    <row r="118" spans="1:10" ht="16.5" thickBot="1" x14ac:dyDescent="0.3">
      <c r="A118" s="107" t="s">
        <v>132</v>
      </c>
      <c r="B118" s="108"/>
      <c r="C118" s="45">
        <v>0</v>
      </c>
      <c r="D118" s="20">
        <f ca="1">((100/(H106))*C118)/100</f>
        <v>0</v>
      </c>
      <c r="E118" s="102"/>
      <c r="F118" s="103"/>
      <c r="G118" s="102"/>
      <c r="H118" s="106"/>
      <c r="I118" s="15" t="s">
        <v>99</v>
      </c>
      <c r="J118" s="32">
        <f ca="1">(IF(B106&gt;1.5,(H106/(B106+2)+J112+MAX(0,J113-J112)+MAX(0,J114-J113)+MAX(0,J115-J114)+MAX(0,J116-J115)+MAX(0,J117-J116)),IF(B106=1,(H106/(B106+3)+J117),IF(B106=0,H106/4+J117))))</f>
        <v>24</v>
      </c>
    </row>
    <row r="119" spans="1:10" x14ac:dyDescent="0.25">
      <c r="A119" s="86" t="s">
        <v>138</v>
      </c>
      <c r="B119" s="87"/>
      <c r="C119" s="88" t="s">
        <v>219</v>
      </c>
      <c r="D119" s="89"/>
      <c r="E119" s="89"/>
      <c r="F119" s="89"/>
      <c r="G119" s="89"/>
      <c r="H119" s="90"/>
      <c r="I119" s="49" t="str">
        <f ca="1">IF(D132=100%,"All work Completed. Possession granted to the Building.",IF(D131=100%,"All work Completed, Waiting for OC",I120&amp;""&amp;I121&amp;""&amp;J120&amp;""&amp;J119&amp;" "&amp;J121))</f>
        <v>Excavation, Plinth Completed, RCC upto 6 Slab, Brickwork upto 1 Floor Completed</v>
      </c>
      <c r="J119" s="50" t="str">
        <f ca="1">(IF(C125=(D120+F120+H120),"",IF(C125&gt;0,", RCC upto "&amp;C125&amp;" Slab","")))&amp;(IF(C126=H120,"",IF(C126&gt;0,", Brickwork upto "&amp;C126&amp;" Floor","")))&amp;(IF(C127=H120,"",IF(C127&gt;0,", Internal Plaster upto "&amp;C127&amp;" Floor","")))&amp;(IF(C128=H120,"",IF(C128&gt;0,", External Plaster upto "&amp;C128&amp;" Floor","")))&amp;(IF(C129=H120,"",IF(C129&gt;0,", Flooring upto "&amp;C129&amp;" Floor","")))&amp;(IF(C130=H120,"",IF(C130&gt;0,", Painting upto "&amp;C130&amp;" Floor","")))&amp;(IF(C131=H120,"",IF(C131&gt;0,", Finishing upto "&amp;C131&amp;" Floor","")))&amp;(IF(C132=H120,"",IF(C132&gt;0,", Possession upto "&amp;C132&amp;" Floor","")))</f>
        <v>, RCC upto 6 Slab, Brickwork upto 1 Floor</v>
      </c>
    </row>
    <row r="120" spans="1:10" x14ac:dyDescent="0.25">
      <c r="A120" s="16" t="s">
        <v>140</v>
      </c>
      <c r="B120" s="47">
        <v>0</v>
      </c>
      <c r="C120" s="47" t="s">
        <v>71</v>
      </c>
      <c r="D120" s="47">
        <v>1</v>
      </c>
      <c r="E120" s="47" t="s">
        <v>70</v>
      </c>
      <c r="F120" s="47">
        <v>4</v>
      </c>
      <c r="G120" s="48" t="s">
        <v>79</v>
      </c>
      <c r="H120" s="17">
        <f ca="1">--TRIM(RIGHT(SUBSTITUTE(LEFT(C119,_xlfn.AGGREGATE(16,6,FIND({0,1,2,3,4,5,6,7,8,9},C119,ROW(INDIRECT("1:"&amp;LEN(C119)))),1))," ",REPT(" ",LEN(C119))),LEN(C119)))</f>
        <v>24</v>
      </c>
      <c r="I120" s="51" t="str">
        <f ca="1">IF(D123=100%,"Excavation","")&amp;IF(D124=100%,", Plinth","")&amp;IF(D125=100%,", RCC Slab","")&amp;IF(D126=100%,", Brickwork","")&amp;IF(D127=100%,", Internal Plaster","")&amp;IF(D128=100%,", External Plaster","")&amp;IF(D129=100%,", Flooring","")&amp;IF(D130=100%,", Painting","")&amp;IF(D131=100%,", Building common Amenities","")</f>
        <v>Excavation, Plinth</v>
      </c>
      <c r="J120" s="52" t="str">
        <f ca="1">(IF(C123=0,"Work not yet Started.",IF(D123=25%,"Piling work in process",IF(D123=50%,"Excavation work in process",IF(D123=100%,"","0")))))&amp;(IF(C124=0%,"",IF(C124=J125,", Footing work is process",IF(C124=J126,", Footing work Completed",IF(C124=J127,", 1st Basement Completed",IF(C124=J128,", 1st &amp; 2nd Basement Completed",IF(C124=J129,", 1st to 3rd Basement Completed",IF(C124=J130,", 1st to 4th Basement Completed",IF(C124=J131,", Plinth work is process",IF(C124=J132,"","0"))))))))))</f>
        <v/>
      </c>
    </row>
    <row r="121" spans="1:10" ht="33.75" customHeight="1" x14ac:dyDescent="0.25">
      <c r="A121" s="91" t="s">
        <v>89</v>
      </c>
      <c r="B121" s="92"/>
      <c r="C121" s="93" t="str">
        <f ca="1">(IF($C$64=C119,"All work Completed. OC Received.",I119))</f>
        <v>Excavation, Plinth Completed, RCC upto 6 Slab, Brickwork upto 1 Floor Completed</v>
      </c>
      <c r="D121" s="93"/>
      <c r="E121" s="93"/>
      <c r="F121" s="93"/>
      <c r="G121" s="93"/>
      <c r="H121" s="94"/>
      <c r="I121" s="51" t="str">
        <f ca="1">IF(I120&lt;&gt;""," Completed","")</f>
        <v xml:space="preserve"> Completed</v>
      </c>
      <c r="J121" s="52" t="str">
        <f ca="1">IF(J119&lt;&gt;"","Completed","")</f>
        <v>Completed</v>
      </c>
    </row>
    <row r="122" spans="1:10" ht="15.75" customHeight="1" x14ac:dyDescent="0.25">
      <c r="A122" s="95" t="s">
        <v>48</v>
      </c>
      <c r="B122" s="96"/>
      <c r="C122" s="44" t="s">
        <v>137</v>
      </c>
      <c r="D122" s="44" t="s">
        <v>82</v>
      </c>
      <c r="E122" s="96" t="s">
        <v>84</v>
      </c>
      <c r="F122" s="96"/>
      <c r="G122" s="96" t="s">
        <v>83</v>
      </c>
      <c r="H122" s="97"/>
      <c r="I122" s="14" t="s">
        <v>139</v>
      </c>
      <c r="J122" s="28">
        <f ca="1">H120*25%</f>
        <v>6</v>
      </c>
    </row>
    <row r="123" spans="1:10" x14ac:dyDescent="0.25">
      <c r="A123" s="95" t="s">
        <v>126</v>
      </c>
      <c r="B123" s="96"/>
      <c r="C123" s="44">
        <f ca="1">J124</f>
        <v>24</v>
      </c>
      <c r="D123" s="19">
        <f ca="1">((100/H120)*C123)/100</f>
        <v>1</v>
      </c>
      <c r="E123" s="98">
        <f ca="1">(((C124/H120*10)+(40/(D120+F120+H120)*C125)+(7.5/(H120)*C126)+(7.5/(H120)*C127)+(10/H120*C128)+(10/H120*C129)+(5/H120*C130)+(5/H120*C131)+(5/H120*C132))/100)</f>
        <v>0.18588362068965517</v>
      </c>
      <c r="F123" s="99"/>
      <c r="G123" s="98">
        <f ca="1">((((C123/H120)*20)+((C124/H120)*25)+(30/(H120+F120+D120)*C125)+(5/H120*C126)+(5/H120*C127)+(5/H120*C128)+(5/H120*C129)+(0/H120*C130)+(0/H120*C131)+(5/H120*C132))/100)</f>
        <v>0.51415229885057478</v>
      </c>
      <c r="H123" s="104"/>
      <c r="I123" s="14" t="s">
        <v>95</v>
      </c>
      <c r="J123" s="29">
        <f ca="1">H120*50%</f>
        <v>12</v>
      </c>
    </row>
    <row r="124" spans="1:10" x14ac:dyDescent="0.25">
      <c r="A124" s="95" t="s">
        <v>49</v>
      </c>
      <c r="B124" s="96"/>
      <c r="C124" s="55">
        <f ca="1">J132</f>
        <v>24</v>
      </c>
      <c r="D124" s="19">
        <f ca="1">((100/H120)*C124)/100</f>
        <v>1</v>
      </c>
      <c r="E124" s="100"/>
      <c r="F124" s="101"/>
      <c r="G124" s="100"/>
      <c r="H124" s="105"/>
      <c r="I124" s="14" t="s">
        <v>96</v>
      </c>
      <c r="J124" s="29">
        <f ca="1">H120</f>
        <v>24</v>
      </c>
    </row>
    <row r="125" spans="1:10" ht="15.75" customHeight="1" x14ac:dyDescent="0.25">
      <c r="A125" s="95" t="s">
        <v>127</v>
      </c>
      <c r="B125" s="96"/>
      <c r="C125" s="44">
        <f>D120+F120+1</f>
        <v>6</v>
      </c>
      <c r="D125" s="19">
        <f ca="1">((100/(D120+F120+H120))*C125)/100</f>
        <v>0.20689655172413793</v>
      </c>
      <c r="E125" s="100"/>
      <c r="F125" s="101"/>
      <c r="G125" s="100"/>
      <c r="H125" s="105"/>
      <c r="I125" s="14" t="s">
        <v>97</v>
      </c>
      <c r="J125" s="30">
        <f ca="1">(IF(B120&gt;1,(H120/(B120+2)),H120/4))</f>
        <v>6</v>
      </c>
    </row>
    <row r="126" spans="1:10" ht="15.75" customHeight="1" x14ac:dyDescent="0.25">
      <c r="A126" s="95" t="s">
        <v>134</v>
      </c>
      <c r="B126" s="96" t="s">
        <v>128</v>
      </c>
      <c r="C126" s="55">
        <f>C125-D120-F120</f>
        <v>1</v>
      </c>
      <c r="D126" s="19">
        <f ca="1">((100/H120)*C126)/100</f>
        <v>4.1666666666666671E-2</v>
      </c>
      <c r="E126" s="100"/>
      <c r="F126" s="101"/>
      <c r="G126" s="100"/>
      <c r="H126" s="105"/>
      <c r="I126" s="14" t="s">
        <v>98</v>
      </c>
      <c r="J126" s="30">
        <f ca="1">(IF(B120&gt;1,(H120/(B120+2)+J125),H120/4+J125))</f>
        <v>12</v>
      </c>
    </row>
    <row r="127" spans="1:10" ht="15.75" customHeight="1" x14ac:dyDescent="0.25">
      <c r="A127" s="95" t="s">
        <v>135</v>
      </c>
      <c r="B127" s="96" t="s">
        <v>128</v>
      </c>
      <c r="C127" s="44">
        <v>0</v>
      </c>
      <c r="D127" s="19">
        <f ca="1">((100/H120)*C127)/100</f>
        <v>0</v>
      </c>
      <c r="E127" s="100"/>
      <c r="F127" s="101"/>
      <c r="G127" s="100"/>
      <c r="H127" s="105"/>
      <c r="I127" s="14" t="s">
        <v>146</v>
      </c>
      <c r="J127" s="30">
        <f>(IF(B120&gt;1,(H120/(B120+2)+J126),0))</f>
        <v>0</v>
      </c>
    </row>
    <row r="128" spans="1:10" ht="15" customHeight="1" x14ac:dyDescent="0.25">
      <c r="A128" s="95" t="s">
        <v>133</v>
      </c>
      <c r="B128" s="96" t="s">
        <v>130</v>
      </c>
      <c r="C128" s="44">
        <v>0</v>
      </c>
      <c r="D128" s="19">
        <f ca="1">((100/(H120))*C128)/100</f>
        <v>0</v>
      </c>
      <c r="E128" s="100"/>
      <c r="F128" s="101"/>
      <c r="G128" s="100"/>
      <c r="H128" s="105"/>
      <c r="I128" s="14" t="s">
        <v>141</v>
      </c>
      <c r="J128" s="30">
        <f>(IF(B120&gt;2,(H120/(B120+2)+J127),0))</f>
        <v>0</v>
      </c>
    </row>
    <row r="129" spans="1:10" ht="15.75" customHeight="1" x14ac:dyDescent="0.25">
      <c r="A129" s="95" t="s">
        <v>129</v>
      </c>
      <c r="B129" s="96" t="s">
        <v>129</v>
      </c>
      <c r="C129" s="44">
        <v>0</v>
      </c>
      <c r="D129" s="19">
        <f ca="1">((100/H120)*C129)/100</f>
        <v>0</v>
      </c>
      <c r="E129" s="100"/>
      <c r="F129" s="101"/>
      <c r="G129" s="100"/>
      <c r="H129" s="105"/>
      <c r="I129" s="14" t="s">
        <v>142</v>
      </c>
      <c r="J129" s="31">
        <f>(IF(B120&gt;3,(H120/(B120+2)+J128),0))</f>
        <v>0</v>
      </c>
    </row>
    <row r="130" spans="1:10" ht="15.75" customHeight="1" x14ac:dyDescent="0.25">
      <c r="A130" s="95" t="s">
        <v>136</v>
      </c>
      <c r="B130" s="96"/>
      <c r="C130" s="44">
        <v>0</v>
      </c>
      <c r="D130" s="19">
        <f ca="1">((100/H120)*C130)/100</f>
        <v>0</v>
      </c>
      <c r="E130" s="100"/>
      <c r="F130" s="101"/>
      <c r="G130" s="100"/>
      <c r="H130" s="105"/>
      <c r="I130" s="14" t="s">
        <v>143</v>
      </c>
      <c r="J130" s="30">
        <f>(IF(B120&gt;4,(H120/(B120+2)+J129),0))</f>
        <v>0</v>
      </c>
    </row>
    <row r="131" spans="1:10" ht="15.75" customHeight="1" x14ac:dyDescent="0.25">
      <c r="A131" s="95" t="s">
        <v>131</v>
      </c>
      <c r="B131" s="96" t="s">
        <v>131</v>
      </c>
      <c r="C131" s="44">
        <v>0</v>
      </c>
      <c r="D131" s="19">
        <f ca="1">((100/(H120))*C131)/100</f>
        <v>0</v>
      </c>
      <c r="E131" s="100"/>
      <c r="F131" s="101"/>
      <c r="G131" s="100"/>
      <c r="H131" s="105"/>
      <c r="I131" s="14" t="s">
        <v>147</v>
      </c>
      <c r="J131" s="30">
        <f ca="1">(IF(B120=1,(H120/(B120+3)+J126),IF(B120=0,(H120/4+J126),IF(B120&gt;1,0))))</f>
        <v>18</v>
      </c>
    </row>
    <row r="132" spans="1:10" ht="16.5" thickBot="1" x14ac:dyDescent="0.3">
      <c r="A132" s="107" t="s">
        <v>132</v>
      </c>
      <c r="B132" s="108"/>
      <c r="C132" s="45">
        <v>0</v>
      </c>
      <c r="D132" s="20">
        <f ca="1">((100/(H120))*C132)/100</f>
        <v>0</v>
      </c>
      <c r="E132" s="102"/>
      <c r="F132" s="103"/>
      <c r="G132" s="102"/>
      <c r="H132" s="106"/>
      <c r="I132" s="15" t="s">
        <v>99</v>
      </c>
      <c r="J132" s="32">
        <f ca="1">(IF(B120&gt;1.5,(H120/(B120+2)+J126+MAX(0,J127-J126)+MAX(0,J128-J127)+MAX(0,J129-J128)+MAX(0,J130-J129)+MAX(0,J131-J130)),IF(B120=1,(H120/(B120+3)+J131),IF(B120=0,H120/4+J131))))</f>
        <v>24</v>
      </c>
    </row>
    <row r="133" spans="1:10" x14ac:dyDescent="0.25">
      <c r="A133" s="86" t="s">
        <v>138</v>
      </c>
      <c r="B133" s="87"/>
      <c r="C133" s="109" t="s">
        <v>253</v>
      </c>
      <c r="D133" s="110"/>
      <c r="E133" s="110"/>
      <c r="F133" s="110"/>
      <c r="G133" s="110"/>
      <c r="H133" s="111"/>
      <c r="I133" s="49" t="str">
        <f ca="1">IF(D146=100%,"All work Completed. Possession granted to the Building.",IF(D145=100%,"All work Completed, Waiting for OC",I134&amp;""&amp;I135&amp;""&amp;J134&amp;""&amp;J133&amp;" "&amp;J135))</f>
        <v>Excavation, Plinth Completed, RCC upto 9 Slab, Brickwork upto 4 Floor Completed</v>
      </c>
      <c r="J133" s="50" t="str">
        <f ca="1">(IF(C139=(D134+F134+H134),"",IF(C139&gt;0,", RCC upto "&amp;C139&amp;" Slab","")))&amp;(IF(C140=H134,"",IF(C140&gt;0,", Brickwork upto "&amp;C140&amp;" Floor","")))&amp;(IF(C141=H134,"",IF(C141&gt;0,", Internal Plaster upto "&amp;C141&amp;" Floor","")))&amp;(IF(C142=H134,"",IF(C142&gt;0,", External Plaster upto "&amp;C142&amp;" Floor","")))&amp;(IF(C143=H134,"",IF(C143&gt;0,", Flooring upto "&amp;C143&amp;" Floor","")))&amp;(IF(C144=H134,"",IF(C144&gt;0,", Painting upto "&amp;C144&amp;" Floor","")))&amp;(IF(C145=H134,"",IF(C145&gt;0,", Finishing upto "&amp;C145&amp;" Floor","")))&amp;(IF(C146=H134,"",IF(C146&gt;0,", Possession upto "&amp;C146&amp;" Floor","")))</f>
        <v>, RCC upto 9 Slab, Brickwork upto 4 Floor</v>
      </c>
    </row>
    <row r="134" spans="1:10" x14ac:dyDescent="0.25">
      <c r="A134" s="16" t="s">
        <v>140</v>
      </c>
      <c r="B134" s="47">
        <v>0</v>
      </c>
      <c r="C134" s="47" t="s">
        <v>71</v>
      </c>
      <c r="D134" s="47">
        <v>1</v>
      </c>
      <c r="E134" s="47" t="s">
        <v>70</v>
      </c>
      <c r="F134" s="47">
        <v>4</v>
      </c>
      <c r="G134" s="48" t="s">
        <v>79</v>
      </c>
      <c r="H134" s="17">
        <f ca="1">--TRIM(RIGHT(SUBSTITUTE(LEFT(C133,_xlfn.AGGREGATE(16,6,FIND({0,1,2,3,4,5,6,7,8,9},C133,ROW(INDIRECT("1:"&amp;LEN(C133)))),1))," ",REPT(" ",LEN(C133))),LEN(C133)))</f>
        <v>28</v>
      </c>
      <c r="I134" s="51" t="str">
        <f ca="1">IF(D137=100%,"Excavation","")&amp;IF(D138=100%,", Plinth","")&amp;IF(D139=100%,", RCC Slab","")&amp;IF(D140=100%,", Brickwork","")&amp;IF(D141=100%,", Internal Plaster","")&amp;IF(D142=100%,", External Plaster","")&amp;IF(D143=100%,", Flooring","")&amp;IF(D144=100%,", Painting","")&amp;IF(D145=100%,", Building common Amenities","")</f>
        <v>Excavation, Plinth</v>
      </c>
      <c r="J134" s="52" t="str">
        <f ca="1">(IF(C137=0,"Work not yet Started.",IF(D137=25%,"Piling work in process",IF(D137=50%,"Excavation work in process",IF(D137=100%,"","0")))))&amp;(IF(C138=0%,"",IF(C138=J139,", Footing work is process",IF(C138=J140,", Footing work Completed",IF(C138=J141,", 1st Basement Completed",IF(C138=J142,", 1st &amp; 2nd Basement Completed",IF(C138=J143,", 1st to 3rd Basement Completed",IF(C138=J144,", 1st to 4th Basement Completed",IF(C138=J145,", Plinth work is process",IF(C138=J146,"","0"))))))))))</f>
        <v/>
      </c>
    </row>
    <row r="135" spans="1:10" ht="33.75" customHeight="1" x14ac:dyDescent="0.25">
      <c r="A135" s="91" t="s">
        <v>89</v>
      </c>
      <c r="B135" s="92"/>
      <c r="C135" s="93" t="str">
        <f ca="1">(IF($C$64=C133,"All work Completed. OC Received.",I133))</f>
        <v>Excavation, Plinth Completed, RCC upto 9 Slab, Brickwork upto 4 Floor Completed</v>
      </c>
      <c r="D135" s="93"/>
      <c r="E135" s="93"/>
      <c r="F135" s="93"/>
      <c r="G135" s="93"/>
      <c r="H135" s="94"/>
      <c r="I135" s="51" t="str">
        <f ca="1">IF(I134&lt;&gt;""," Completed","")</f>
        <v xml:space="preserve"> Completed</v>
      </c>
      <c r="J135" s="52" t="str">
        <f ca="1">IF(J133&lt;&gt;"","Completed","")</f>
        <v>Completed</v>
      </c>
    </row>
    <row r="136" spans="1:10" ht="15.75" customHeight="1" x14ac:dyDescent="0.25">
      <c r="A136" s="95" t="s">
        <v>48</v>
      </c>
      <c r="B136" s="96"/>
      <c r="C136" s="44" t="s">
        <v>137</v>
      </c>
      <c r="D136" s="44" t="s">
        <v>82</v>
      </c>
      <c r="E136" s="96" t="s">
        <v>84</v>
      </c>
      <c r="F136" s="96"/>
      <c r="G136" s="96" t="s">
        <v>83</v>
      </c>
      <c r="H136" s="97"/>
      <c r="I136" s="14" t="s">
        <v>139</v>
      </c>
      <c r="J136" s="28">
        <f ca="1">H134*25%</f>
        <v>7</v>
      </c>
    </row>
    <row r="137" spans="1:10" x14ac:dyDescent="0.25">
      <c r="A137" s="95" t="s">
        <v>126</v>
      </c>
      <c r="B137" s="96"/>
      <c r="C137" s="44">
        <f ca="1">J138</f>
        <v>28</v>
      </c>
      <c r="D137" s="19">
        <f ca="1">((100/H134)*C137)/100</f>
        <v>1</v>
      </c>
      <c r="E137" s="98">
        <f ca="1">(((C138/H134*10)+(40/(D134+F134+H134)*C139)+(7.5/(H134)*C140)+(7.5/(H134)*C141)+(10/H134*C142)+(10/H134*C143)+(5/H134*C144)+(5/H134*C145)+(5/H134*C146))/100)</f>
        <v>0.21980519480519484</v>
      </c>
      <c r="F137" s="99"/>
      <c r="G137" s="98">
        <f ca="1">((((C137/H134)*20)+((C138/H134)*25)+(30/(H134+F134+D134)*C139)+(5/H134*C140)+(5/H134*C141)+(5/H134*C142)+(5/H134*C143)+(0/H134*C144)+(0/H134*C145)+(5/H134*C146))/100)</f>
        <v>0.53896103896103897</v>
      </c>
      <c r="H137" s="104"/>
      <c r="I137" s="14" t="s">
        <v>95</v>
      </c>
      <c r="J137" s="29">
        <f ca="1">H134*50%</f>
        <v>14</v>
      </c>
    </row>
    <row r="138" spans="1:10" x14ac:dyDescent="0.25">
      <c r="A138" s="95" t="s">
        <v>49</v>
      </c>
      <c r="B138" s="96"/>
      <c r="C138" s="55">
        <f ca="1">J146</f>
        <v>28</v>
      </c>
      <c r="D138" s="19">
        <f ca="1">((100/H134)*C138)/100</f>
        <v>1</v>
      </c>
      <c r="E138" s="100"/>
      <c r="F138" s="101"/>
      <c r="G138" s="100"/>
      <c r="H138" s="105"/>
      <c r="I138" s="14" t="s">
        <v>96</v>
      </c>
      <c r="J138" s="29">
        <f ca="1">H134</f>
        <v>28</v>
      </c>
    </row>
    <row r="139" spans="1:10" ht="15.75" customHeight="1" x14ac:dyDescent="0.25">
      <c r="A139" s="95" t="s">
        <v>127</v>
      </c>
      <c r="B139" s="96"/>
      <c r="C139" s="44">
        <f>D134+F134+4</f>
        <v>9</v>
      </c>
      <c r="D139" s="19">
        <f ca="1">((100/(D134+F134+H134))*C139)/100</f>
        <v>0.27272727272727271</v>
      </c>
      <c r="E139" s="100"/>
      <c r="F139" s="101"/>
      <c r="G139" s="100"/>
      <c r="H139" s="105"/>
      <c r="I139" s="14" t="s">
        <v>97</v>
      </c>
      <c r="J139" s="30">
        <f ca="1">(IF(B134&gt;1,(H134/(B134+2)),H134/4))</f>
        <v>7</v>
      </c>
    </row>
    <row r="140" spans="1:10" ht="15.75" customHeight="1" x14ac:dyDescent="0.25">
      <c r="A140" s="95" t="s">
        <v>134</v>
      </c>
      <c r="B140" s="96" t="s">
        <v>128</v>
      </c>
      <c r="C140" s="55">
        <f>C139-D134-F134</f>
        <v>4</v>
      </c>
      <c r="D140" s="19">
        <f ca="1">((100/H134)*C140)/100</f>
        <v>0.14285714285714288</v>
      </c>
      <c r="E140" s="100"/>
      <c r="F140" s="101"/>
      <c r="G140" s="100"/>
      <c r="H140" s="105"/>
      <c r="I140" s="14" t="s">
        <v>98</v>
      </c>
      <c r="J140" s="30">
        <f ca="1">(IF(B134&gt;1,(H134/(B134+2)+J139),H134/4+J139))</f>
        <v>14</v>
      </c>
    </row>
    <row r="141" spans="1:10" ht="15.75" customHeight="1" x14ac:dyDescent="0.25">
      <c r="A141" s="95" t="s">
        <v>135</v>
      </c>
      <c r="B141" s="96" t="s">
        <v>128</v>
      </c>
      <c r="C141" s="44">
        <v>0</v>
      </c>
      <c r="D141" s="19">
        <f ca="1">((100/H134)*C141)/100</f>
        <v>0</v>
      </c>
      <c r="E141" s="100"/>
      <c r="F141" s="101"/>
      <c r="G141" s="100"/>
      <c r="H141" s="105"/>
      <c r="I141" s="14" t="s">
        <v>146</v>
      </c>
      <c r="J141" s="30">
        <f>(IF(B134&gt;1,(H134/(B134+2)+J140),0))</f>
        <v>0</v>
      </c>
    </row>
    <row r="142" spans="1:10" ht="15" customHeight="1" x14ac:dyDescent="0.25">
      <c r="A142" s="95" t="s">
        <v>133</v>
      </c>
      <c r="B142" s="96" t="s">
        <v>130</v>
      </c>
      <c r="C142" s="44">
        <v>0</v>
      </c>
      <c r="D142" s="19">
        <f ca="1">((100/(H134))*C142)/100</f>
        <v>0</v>
      </c>
      <c r="E142" s="100"/>
      <c r="F142" s="101"/>
      <c r="G142" s="100"/>
      <c r="H142" s="105"/>
      <c r="I142" s="14" t="s">
        <v>141</v>
      </c>
      <c r="J142" s="30">
        <f>(IF(B134&gt;2,(H134/(B134+2)+J141),0))</f>
        <v>0</v>
      </c>
    </row>
    <row r="143" spans="1:10" ht="15.75" customHeight="1" x14ac:dyDescent="0.25">
      <c r="A143" s="95" t="s">
        <v>129</v>
      </c>
      <c r="B143" s="96" t="s">
        <v>129</v>
      </c>
      <c r="C143" s="44">
        <v>0</v>
      </c>
      <c r="D143" s="19">
        <f ca="1">((100/H134)*C143)/100</f>
        <v>0</v>
      </c>
      <c r="E143" s="100"/>
      <c r="F143" s="101"/>
      <c r="G143" s="100"/>
      <c r="H143" s="105"/>
      <c r="I143" s="14" t="s">
        <v>142</v>
      </c>
      <c r="J143" s="31">
        <f>(IF(B134&gt;3,(H134/(B134+2)+J142),0))</f>
        <v>0</v>
      </c>
    </row>
    <row r="144" spans="1:10" ht="15.75" customHeight="1" x14ac:dyDescent="0.25">
      <c r="A144" s="95" t="s">
        <v>136</v>
      </c>
      <c r="B144" s="96"/>
      <c r="C144" s="44">
        <v>0</v>
      </c>
      <c r="D144" s="19">
        <f ca="1">((100/H134)*C144)/100</f>
        <v>0</v>
      </c>
      <c r="E144" s="100"/>
      <c r="F144" s="101"/>
      <c r="G144" s="100"/>
      <c r="H144" s="105"/>
      <c r="I144" s="14" t="s">
        <v>143</v>
      </c>
      <c r="J144" s="30">
        <f>(IF(B134&gt;4,(H134/(B134+2)+J143),0))</f>
        <v>0</v>
      </c>
    </row>
    <row r="145" spans="1:10" ht="15.75" customHeight="1" x14ac:dyDescent="0.25">
      <c r="A145" s="95" t="s">
        <v>131</v>
      </c>
      <c r="B145" s="96" t="s">
        <v>131</v>
      </c>
      <c r="C145" s="44">
        <v>0</v>
      </c>
      <c r="D145" s="19">
        <f ca="1">((100/(H134))*C145)/100</f>
        <v>0</v>
      </c>
      <c r="E145" s="100"/>
      <c r="F145" s="101"/>
      <c r="G145" s="100"/>
      <c r="H145" s="105"/>
      <c r="I145" s="14" t="s">
        <v>147</v>
      </c>
      <c r="J145" s="30">
        <f ca="1">(IF(B134=1,(H134/(B134+3)+J140),IF(B134=0,(H134/4+J140),IF(B134&gt;1,0))))</f>
        <v>21</v>
      </c>
    </row>
    <row r="146" spans="1:10" ht="16.5" thickBot="1" x14ac:dyDescent="0.3">
      <c r="A146" s="107" t="s">
        <v>132</v>
      </c>
      <c r="B146" s="108"/>
      <c r="C146" s="45">
        <v>0</v>
      </c>
      <c r="D146" s="20">
        <f ca="1">((100/(H134))*C146)/100</f>
        <v>0</v>
      </c>
      <c r="E146" s="102"/>
      <c r="F146" s="103"/>
      <c r="G146" s="102"/>
      <c r="H146" s="106"/>
      <c r="I146" s="15" t="s">
        <v>99</v>
      </c>
      <c r="J146" s="32">
        <f ca="1">(IF(B134&gt;1.5,(H134/(B134+2)+J140+MAX(0,J141-J140)+MAX(0,J142-J141)+MAX(0,J143-J142)+MAX(0,J144-J143)+MAX(0,J145-J144)),IF(B134=1,(H134/(B134+3)+J145),IF(B134=0,H134/4+J145))))</f>
        <v>28</v>
      </c>
    </row>
    <row r="147" spans="1:10" x14ac:dyDescent="0.25">
      <c r="A147" s="86" t="s">
        <v>138</v>
      </c>
      <c r="B147" s="87"/>
      <c r="C147" s="88" t="s">
        <v>252</v>
      </c>
      <c r="D147" s="89"/>
      <c r="E147" s="89"/>
      <c r="F147" s="89"/>
      <c r="G147" s="89"/>
      <c r="H147" s="90"/>
      <c r="I147" s="49" t="str">
        <f ca="1">IF(D160=100%,"All work Completed. Possession granted to the Building.",IF(D159=100%,"All work Completed, Waiting for OC",I148&amp;""&amp;I149&amp;""&amp;J148&amp;""&amp;J147&amp;" "&amp;J149))</f>
        <v>Excavation, Plinth Completed, RCC upto 8 Slab, Brickwork upto 3 Floor Completed</v>
      </c>
      <c r="J147" s="50" t="str">
        <f ca="1">(IF(C153=(D148+F148+H148),"",IF(C153&gt;0,", RCC upto "&amp;C153&amp;" Slab","")))&amp;(IF(C154=H148,"",IF(C154&gt;0,", Brickwork upto "&amp;C154&amp;" Floor","")))&amp;(IF(C155=H148,"",IF(C155&gt;0,", Internal Plaster upto "&amp;C155&amp;" Floor","")))&amp;(IF(C156=H148,"",IF(C156&gt;0,", External Plaster upto "&amp;C156&amp;" Floor","")))&amp;(IF(C157=H148,"",IF(C157&gt;0,", Flooring upto "&amp;C157&amp;" Floor","")))&amp;(IF(C158=H148,"",IF(C158&gt;0,", Painting upto "&amp;C158&amp;" Floor","")))&amp;(IF(C159=H148,"",IF(C159&gt;0,", Finishing upto "&amp;C159&amp;" Floor","")))&amp;(IF(C160=H148,"",IF(C160&gt;0,", Possession upto "&amp;C160&amp;" Floor","")))</f>
        <v>, RCC upto 8 Slab, Brickwork upto 3 Floor</v>
      </c>
    </row>
    <row r="148" spans="1:10" x14ac:dyDescent="0.25">
      <c r="A148" s="16" t="s">
        <v>140</v>
      </c>
      <c r="B148" s="47">
        <v>0</v>
      </c>
      <c r="C148" s="47" t="s">
        <v>71</v>
      </c>
      <c r="D148" s="47">
        <v>1</v>
      </c>
      <c r="E148" s="47" t="s">
        <v>70</v>
      </c>
      <c r="F148" s="47">
        <v>4</v>
      </c>
      <c r="G148" s="48" t="s">
        <v>79</v>
      </c>
      <c r="H148" s="17">
        <f ca="1">--TRIM(RIGHT(SUBSTITUTE(LEFT(C147,_xlfn.AGGREGATE(16,6,FIND({0,1,2,3,4,5,6,7,8,9},C147,ROW(INDIRECT("1:"&amp;LEN(C147)))),1))," ",REPT(" ",LEN(C147))),LEN(C147)))</f>
        <v>28</v>
      </c>
      <c r="I148" s="51" t="str">
        <f ca="1">IF(D151=100%,"Excavation","")&amp;IF(D152=100%,", Plinth","")&amp;IF(D153=100%,", RCC Slab","")&amp;IF(D154=100%,", Brickwork","")&amp;IF(D155=100%,", Internal Plaster","")&amp;IF(D156=100%,", External Plaster","")&amp;IF(D157=100%,", Flooring","")&amp;IF(D158=100%,", Painting","")&amp;IF(D159=100%,", Building common Amenities","")</f>
        <v>Excavation, Plinth</v>
      </c>
      <c r="J148" s="52" t="str">
        <f ca="1">(IF(C151=0,"Work not yet Started.",IF(D151=25%,"Piling work in process",IF(D151=50%,"Excavation work in process",IF(D151=100%,"","0")))))&amp;(IF(C152=0%,"",IF(C152=J153,", Footing work is process",IF(C152=J154,", Footing work Completed",IF(C152=J155,", 1st Basement Completed",IF(C152=J156,", 1st &amp; 2nd Basement Completed",IF(C152=J157,", 1st to 3rd Basement Completed",IF(C152=J158,", 1st to 4th Basement Completed",IF(C152=J159,", Plinth work is process",IF(C152=J160,"","0"))))))))))</f>
        <v/>
      </c>
    </row>
    <row r="149" spans="1:10" ht="30.75" customHeight="1" x14ac:dyDescent="0.25">
      <c r="A149" s="91" t="s">
        <v>89</v>
      </c>
      <c r="B149" s="92"/>
      <c r="C149" s="93" t="str">
        <f ca="1">(IF($C$64=C147,"All work Completed. OC Received.",I147))</f>
        <v>Excavation, Plinth Completed, RCC upto 8 Slab, Brickwork upto 3 Floor Completed</v>
      </c>
      <c r="D149" s="93"/>
      <c r="E149" s="93"/>
      <c r="F149" s="93"/>
      <c r="G149" s="93"/>
      <c r="H149" s="94"/>
      <c r="I149" s="51" t="str">
        <f ca="1">IF(I148&lt;&gt;""," Completed","")</f>
        <v xml:space="preserve"> Completed</v>
      </c>
      <c r="J149" s="52" t="str">
        <f ca="1">IF(J147&lt;&gt;"","Completed","")</f>
        <v>Completed</v>
      </c>
    </row>
    <row r="150" spans="1:10" ht="15.75" customHeight="1" x14ac:dyDescent="0.25">
      <c r="A150" s="95" t="s">
        <v>48</v>
      </c>
      <c r="B150" s="96"/>
      <c r="C150" s="44" t="s">
        <v>137</v>
      </c>
      <c r="D150" s="44" t="s">
        <v>82</v>
      </c>
      <c r="E150" s="96" t="s">
        <v>84</v>
      </c>
      <c r="F150" s="96"/>
      <c r="G150" s="96" t="s">
        <v>83</v>
      </c>
      <c r="H150" s="97"/>
      <c r="I150" s="14" t="s">
        <v>139</v>
      </c>
      <c r="J150" s="28">
        <f ca="1">H148*25%</f>
        <v>7</v>
      </c>
    </row>
    <row r="151" spans="1:10" x14ac:dyDescent="0.25">
      <c r="A151" s="95" t="s">
        <v>126</v>
      </c>
      <c r="B151" s="96"/>
      <c r="C151" s="44">
        <v>28</v>
      </c>
      <c r="D151" s="19">
        <f ca="1">((100/H148)*C151)/100</f>
        <v>1</v>
      </c>
      <c r="E151" s="98">
        <f ca="1">(((C152/H148*10)+(40/(D148+F148+H148)*C153)+(7.5/(H148)*C154)+(7.5/(H148)*C155)+(10/H148*C156)+(10/H148*C157)+(5/H148*C158)+(5/H148*C159)+(5/H148*C160))/100)</f>
        <v>0.20500541125541122</v>
      </c>
      <c r="F151" s="99"/>
      <c r="G151" s="98">
        <f ca="1">((((C151/H148)*20)+((C152/H148)*25)+(30/(H148+F148+D148)*C153)+(5/H148*C154)+(5/H148*C155)+(5/H148*C156)+(5/H148*C157)+(0/H148*C158)+(0/H148*C159)+(5/H148*C160))/100)</f>
        <v>0.52808441558441555</v>
      </c>
      <c r="H151" s="104"/>
      <c r="I151" s="14" t="s">
        <v>95</v>
      </c>
      <c r="J151" s="29">
        <f ca="1">H148*50%</f>
        <v>14</v>
      </c>
    </row>
    <row r="152" spans="1:10" x14ac:dyDescent="0.25">
      <c r="A152" s="95" t="s">
        <v>49</v>
      </c>
      <c r="B152" s="96"/>
      <c r="C152" s="55">
        <f ca="1">J160</f>
        <v>28</v>
      </c>
      <c r="D152" s="19">
        <f ca="1">((100/H148)*C152)/100</f>
        <v>1</v>
      </c>
      <c r="E152" s="100"/>
      <c r="F152" s="101"/>
      <c r="G152" s="100"/>
      <c r="H152" s="105"/>
      <c r="I152" s="14" t="s">
        <v>96</v>
      </c>
      <c r="J152" s="29">
        <f ca="1">H148</f>
        <v>28</v>
      </c>
    </row>
    <row r="153" spans="1:10" ht="15.75" customHeight="1" x14ac:dyDescent="0.25">
      <c r="A153" s="95" t="s">
        <v>127</v>
      </c>
      <c r="B153" s="96"/>
      <c r="C153" s="44">
        <f>D148+F148+3</f>
        <v>8</v>
      </c>
      <c r="D153" s="19">
        <f ca="1">((100/(D148+F148+H148))*C153)/100</f>
        <v>0.24242424242424243</v>
      </c>
      <c r="E153" s="100"/>
      <c r="F153" s="101"/>
      <c r="G153" s="100"/>
      <c r="H153" s="105"/>
      <c r="I153" s="14" t="s">
        <v>97</v>
      </c>
      <c r="J153" s="30">
        <f ca="1">(IF(B148&gt;1,(H148/(B148+2)),H148/4))</f>
        <v>7</v>
      </c>
    </row>
    <row r="154" spans="1:10" ht="15.75" customHeight="1" x14ac:dyDescent="0.25">
      <c r="A154" s="95" t="s">
        <v>134</v>
      </c>
      <c r="B154" s="96" t="s">
        <v>128</v>
      </c>
      <c r="C154" s="44">
        <f>C153-D148-F148</f>
        <v>3</v>
      </c>
      <c r="D154" s="19">
        <f ca="1">((100/H148)*C154)/100</f>
        <v>0.10714285714285715</v>
      </c>
      <c r="E154" s="100"/>
      <c r="F154" s="101"/>
      <c r="G154" s="100"/>
      <c r="H154" s="105"/>
      <c r="I154" s="14" t="s">
        <v>98</v>
      </c>
      <c r="J154" s="30">
        <f ca="1">(IF(B148&gt;1,(H148/(B148+2)+J153),H148/4+J153))</f>
        <v>14</v>
      </c>
    </row>
    <row r="155" spans="1:10" ht="15.75" customHeight="1" x14ac:dyDescent="0.25">
      <c r="A155" s="95" t="s">
        <v>135</v>
      </c>
      <c r="B155" s="96" t="s">
        <v>128</v>
      </c>
      <c r="C155" s="44">
        <v>0</v>
      </c>
      <c r="D155" s="19">
        <f ca="1">((100/H148)*C155)/100</f>
        <v>0</v>
      </c>
      <c r="E155" s="100"/>
      <c r="F155" s="101"/>
      <c r="G155" s="100"/>
      <c r="H155" s="105"/>
      <c r="I155" s="14" t="s">
        <v>146</v>
      </c>
      <c r="J155" s="30">
        <f>(IF(B148&gt;1,(H148/(B148+2)+J154),0))</f>
        <v>0</v>
      </c>
    </row>
    <row r="156" spans="1:10" ht="15" customHeight="1" x14ac:dyDescent="0.25">
      <c r="A156" s="95" t="s">
        <v>133</v>
      </c>
      <c r="B156" s="96" t="s">
        <v>130</v>
      </c>
      <c r="C156" s="44">
        <v>0</v>
      </c>
      <c r="D156" s="19">
        <f ca="1">((100/(H148))*C156)/100</f>
        <v>0</v>
      </c>
      <c r="E156" s="100"/>
      <c r="F156" s="101"/>
      <c r="G156" s="100"/>
      <c r="H156" s="105"/>
      <c r="I156" s="14" t="s">
        <v>141</v>
      </c>
      <c r="J156" s="30">
        <f>(IF(B148&gt;2,(H148/(B148+2)+J155),0))</f>
        <v>0</v>
      </c>
    </row>
    <row r="157" spans="1:10" ht="15.75" customHeight="1" x14ac:dyDescent="0.25">
      <c r="A157" s="95" t="s">
        <v>129</v>
      </c>
      <c r="B157" s="96" t="s">
        <v>129</v>
      </c>
      <c r="C157" s="44">
        <v>0</v>
      </c>
      <c r="D157" s="19">
        <f ca="1">((100/H148)*C157)/100</f>
        <v>0</v>
      </c>
      <c r="E157" s="100"/>
      <c r="F157" s="101"/>
      <c r="G157" s="100"/>
      <c r="H157" s="105"/>
      <c r="I157" s="14" t="s">
        <v>142</v>
      </c>
      <c r="J157" s="31">
        <f>(IF(B148&gt;3,(H148/(B148+2)+J156),0))</f>
        <v>0</v>
      </c>
    </row>
    <row r="158" spans="1:10" ht="15.75" customHeight="1" x14ac:dyDescent="0.25">
      <c r="A158" s="95" t="s">
        <v>136</v>
      </c>
      <c r="B158" s="96"/>
      <c r="C158" s="44">
        <v>0</v>
      </c>
      <c r="D158" s="19">
        <f ca="1">((100/H148)*C158)/100</f>
        <v>0</v>
      </c>
      <c r="E158" s="100"/>
      <c r="F158" s="101"/>
      <c r="G158" s="100"/>
      <c r="H158" s="105"/>
      <c r="I158" s="14" t="s">
        <v>143</v>
      </c>
      <c r="J158" s="30">
        <f>(IF(B148&gt;4,(H148/(B148+2)+J157),0))</f>
        <v>0</v>
      </c>
    </row>
    <row r="159" spans="1:10" ht="15.75" customHeight="1" x14ac:dyDescent="0.25">
      <c r="A159" s="95" t="s">
        <v>131</v>
      </c>
      <c r="B159" s="96" t="s">
        <v>131</v>
      </c>
      <c r="C159" s="44">
        <v>0</v>
      </c>
      <c r="D159" s="19">
        <f ca="1">((100/(H148))*C159)/100</f>
        <v>0</v>
      </c>
      <c r="E159" s="100"/>
      <c r="F159" s="101"/>
      <c r="G159" s="100"/>
      <c r="H159" s="105"/>
      <c r="I159" s="14" t="s">
        <v>147</v>
      </c>
      <c r="J159" s="30">
        <f ca="1">(IF(B148=1,(H148/(B148+3)+J154),IF(B148=0,(H148/4+J154),IF(B148&gt;1,0))))</f>
        <v>21</v>
      </c>
    </row>
    <row r="160" spans="1:10" ht="16.5" thickBot="1" x14ac:dyDescent="0.3">
      <c r="A160" s="107" t="s">
        <v>132</v>
      </c>
      <c r="B160" s="108"/>
      <c r="C160" s="45">
        <v>0</v>
      </c>
      <c r="D160" s="20">
        <f ca="1">((100/(H148))*C160)/100</f>
        <v>0</v>
      </c>
      <c r="E160" s="102"/>
      <c r="F160" s="103"/>
      <c r="G160" s="102"/>
      <c r="H160" s="106"/>
      <c r="I160" s="15" t="s">
        <v>99</v>
      </c>
      <c r="J160" s="32">
        <f ca="1">(IF(B148&gt;1.5,(H148/(B148+2)+J154+MAX(0,J155-J154)+MAX(0,J156-J155)+MAX(0,J157-J156)+MAX(0,J158-J157)+MAX(0,J159-J158)),IF(B148=1,(H148/(B148+3)+J159),IF(B148=0,H148/4+J159))))</f>
        <v>28</v>
      </c>
    </row>
    <row r="161" spans="1:12" x14ac:dyDescent="0.25">
      <c r="A161" s="208" t="s">
        <v>158</v>
      </c>
      <c r="B161" s="208"/>
      <c r="C161" s="208"/>
      <c r="D161" s="208"/>
      <c r="E161" s="208"/>
      <c r="F161" s="207" t="s">
        <v>161</v>
      </c>
      <c r="G161" s="207"/>
      <c r="H161" s="207"/>
    </row>
    <row r="162" spans="1:12" x14ac:dyDescent="0.25">
      <c r="A162" s="115" t="s">
        <v>160</v>
      </c>
      <c r="B162" s="115"/>
      <c r="C162" s="115"/>
      <c r="D162" s="115"/>
      <c r="E162" s="115"/>
      <c r="F162" s="116">
        <v>14000</v>
      </c>
      <c r="G162" s="116"/>
      <c r="H162" s="116"/>
      <c r="I162" s="57" t="s">
        <v>214</v>
      </c>
      <c r="J162" s="57" t="s">
        <v>215</v>
      </c>
      <c r="K162" s="58">
        <v>44921</v>
      </c>
      <c r="L162" s="57" t="s">
        <v>216</v>
      </c>
    </row>
    <row r="163" spans="1:12" x14ac:dyDescent="0.25">
      <c r="A163" s="115" t="s">
        <v>159</v>
      </c>
      <c r="B163" s="115"/>
      <c r="C163" s="115"/>
      <c r="D163" s="115"/>
      <c r="E163" s="115"/>
      <c r="F163" s="112">
        <v>25000</v>
      </c>
      <c r="G163" s="112"/>
      <c r="H163" s="112"/>
      <c r="J163" s="21">
        <f>20700000/1029</f>
        <v>20116.618075801751</v>
      </c>
    </row>
    <row r="164" spans="1:12" s="33" customFormat="1" hidden="1" x14ac:dyDescent="0.25">
      <c r="A164" s="115" t="s">
        <v>162</v>
      </c>
      <c r="B164" s="115"/>
      <c r="C164" s="115"/>
      <c r="D164" s="115"/>
      <c r="E164" s="115"/>
      <c r="F164" s="112">
        <v>15000</v>
      </c>
      <c r="G164" s="112"/>
      <c r="H164" s="112"/>
    </row>
    <row r="165" spans="1:12" s="33" customFormat="1" x14ac:dyDescent="0.25">
      <c r="A165" s="117" t="s">
        <v>94</v>
      </c>
      <c r="B165" s="117"/>
      <c r="C165" s="117"/>
      <c r="D165" s="117"/>
      <c r="E165" s="117"/>
      <c r="F165" s="112">
        <v>15000</v>
      </c>
      <c r="G165" s="112"/>
      <c r="H165" s="112"/>
      <c r="J165" s="56">
        <f>300000-97000</f>
        <v>203000</v>
      </c>
    </row>
    <row r="166" spans="1:12" s="33" customFormat="1" x14ac:dyDescent="0.25">
      <c r="A166" s="117" t="s">
        <v>244</v>
      </c>
      <c r="B166" s="117"/>
      <c r="C166" s="117"/>
      <c r="D166" s="117"/>
      <c r="E166" s="117"/>
      <c r="F166" s="112">
        <v>200000</v>
      </c>
      <c r="G166" s="112"/>
      <c r="H166" s="112"/>
    </row>
    <row r="167" spans="1:12" s="33" customFormat="1" x14ac:dyDescent="0.25">
      <c r="A167" s="117" t="s">
        <v>213</v>
      </c>
      <c r="B167" s="117"/>
      <c r="C167" s="117"/>
      <c r="D167" s="117"/>
      <c r="E167" s="117"/>
      <c r="F167" s="112">
        <v>350000</v>
      </c>
      <c r="G167" s="112"/>
      <c r="H167" s="112"/>
    </row>
    <row r="168" spans="1:12" x14ac:dyDescent="0.25">
      <c r="A168" s="115" t="s">
        <v>50</v>
      </c>
      <c r="B168" s="115"/>
      <c r="C168" s="115"/>
      <c r="D168" s="115"/>
      <c r="E168" s="115"/>
      <c r="F168" s="112">
        <v>800000</v>
      </c>
      <c r="G168" s="112"/>
      <c r="H168" s="112"/>
    </row>
    <row r="169" spans="1:12" x14ac:dyDescent="0.25">
      <c r="A169" s="113" t="s">
        <v>218</v>
      </c>
      <c r="B169" s="113"/>
      <c r="C169" s="113"/>
      <c r="D169" s="113"/>
      <c r="E169" s="113"/>
      <c r="F169" s="114" t="s">
        <v>161</v>
      </c>
      <c r="G169" s="114"/>
      <c r="H169" s="114"/>
    </row>
    <row r="170" spans="1:12" x14ac:dyDescent="0.25">
      <c r="A170" s="115" t="s">
        <v>160</v>
      </c>
      <c r="B170" s="115"/>
      <c r="C170" s="115"/>
      <c r="D170" s="115"/>
      <c r="E170" s="115"/>
      <c r="F170" s="116">
        <v>16000</v>
      </c>
      <c r="G170" s="116"/>
      <c r="H170" s="116"/>
      <c r="I170" s="57">
        <v>16000</v>
      </c>
      <c r="J170" s="57" t="s">
        <v>215</v>
      </c>
      <c r="K170" s="58">
        <v>45028</v>
      </c>
      <c r="L170" s="57" t="s">
        <v>216</v>
      </c>
    </row>
    <row r="171" spans="1:12" s="33" customFormat="1" x14ac:dyDescent="0.25">
      <c r="A171" s="115" t="s">
        <v>217</v>
      </c>
      <c r="B171" s="115"/>
      <c r="C171" s="115"/>
      <c r="D171" s="115"/>
      <c r="E171" s="115"/>
      <c r="F171" s="112">
        <v>100</v>
      </c>
      <c r="G171" s="112"/>
      <c r="H171" s="112"/>
    </row>
    <row r="172" spans="1:12" s="33" customFormat="1" hidden="1" x14ac:dyDescent="0.25">
      <c r="A172" s="115" t="s">
        <v>162</v>
      </c>
      <c r="B172" s="115"/>
      <c r="C172" s="115"/>
      <c r="D172" s="115"/>
      <c r="E172" s="115"/>
      <c r="F172" s="112">
        <v>15000</v>
      </c>
      <c r="G172" s="112"/>
      <c r="H172" s="112"/>
    </row>
    <row r="173" spans="1:12" s="33" customFormat="1" x14ac:dyDescent="0.25">
      <c r="A173" s="117" t="s">
        <v>94</v>
      </c>
      <c r="B173" s="117"/>
      <c r="C173" s="117"/>
      <c r="D173" s="117"/>
      <c r="E173" s="117"/>
      <c r="F173" s="112">
        <v>15000</v>
      </c>
      <c r="G173" s="112"/>
      <c r="H173" s="112"/>
      <c r="J173" s="56"/>
    </row>
    <row r="174" spans="1:12" s="33" customFormat="1" x14ac:dyDescent="0.25">
      <c r="A174" s="117" t="s">
        <v>244</v>
      </c>
      <c r="B174" s="117"/>
      <c r="C174" s="117"/>
      <c r="D174" s="117"/>
      <c r="E174" s="117"/>
      <c r="F174" s="112">
        <v>200000</v>
      </c>
      <c r="G174" s="112"/>
      <c r="H174" s="112"/>
    </row>
    <row r="175" spans="1:12" s="33" customFormat="1" x14ac:dyDescent="0.25">
      <c r="A175" s="117" t="s">
        <v>213</v>
      </c>
      <c r="B175" s="117"/>
      <c r="C175" s="117"/>
      <c r="D175" s="117"/>
      <c r="E175" s="117"/>
      <c r="F175" s="112">
        <v>350000</v>
      </c>
      <c r="G175" s="112"/>
      <c r="H175" s="112"/>
    </row>
    <row r="176" spans="1:12" x14ac:dyDescent="0.25">
      <c r="A176" s="115" t="s">
        <v>50</v>
      </c>
      <c r="B176" s="115"/>
      <c r="C176" s="115"/>
      <c r="D176" s="115"/>
      <c r="E176" s="115"/>
      <c r="F176" s="112">
        <v>800000</v>
      </c>
      <c r="G176" s="112"/>
      <c r="H176" s="112"/>
    </row>
    <row r="177" spans="1:8" s="34" customFormat="1" x14ac:dyDescent="0.25">
      <c r="A177" s="167" t="s">
        <v>51</v>
      </c>
      <c r="B177" s="167"/>
      <c r="C177" s="167"/>
      <c r="D177" s="167"/>
      <c r="E177" s="167"/>
      <c r="F177" s="116">
        <f>F162*0.8</f>
        <v>11200</v>
      </c>
      <c r="G177" s="116"/>
      <c r="H177" s="116"/>
    </row>
    <row r="178" spans="1:8" s="35" customFormat="1" ht="15.75" customHeight="1" x14ac:dyDescent="0.25">
      <c r="A178" s="166" t="s">
        <v>74</v>
      </c>
      <c r="B178" s="166"/>
      <c r="C178" s="166"/>
      <c r="D178" s="166"/>
      <c r="E178" s="166"/>
      <c r="F178" s="166"/>
      <c r="G178" s="166"/>
      <c r="H178" s="166"/>
    </row>
    <row r="179" spans="1:8" s="35" customFormat="1" ht="15.75" customHeight="1" x14ac:dyDescent="0.25">
      <c r="A179" s="148" t="s">
        <v>52</v>
      </c>
      <c r="B179" s="148"/>
      <c r="C179" s="194" t="s">
        <v>77</v>
      </c>
      <c r="D179" s="194"/>
      <c r="E179" s="158" t="s">
        <v>53</v>
      </c>
      <c r="F179" s="158"/>
      <c r="G179" s="148" t="s">
        <v>54</v>
      </c>
      <c r="H179" s="148"/>
    </row>
    <row r="180" spans="1:8" s="35" customFormat="1" x14ac:dyDescent="0.25">
      <c r="A180" s="67" t="s">
        <v>202</v>
      </c>
      <c r="B180" s="67"/>
      <c r="C180" s="68">
        <f>COUNT(D200:D208)</f>
        <v>9</v>
      </c>
      <c r="D180" s="69"/>
      <c r="E180" s="70">
        <f>SUM(D200:D208)</f>
        <v>4156.769939400001</v>
      </c>
      <c r="F180" s="71"/>
      <c r="G180" s="70">
        <f>SUM(F200:F208)</f>
        <v>6650.8319030400007</v>
      </c>
      <c r="H180" s="71"/>
    </row>
    <row r="181" spans="1:8" s="35" customFormat="1" x14ac:dyDescent="0.25">
      <c r="A181" s="67" t="s">
        <v>171</v>
      </c>
      <c r="B181" s="67"/>
      <c r="C181" s="68">
        <f>COUNT(D211:D220)</f>
        <v>10</v>
      </c>
      <c r="D181" s="69"/>
      <c r="E181" s="70">
        <f>SUM(D211:D220)</f>
        <v>5571.7154999999993</v>
      </c>
      <c r="F181" s="71"/>
      <c r="G181" s="70">
        <f>SUM(F211:F220)</f>
        <v>8914.7448000000004</v>
      </c>
      <c r="H181" s="71"/>
    </row>
    <row r="182" spans="1:8" s="35" customFormat="1" x14ac:dyDescent="0.25">
      <c r="A182" s="67" t="s">
        <v>233</v>
      </c>
      <c r="B182" s="67"/>
      <c r="C182" s="68">
        <f>COUNT(D223:D232)</f>
        <v>10</v>
      </c>
      <c r="D182" s="69"/>
      <c r="E182" s="70">
        <f>SUM(D223:D232)</f>
        <v>6539.4292392000007</v>
      </c>
      <c r="F182" s="71"/>
      <c r="G182" s="70">
        <f>SUM(F223:F232)</f>
        <v>10463.086782720002</v>
      </c>
      <c r="H182" s="71"/>
    </row>
    <row r="183" spans="1:8" s="35" customFormat="1" x14ac:dyDescent="0.25">
      <c r="A183" s="166" t="s">
        <v>151</v>
      </c>
      <c r="B183" s="166"/>
      <c r="C183" s="196">
        <f>SUM(C180:C182)</f>
        <v>29</v>
      </c>
      <c r="D183" s="194"/>
      <c r="E183" s="196">
        <f>SUM(E180:E182)</f>
        <v>16267.9146786</v>
      </c>
      <c r="F183" s="196"/>
      <c r="G183" s="196">
        <f>SUM(G180:G182)</f>
        <v>26028.663485760004</v>
      </c>
      <c r="H183" s="196"/>
    </row>
    <row r="184" spans="1:8" s="35" customFormat="1" x14ac:dyDescent="0.25">
      <c r="A184" s="169" t="s">
        <v>69</v>
      </c>
      <c r="B184" s="170"/>
      <c r="C184" s="170"/>
      <c r="D184" s="170"/>
      <c r="E184" s="170"/>
      <c r="F184" s="170"/>
      <c r="G184" s="170"/>
      <c r="H184" s="171"/>
    </row>
    <row r="185" spans="1:8" s="35" customFormat="1" ht="15.75" customHeight="1" x14ac:dyDescent="0.25">
      <c r="A185" s="148" t="s">
        <v>52</v>
      </c>
      <c r="B185" s="148"/>
      <c r="C185" s="194" t="s">
        <v>77</v>
      </c>
      <c r="D185" s="194"/>
      <c r="E185" s="158" t="s">
        <v>53</v>
      </c>
      <c r="F185" s="158"/>
      <c r="G185" s="148" t="s">
        <v>54</v>
      </c>
      <c r="H185" s="148"/>
    </row>
    <row r="186" spans="1:8" s="35" customFormat="1" x14ac:dyDescent="0.25">
      <c r="A186" s="67" t="s">
        <v>202</v>
      </c>
      <c r="B186" s="67"/>
      <c r="C186" s="69">
        <f>COUNT(D241:D248)*19+COUNT(D250,D252:D257)*5</f>
        <v>187</v>
      </c>
      <c r="D186" s="69"/>
      <c r="E186" s="70">
        <f>SUM(D241:D248)*19+SUM(D250,D252:D257)*5</f>
        <v>102621.22000000002</v>
      </c>
      <c r="F186" s="70"/>
      <c r="G186" s="70">
        <f>SUM(F241:F248)*19+SUM(F250,F252:F257)*5</f>
        <v>164193.95199999999</v>
      </c>
      <c r="H186" s="70"/>
    </row>
    <row r="187" spans="1:8" s="35" customFormat="1" x14ac:dyDescent="0.25">
      <c r="A187" s="67" t="s">
        <v>208</v>
      </c>
      <c r="B187" s="67"/>
      <c r="C187" s="69">
        <f>COUNT(D262:D271)*20+COUNT(D273,D275:D282)*5</f>
        <v>245</v>
      </c>
      <c r="D187" s="69"/>
      <c r="E187" s="70">
        <f>SUM(D262:D271)*20+SUM(D273,D275:D282)*5</f>
        <v>112517.40000000001</v>
      </c>
      <c r="F187" s="70"/>
      <c r="G187" s="70">
        <f>SUM(F262:F271)*20+SUM(F273,F275:F282)*5</f>
        <v>180027.84</v>
      </c>
      <c r="H187" s="70"/>
    </row>
    <row r="188" spans="1:8" s="35" customFormat="1" x14ac:dyDescent="0.25">
      <c r="A188" s="67" t="s">
        <v>171</v>
      </c>
      <c r="B188" s="67"/>
      <c r="C188" s="69">
        <f>COUNT(D288:D293)*13+COUNT(D295,D297:D300)*4+COUNT(D302:D306)*6+COUNT(D308:D312)</f>
        <v>133</v>
      </c>
      <c r="D188" s="69"/>
      <c r="E188" s="70">
        <f>SUM(D288:D293)*13+SUM(D295,D297:D300)*4+SUM(D302:D306)*6+SUM(D308:D312)</f>
        <v>114759.0211248</v>
      </c>
      <c r="F188" s="70"/>
      <c r="G188" s="70">
        <f>SUM(F288:F293)*13+SUM(F295,F297:F300)*4+SUM(F302:F306)*6+SUM(F308:F312)</f>
        <v>183614.43379967997</v>
      </c>
      <c r="H188" s="70"/>
    </row>
    <row r="189" spans="1:8" s="35" customFormat="1" x14ac:dyDescent="0.25">
      <c r="A189" s="67" t="s">
        <v>181</v>
      </c>
      <c r="B189" s="67"/>
      <c r="C189" s="69">
        <f>COUNT(D318:D323)*13+COUNT(D325:D328,D330)*4+COUNT(D332:D336)*6+COUNT(D338:D341,D343)</f>
        <v>133</v>
      </c>
      <c r="D189" s="69"/>
      <c r="E189" s="70">
        <f>SUM(D318:D323)*13+SUM(D325:D328,D330)*4+SUM(D332:D336)*6+SUM(D338:D341,D343)</f>
        <v>114834.5844048</v>
      </c>
      <c r="F189" s="70"/>
      <c r="G189" s="70">
        <f>SUM(F318:F323)*13+SUM(F325:F328,F330)*4+SUM(F332:F336)*6+SUM(F338:F341,F343)</f>
        <v>183735.33504767998</v>
      </c>
      <c r="H189" s="70"/>
    </row>
    <row r="190" spans="1:8" s="35" customFormat="1" x14ac:dyDescent="0.25">
      <c r="A190" s="67" t="s">
        <v>233</v>
      </c>
      <c r="B190" s="67"/>
      <c r="C190" s="69">
        <f>COUNT(D348:D353)+COUNT(D355:D359)*3+COUNT(D362:D367)*8+COUNT(D369:D373)*2+COUNT(D376:D380)*10</f>
        <v>129</v>
      </c>
      <c r="D190" s="69"/>
      <c r="E190" s="70">
        <f>SUM(D348:D353)+SUM(D355:D359)*3+SUM(D362:D367)*8+SUM(D369:D373)*2+SUM(D376:D380)*10</f>
        <v>117017.92079640002</v>
      </c>
      <c r="F190" s="70"/>
      <c r="G190" s="70">
        <f>SUM(F348:F353)+SUM(F355:F359)*3+SUM(F362:F367)*8+SUM(F369:F373)*2+SUM(F376:F380)*10</f>
        <v>187228.67327424005</v>
      </c>
      <c r="H190" s="70"/>
    </row>
    <row r="191" spans="1:8" s="35" customFormat="1" x14ac:dyDescent="0.25">
      <c r="A191" s="67" t="s">
        <v>242</v>
      </c>
      <c r="B191" s="67"/>
      <c r="C191" s="69">
        <f>COUNT(D386:D391)+COUNT(D393:D397)*3+COUNT(D400:D405)*8+COUNT(D407:D411)*2+COUNT(D414:D418)*10</f>
        <v>129</v>
      </c>
      <c r="D191" s="69"/>
      <c r="E191" s="70">
        <f>SUM(D386:D391)+SUM(D393:D397)*3+SUM(D400:D405)*8+SUM(D407:D411)*2+SUM(D414:D418)*10</f>
        <v>117017.92079640002</v>
      </c>
      <c r="F191" s="70"/>
      <c r="G191" s="70">
        <f>SUM(F386:F391)+SUM(F393:F397)*3+SUM(F400:F405)*8+SUM(F407:F411)*2+SUM(F414:F418)*10</f>
        <v>187228.67327424005</v>
      </c>
      <c r="H191" s="70"/>
    </row>
    <row r="192" spans="1:8" s="35" customFormat="1" ht="16.5" thickBot="1" x14ac:dyDescent="0.3">
      <c r="A192" s="195" t="s">
        <v>151</v>
      </c>
      <c r="B192" s="195"/>
      <c r="C192" s="197">
        <f>SUM(C186:C191)</f>
        <v>956</v>
      </c>
      <c r="D192" s="197"/>
      <c r="E192" s="198">
        <f>SUM(E186:E191)</f>
        <v>678768.06712240016</v>
      </c>
      <c r="F192" s="198"/>
      <c r="G192" s="198">
        <f>SUM(G186:G191)</f>
        <v>1086028.9073958399</v>
      </c>
      <c r="H192" s="198"/>
    </row>
    <row r="193" spans="1:14" s="35" customFormat="1" ht="16.5" thickBot="1" x14ac:dyDescent="0.3">
      <c r="A193" s="118" t="s">
        <v>232</v>
      </c>
      <c r="B193" s="119"/>
      <c r="C193" s="84">
        <f>SUM(C183+C192)</f>
        <v>985</v>
      </c>
      <c r="D193" s="85"/>
      <c r="E193" s="84">
        <f t="shared" ref="E193" si="0">SUM(E183+E192)</f>
        <v>695035.98180100019</v>
      </c>
      <c r="F193" s="85"/>
      <c r="G193" s="84">
        <f>SUM(G183+G192)</f>
        <v>1112057.5708816</v>
      </c>
      <c r="H193" s="85"/>
    </row>
    <row r="194" spans="1:14" s="34" customFormat="1" x14ac:dyDescent="0.25">
      <c r="A194" s="163" t="s">
        <v>55</v>
      </c>
      <c r="B194" s="163"/>
      <c r="C194" s="163"/>
      <c r="D194" s="163"/>
      <c r="E194" s="163"/>
      <c r="F194" s="163"/>
      <c r="G194" s="163"/>
      <c r="H194" s="163"/>
    </row>
    <row r="195" spans="1:14" x14ac:dyDescent="0.25">
      <c r="A195" s="138" t="s">
        <v>247</v>
      </c>
      <c r="B195" s="138"/>
      <c r="C195" s="138"/>
      <c r="D195" s="138"/>
      <c r="E195" s="138"/>
      <c r="F195" s="138"/>
      <c r="G195" s="138"/>
      <c r="H195" s="138"/>
    </row>
    <row r="196" spans="1:14" ht="47.25" customHeight="1" x14ac:dyDescent="0.25">
      <c r="A196" s="149" t="s">
        <v>116</v>
      </c>
      <c r="B196" s="149" t="s">
        <v>115</v>
      </c>
      <c r="C196" s="149" t="s">
        <v>56</v>
      </c>
      <c r="D196" s="149" t="s">
        <v>57</v>
      </c>
      <c r="E196" s="151" t="s">
        <v>157</v>
      </c>
      <c r="F196" s="43" t="s">
        <v>149</v>
      </c>
      <c r="G196" s="153" t="s">
        <v>59</v>
      </c>
      <c r="H196" s="154"/>
    </row>
    <row r="197" spans="1:14" s="37" customFormat="1" x14ac:dyDescent="0.25">
      <c r="A197" s="150"/>
      <c r="B197" s="150"/>
      <c r="C197" s="150"/>
      <c r="D197" s="150"/>
      <c r="E197" s="152"/>
      <c r="F197" s="13">
        <v>0.6</v>
      </c>
      <c r="G197" s="155"/>
      <c r="H197" s="156"/>
    </row>
    <row r="198" spans="1:14" s="37" customFormat="1" x14ac:dyDescent="0.25">
      <c r="A198" s="78" t="s">
        <v>202</v>
      </c>
      <c r="B198" s="79"/>
      <c r="C198" s="79"/>
      <c r="D198" s="79"/>
      <c r="E198" s="79"/>
      <c r="F198" s="79"/>
      <c r="G198" s="79"/>
      <c r="H198" s="80"/>
      <c r="J198" s="36"/>
    </row>
    <row r="199" spans="1:14" s="37" customFormat="1" x14ac:dyDescent="0.25">
      <c r="A199" s="78" t="s">
        <v>174</v>
      </c>
      <c r="B199" s="79"/>
      <c r="C199" s="79"/>
      <c r="D199" s="79"/>
      <c r="E199" s="79"/>
      <c r="F199" s="79"/>
      <c r="G199" s="79"/>
      <c r="H199" s="80"/>
      <c r="J199" s="36"/>
    </row>
    <row r="200" spans="1:14" s="37" customFormat="1" ht="15.75" customHeight="1" x14ac:dyDescent="0.25">
      <c r="A200" s="61">
        <v>1</v>
      </c>
      <c r="B200" s="62"/>
      <c r="C200" s="42" t="s">
        <v>173</v>
      </c>
      <c r="D200" s="42">
        <f>4.493*9.55*10.764</f>
        <v>461.86332660000005</v>
      </c>
      <c r="E200" s="42">
        <v>0</v>
      </c>
      <c r="F200" s="42">
        <f>(D200+E200)*(($F$197)+1)</f>
        <v>738.98132256000008</v>
      </c>
      <c r="G200" s="72" t="str">
        <f>A199</f>
        <v>Ground Floor For Commercial</v>
      </c>
      <c r="H200" s="73"/>
      <c r="I200" s="36"/>
      <c r="L200" s="63"/>
      <c r="M200" s="63"/>
      <c r="N200" s="36"/>
    </row>
    <row r="201" spans="1:14" s="37" customFormat="1" ht="15.75" customHeight="1" x14ac:dyDescent="0.25">
      <c r="A201" s="61">
        <f t="shared" ref="A201:A208" si="1">A200+1</f>
        <v>2</v>
      </c>
      <c r="B201" s="62"/>
      <c r="C201" s="42" t="s">
        <v>173</v>
      </c>
      <c r="D201" s="42">
        <f t="shared" ref="D201:D208" si="2">4.493*9.55*10.764</f>
        <v>461.86332660000005</v>
      </c>
      <c r="E201" s="42">
        <v>0</v>
      </c>
      <c r="F201" s="42">
        <f t="shared" ref="F201:F206" si="3">(D201+E201)*(($F$197)+1)</f>
        <v>738.98132256000008</v>
      </c>
      <c r="G201" s="74"/>
      <c r="H201" s="75"/>
      <c r="I201" s="36"/>
      <c r="L201" s="63"/>
      <c r="M201" s="63"/>
      <c r="N201" s="36"/>
    </row>
    <row r="202" spans="1:14" s="37" customFormat="1" ht="15.75" customHeight="1" x14ac:dyDescent="0.25">
      <c r="A202" s="61">
        <f t="shared" si="1"/>
        <v>3</v>
      </c>
      <c r="B202" s="62"/>
      <c r="C202" s="42" t="s">
        <v>173</v>
      </c>
      <c r="D202" s="42">
        <f t="shared" si="2"/>
        <v>461.86332660000005</v>
      </c>
      <c r="E202" s="42">
        <v>0</v>
      </c>
      <c r="F202" s="42">
        <f t="shared" si="3"/>
        <v>738.98132256000008</v>
      </c>
      <c r="G202" s="74"/>
      <c r="H202" s="75"/>
      <c r="I202" s="36"/>
      <c r="L202" s="63"/>
      <c r="M202" s="63"/>
      <c r="N202" s="36"/>
    </row>
    <row r="203" spans="1:14" s="37" customFormat="1" ht="15.75" customHeight="1" x14ac:dyDescent="0.25">
      <c r="A203" s="61">
        <f t="shared" si="1"/>
        <v>4</v>
      </c>
      <c r="B203" s="62"/>
      <c r="C203" s="42" t="s">
        <v>173</v>
      </c>
      <c r="D203" s="42">
        <f t="shared" si="2"/>
        <v>461.86332660000005</v>
      </c>
      <c r="E203" s="42">
        <v>0</v>
      </c>
      <c r="F203" s="42">
        <f t="shared" si="3"/>
        <v>738.98132256000008</v>
      </c>
      <c r="G203" s="74"/>
      <c r="H203" s="75"/>
      <c r="I203" s="36"/>
      <c r="L203" s="63"/>
      <c r="M203" s="63"/>
      <c r="N203" s="36"/>
    </row>
    <row r="204" spans="1:14" s="37" customFormat="1" ht="15.75" customHeight="1" x14ac:dyDescent="0.25">
      <c r="A204" s="61">
        <f t="shared" si="1"/>
        <v>5</v>
      </c>
      <c r="B204" s="62"/>
      <c r="C204" s="42" t="s">
        <v>173</v>
      </c>
      <c r="D204" s="42">
        <f t="shared" si="2"/>
        <v>461.86332660000005</v>
      </c>
      <c r="E204" s="42">
        <v>0</v>
      </c>
      <c r="F204" s="42">
        <f t="shared" si="3"/>
        <v>738.98132256000008</v>
      </c>
      <c r="G204" s="74"/>
      <c r="H204" s="75"/>
      <c r="I204" s="36"/>
      <c r="L204" s="63"/>
      <c r="M204" s="63"/>
      <c r="N204" s="36"/>
    </row>
    <row r="205" spans="1:14" s="37" customFormat="1" ht="15.75" customHeight="1" x14ac:dyDescent="0.25">
      <c r="A205" s="61">
        <f t="shared" si="1"/>
        <v>6</v>
      </c>
      <c r="B205" s="62"/>
      <c r="C205" s="42" t="s">
        <v>173</v>
      </c>
      <c r="D205" s="42">
        <f t="shared" si="2"/>
        <v>461.86332660000005</v>
      </c>
      <c r="E205" s="42">
        <v>0</v>
      </c>
      <c r="F205" s="42">
        <f t="shared" si="3"/>
        <v>738.98132256000008</v>
      </c>
      <c r="G205" s="74"/>
      <c r="H205" s="75"/>
      <c r="I205" s="36"/>
      <c r="L205" s="63"/>
      <c r="M205" s="63"/>
      <c r="N205" s="36"/>
    </row>
    <row r="206" spans="1:14" s="37" customFormat="1" ht="15.75" customHeight="1" x14ac:dyDescent="0.25">
      <c r="A206" s="61">
        <f t="shared" si="1"/>
        <v>7</v>
      </c>
      <c r="B206" s="62"/>
      <c r="C206" s="42" t="s">
        <v>173</v>
      </c>
      <c r="D206" s="42">
        <f t="shared" si="2"/>
        <v>461.86332660000005</v>
      </c>
      <c r="E206" s="42">
        <v>0</v>
      </c>
      <c r="F206" s="42">
        <f t="shared" si="3"/>
        <v>738.98132256000008</v>
      </c>
      <c r="G206" s="74"/>
      <c r="H206" s="75"/>
      <c r="I206" s="36"/>
      <c r="L206" s="63"/>
      <c r="M206" s="63"/>
      <c r="N206" s="36"/>
    </row>
    <row r="207" spans="1:14" s="37" customFormat="1" ht="15.75" customHeight="1" x14ac:dyDescent="0.25">
      <c r="A207" s="61">
        <f t="shared" si="1"/>
        <v>8</v>
      </c>
      <c r="B207" s="62"/>
      <c r="C207" s="42" t="s">
        <v>173</v>
      </c>
      <c r="D207" s="42">
        <f t="shared" si="2"/>
        <v>461.86332660000005</v>
      </c>
      <c r="E207" s="42">
        <v>0</v>
      </c>
      <c r="F207" s="42">
        <f>(D207+E207)*(($F$197)+1)</f>
        <v>738.98132256000008</v>
      </c>
      <c r="G207" s="74"/>
      <c r="H207" s="75"/>
      <c r="I207" s="36"/>
      <c r="L207" s="63"/>
      <c r="M207" s="63"/>
      <c r="N207" s="36"/>
    </row>
    <row r="208" spans="1:14" s="37" customFormat="1" ht="15.75" customHeight="1" x14ac:dyDescent="0.25">
      <c r="A208" s="61">
        <f t="shared" si="1"/>
        <v>9</v>
      </c>
      <c r="B208" s="62"/>
      <c r="C208" s="42" t="s">
        <v>173</v>
      </c>
      <c r="D208" s="42">
        <f t="shared" si="2"/>
        <v>461.86332660000005</v>
      </c>
      <c r="E208" s="42">
        <v>0</v>
      </c>
      <c r="F208" s="42">
        <f>(D208+E208)*(($F$197)+1)</f>
        <v>738.98132256000008</v>
      </c>
      <c r="G208" s="74"/>
      <c r="H208" s="75"/>
      <c r="I208" s="36"/>
      <c r="L208" s="63"/>
      <c r="M208" s="63"/>
      <c r="N208" s="36"/>
    </row>
    <row r="209" spans="1:14" s="37" customFormat="1" x14ac:dyDescent="0.25">
      <c r="A209" s="78" t="s">
        <v>171</v>
      </c>
      <c r="B209" s="79"/>
      <c r="C209" s="79"/>
      <c r="D209" s="79"/>
      <c r="E209" s="79"/>
      <c r="F209" s="79"/>
      <c r="G209" s="79"/>
      <c r="H209" s="80"/>
      <c r="J209" s="36"/>
    </row>
    <row r="210" spans="1:14" s="37" customFormat="1" x14ac:dyDescent="0.25">
      <c r="A210" s="78" t="s">
        <v>174</v>
      </c>
      <c r="B210" s="79"/>
      <c r="C210" s="79"/>
      <c r="D210" s="79"/>
      <c r="E210" s="79"/>
      <c r="F210" s="79"/>
      <c r="G210" s="79"/>
      <c r="H210" s="80"/>
      <c r="J210" s="36"/>
    </row>
    <row r="211" spans="1:14" s="37" customFormat="1" ht="15.75" customHeight="1" x14ac:dyDescent="0.25">
      <c r="A211" s="61">
        <v>10</v>
      </c>
      <c r="B211" s="62"/>
      <c r="C211" s="42" t="s">
        <v>173</v>
      </c>
      <c r="D211" s="42">
        <f>(5*9.55+3.65*2.25+2.1*1.2)*10.764</f>
        <v>629.50563</v>
      </c>
      <c r="E211" s="42">
        <v>0</v>
      </c>
      <c r="F211" s="42">
        <f>(D211+E211)*(($F$197)+1)</f>
        <v>1007.209008</v>
      </c>
      <c r="G211" s="72" t="str">
        <f>A210</f>
        <v>Ground Floor For Commercial</v>
      </c>
      <c r="H211" s="73"/>
      <c r="I211" s="36"/>
      <c r="L211" s="63"/>
      <c r="M211" s="63"/>
      <c r="N211" s="36"/>
    </row>
    <row r="212" spans="1:14" s="37" customFormat="1" ht="15.75" customHeight="1" x14ac:dyDescent="0.25">
      <c r="A212" s="61">
        <f t="shared" ref="A212:A220" si="4">A211+1</f>
        <v>11</v>
      </c>
      <c r="B212" s="62"/>
      <c r="C212" s="42" t="s">
        <v>173</v>
      </c>
      <c r="D212" s="42">
        <f t="shared" ref="D212:D214" si="5">(5*9.55+3.65*2.25+2.1*1.2)*10.764</f>
        <v>629.50563</v>
      </c>
      <c r="E212" s="42">
        <v>0</v>
      </c>
      <c r="F212" s="42">
        <f t="shared" ref="F212:F214" si="6">(D212+E212)*(($F$197)+1)</f>
        <v>1007.209008</v>
      </c>
      <c r="G212" s="74"/>
      <c r="H212" s="75"/>
      <c r="I212" s="36"/>
      <c r="L212" s="63"/>
      <c r="M212" s="63"/>
      <c r="N212" s="36"/>
    </row>
    <row r="213" spans="1:14" s="37" customFormat="1" ht="15.75" customHeight="1" x14ac:dyDescent="0.25">
      <c r="A213" s="61">
        <f t="shared" si="4"/>
        <v>12</v>
      </c>
      <c r="B213" s="62"/>
      <c r="C213" s="42" t="s">
        <v>173</v>
      </c>
      <c r="D213" s="42">
        <f t="shared" si="5"/>
        <v>629.50563</v>
      </c>
      <c r="E213" s="42">
        <v>0</v>
      </c>
      <c r="F213" s="42">
        <f t="shared" si="6"/>
        <v>1007.209008</v>
      </c>
      <c r="G213" s="74"/>
      <c r="H213" s="75"/>
      <c r="I213" s="36"/>
      <c r="L213" s="63"/>
      <c r="M213" s="63"/>
      <c r="N213" s="36"/>
    </row>
    <row r="214" spans="1:14" s="37" customFormat="1" ht="15.75" customHeight="1" x14ac:dyDescent="0.25">
      <c r="A214" s="61">
        <f t="shared" si="4"/>
        <v>13</v>
      </c>
      <c r="B214" s="62"/>
      <c r="C214" s="42" t="s">
        <v>173</v>
      </c>
      <c r="D214" s="42">
        <f t="shared" si="5"/>
        <v>629.50563</v>
      </c>
      <c r="E214" s="42">
        <v>0</v>
      </c>
      <c r="F214" s="42">
        <f t="shared" si="6"/>
        <v>1007.209008</v>
      </c>
      <c r="G214" s="74"/>
      <c r="H214" s="75"/>
      <c r="I214" s="36"/>
      <c r="L214" s="63"/>
      <c r="M214" s="63"/>
      <c r="N214" s="36"/>
    </row>
    <row r="215" spans="1:14" s="37" customFormat="1" ht="15.75" customHeight="1" x14ac:dyDescent="0.25">
      <c r="A215" s="61">
        <f t="shared" si="4"/>
        <v>14</v>
      </c>
      <c r="B215" s="62"/>
      <c r="C215" s="42" t="s">
        <v>173</v>
      </c>
      <c r="D215" s="42">
        <f>(5*5.07+3.65*2.25+2.1*1.2)*10.764</f>
        <v>388.39203000000003</v>
      </c>
      <c r="E215" s="42">
        <v>0</v>
      </c>
      <c r="F215" s="42">
        <f t="shared" ref="F215:F217" si="7">(D215+E215)*(($F$197)+1)</f>
        <v>621.42724800000008</v>
      </c>
      <c r="G215" s="74"/>
      <c r="H215" s="75"/>
      <c r="I215" s="36"/>
      <c r="L215" s="63"/>
      <c r="M215" s="63"/>
      <c r="N215" s="36"/>
    </row>
    <row r="216" spans="1:14" s="37" customFormat="1" ht="15.75" customHeight="1" x14ac:dyDescent="0.25">
      <c r="A216" s="61">
        <f t="shared" si="4"/>
        <v>15</v>
      </c>
      <c r="B216" s="62"/>
      <c r="C216" s="42" t="s">
        <v>173</v>
      </c>
      <c r="D216" s="42">
        <f t="shared" ref="D216:D217" si="8">(5*5.07+3.65*2.25+2.1*1.2)*10.764</f>
        <v>388.39203000000003</v>
      </c>
      <c r="E216" s="42">
        <v>0</v>
      </c>
      <c r="F216" s="42">
        <f t="shared" si="7"/>
        <v>621.42724800000008</v>
      </c>
      <c r="G216" s="74"/>
      <c r="H216" s="75"/>
      <c r="I216" s="36"/>
      <c r="L216" s="63"/>
      <c r="M216" s="63"/>
      <c r="N216" s="36"/>
    </row>
    <row r="217" spans="1:14" s="37" customFormat="1" ht="15.75" customHeight="1" x14ac:dyDescent="0.25">
      <c r="A217" s="61">
        <f t="shared" si="4"/>
        <v>16</v>
      </c>
      <c r="B217" s="62"/>
      <c r="C217" s="42" t="s">
        <v>173</v>
      </c>
      <c r="D217" s="42">
        <f t="shared" si="8"/>
        <v>388.39203000000003</v>
      </c>
      <c r="E217" s="42">
        <v>0</v>
      </c>
      <c r="F217" s="42">
        <f t="shared" si="7"/>
        <v>621.42724800000008</v>
      </c>
      <c r="G217" s="74"/>
      <c r="H217" s="75"/>
      <c r="I217" s="36"/>
      <c r="L217" s="63"/>
      <c r="M217" s="63"/>
      <c r="N217" s="36"/>
    </row>
    <row r="218" spans="1:14" s="37" customFormat="1" ht="15.75" customHeight="1" x14ac:dyDescent="0.25">
      <c r="A218" s="61">
        <f t="shared" si="4"/>
        <v>17</v>
      </c>
      <c r="B218" s="62"/>
      <c r="C218" s="42" t="s">
        <v>173</v>
      </c>
      <c r="D218" s="42">
        <f t="shared" ref="D218:D220" si="9">(5*9.55+3.65*2.25+2.1*1.2)*10.764</f>
        <v>629.50563</v>
      </c>
      <c r="E218" s="42">
        <v>0</v>
      </c>
      <c r="F218" s="42">
        <f>(D218+E218)*(($F$197)+1)</f>
        <v>1007.209008</v>
      </c>
      <c r="G218" s="74"/>
      <c r="H218" s="75"/>
      <c r="I218" s="36"/>
      <c r="L218" s="63"/>
      <c r="M218" s="63"/>
      <c r="N218" s="36"/>
    </row>
    <row r="219" spans="1:14" s="37" customFormat="1" ht="15.75" customHeight="1" x14ac:dyDescent="0.25">
      <c r="A219" s="61">
        <f t="shared" si="4"/>
        <v>18</v>
      </c>
      <c r="B219" s="62"/>
      <c r="C219" s="42" t="s">
        <v>173</v>
      </c>
      <c r="D219" s="42">
        <f t="shared" si="9"/>
        <v>629.50563</v>
      </c>
      <c r="E219" s="42">
        <v>0</v>
      </c>
      <c r="F219" s="42">
        <f>(D219+E219)*(($F$197)+1)</f>
        <v>1007.209008</v>
      </c>
      <c r="G219" s="74"/>
      <c r="H219" s="75"/>
      <c r="I219" s="36"/>
      <c r="L219" s="63"/>
      <c r="M219" s="63"/>
      <c r="N219" s="36"/>
    </row>
    <row r="220" spans="1:14" s="37" customFormat="1" ht="15.75" customHeight="1" x14ac:dyDescent="0.25">
      <c r="A220" s="61">
        <f t="shared" si="4"/>
        <v>19</v>
      </c>
      <c r="B220" s="62"/>
      <c r="C220" s="42" t="s">
        <v>173</v>
      </c>
      <c r="D220" s="42">
        <f t="shared" si="9"/>
        <v>629.50563</v>
      </c>
      <c r="E220" s="42">
        <v>0</v>
      </c>
      <c r="F220" s="42">
        <f t="shared" ref="F220" si="10">(D220+E220)*(($F$197)+1)</f>
        <v>1007.209008</v>
      </c>
      <c r="G220" s="76"/>
      <c r="H220" s="77"/>
      <c r="I220" s="36"/>
      <c r="L220" s="63"/>
      <c r="M220" s="63"/>
      <c r="N220" s="36"/>
    </row>
    <row r="221" spans="1:14" s="37" customFormat="1" x14ac:dyDescent="0.25">
      <c r="A221" s="78" t="s">
        <v>233</v>
      </c>
      <c r="B221" s="79"/>
      <c r="C221" s="79"/>
      <c r="D221" s="79"/>
      <c r="E221" s="79"/>
      <c r="F221" s="79"/>
      <c r="G221" s="79"/>
      <c r="H221" s="80"/>
      <c r="J221" s="36"/>
    </row>
    <row r="222" spans="1:14" s="37" customFormat="1" x14ac:dyDescent="0.25">
      <c r="A222" s="78" t="s">
        <v>234</v>
      </c>
      <c r="B222" s="79"/>
      <c r="C222" s="79"/>
      <c r="D222" s="79"/>
      <c r="E222" s="79"/>
      <c r="F222" s="79"/>
      <c r="G222" s="79"/>
      <c r="H222" s="80"/>
      <c r="J222" s="36"/>
    </row>
    <row r="223" spans="1:14" s="37" customFormat="1" ht="15.75" customHeight="1" x14ac:dyDescent="0.25">
      <c r="A223" s="61">
        <v>20</v>
      </c>
      <c r="B223" s="62"/>
      <c r="C223" s="42" t="s">
        <v>173</v>
      </c>
      <c r="D223" s="42">
        <f>(5*9.56+3.65*2.25+2.1*1.2)*10.764</f>
        <v>630.04383000000007</v>
      </c>
      <c r="E223" s="42">
        <v>0</v>
      </c>
      <c r="F223" s="42">
        <f>(D223+E223)*(($F$197)+1)</f>
        <v>1008.0701280000002</v>
      </c>
      <c r="G223" s="72" t="str">
        <f>A222</f>
        <v>Ground Floor For Commercial, Meter Room, Panel Room, Society Office &amp; Parking</v>
      </c>
      <c r="H223" s="73"/>
      <c r="I223" s="36"/>
      <c r="L223" s="63"/>
      <c r="M223" s="63"/>
      <c r="N223" s="36"/>
    </row>
    <row r="224" spans="1:14" s="37" customFormat="1" ht="15.75" customHeight="1" x14ac:dyDescent="0.25">
      <c r="A224" s="61">
        <f t="shared" ref="A224:A232" si="11">A223+1</f>
        <v>21</v>
      </c>
      <c r="B224" s="62"/>
      <c r="C224" s="42" t="s">
        <v>173</v>
      </c>
      <c r="D224" s="42">
        <f t="shared" ref="D224:D230" si="12">(5*9.56+3.65*2.25+2.1*1.2)*10.764</f>
        <v>630.04383000000007</v>
      </c>
      <c r="E224" s="42">
        <v>0</v>
      </c>
      <c r="F224" s="42">
        <f t="shared" ref="F224:F229" si="13">(D224+E224)*(($F$197)+1)</f>
        <v>1008.0701280000002</v>
      </c>
      <c r="G224" s="74"/>
      <c r="H224" s="75"/>
      <c r="I224" s="36"/>
      <c r="L224" s="63"/>
      <c r="M224" s="63"/>
      <c r="N224" s="36"/>
    </row>
    <row r="225" spans="1:14" s="37" customFormat="1" ht="15.75" customHeight="1" x14ac:dyDescent="0.25">
      <c r="A225" s="61">
        <f t="shared" si="11"/>
        <v>22</v>
      </c>
      <c r="B225" s="62"/>
      <c r="C225" s="42" t="s">
        <v>173</v>
      </c>
      <c r="D225" s="42">
        <f t="shared" si="12"/>
        <v>630.04383000000007</v>
      </c>
      <c r="E225" s="42">
        <v>0</v>
      </c>
      <c r="F225" s="42">
        <f t="shared" si="13"/>
        <v>1008.0701280000002</v>
      </c>
      <c r="G225" s="74"/>
      <c r="H225" s="75"/>
      <c r="I225" s="36"/>
      <c r="L225" s="63"/>
      <c r="M225" s="63"/>
      <c r="N225" s="36"/>
    </row>
    <row r="226" spans="1:14" s="37" customFormat="1" ht="15.75" customHeight="1" x14ac:dyDescent="0.25">
      <c r="A226" s="61">
        <f t="shared" si="11"/>
        <v>23</v>
      </c>
      <c r="B226" s="62"/>
      <c r="C226" s="42" t="s">
        <v>173</v>
      </c>
      <c r="D226" s="42">
        <f t="shared" si="12"/>
        <v>630.04383000000007</v>
      </c>
      <c r="E226" s="42">
        <v>0</v>
      </c>
      <c r="F226" s="42">
        <f t="shared" si="13"/>
        <v>1008.0701280000002</v>
      </c>
      <c r="G226" s="74"/>
      <c r="H226" s="75"/>
      <c r="I226" s="36"/>
      <c r="L226" s="63"/>
      <c r="M226" s="63"/>
      <c r="N226" s="36"/>
    </row>
    <row r="227" spans="1:14" s="37" customFormat="1" ht="15.75" customHeight="1" x14ac:dyDescent="0.25">
      <c r="A227" s="61">
        <f t="shared" si="11"/>
        <v>24</v>
      </c>
      <c r="B227" s="62"/>
      <c r="C227" s="42" t="s">
        <v>173</v>
      </c>
      <c r="D227" s="42">
        <f t="shared" si="12"/>
        <v>630.04383000000007</v>
      </c>
      <c r="E227" s="42">
        <v>0</v>
      </c>
      <c r="F227" s="42">
        <f t="shared" si="13"/>
        <v>1008.0701280000002</v>
      </c>
      <c r="G227" s="74"/>
      <c r="H227" s="75"/>
      <c r="I227" s="36"/>
      <c r="L227" s="63"/>
      <c r="M227" s="63"/>
      <c r="N227" s="36"/>
    </row>
    <row r="228" spans="1:14" s="37" customFormat="1" ht="15.75" customHeight="1" x14ac:dyDescent="0.25">
      <c r="A228" s="61">
        <f t="shared" si="11"/>
        <v>25</v>
      </c>
      <c r="B228" s="62"/>
      <c r="C228" s="42" t="s">
        <v>173</v>
      </c>
      <c r="D228" s="42">
        <f t="shared" si="12"/>
        <v>630.04383000000007</v>
      </c>
      <c r="E228" s="42">
        <v>0</v>
      </c>
      <c r="F228" s="42">
        <f t="shared" si="13"/>
        <v>1008.0701280000002</v>
      </c>
      <c r="G228" s="74"/>
      <c r="H228" s="75"/>
      <c r="I228" s="36"/>
      <c r="L228" s="63"/>
      <c r="M228" s="63"/>
      <c r="N228" s="36"/>
    </row>
    <row r="229" spans="1:14" s="37" customFormat="1" ht="15.75" customHeight="1" x14ac:dyDescent="0.25">
      <c r="A229" s="61">
        <f t="shared" si="11"/>
        <v>26</v>
      </c>
      <c r="B229" s="62"/>
      <c r="C229" s="42" t="s">
        <v>173</v>
      </c>
      <c r="D229" s="42">
        <f t="shared" si="12"/>
        <v>630.04383000000007</v>
      </c>
      <c r="E229" s="42">
        <v>0</v>
      </c>
      <c r="F229" s="42">
        <f t="shared" si="13"/>
        <v>1008.0701280000002</v>
      </c>
      <c r="G229" s="74"/>
      <c r="H229" s="75"/>
      <c r="I229" s="36"/>
      <c r="L229" s="63"/>
      <c r="M229" s="63"/>
      <c r="N229" s="36"/>
    </row>
    <row r="230" spans="1:14" s="37" customFormat="1" ht="15.75" customHeight="1" x14ac:dyDescent="0.25">
      <c r="A230" s="61">
        <f t="shared" si="11"/>
        <v>27</v>
      </c>
      <c r="B230" s="62"/>
      <c r="C230" s="42" t="s">
        <v>173</v>
      </c>
      <c r="D230" s="42">
        <f t="shared" si="12"/>
        <v>630.04383000000007</v>
      </c>
      <c r="E230" s="42">
        <v>0</v>
      </c>
      <c r="F230" s="42">
        <f>(D230+E230)*(($F$197)+1)</f>
        <v>1008.0701280000002</v>
      </c>
      <c r="G230" s="74"/>
      <c r="H230" s="75"/>
      <c r="I230" s="36"/>
      <c r="L230" s="63"/>
      <c r="M230" s="63"/>
      <c r="N230" s="36"/>
    </row>
    <row r="231" spans="1:14" s="37" customFormat="1" ht="15.75" customHeight="1" x14ac:dyDescent="0.25">
      <c r="A231" s="61">
        <f t="shared" si="11"/>
        <v>28</v>
      </c>
      <c r="B231" s="62"/>
      <c r="C231" s="42" t="s">
        <v>173</v>
      </c>
      <c r="D231" s="42">
        <f>(5.94*9.56+4.59*2.25+2.1*1.2)*10.764</f>
        <v>749.53929959999994</v>
      </c>
      <c r="E231" s="42">
        <v>0</v>
      </c>
      <c r="F231" s="42">
        <f>(D231+E231)*(($F$197)+1)</f>
        <v>1199.2628793599999</v>
      </c>
      <c r="G231" s="74"/>
      <c r="H231" s="75"/>
      <c r="I231" s="36"/>
      <c r="L231" s="63"/>
      <c r="M231" s="63"/>
      <c r="N231" s="36"/>
    </row>
    <row r="232" spans="1:14" s="37" customFormat="1" ht="15.75" customHeight="1" x14ac:dyDescent="0.25">
      <c r="A232" s="61">
        <f t="shared" si="11"/>
        <v>29</v>
      </c>
      <c r="B232" s="62"/>
      <c r="C232" s="42" t="s">
        <v>173</v>
      </c>
      <c r="D232" s="42">
        <f>(5.94*9.56+4.59*2.25+2.1*1.2)*10.764</f>
        <v>749.53929959999994</v>
      </c>
      <c r="E232" s="42">
        <v>0</v>
      </c>
      <c r="F232" s="42">
        <f t="shared" ref="F232" si="14">(D232+E232)*(($F$197)+1)</f>
        <v>1199.2628793599999</v>
      </c>
      <c r="G232" s="76"/>
      <c r="H232" s="77"/>
      <c r="I232" s="36"/>
      <c r="L232" s="63"/>
      <c r="M232" s="63"/>
      <c r="N232" s="36"/>
    </row>
    <row r="233" spans="1:14" s="37" customFormat="1" x14ac:dyDescent="0.25">
      <c r="A233" s="61"/>
      <c r="B233" s="212"/>
      <c r="C233" s="212"/>
      <c r="D233" s="212"/>
      <c r="E233" s="212"/>
      <c r="F233" s="212"/>
      <c r="G233" s="212"/>
      <c r="H233" s="62"/>
      <c r="I233" s="36"/>
      <c r="N233" s="36"/>
    </row>
    <row r="234" spans="1:14" ht="47.25" customHeight="1" x14ac:dyDescent="0.25">
      <c r="A234" s="153" t="s">
        <v>117</v>
      </c>
      <c r="B234" s="153" t="s">
        <v>118</v>
      </c>
      <c r="C234" s="149" t="s">
        <v>56</v>
      </c>
      <c r="D234" s="149" t="s">
        <v>57</v>
      </c>
      <c r="E234" s="151" t="s">
        <v>58</v>
      </c>
      <c r="F234" s="43" t="s">
        <v>149</v>
      </c>
      <c r="G234" s="153" t="s">
        <v>59</v>
      </c>
      <c r="H234" s="154"/>
      <c r="I234" s="36"/>
    </row>
    <row r="235" spans="1:14" s="37" customFormat="1" x14ac:dyDescent="0.25">
      <c r="A235" s="155"/>
      <c r="B235" s="155"/>
      <c r="C235" s="150"/>
      <c r="D235" s="150"/>
      <c r="E235" s="152"/>
      <c r="F235" s="13">
        <v>0.6</v>
      </c>
      <c r="G235" s="155"/>
      <c r="H235" s="156"/>
      <c r="I235" s="36"/>
    </row>
    <row r="236" spans="1:14" s="37" customFormat="1" x14ac:dyDescent="0.25">
      <c r="A236" s="78" t="s">
        <v>201</v>
      </c>
      <c r="B236" s="79"/>
      <c r="C236" s="79"/>
      <c r="D236" s="79"/>
      <c r="E236" s="79"/>
      <c r="F236" s="79"/>
      <c r="G236" s="79"/>
      <c r="H236" s="80"/>
      <c r="J236" s="36"/>
    </row>
    <row r="237" spans="1:14" s="37" customFormat="1" x14ac:dyDescent="0.25">
      <c r="A237" s="78" t="s">
        <v>202</v>
      </c>
      <c r="B237" s="79"/>
      <c r="C237" s="79"/>
      <c r="D237" s="79"/>
      <c r="E237" s="79"/>
      <c r="F237" s="79"/>
      <c r="G237" s="79"/>
      <c r="H237" s="80"/>
      <c r="J237" s="36"/>
    </row>
    <row r="238" spans="1:14" s="37" customFormat="1" x14ac:dyDescent="0.25">
      <c r="A238" s="78" t="s">
        <v>113</v>
      </c>
      <c r="B238" s="79"/>
      <c r="C238" s="79"/>
      <c r="D238" s="79"/>
      <c r="E238" s="79"/>
      <c r="F238" s="79"/>
      <c r="G238" s="79"/>
      <c r="H238" s="80"/>
      <c r="J238" s="36"/>
    </row>
    <row r="239" spans="1:14" s="37" customFormat="1" x14ac:dyDescent="0.25">
      <c r="A239" s="78" t="s">
        <v>203</v>
      </c>
      <c r="B239" s="79"/>
      <c r="C239" s="79"/>
      <c r="D239" s="79"/>
      <c r="E239" s="79"/>
      <c r="F239" s="79"/>
      <c r="G239" s="79"/>
      <c r="H239" s="80"/>
      <c r="J239" s="36"/>
    </row>
    <row r="240" spans="1:14" s="37" customFormat="1" x14ac:dyDescent="0.25">
      <c r="A240" s="78" t="s">
        <v>206</v>
      </c>
      <c r="B240" s="79"/>
      <c r="C240" s="79"/>
      <c r="D240" s="79"/>
      <c r="E240" s="79"/>
      <c r="F240" s="79"/>
      <c r="G240" s="79"/>
      <c r="H240" s="80"/>
      <c r="J240" s="36"/>
    </row>
    <row r="241" spans="1:14" s="37" customFormat="1" ht="15.75" customHeight="1" x14ac:dyDescent="0.25">
      <c r="A241" s="61">
        <v>1</v>
      </c>
      <c r="B241" s="62"/>
      <c r="C241" s="42" t="s">
        <v>204</v>
      </c>
      <c r="D241" s="42">
        <v>469.42</v>
      </c>
      <c r="E241" s="42">
        <v>0</v>
      </c>
      <c r="F241" s="42">
        <f t="shared" ref="F241:F248" si="15">D241*(($F$235)+1)+(IF(E241&lt;101,E241,IF(E241&lt;201,E241/2,IF(E241&lt;=301,E241/3,E241/4))))</f>
        <v>751.07200000000012</v>
      </c>
      <c r="G241" s="72" t="str">
        <f>A240</f>
        <v>1st, 3rd to 6th, 8th to 11th, 13th to 16th, 18th to 21st, 23rd to 24th Floor</v>
      </c>
      <c r="H241" s="73"/>
      <c r="I241" s="36"/>
      <c r="L241" s="63"/>
      <c r="M241" s="63"/>
      <c r="N241" s="36"/>
    </row>
    <row r="242" spans="1:14" s="37" customFormat="1" ht="15.75" customHeight="1" x14ac:dyDescent="0.25">
      <c r="A242" s="61">
        <f t="shared" ref="A242:A248" si="16">A241+1</f>
        <v>2</v>
      </c>
      <c r="B242" s="62"/>
      <c r="C242" s="42" t="s">
        <v>204</v>
      </c>
      <c r="D242" s="42">
        <v>469.42</v>
      </c>
      <c r="E242" s="42">
        <v>0</v>
      </c>
      <c r="F242" s="42">
        <f t="shared" si="15"/>
        <v>751.07200000000012</v>
      </c>
      <c r="G242" s="74"/>
      <c r="H242" s="75"/>
      <c r="I242" s="36"/>
      <c r="L242" s="63"/>
      <c r="M242" s="63"/>
      <c r="N242" s="36"/>
    </row>
    <row r="243" spans="1:14" s="37" customFormat="1" ht="15.75" customHeight="1" x14ac:dyDescent="0.25">
      <c r="A243" s="61">
        <f t="shared" si="16"/>
        <v>3</v>
      </c>
      <c r="B243" s="62"/>
      <c r="C243" s="42" t="s">
        <v>205</v>
      </c>
      <c r="D243" s="42">
        <v>624</v>
      </c>
      <c r="E243" s="42">
        <v>0</v>
      </c>
      <c r="F243" s="42">
        <f t="shared" si="15"/>
        <v>998.40000000000009</v>
      </c>
      <c r="G243" s="74"/>
      <c r="H243" s="75"/>
      <c r="I243" s="36"/>
      <c r="L243" s="63"/>
      <c r="M243" s="63"/>
      <c r="N243" s="36"/>
    </row>
    <row r="244" spans="1:14" s="37" customFormat="1" ht="15.75" customHeight="1" x14ac:dyDescent="0.25">
      <c r="A244" s="61">
        <f t="shared" si="16"/>
        <v>4</v>
      </c>
      <c r="B244" s="62"/>
      <c r="C244" s="42" t="s">
        <v>205</v>
      </c>
      <c r="D244" s="42">
        <v>624</v>
      </c>
      <c r="E244" s="42">
        <v>0</v>
      </c>
      <c r="F244" s="42">
        <f t="shared" ref="F244:F245" si="17">D244*(($F$235)+1)+(IF(E244&lt;101,E244,IF(E244&lt;201,E244/2,IF(E244&lt;=301,E244/3,E244/4))))</f>
        <v>998.40000000000009</v>
      </c>
      <c r="G244" s="74"/>
      <c r="H244" s="75"/>
      <c r="I244" s="36"/>
      <c r="L244" s="63"/>
      <c r="M244" s="63"/>
      <c r="N244" s="36"/>
    </row>
    <row r="245" spans="1:14" s="37" customFormat="1" ht="15.75" customHeight="1" x14ac:dyDescent="0.25">
      <c r="A245" s="61">
        <f t="shared" si="16"/>
        <v>5</v>
      </c>
      <c r="B245" s="62"/>
      <c r="C245" s="42" t="s">
        <v>204</v>
      </c>
      <c r="D245" s="42">
        <v>469.42</v>
      </c>
      <c r="E245" s="42">
        <v>0</v>
      </c>
      <c r="F245" s="42">
        <f t="shared" si="17"/>
        <v>751.07200000000012</v>
      </c>
      <c r="G245" s="74"/>
      <c r="H245" s="75"/>
      <c r="I245" s="36"/>
      <c r="L245" s="63"/>
      <c r="M245" s="63"/>
      <c r="N245" s="36"/>
    </row>
    <row r="246" spans="1:14" s="37" customFormat="1" ht="15.75" customHeight="1" x14ac:dyDescent="0.25">
      <c r="A246" s="61">
        <f t="shared" si="16"/>
        <v>6</v>
      </c>
      <c r="B246" s="62"/>
      <c r="C246" s="42" t="s">
        <v>204</v>
      </c>
      <c r="D246" s="42">
        <v>469.42</v>
      </c>
      <c r="E246" s="42">
        <v>0</v>
      </c>
      <c r="F246" s="42">
        <f t="shared" si="15"/>
        <v>751.07200000000012</v>
      </c>
      <c r="G246" s="74"/>
      <c r="H246" s="75"/>
      <c r="I246" s="36"/>
      <c r="L246" s="63"/>
      <c r="M246" s="63"/>
      <c r="N246" s="36"/>
    </row>
    <row r="247" spans="1:14" s="37" customFormat="1" ht="15.75" customHeight="1" x14ac:dyDescent="0.25">
      <c r="A247" s="61">
        <f t="shared" si="16"/>
        <v>7</v>
      </c>
      <c r="B247" s="62"/>
      <c r="C247" s="42" t="s">
        <v>205</v>
      </c>
      <c r="D247" s="42">
        <v>624</v>
      </c>
      <c r="E247" s="42">
        <v>0</v>
      </c>
      <c r="F247" s="42">
        <f t="shared" si="15"/>
        <v>998.40000000000009</v>
      </c>
      <c r="G247" s="74"/>
      <c r="H247" s="75"/>
      <c r="I247" s="36"/>
      <c r="L247" s="63"/>
      <c r="M247" s="63"/>
      <c r="N247" s="36"/>
    </row>
    <row r="248" spans="1:14" s="37" customFormat="1" ht="15.75" customHeight="1" x14ac:dyDescent="0.25">
      <c r="A248" s="61">
        <f t="shared" si="16"/>
        <v>8</v>
      </c>
      <c r="B248" s="62"/>
      <c r="C248" s="42" t="s">
        <v>205</v>
      </c>
      <c r="D248" s="42">
        <v>624</v>
      </c>
      <c r="E248" s="42">
        <v>0</v>
      </c>
      <c r="F248" s="42">
        <f t="shared" si="15"/>
        <v>998.40000000000009</v>
      </c>
      <c r="G248" s="76"/>
      <c r="H248" s="77"/>
      <c r="I248" s="36"/>
      <c r="L248" s="63"/>
      <c r="M248" s="63"/>
      <c r="N248" s="36"/>
    </row>
    <row r="249" spans="1:14" s="37" customFormat="1" x14ac:dyDescent="0.25">
      <c r="A249" s="78" t="s">
        <v>207</v>
      </c>
      <c r="B249" s="79"/>
      <c r="C249" s="79"/>
      <c r="D249" s="79"/>
      <c r="E249" s="79"/>
      <c r="F249" s="79"/>
      <c r="G249" s="79"/>
      <c r="H249" s="80"/>
      <c r="J249" s="36"/>
    </row>
    <row r="250" spans="1:14" s="37" customFormat="1" ht="15.75" customHeight="1" x14ac:dyDescent="0.25">
      <c r="A250" s="61">
        <v>1</v>
      </c>
      <c r="B250" s="62"/>
      <c r="C250" s="54" t="s">
        <v>204</v>
      </c>
      <c r="D250" s="42">
        <v>469.42</v>
      </c>
      <c r="E250" s="42">
        <v>0</v>
      </c>
      <c r="F250" s="42">
        <f>D250*(($F$235)+1)+(IF(E250&lt;101,E250,IF(E250&lt;201,E250/2,IF(E250&lt;=301,E250/3,E250/4))))</f>
        <v>751.07200000000012</v>
      </c>
      <c r="G250" s="72" t="str">
        <f>A249</f>
        <v>2nd, 7th, 12th, 17th, 22nd Floor (Part Refuge Area)</v>
      </c>
      <c r="H250" s="73"/>
      <c r="I250" s="36"/>
      <c r="L250" s="63"/>
      <c r="M250" s="63"/>
      <c r="N250" s="36"/>
    </row>
    <row r="251" spans="1:14" s="37" customFormat="1" ht="15.75" customHeight="1" x14ac:dyDescent="0.25">
      <c r="A251" s="61">
        <v>2</v>
      </c>
      <c r="B251" s="62"/>
      <c r="C251" s="81" t="s">
        <v>177</v>
      </c>
      <c r="D251" s="82"/>
      <c r="E251" s="82"/>
      <c r="F251" s="83"/>
      <c r="G251" s="74"/>
      <c r="H251" s="75"/>
      <c r="I251" s="36"/>
      <c r="L251" s="63"/>
      <c r="M251" s="63"/>
      <c r="N251" s="36"/>
    </row>
    <row r="252" spans="1:14" s="37" customFormat="1" ht="15.75" customHeight="1" x14ac:dyDescent="0.25">
      <c r="A252" s="61">
        <v>3</v>
      </c>
      <c r="B252" s="62"/>
      <c r="C252" s="42" t="s">
        <v>205</v>
      </c>
      <c r="D252" s="42">
        <v>624</v>
      </c>
      <c r="E252" s="42">
        <v>0</v>
      </c>
      <c r="F252" s="42">
        <f t="shared" ref="F252:F257" si="18">D252*(($F$235)+1)+(IF(E252&lt;101,E252,IF(E252&lt;201,E252/2,IF(E252&lt;=301,E252/3,E252/4))))</f>
        <v>998.40000000000009</v>
      </c>
      <c r="G252" s="74"/>
      <c r="H252" s="75"/>
      <c r="I252" s="36"/>
      <c r="L252" s="63"/>
      <c r="M252" s="63"/>
      <c r="N252" s="36"/>
    </row>
    <row r="253" spans="1:14" s="37" customFormat="1" ht="15.75" customHeight="1" x14ac:dyDescent="0.25">
      <c r="A253" s="61">
        <v>4</v>
      </c>
      <c r="B253" s="62"/>
      <c r="C253" s="42" t="s">
        <v>205</v>
      </c>
      <c r="D253" s="42">
        <v>624</v>
      </c>
      <c r="E253" s="42">
        <v>0</v>
      </c>
      <c r="F253" s="42">
        <f t="shared" si="18"/>
        <v>998.40000000000009</v>
      </c>
      <c r="G253" s="74"/>
      <c r="H253" s="75"/>
      <c r="I253" s="36"/>
      <c r="L253" s="63"/>
      <c r="M253" s="63"/>
      <c r="N253" s="36"/>
    </row>
    <row r="254" spans="1:14" s="37" customFormat="1" ht="15.75" customHeight="1" x14ac:dyDescent="0.25">
      <c r="A254" s="61">
        <v>5</v>
      </c>
      <c r="B254" s="62"/>
      <c r="C254" s="42" t="s">
        <v>204</v>
      </c>
      <c r="D254" s="42">
        <v>469.42</v>
      </c>
      <c r="E254" s="42">
        <v>0</v>
      </c>
      <c r="F254" s="42">
        <f t="shared" si="18"/>
        <v>751.07200000000012</v>
      </c>
      <c r="G254" s="74"/>
      <c r="H254" s="75"/>
      <c r="I254" s="36"/>
      <c r="L254" s="63"/>
      <c r="M254" s="63"/>
      <c r="N254" s="36"/>
    </row>
    <row r="255" spans="1:14" s="37" customFormat="1" ht="15.75" customHeight="1" x14ac:dyDescent="0.25">
      <c r="A255" s="61">
        <v>6</v>
      </c>
      <c r="B255" s="62"/>
      <c r="C255" s="42" t="s">
        <v>204</v>
      </c>
      <c r="D255" s="42">
        <v>469.42</v>
      </c>
      <c r="E255" s="42">
        <v>0</v>
      </c>
      <c r="F255" s="42">
        <f t="shared" si="18"/>
        <v>751.07200000000012</v>
      </c>
      <c r="G255" s="74"/>
      <c r="H255" s="75"/>
      <c r="I255" s="36"/>
      <c r="L255" s="63"/>
      <c r="M255" s="63"/>
      <c r="N255" s="36"/>
    </row>
    <row r="256" spans="1:14" s="37" customFormat="1" ht="15.75" customHeight="1" x14ac:dyDescent="0.25">
      <c r="A256" s="61">
        <v>7</v>
      </c>
      <c r="B256" s="62"/>
      <c r="C256" s="42" t="s">
        <v>205</v>
      </c>
      <c r="D256" s="42">
        <v>624</v>
      </c>
      <c r="E256" s="42">
        <v>0</v>
      </c>
      <c r="F256" s="42">
        <f t="shared" si="18"/>
        <v>998.40000000000009</v>
      </c>
      <c r="G256" s="74"/>
      <c r="H256" s="75"/>
      <c r="I256" s="36"/>
      <c r="L256" s="63"/>
      <c r="M256" s="63"/>
      <c r="N256" s="36"/>
    </row>
    <row r="257" spans="1:14" s="37" customFormat="1" ht="15.75" customHeight="1" x14ac:dyDescent="0.25">
      <c r="A257" s="61">
        <v>8</v>
      </c>
      <c r="B257" s="62"/>
      <c r="C257" s="42" t="s">
        <v>205</v>
      </c>
      <c r="D257" s="42">
        <v>624</v>
      </c>
      <c r="E257" s="42">
        <v>0</v>
      </c>
      <c r="F257" s="42">
        <f t="shared" si="18"/>
        <v>998.40000000000009</v>
      </c>
      <c r="G257" s="76"/>
      <c r="H257" s="77"/>
      <c r="I257" s="36"/>
      <c r="L257" s="63"/>
      <c r="M257" s="63"/>
      <c r="N257" s="36"/>
    </row>
    <row r="258" spans="1:14" s="37" customFormat="1" x14ac:dyDescent="0.25">
      <c r="A258" s="78" t="s">
        <v>208</v>
      </c>
      <c r="B258" s="79"/>
      <c r="C258" s="79"/>
      <c r="D258" s="79"/>
      <c r="E258" s="79"/>
      <c r="F258" s="79"/>
      <c r="G258" s="79"/>
      <c r="H258" s="80"/>
      <c r="J258" s="36"/>
    </row>
    <row r="259" spans="1:14" s="37" customFormat="1" x14ac:dyDescent="0.25">
      <c r="A259" s="78" t="s">
        <v>113</v>
      </c>
      <c r="B259" s="79"/>
      <c r="C259" s="79"/>
      <c r="D259" s="79"/>
      <c r="E259" s="79"/>
      <c r="F259" s="79"/>
      <c r="G259" s="79"/>
      <c r="H259" s="80"/>
      <c r="J259" s="36"/>
    </row>
    <row r="260" spans="1:14" s="37" customFormat="1" x14ac:dyDescent="0.25">
      <c r="A260" s="78" t="s">
        <v>203</v>
      </c>
      <c r="B260" s="79"/>
      <c r="C260" s="79"/>
      <c r="D260" s="79"/>
      <c r="E260" s="79"/>
      <c r="F260" s="79"/>
      <c r="G260" s="79"/>
      <c r="H260" s="80"/>
      <c r="J260" s="36"/>
    </row>
    <row r="261" spans="1:14" s="37" customFormat="1" x14ac:dyDescent="0.25">
      <c r="A261" s="78" t="s">
        <v>209</v>
      </c>
      <c r="B261" s="79"/>
      <c r="C261" s="79"/>
      <c r="D261" s="79"/>
      <c r="E261" s="79"/>
      <c r="F261" s="79"/>
      <c r="G261" s="79"/>
      <c r="H261" s="80"/>
      <c r="J261" s="36"/>
    </row>
    <row r="262" spans="1:14" s="37" customFormat="1" ht="15.75" customHeight="1" x14ac:dyDescent="0.25">
      <c r="A262" s="61">
        <v>1</v>
      </c>
      <c r="B262" s="62"/>
      <c r="C262" s="42" t="s">
        <v>204</v>
      </c>
      <c r="D262" s="42">
        <v>469.42</v>
      </c>
      <c r="E262" s="42">
        <v>0</v>
      </c>
      <c r="F262" s="42">
        <f t="shared" ref="F262:F271" si="19">D262*(($F$235)+1)+(IF(E262&lt;101,E262,IF(E262&lt;201,E262/2,IF(E262&lt;=301,E262/3,E262/4))))</f>
        <v>751.07200000000012</v>
      </c>
      <c r="G262" s="72" t="str">
        <f>A261</f>
        <v>1st, 3rd to 6th, 8th to 11th, 13th to 16th, 18th to 21st, 23rd to 25th Floor</v>
      </c>
      <c r="H262" s="73"/>
      <c r="I262" s="36"/>
      <c r="L262" s="63"/>
      <c r="M262" s="63"/>
      <c r="N262" s="36"/>
    </row>
    <row r="263" spans="1:14" s="37" customFormat="1" ht="15.75" customHeight="1" x14ac:dyDescent="0.25">
      <c r="A263" s="61">
        <v>2</v>
      </c>
      <c r="B263" s="62"/>
      <c r="C263" s="42" t="s">
        <v>204</v>
      </c>
      <c r="D263" s="42">
        <v>469.42</v>
      </c>
      <c r="E263" s="42">
        <v>0</v>
      </c>
      <c r="F263" s="42">
        <f t="shared" si="19"/>
        <v>751.07200000000012</v>
      </c>
      <c r="G263" s="74"/>
      <c r="H263" s="75"/>
      <c r="I263" s="36"/>
      <c r="L263" s="63"/>
      <c r="M263" s="63"/>
      <c r="N263" s="36"/>
    </row>
    <row r="264" spans="1:14" s="37" customFormat="1" ht="15.75" customHeight="1" x14ac:dyDescent="0.25">
      <c r="A264" s="61">
        <v>3</v>
      </c>
      <c r="B264" s="62"/>
      <c r="C264" s="42" t="s">
        <v>204</v>
      </c>
      <c r="D264" s="42">
        <v>366</v>
      </c>
      <c r="E264" s="42">
        <v>0</v>
      </c>
      <c r="F264" s="42">
        <f t="shared" si="19"/>
        <v>585.6</v>
      </c>
      <c r="G264" s="74"/>
      <c r="H264" s="75"/>
      <c r="I264" s="36"/>
      <c r="L264" s="63"/>
      <c r="M264" s="63"/>
      <c r="N264" s="36"/>
    </row>
    <row r="265" spans="1:14" s="37" customFormat="1" ht="15.75" customHeight="1" x14ac:dyDescent="0.25">
      <c r="A265" s="61">
        <v>4</v>
      </c>
      <c r="B265" s="62"/>
      <c r="C265" s="42" t="s">
        <v>204</v>
      </c>
      <c r="D265" s="42">
        <v>368.45</v>
      </c>
      <c r="E265" s="42">
        <v>0</v>
      </c>
      <c r="F265" s="42">
        <f t="shared" si="19"/>
        <v>589.52</v>
      </c>
      <c r="G265" s="74"/>
      <c r="H265" s="75"/>
      <c r="I265" s="36"/>
      <c r="L265" s="63"/>
      <c r="M265" s="63"/>
      <c r="N265" s="36"/>
    </row>
    <row r="266" spans="1:14" s="37" customFormat="1" ht="15.75" customHeight="1" x14ac:dyDescent="0.25">
      <c r="A266" s="61">
        <v>5</v>
      </c>
      <c r="B266" s="62"/>
      <c r="C266" s="42" t="s">
        <v>204</v>
      </c>
      <c r="D266" s="42">
        <v>368.45</v>
      </c>
      <c r="E266" s="42">
        <v>0</v>
      </c>
      <c r="F266" s="42">
        <f t="shared" si="19"/>
        <v>589.52</v>
      </c>
      <c r="G266" s="74"/>
      <c r="H266" s="75"/>
      <c r="I266" s="36"/>
      <c r="L266" s="63"/>
      <c r="M266" s="63"/>
      <c r="N266" s="36"/>
    </row>
    <row r="267" spans="1:14" s="37" customFormat="1" ht="15.75" customHeight="1" x14ac:dyDescent="0.25">
      <c r="A267" s="61">
        <v>6</v>
      </c>
      <c r="B267" s="62"/>
      <c r="C267" s="42" t="s">
        <v>204</v>
      </c>
      <c r="D267" s="42">
        <v>366</v>
      </c>
      <c r="E267" s="42">
        <v>0</v>
      </c>
      <c r="F267" s="42">
        <f t="shared" ref="F267:F268" si="20">D267*(($F$235)+1)+(IF(E267&lt;101,E267,IF(E267&lt;201,E267/2,IF(E267&lt;=301,E267/3,E267/4))))</f>
        <v>585.6</v>
      </c>
      <c r="G267" s="74"/>
      <c r="H267" s="75"/>
      <c r="I267" s="36"/>
      <c r="L267" s="63"/>
      <c r="M267" s="63"/>
      <c r="N267" s="36"/>
    </row>
    <row r="268" spans="1:14" s="37" customFormat="1" ht="15.75" customHeight="1" x14ac:dyDescent="0.25">
      <c r="A268" s="61">
        <v>7</v>
      </c>
      <c r="B268" s="62"/>
      <c r="C268" s="42" t="s">
        <v>204</v>
      </c>
      <c r="D268" s="42">
        <v>469.42</v>
      </c>
      <c r="E268" s="42">
        <v>0</v>
      </c>
      <c r="F268" s="42">
        <f t="shared" si="20"/>
        <v>751.07200000000012</v>
      </c>
      <c r="G268" s="74"/>
      <c r="H268" s="75"/>
      <c r="I268" s="36"/>
      <c r="L268" s="63"/>
      <c r="M268" s="63"/>
      <c r="N268" s="36"/>
    </row>
    <row r="269" spans="1:14" s="37" customFormat="1" ht="15.75" customHeight="1" x14ac:dyDescent="0.25">
      <c r="A269" s="61">
        <v>8</v>
      </c>
      <c r="B269" s="62"/>
      <c r="C269" s="42" t="s">
        <v>204</v>
      </c>
      <c r="D269" s="42">
        <v>469.42</v>
      </c>
      <c r="E269" s="42">
        <v>0</v>
      </c>
      <c r="F269" s="42">
        <f t="shared" si="19"/>
        <v>751.07200000000012</v>
      </c>
      <c r="G269" s="74"/>
      <c r="H269" s="75"/>
      <c r="I269" s="36"/>
      <c r="L269" s="63"/>
      <c r="M269" s="63"/>
      <c r="N269" s="36"/>
    </row>
    <row r="270" spans="1:14" s="37" customFormat="1" ht="15.75" customHeight="1" x14ac:dyDescent="0.25">
      <c r="A270" s="61">
        <v>9</v>
      </c>
      <c r="B270" s="62"/>
      <c r="C270" s="42" t="s">
        <v>205</v>
      </c>
      <c r="D270" s="42">
        <v>624</v>
      </c>
      <c r="E270" s="42">
        <v>0</v>
      </c>
      <c r="F270" s="42">
        <f t="shared" si="19"/>
        <v>998.40000000000009</v>
      </c>
      <c r="G270" s="74"/>
      <c r="H270" s="75"/>
      <c r="I270" s="36"/>
      <c r="L270" s="63"/>
      <c r="M270" s="63"/>
      <c r="N270" s="36"/>
    </row>
    <row r="271" spans="1:14" s="37" customFormat="1" ht="15.75" customHeight="1" x14ac:dyDescent="0.25">
      <c r="A271" s="61">
        <v>10</v>
      </c>
      <c r="B271" s="62"/>
      <c r="C271" s="42" t="s">
        <v>205</v>
      </c>
      <c r="D271" s="42">
        <v>624</v>
      </c>
      <c r="E271" s="42">
        <v>0</v>
      </c>
      <c r="F271" s="42">
        <f t="shared" si="19"/>
        <v>998.40000000000009</v>
      </c>
      <c r="G271" s="76"/>
      <c r="H271" s="77"/>
      <c r="I271" s="36"/>
      <c r="L271" s="63"/>
      <c r="M271" s="63"/>
      <c r="N271" s="36"/>
    </row>
    <row r="272" spans="1:14" s="37" customFormat="1" x14ac:dyDescent="0.25">
      <c r="A272" s="78" t="s">
        <v>207</v>
      </c>
      <c r="B272" s="79"/>
      <c r="C272" s="79"/>
      <c r="D272" s="79"/>
      <c r="E272" s="79"/>
      <c r="F272" s="79"/>
      <c r="G272" s="79"/>
      <c r="H272" s="80"/>
      <c r="J272" s="36"/>
    </row>
    <row r="273" spans="1:14" s="37" customFormat="1" ht="15.75" customHeight="1" x14ac:dyDescent="0.25">
      <c r="A273" s="61">
        <v>1</v>
      </c>
      <c r="B273" s="62"/>
      <c r="C273" s="54" t="s">
        <v>204</v>
      </c>
      <c r="D273" s="42">
        <v>469.42</v>
      </c>
      <c r="E273" s="42">
        <v>0</v>
      </c>
      <c r="F273" s="42">
        <f>D273*(($F$235)+1)+(IF(E273&lt;101,E273,IF(E273&lt;201,E273/2,IF(E273&lt;=301,E273/3,E273/4))))</f>
        <v>751.07200000000012</v>
      </c>
      <c r="G273" s="72" t="str">
        <f>A272</f>
        <v>2nd, 7th, 12th, 17th, 22nd Floor (Part Refuge Area)</v>
      </c>
      <c r="H273" s="73"/>
      <c r="I273" s="36"/>
      <c r="L273" s="63"/>
      <c r="M273" s="63"/>
      <c r="N273" s="36"/>
    </row>
    <row r="274" spans="1:14" s="37" customFormat="1" ht="15.75" customHeight="1" x14ac:dyDescent="0.25">
      <c r="A274" s="61">
        <v>2</v>
      </c>
      <c r="B274" s="62"/>
      <c r="C274" s="81" t="s">
        <v>177</v>
      </c>
      <c r="D274" s="82"/>
      <c r="E274" s="82"/>
      <c r="F274" s="83"/>
      <c r="G274" s="74"/>
      <c r="H274" s="75"/>
      <c r="I274" s="36"/>
      <c r="L274" s="63"/>
      <c r="M274" s="63"/>
      <c r="N274" s="36"/>
    </row>
    <row r="275" spans="1:14" s="37" customFormat="1" ht="15.75" customHeight="1" x14ac:dyDescent="0.25">
      <c r="A275" s="61">
        <v>3</v>
      </c>
      <c r="B275" s="62"/>
      <c r="C275" s="42" t="s">
        <v>204</v>
      </c>
      <c r="D275" s="42">
        <v>366</v>
      </c>
      <c r="E275" s="42">
        <v>0</v>
      </c>
      <c r="F275" s="42">
        <f t="shared" ref="F275:F282" si="21">D275*(($F$235)+1)+(IF(E275&lt;101,E275,IF(E275&lt;201,E275/2,IF(E275&lt;=301,E275/3,E275/4))))</f>
        <v>585.6</v>
      </c>
      <c r="G275" s="74"/>
      <c r="H275" s="75"/>
      <c r="I275" s="36"/>
      <c r="L275" s="63"/>
      <c r="M275" s="63"/>
      <c r="N275" s="36"/>
    </row>
    <row r="276" spans="1:14" s="37" customFormat="1" ht="15.75" customHeight="1" x14ac:dyDescent="0.25">
      <c r="A276" s="61">
        <v>4</v>
      </c>
      <c r="B276" s="62"/>
      <c r="C276" s="42" t="s">
        <v>204</v>
      </c>
      <c r="D276" s="42">
        <v>368.45</v>
      </c>
      <c r="E276" s="42">
        <v>0</v>
      </c>
      <c r="F276" s="42">
        <f t="shared" si="21"/>
        <v>589.52</v>
      </c>
      <c r="G276" s="74"/>
      <c r="H276" s="75"/>
      <c r="I276" s="36"/>
      <c r="L276" s="63"/>
      <c r="M276" s="63"/>
      <c r="N276" s="36"/>
    </row>
    <row r="277" spans="1:14" s="37" customFormat="1" ht="15.75" customHeight="1" x14ac:dyDescent="0.25">
      <c r="A277" s="61">
        <v>5</v>
      </c>
      <c r="B277" s="62"/>
      <c r="C277" s="42" t="s">
        <v>204</v>
      </c>
      <c r="D277" s="42">
        <v>368.45</v>
      </c>
      <c r="E277" s="42">
        <v>0</v>
      </c>
      <c r="F277" s="42">
        <f t="shared" si="21"/>
        <v>589.52</v>
      </c>
      <c r="G277" s="74"/>
      <c r="H277" s="75"/>
      <c r="I277" s="36"/>
      <c r="L277" s="63"/>
      <c r="M277" s="63"/>
      <c r="N277" s="36"/>
    </row>
    <row r="278" spans="1:14" s="37" customFormat="1" ht="15.75" customHeight="1" x14ac:dyDescent="0.25">
      <c r="A278" s="61">
        <v>6</v>
      </c>
      <c r="B278" s="62"/>
      <c r="C278" s="42" t="s">
        <v>204</v>
      </c>
      <c r="D278" s="42">
        <v>366</v>
      </c>
      <c r="E278" s="42">
        <v>0</v>
      </c>
      <c r="F278" s="42">
        <f t="shared" si="21"/>
        <v>585.6</v>
      </c>
      <c r="G278" s="74"/>
      <c r="H278" s="75"/>
      <c r="I278" s="36"/>
      <c r="L278" s="63"/>
      <c r="M278" s="63"/>
      <c r="N278" s="36"/>
    </row>
    <row r="279" spans="1:14" s="37" customFormat="1" ht="15.75" customHeight="1" x14ac:dyDescent="0.25">
      <c r="A279" s="61">
        <v>7</v>
      </c>
      <c r="B279" s="62"/>
      <c r="C279" s="42" t="s">
        <v>204</v>
      </c>
      <c r="D279" s="42">
        <v>469.42</v>
      </c>
      <c r="E279" s="42">
        <v>0</v>
      </c>
      <c r="F279" s="42">
        <f t="shared" si="21"/>
        <v>751.07200000000012</v>
      </c>
      <c r="G279" s="74"/>
      <c r="H279" s="75"/>
      <c r="I279" s="36"/>
      <c r="L279" s="63"/>
      <c r="M279" s="63"/>
      <c r="N279" s="36"/>
    </row>
    <row r="280" spans="1:14" s="37" customFormat="1" ht="15.75" customHeight="1" x14ac:dyDescent="0.25">
      <c r="A280" s="61">
        <v>8</v>
      </c>
      <c r="B280" s="62"/>
      <c r="C280" s="42" t="s">
        <v>204</v>
      </c>
      <c r="D280" s="42">
        <v>469.42</v>
      </c>
      <c r="E280" s="42">
        <v>0</v>
      </c>
      <c r="F280" s="42">
        <f t="shared" si="21"/>
        <v>751.07200000000012</v>
      </c>
      <c r="G280" s="74"/>
      <c r="H280" s="75"/>
      <c r="I280" s="36"/>
      <c r="L280" s="63"/>
      <c r="M280" s="63"/>
      <c r="N280" s="36"/>
    </row>
    <row r="281" spans="1:14" s="37" customFormat="1" ht="15.75" customHeight="1" x14ac:dyDescent="0.25">
      <c r="A281" s="61">
        <v>9</v>
      </c>
      <c r="B281" s="62"/>
      <c r="C281" s="42" t="s">
        <v>205</v>
      </c>
      <c r="D281" s="42">
        <v>624</v>
      </c>
      <c r="E281" s="42">
        <v>0</v>
      </c>
      <c r="F281" s="42">
        <f t="shared" si="21"/>
        <v>998.40000000000009</v>
      </c>
      <c r="G281" s="74"/>
      <c r="H281" s="75"/>
      <c r="I281" s="36"/>
      <c r="L281" s="63"/>
      <c r="M281" s="63"/>
      <c r="N281" s="36"/>
    </row>
    <row r="282" spans="1:14" s="37" customFormat="1" ht="15.75" customHeight="1" x14ac:dyDescent="0.25">
      <c r="A282" s="61">
        <v>10</v>
      </c>
      <c r="B282" s="62"/>
      <c r="C282" s="42" t="s">
        <v>205</v>
      </c>
      <c r="D282" s="42">
        <v>624</v>
      </c>
      <c r="E282" s="42">
        <v>0</v>
      </c>
      <c r="F282" s="42">
        <f t="shared" si="21"/>
        <v>998.40000000000009</v>
      </c>
      <c r="G282" s="76"/>
      <c r="H282" s="77"/>
      <c r="I282" s="36"/>
      <c r="L282" s="63"/>
      <c r="M282" s="63"/>
      <c r="N282" s="36"/>
    </row>
    <row r="283" spans="1:14" s="37" customFormat="1" x14ac:dyDescent="0.25">
      <c r="A283" s="78" t="s">
        <v>210</v>
      </c>
      <c r="B283" s="79"/>
      <c r="C283" s="79"/>
      <c r="D283" s="79"/>
      <c r="E283" s="79"/>
      <c r="F283" s="79"/>
      <c r="G283" s="79"/>
      <c r="H283" s="80"/>
      <c r="J283" s="36"/>
    </row>
    <row r="284" spans="1:14" s="37" customFormat="1" x14ac:dyDescent="0.25">
      <c r="A284" s="78" t="s">
        <v>171</v>
      </c>
      <c r="B284" s="79"/>
      <c r="C284" s="79"/>
      <c r="D284" s="79"/>
      <c r="E284" s="79"/>
      <c r="F284" s="79"/>
      <c r="G284" s="79"/>
      <c r="H284" s="80"/>
      <c r="J284" s="36"/>
    </row>
    <row r="285" spans="1:14" s="37" customFormat="1" x14ac:dyDescent="0.25">
      <c r="A285" s="78" t="s">
        <v>175</v>
      </c>
      <c r="B285" s="79"/>
      <c r="C285" s="79"/>
      <c r="D285" s="79"/>
      <c r="E285" s="79"/>
      <c r="F285" s="79"/>
      <c r="G285" s="79"/>
      <c r="H285" s="80"/>
      <c r="J285" s="36"/>
    </row>
    <row r="286" spans="1:14" s="37" customFormat="1" x14ac:dyDescent="0.25">
      <c r="A286" s="78" t="s">
        <v>176</v>
      </c>
      <c r="B286" s="79"/>
      <c r="C286" s="79"/>
      <c r="D286" s="79"/>
      <c r="E286" s="79"/>
      <c r="F286" s="79"/>
      <c r="G286" s="79"/>
      <c r="H286" s="80"/>
      <c r="J286" s="36"/>
    </row>
    <row r="287" spans="1:14" s="37" customFormat="1" x14ac:dyDescent="0.25">
      <c r="A287" s="78" t="s">
        <v>172</v>
      </c>
      <c r="B287" s="79"/>
      <c r="C287" s="79"/>
      <c r="D287" s="79"/>
      <c r="E287" s="79"/>
      <c r="F287" s="79"/>
      <c r="G287" s="79"/>
      <c r="H287" s="80"/>
      <c r="J287" s="36"/>
    </row>
    <row r="288" spans="1:14" s="37" customFormat="1" ht="15.75" customHeight="1" x14ac:dyDescent="0.25">
      <c r="A288" s="61">
        <v>1</v>
      </c>
      <c r="B288" s="62"/>
      <c r="C288" s="54">
        <v>3</v>
      </c>
      <c r="D288" s="42">
        <f>(3.35*7.42+3.05*4.03+1.52*2.45+2.45*3.05+3.05*1.1+4.25*2.8+1.65*0.6+2.45*1.52+2.75*4.07+1.52*2.3+1.52*1.25+0.6*1.47+(1.5*0.6+2.55*0.6+2.45*1.2+3.35*1.52+3.4*1+2.5*0.6))*10.764</f>
        <v>1088.7409259999997</v>
      </c>
      <c r="E288" s="42">
        <v>0</v>
      </c>
      <c r="F288" s="42">
        <f t="shared" ref="F288:F293" si="22">D288*(($F$235)+1)+(IF(E288&lt;101,E288,IF(E288&lt;201,E288/2,IF(E288&lt;=301,E288/3,E288/4))))</f>
        <v>1741.9854815999997</v>
      </c>
      <c r="G288" s="72" t="str">
        <f>A287</f>
        <v>1st, 3rd to 6th, 8th to 11th &amp; 13th to 16th Floor</v>
      </c>
      <c r="H288" s="73"/>
      <c r="I288" s="36"/>
      <c r="L288" s="63"/>
      <c r="M288" s="63"/>
      <c r="N288" s="36"/>
    </row>
    <row r="289" spans="1:14" s="37" customFormat="1" ht="15.75" customHeight="1" x14ac:dyDescent="0.25">
      <c r="A289" s="61">
        <f t="shared" ref="A289:A293" si="23">A288+1</f>
        <v>2</v>
      </c>
      <c r="B289" s="62"/>
      <c r="C289" s="54">
        <v>2</v>
      </c>
      <c r="D289" s="42">
        <f>(2.13*1.07+3.05*4.57+1.07*2.43+3.05*3.2+1.4*0.6+2.75*3.66+0.6*1.06+2.5*0.6+2.45*1.52+2.13*1.37+3.05*2.13+2.13*0.91+3.05*1.52+2*1.2)*10.764</f>
        <v>686.00694240000007</v>
      </c>
      <c r="E289" s="42">
        <v>0</v>
      </c>
      <c r="F289" s="42">
        <f t="shared" si="22"/>
        <v>1097.6111078400002</v>
      </c>
      <c r="G289" s="74"/>
      <c r="H289" s="75"/>
      <c r="I289" s="36"/>
      <c r="L289" s="63"/>
      <c r="M289" s="63"/>
      <c r="N289" s="36"/>
    </row>
    <row r="290" spans="1:14" s="37" customFormat="1" ht="15.75" customHeight="1" x14ac:dyDescent="0.25">
      <c r="A290" s="61">
        <f t="shared" si="23"/>
        <v>3</v>
      </c>
      <c r="B290" s="62"/>
      <c r="C290" s="54">
        <v>2</v>
      </c>
      <c r="D290" s="42">
        <f>(2.13*1.07+3.05*4.57+1.07*2.43+3.05*3.2+1.4*0.6+2.75*3.66+0.6*1.06+2.5*0.6+2.45*1.52+2.13*1.37+3.05*2.13+2.13*0.91+3.05*1.52+2*1.2)*10.764</f>
        <v>686.00694240000007</v>
      </c>
      <c r="E290" s="42">
        <v>0</v>
      </c>
      <c r="F290" s="42">
        <f t="shared" si="22"/>
        <v>1097.6111078400002</v>
      </c>
      <c r="G290" s="74"/>
      <c r="H290" s="75"/>
      <c r="I290" s="36"/>
      <c r="L290" s="63"/>
      <c r="M290" s="63"/>
      <c r="N290" s="36"/>
    </row>
    <row r="291" spans="1:14" s="37" customFormat="1" ht="15.75" customHeight="1" x14ac:dyDescent="0.25">
      <c r="A291" s="61">
        <f t="shared" si="23"/>
        <v>4</v>
      </c>
      <c r="B291" s="62"/>
      <c r="C291" s="54">
        <v>3</v>
      </c>
      <c r="D291" s="42">
        <f>(3.35*7.42+3.05*4.03+1.52*2.45+2.45*3.05+3.05*1.1+4.25*2.8+1.65*0.6+2.45*1.52+2.75*4.07+1.52*2.3+1.52*1.25+0.6*1.47+(1.5*0.6+2.55*0.6+2.45*1.2+3.35*1.52+3.4*1+2.5*0.6))*10.764</f>
        <v>1088.7409259999997</v>
      </c>
      <c r="E291" s="42">
        <v>0</v>
      </c>
      <c r="F291" s="42">
        <f t="shared" si="22"/>
        <v>1741.9854815999997</v>
      </c>
      <c r="G291" s="74"/>
      <c r="H291" s="75"/>
      <c r="I291" s="36"/>
      <c r="L291" s="63"/>
      <c r="M291" s="63"/>
      <c r="N291" s="36"/>
    </row>
    <row r="292" spans="1:14" s="37" customFormat="1" ht="15.75" customHeight="1" x14ac:dyDescent="0.25">
      <c r="A292" s="61">
        <f t="shared" si="23"/>
        <v>5</v>
      </c>
      <c r="B292" s="62"/>
      <c r="C292" s="54">
        <v>2</v>
      </c>
      <c r="D292" s="42">
        <f>(2.13*1.07+3.05*4.57+1.07*2.43+3.05*3.2+1.4*0.6+2.75*3.66+0.6*1.06+2.5*0.6+2.45*1.52+2.13*1.37+3.05*2.13+2.13*0.91+3.05*1.52+2*1.2)*10.764</f>
        <v>686.00694240000007</v>
      </c>
      <c r="E292" s="42">
        <v>0</v>
      </c>
      <c r="F292" s="42">
        <f t="shared" si="22"/>
        <v>1097.6111078400002</v>
      </c>
      <c r="G292" s="74"/>
      <c r="H292" s="75"/>
      <c r="I292" s="36"/>
      <c r="L292" s="63"/>
      <c r="M292" s="63"/>
      <c r="N292" s="36"/>
    </row>
    <row r="293" spans="1:14" s="37" customFormat="1" ht="15.75" customHeight="1" x14ac:dyDescent="0.25">
      <c r="A293" s="61">
        <f t="shared" si="23"/>
        <v>6</v>
      </c>
      <c r="B293" s="62"/>
      <c r="C293" s="54">
        <v>2</v>
      </c>
      <c r="D293" s="42">
        <f>(2.13*1.07+3.05*4.57+1.07*2.43+3.05*3.2+1.4*0.6+2.75*3.66+0.6*1.06+2.5*0.6+2.45*1.52+2.13*1.37+3.05*2.13+2.13*0.91+3.05*1.52+2*1.2)*10.764</f>
        <v>686.00694240000007</v>
      </c>
      <c r="E293" s="42">
        <v>0</v>
      </c>
      <c r="F293" s="42">
        <f t="shared" si="22"/>
        <v>1097.6111078400002</v>
      </c>
      <c r="G293" s="76"/>
      <c r="H293" s="77"/>
      <c r="I293" s="36"/>
      <c r="L293" s="63"/>
      <c r="M293" s="63"/>
      <c r="N293" s="36"/>
    </row>
    <row r="294" spans="1:14" s="37" customFormat="1" x14ac:dyDescent="0.25">
      <c r="A294" s="78" t="s">
        <v>178</v>
      </c>
      <c r="B294" s="79"/>
      <c r="C294" s="79"/>
      <c r="D294" s="79"/>
      <c r="E294" s="79"/>
      <c r="F294" s="79"/>
      <c r="G294" s="79"/>
      <c r="H294" s="80"/>
      <c r="J294" s="36"/>
    </row>
    <row r="295" spans="1:14" s="37" customFormat="1" ht="15.75" customHeight="1" x14ac:dyDescent="0.25">
      <c r="A295" s="61">
        <v>1</v>
      </c>
      <c r="B295" s="62"/>
      <c r="C295" s="54">
        <v>3</v>
      </c>
      <c r="D295" s="42">
        <f>(3.35*7.42+3.05*4.03+1.52*2.45+2.45*3.05+3.05*1.1+4.25*2.8+1.65*0.6+2.45*1.52+2.75*4.07+1.52*2.3+1.52*1.25+0.6*1.47+(1.5*0.45+2.45*1.2+3.35*1.52+3.4*1+2.5*0.6))*10.764</f>
        <v>1069.8501059999999</v>
      </c>
      <c r="E295" s="42">
        <v>0</v>
      </c>
      <c r="F295" s="42">
        <f>D295*(($F$235)+1)+(IF(E295&lt;101,E295,IF(E295&lt;201,E295/2,IF(E295&lt;=301,E295/3,E295/4))))</f>
        <v>1711.7601695999999</v>
      </c>
      <c r="G295" s="72" t="str">
        <f>A294</f>
        <v>2nd, 7th, 12th &amp; 17th Floor (Part Refuge Area)</v>
      </c>
      <c r="H295" s="73"/>
      <c r="I295" s="36"/>
      <c r="L295" s="63"/>
      <c r="M295" s="63"/>
      <c r="N295" s="36"/>
    </row>
    <row r="296" spans="1:14" s="37" customFormat="1" ht="15.75" customHeight="1" x14ac:dyDescent="0.25">
      <c r="A296" s="61">
        <f t="shared" ref="A296:A300" si="24">A295+1</f>
        <v>2</v>
      </c>
      <c r="B296" s="62"/>
      <c r="C296" s="81" t="s">
        <v>177</v>
      </c>
      <c r="D296" s="82"/>
      <c r="E296" s="82"/>
      <c r="F296" s="83"/>
      <c r="G296" s="74"/>
      <c r="H296" s="75"/>
      <c r="I296" s="36"/>
      <c r="L296" s="63"/>
      <c r="M296" s="63"/>
      <c r="N296" s="36"/>
    </row>
    <row r="297" spans="1:14" s="37" customFormat="1" ht="15.75" customHeight="1" x14ac:dyDescent="0.25">
      <c r="A297" s="61">
        <f t="shared" si="24"/>
        <v>3</v>
      </c>
      <c r="B297" s="62"/>
      <c r="C297" s="54">
        <v>2</v>
      </c>
      <c r="D297" s="42">
        <f>(2.13*1.07+3.05*4.57+1.07*2.43+3.05*3.2+1.4*0.6+2.75*3.66+0.6*1.06+2.5*0.6+2.45*1.52+2.13*1.37+3.05*2.13+2.13*0.91+3.05*1.52+2*1.2)*10.764</f>
        <v>686.00694240000007</v>
      </c>
      <c r="E297" s="42">
        <v>0</v>
      </c>
      <c r="F297" s="42">
        <f>D297*(($F$235)+1)+(IF(E297&lt;101,E297,IF(E297&lt;201,E297/2,IF(E297&lt;=301,E297/3,E297/4))))</f>
        <v>1097.6111078400002</v>
      </c>
      <c r="G297" s="74"/>
      <c r="H297" s="75"/>
      <c r="I297" s="36"/>
      <c r="L297" s="63"/>
      <c r="M297" s="63"/>
      <c r="N297" s="36"/>
    </row>
    <row r="298" spans="1:14" s="37" customFormat="1" ht="15.75" customHeight="1" x14ac:dyDescent="0.25">
      <c r="A298" s="61">
        <f t="shared" si="24"/>
        <v>4</v>
      </c>
      <c r="B298" s="62"/>
      <c r="C298" s="54">
        <v>3</v>
      </c>
      <c r="D298" s="42">
        <f>(3.35*7.42+3.05*4.03+1.52*2.45+2.45*3.05+3.05*1.1+4.25*2.8+1.65*0.6+2.45*1.52+2.75*4.07+1.52*2.3+1.52*1.25+0.6*1.47+(1.5*0.6+2.55*0.6+2.45*1.2+3.35*1.52+3.4*1+2.5*0.6))*10.764</f>
        <v>1088.7409259999997</v>
      </c>
      <c r="E298" s="42">
        <v>0</v>
      </c>
      <c r="F298" s="42">
        <f>D298*(($F$235)+1)+(IF(E298&lt;101,E298,IF(E298&lt;201,E298/2,IF(E298&lt;=301,E298/3,E298/4))))</f>
        <v>1741.9854815999997</v>
      </c>
      <c r="G298" s="74"/>
      <c r="H298" s="75"/>
      <c r="I298" s="36"/>
      <c r="L298" s="63"/>
      <c r="M298" s="63"/>
      <c r="N298" s="36"/>
    </row>
    <row r="299" spans="1:14" s="37" customFormat="1" ht="15.75" customHeight="1" x14ac:dyDescent="0.25">
      <c r="A299" s="61">
        <f t="shared" si="24"/>
        <v>5</v>
      </c>
      <c r="B299" s="62"/>
      <c r="C299" s="54">
        <v>2</v>
      </c>
      <c r="D299" s="42">
        <f>(2.13*1.07+3.05*4.57+1.07*2.43+3.05*3.2+1.4*0.6+2.75*3.66+0.6*1.06+2.5*0.6+2.45*1.52+2.13*1.37+3.05*2.13+2.13*0.91+3.05*1.52+2*1.2)*10.764</f>
        <v>686.00694240000007</v>
      </c>
      <c r="E299" s="42">
        <v>0</v>
      </c>
      <c r="F299" s="42">
        <f>D299*(($F$235)+1)+(IF(E299&lt;101,E299,IF(E299&lt;201,E299/2,IF(E299&lt;=301,E299/3,E299/4))))</f>
        <v>1097.6111078400002</v>
      </c>
      <c r="G299" s="74"/>
      <c r="H299" s="75"/>
      <c r="I299" s="36"/>
      <c r="L299" s="63"/>
      <c r="M299" s="63"/>
      <c r="N299" s="36"/>
    </row>
    <row r="300" spans="1:14" s="37" customFormat="1" ht="15.75" customHeight="1" x14ac:dyDescent="0.25">
      <c r="A300" s="61">
        <f t="shared" si="24"/>
        <v>6</v>
      </c>
      <c r="B300" s="62"/>
      <c r="C300" s="54">
        <v>2</v>
      </c>
      <c r="D300" s="42">
        <f>(2.13*1.07+3.05*4.57+1.07*2.43+3.05*3.2+1.4*0.6+2.75*3.66+0.6*1.06+2.5*0.6+2.45*1.52+2.13*1.37+3.05*2.13+2.13*0.91+3.05*1.52+2*1.2)*10.764</f>
        <v>686.00694240000007</v>
      </c>
      <c r="E300" s="42">
        <v>0</v>
      </c>
      <c r="F300" s="42">
        <f>D300*(($F$235)+1)+(IF(E300&lt;101,E300,IF(E300&lt;201,E300/2,IF(E300&lt;=301,E300/3,E300/4))))</f>
        <v>1097.6111078400002</v>
      </c>
      <c r="G300" s="76"/>
      <c r="H300" s="77"/>
      <c r="I300" s="36"/>
      <c r="L300" s="63"/>
      <c r="M300" s="63"/>
      <c r="N300" s="36"/>
    </row>
    <row r="301" spans="1:14" s="37" customFormat="1" x14ac:dyDescent="0.25">
      <c r="A301" s="78" t="s">
        <v>179</v>
      </c>
      <c r="B301" s="79"/>
      <c r="C301" s="79"/>
      <c r="D301" s="79"/>
      <c r="E301" s="79"/>
      <c r="F301" s="79"/>
      <c r="G301" s="79"/>
      <c r="H301" s="80"/>
      <c r="J301" s="36"/>
    </row>
    <row r="302" spans="1:14" s="37" customFormat="1" ht="15.75" customHeight="1" x14ac:dyDescent="0.25">
      <c r="A302" s="61">
        <v>1</v>
      </c>
      <c r="B302" s="62"/>
      <c r="C302" s="54">
        <v>3</v>
      </c>
      <c r="D302" s="42">
        <f>(3.35*7.42+3.05*4.03+1.52*2.45+2.45*3.05+3.05*1.1+4.25*2.8+1.65*0.6+2.45*1.52+2.75*4.07+1.52*2.3+1.52*1.25+0.6*1.47+(1.5*0.6+2.55*0.6+2.45*1.2+3.35*1.52+3.4*1+2.5*0.6))*10.764</f>
        <v>1088.7409259999997</v>
      </c>
      <c r="E302" s="42">
        <v>0</v>
      </c>
      <c r="F302" s="42">
        <f t="shared" ref="F302:F306" si="25">D302*(($F$235)+1)+(IF(E302&lt;101,E302,IF(E302&lt;201,E302/2,IF(E302&lt;=301,E302/3,E302/4))))</f>
        <v>1741.9854815999997</v>
      </c>
      <c r="G302" s="72" t="str">
        <f>A301</f>
        <v>18th to 21st, 23rd &amp; 24th Floor</v>
      </c>
      <c r="H302" s="73"/>
      <c r="I302" s="36"/>
      <c r="L302" s="63"/>
      <c r="M302" s="63"/>
      <c r="N302" s="36"/>
    </row>
    <row r="303" spans="1:14" s="37" customFormat="1" ht="15.75" customHeight="1" x14ac:dyDescent="0.25">
      <c r="A303" s="61">
        <f t="shared" ref="A303:A306" si="26">A302+1</f>
        <v>2</v>
      </c>
      <c r="B303" s="62"/>
      <c r="C303" s="54">
        <v>2</v>
      </c>
      <c r="D303" s="42">
        <f>(2.13*1.07+3.05*4.57+1.07*2.43+3.05*3.2+1.4*0.6+2.75*3.66+0.6*1.06+2.5*0.6+2.45*1.52+2.13*1.37+3.05*2.13+2.13*0.91+3.05*1.52+2*1.2)*10.764</f>
        <v>686.00694240000007</v>
      </c>
      <c r="E303" s="42">
        <v>0</v>
      </c>
      <c r="F303" s="42">
        <f t="shared" si="25"/>
        <v>1097.6111078400002</v>
      </c>
      <c r="G303" s="74"/>
      <c r="H303" s="75"/>
      <c r="I303" s="36"/>
      <c r="L303" s="63"/>
      <c r="M303" s="63"/>
      <c r="N303" s="36"/>
    </row>
    <row r="304" spans="1:14" s="37" customFormat="1" ht="15.75" customHeight="1" x14ac:dyDescent="0.25">
      <c r="A304" s="61">
        <f t="shared" si="26"/>
        <v>3</v>
      </c>
      <c r="B304" s="62"/>
      <c r="C304" s="54">
        <v>2</v>
      </c>
      <c r="D304" s="42">
        <f>(2.13*1.07+3.05*4.57+1.07*2.43+3.05*3.2+1.4*0.6+2.75*3.66+0.6*1.06+2.5*0.6+2.45*1.52+2.13*1.37+3.05*2.13+2.13*0.91+3.05*1.52+2*1.2)*10.764</f>
        <v>686.00694240000007</v>
      </c>
      <c r="E304" s="42">
        <v>0</v>
      </c>
      <c r="F304" s="42">
        <f t="shared" si="25"/>
        <v>1097.6111078400002</v>
      </c>
      <c r="G304" s="74"/>
      <c r="H304" s="75"/>
      <c r="I304" s="36"/>
      <c r="L304" s="63"/>
      <c r="M304" s="63"/>
      <c r="N304" s="36"/>
    </row>
    <row r="305" spans="1:14" s="37" customFormat="1" ht="15.75" customHeight="1" x14ac:dyDescent="0.25">
      <c r="A305" s="61">
        <f t="shared" si="26"/>
        <v>4</v>
      </c>
      <c r="B305" s="62"/>
      <c r="C305" s="54">
        <v>3</v>
      </c>
      <c r="D305" s="42">
        <f>(3.35*7.42+3.05*4.03+1.52*2.45+2.45*3.05+3.05*1.1+4.25*2.8+1.65*0.6+2.45*1.52+2.75*4.07+1.52*2.3+1.52*1.25+0.6*1.47+(1.5*0.6+2.55*0.6+2.45*1.2+3.35*1.52+3.4*1+2.5*0.6))*10.764</f>
        <v>1088.7409259999997</v>
      </c>
      <c r="E305" s="42">
        <v>0</v>
      </c>
      <c r="F305" s="42">
        <f t="shared" si="25"/>
        <v>1741.9854815999997</v>
      </c>
      <c r="G305" s="74"/>
      <c r="H305" s="75"/>
      <c r="I305" s="36"/>
      <c r="L305" s="63"/>
      <c r="M305" s="63"/>
      <c r="N305" s="36"/>
    </row>
    <row r="306" spans="1:14" s="37" customFormat="1" ht="15.75" customHeight="1" x14ac:dyDescent="0.25">
      <c r="A306" s="61">
        <f t="shared" si="26"/>
        <v>5</v>
      </c>
      <c r="B306" s="62"/>
      <c r="C306" s="54">
        <v>4</v>
      </c>
      <c r="D306" s="42">
        <f>(4.58*5.85+1.07*3.8+2.13*1.37+2.45*1.52+2.75*4.26+2.4*0.6+1.66*0.6+3.35*1+3.05*3.2+3.05*0.91+1.4*0.6+1.52*2.45+3.05*3.2+1.5*0.6+2.75*4.26+2.4*0.6+1.66*0.6+2.45*1.52+1.1*1.42+2.13*1.37+2.59*3.65+1.5*1.2+4.8*0.91+4.58*1.97)*10.764</f>
        <v>1396.7452512000002</v>
      </c>
      <c r="E306" s="42">
        <v>0</v>
      </c>
      <c r="F306" s="42">
        <f t="shared" si="25"/>
        <v>2234.7924019200004</v>
      </c>
      <c r="G306" s="74"/>
      <c r="H306" s="75"/>
      <c r="I306" s="36"/>
      <c r="L306" s="63"/>
      <c r="M306" s="63"/>
      <c r="N306" s="36"/>
    </row>
    <row r="307" spans="1:14" s="37" customFormat="1" x14ac:dyDescent="0.25">
      <c r="A307" s="78" t="s">
        <v>180</v>
      </c>
      <c r="B307" s="79"/>
      <c r="C307" s="79"/>
      <c r="D307" s="79"/>
      <c r="E307" s="79"/>
      <c r="F307" s="79"/>
      <c r="G307" s="79"/>
      <c r="H307" s="80"/>
      <c r="J307" s="36"/>
    </row>
    <row r="308" spans="1:14" s="37" customFormat="1" ht="15.75" customHeight="1" x14ac:dyDescent="0.25">
      <c r="A308" s="61">
        <v>1</v>
      </c>
      <c r="B308" s="62"/>
      <c r="C308" s="54">
        <v>3</v>
      </c>
      <c r="D308" s="42">
        <f>(3.35*7.42+3.05*4.03+1.52*2.45+2.45*3.05+3.05*1.1+4.25*2.8+1.65*0.6+2.45*1.52+2.75*4.07+1.52*2.3+1.52*1.25+0.6*1.47+(1.5*0.6+2.55*0.6+2.45*1.2+3.35*1.52+3.4*1+2.5*0.6))*10.764</f>
        <v>1088.7409259999997</v>
      </c>
      <c r="E308" s="42">
        <v>0</v>
      </c>
      <c r="F308" s="42">
        <f>D308*(($F$235)+1)+(IF(E308&lt;101,E308,IF(E308&lt;201,E308/2,IF(E308&lt;=301,E308/3,E308/4))))</f>
        <v>1741.9854815999997</v>
      </c>
      <c r="G308" s="72" t="str">
        <f>A307</f>
        <v>22nd Floor (Part Refuge Area)</v>
      </c>
      <c r="H308" s="73"/>
      <c r="I308" s="36"/>
      <c r="L308" s="63"/>
      <c r="M308" s="63"/>
      <c r="N308" s="36"/>
    </row>
    <row r="309" spans="1:14" s="37" customFormat="1" ht="15.75" customHeight="1" x14ac:dyDescent="0.25">
      <c r="A309" s="61">
        <f t="shared" ref="A309:A313" si="27">A308+1</f>
        <v>2</v>
      </c>
      <c r="B309" s="62"/>
      <c r="C309" s="54">
        <v>2</v>
      </c>
      <c r="D309" s="42">
        <f>(2.13*1.07+3.05*4.57+1.07*2.43+3.05*3.2+1.4*0.6+2.75*3.66+0.6*1.06+2.5*0.6+2.45*1.52+2.13*1.37+3.05*2.13+2.13*0.91+3.05*1.52+2*1.2)*10.764</f>
        <v>686.00694240000007</v>
      </c>
      <c r="E309" s="42">
        <v>0</v>
      </c>
      <c r="F309" s="42">
        <f>D309*(($F$235)+1)+(IF(E309&lt;101,E309,IF(E309&lt;201,E309/2,IF(E309&lt;=301,E309/3,E309/4))))</f>
        <v>1097.6111078400002</v>
      </c>
      <c r="G309" s="74"/>
      <c r="H309" s="75"/>
      <c r="I309" s="36"/>
      <c r="L309" s="63"/>
      <c r="M309" s="63"/>
      <c r="N309" s="36"/>
    </row>
    <row r="310" spans="1:14" s="37" customFormat="1" ht="15.75" customHeight="1" x14ac:dyDescent="0.25">
      <c r="A310" s="61">
        <f t="shared" si="27"/>
        <v>3</v>
      </c>
      <c r="B310" s="62"/>
      <c r="C310" s="54">
        <v>2</v>
      </c>
      <c r="D310" s="42">
        <f>(2.13*1.07+3.05*4.57+1.07*2.43+3.05*3.2+1.4*0.6+2.75*3.66+0.6*1.06+2.5*0.6+2.45*1.52+2.13*1.37+3.05*2.13+2.13*0.91+3.05*1.52+2*1.2)*10.764</f>
        <v>686.00694240000007</v>
      </c>
      <c r="E310" s="42">
        <v>0</v>
      </c>
      <c r="F310" s="42">
        <f>D310*(($F$235)+1)+(IF(E310&lt;101,E310,IF(E310&lt;201,E310/2,IF(E310&lt;=301,E310/3,E310/4))))</f>
        <v>1097.6111078400002</v>
      </c>
      <c r="G310" s="74"/>
      <c r="H310" s="75"/>
      <c r="I310" s="36"/>
      <c r="L310" s="63"/>
      <c r="M310" s="63"/>
      <c r="N310" s="36"/>
    </row>
    <row r="311" spans="1:14" s="37" customFormat="1" ht="15.75" customHeight="1" x14ac:dyDescent="0.25">
      <c r="A311" s="61">
        <f t="shared" si="27"/>
        <v>4</v>
      </c>
      <c r="B311" s="62"/>
      <c r="C311" s="54">
        <v>3</v>
      </c>
      <c r="D311" s="42">
        <f>(3.35*7.42+3.05*4.03+1.52*2.45+2.45*3.05+3.05*1.1+4.25*2.8+1.65*0.6+2.45*1.52+2.75*4.07+1.52*2.3+1.52*1.25+0.6*1.47+(1.5*0.6+2.55*0.6+2.45*1.2+3.35*1.52+3.4*1+2.5*0.6))*10.764</f>
        <v>1088.7409259999997</v>
      </c>
      <c r="E311" s="42">
        <v>0</v>
      </c>
      <c r="F311" s="42">
        <f>D311*(($F$235)+1)+(IF(E311&lt;101,E311,IF(E311&lt;201,E311/2,IF(E311&lt;=301,E311/3,E311/4))))</f>
        <v>1741.9854815999997</v>
      </c>
      <c r="G311" s="74"/>
      <c r="H311" s="75"/>
      <c r="I311" s="36"/>
      <c r="L311" s="63"/>
      <c r="M311" s="63"/>
      <c r="N311" s="36"/>
    </row>
    <row r="312" spans="1:14" s="37" customFormat="1" ht="15.75" customHeight="1" x14ac:dyDescent="0.25">
      <c r="A312" s="61">
        <f t="shared" si="27"/>
        <v>5</v>
      </c>
      <c r="B312" s="62"/>
      <c r="C312" s="54">
        <v>2</v>
      </c>
      <c r="D312" s="42">
        <f>(2.13*1.07+3.05*4.57+1.07*2.43+3.05*3.2+1.4*0.6+2.75*3.66+0.6*1.06+2.5*0.6+2.45*1.52+2.13*1.37+3.05*2.13+2.13*0.91+3.05*1.52+2*1.2)*10.764</f>
        <v>686.00694240000007</v>
      </c>
      <c r="E312" s="42">
        <v>0</v>
      </c>
      <c r="F312" s="42">
        <f>D312*(($F$235)+1)+(IF(E312&lt;101,E312,IF(E312&lt;201,E312/2,IF(E312&lt;=301,E312/3,E312/4))))</f>
        <v>1097.6111078400002</v>
      </c>
      <c r="G312" s="74"/>
      <c r="H312" s="75"/>
      <c r="I312" s="36"/>
      <c r="L312" s="63"/>
      <c r="M312" s="63"/>
      <c r="N312" s="36"/>
    </row>
    <row r="313" spans="1:14" s="37" customFormat="1" ht="15.75" customHeight="1" x14ac:dyDescent="0.25">
      <c r="A313" s="61">
        <f t="shared" si="27"/>
        <v>6</v>
      </c>
      <c r="B313" s="62"/>
      <c r="C313" s="81" t="s">
        <v>177</v>
      </c>
      <c r="D313" s="82"/>
      <c r="E313" s="82"/>
      <c r="F313" s="83"/>
      <c r="G313" s="76"/>
      <c r="H313" s="77"/>
      <c r="I313" s="36"/>
      <c r="L313" s="63"/>
      <c r="M313" s="63"/>
      <c r="N313" s="36"/>
    </row>
    <row r="314" spans="1:14" s="37" customFormat="1" x14ac:dyDescent="0.25">
      <c r="A314" s="78" t="s">
        <v>181</v>
      </c>
      <c r="B314" s="79"/>
      <c r="C314" s="79"/>
      <c r="D314" s="79"/>
      <c r="E314" s="79"/>
      <c r="F314" s="79"/>
      <c r="G314" s="79"/>
      <c r="H314" s="80"/>
      <c r="J314" s="36"/>
    </row>
    <row r="315" spans="1:14" s="37" customFormat="1" x14ac:dyDescent="0.25">
      <c r="A315" s="78" t="s">
        <v>175</v>
      </c>
      <c r="B315" s="79"/>
      <c r="C315" s="79"/>
      <c r="D315" s="79"/>
      <c r="E315" s="79"/>
      <c r="F315" s="79"/>
      <c r="G315" s="79"/>
      <c r="H315" s="80"/>
      <c r="J315" s="36"/>
    </row>
    <row r="316" spans="1:14" s="37" customFormat="1" x14ac:dyDescent="0.25">
      <c r="A316" s="78" t="s">
        <v>176</v>
      </c>
      <c r="B316" s="79"/>
      <c r="C316" s="79"/>
      <c r="D316" s="79"/>
      <c r="E316" s="79"/>
      <c r="F316" s="79"/>
      <c r="G316" s="79"/>
      <c r="H316" s="80"/>
      <c r="J316" s="36"/>
    </row>
    <row r="317" spans="1:14" s="37" customFormat="1" x14ac:dyDescent="0.25">
      <c r="A317" s="78" t="s">
        <v>172</v>
      </c>
      <c r="B317" s="79"/>
      <c r="C317" s="79"/>
      <c r="D317" s="79"/>
      <c r="E317" s="79"/>
      <c r="F317" s="79"/>
      <c r="G317" s="79"/>
      <c r="H317" s="80"/>
      <c r="J317" s="36"/>
    </row>
    <row r="318" spans="1:14" s="37" customFormat="1" ht="15.75" customHeight="1" x14ac:dyDescent="0.25">
      <c r="A318" s="61">
        <v>1</v>
      </c>
      <c r="B318" s="62"/>
      <c r="C318" s="54">
        <v>3</v>
      </c>
      <c r="D318" s="42">
        <f>(3.35*7.42+3.05*4.03+1.52*2.45+2.45*3.05+3.05*1.1+4.25*2.8+1.65*0.6+2.45*1.52+2.75*4.07+1.52*2.3+1.52*1.25+0.6*1.47+(1.5*0.6+2.55*0.6+2.45*1.2+3.35*1.52+3.4*1+2.5*0.6))*10.764</f>
        <v>1088.7409259999997</v>
      </c>
      <c r="E318" s="42">
        <v>0</v>
      </c>
      <c r="F318" s="42">
        <f t="shared" ref="F318:F323" si="28">D318*(($F$235)+1)+(IF(E318&lt;101,E318,IF(E318&lt;201,E318/2,IF(E318&lt;=301,E318/3,E318/4))))</f>
        <v>1741.9854815999997</v>
      </c>
      <c r="G318" s="72" t="str">
        <f>A317</f>
        <v>1st, 3rd to 6th, 8th to 11th &amp; 13th to 16th Floor</v>
      </c>
      <c r="H318" s="73"/>
      <c r="I318" s="36"/>
      <c r="L318" s="63"/>
      <c r="M318" s="63"/>
      <c r="N318" s="36"/>
    </row>
    <row r="319" spans="1:14" s="37" customFormat="1" ht="15.75" customHeight="1" x14ac:dyDescent="0.25">
      <c r="A319" s="61">
        <f t="shared" ref="A319:A323" si="29">A318+1</f>
        <v>2</v>
      </c>
      <c r="B319" s="62"/>
      <c r="C319" s="54">
        <v>2</v>
      </c>
      <c r="D319" s="42">
        <f>(2.13*1.07+3.05*4.57+1.07*2.43+3.05*3.2+1.4*0.6+2.75*3.66+0.6*1.06+2.5*0.6+2.45*1.52+2.13*1.37+3.05*2.13+2.13*0.91+3.05*1.52+2*1.2)*10.764</f>
        <v>686.00694240000007</v>
      </c>
      <c r="E319" s="42">
        <v>0</v>
      </c>
      <c r="F319" s="42">
        <f t="shared" si="28"/>
        <v>1097.6111078400002</v>
      </c>
      <c r="G319" s="74"/>
      <c r="H319" s="75"/>
      <c r="I319" s="36"/>
      <c r="L319" s="63"/>
      <c r="M319" s="63"/>
      <c r="N319" s="36"/>
    </row>
    <row r="320" spans="1:14" s="37" customFormat="1" ht="15.75" customHeight="1" x14ac:dyDescent="0.25">
      <c r="A320" s="61">
        <f t="shared" si="29"/>
        <v>3</v>
      </c>
      <c r="B320" s="62"/>
      <c r="C320" s="54">
        <v>2</v>
      </c>
      <c r="D320" s="42">
        <f>(2.13*1.07+3.05*4.57+1.07*2.43+3.05*3.2+1.4*0.6+2.75*3.66+0.6*1.06+2.5*0.6+2.45*1.52+2.13*1.37+3.05*2.13+2.13*0.91+3.05*1.52+2*1.2)*10.764</f>
        <v>686.00694240000007</v>
      </c>
      <c r="E320" s="42">
        <v>0</v>
      </c>
      <c r="F320" s="42">
        <f t="shared" si="28"/>
        <v>1097.6111078400002</v>
      </c>
      <c r="G320" s="74"/>
      <c r="H320" s="75"/>
      <c r="I320" s="36"/>
      <c r="L320" s="63"/>
      <c r="M320" s="63"/>
      <c r="N320" s="36"/>
    </row>
    <row r="321" spans="1:14" s="37" customFormat="1" ht="15.75" customHeight="1" x14ac:dyDescent="0.25">
      <c r="A321" s="61">
        <f t="shared" si="29"/>
        <v>4</v>
      </c>
      <c r="B321" s="62"/>
      <c r="C321" s="54">
        <v>3</v>
      </c>
      <c r="D321" s="42">
        <f>(3.35*7.42+3.05*4.03+1.52*2.45+2.45*3.05+3.05*1.1+4.25*2.8+1.65*0.6+2.45*1.52+2.75*4.07+1.52*2.3+1.52*1.25+0.6*1.47+(1.5*0.6+2.55*0.6+2.45*1.2+3.35*1.52+3.4*1+2.5*0.6))*10.764</f>
        <v>1088.7409259999997</v>
      </c>
      <c r="E321" s="42">
        <v>0</v>
      </c>
      <c r="F321" s="42">
        <f t="shared" si="28"/>
        <v>1741.9854815999997</v>
      </c>
      <c r="G321" s="74"/>
      <c r="H321" s="75"/>
      <c r="I321" s="36"/>
      <c r="L321" s="63"/>
      <c r="M321" s="63"/>
      <c r="N321" s="36"/>
    </row>
    <row r="322" spans="1:14" s="37" customFormat="1" ht="15.75" customHeight="1" x14ac:dyDescent="0.25">
      <c r="A322" s="61">
        <f t="shared" si="29"/>
        <v>5</v>
      </c>
      <c r="B322" s="62"/>
      <c r="C322" s="54">
        <v>2</v>
      </c>
      <c r="D322" s="42">
        <f>(2.13*1.07+3.05*4.57+1.07*2.43+3.05*3.2+1.4*0.6+2.75*3.66+0.6*1.06+2.5*0.6+2.45*1.52+2.13*1.37+3.05*2.13+2.13*0.91+3.05*1.52+2*1.2)*10.764</f>
        <v>686.00694240000007</v>
      </c>
      <c r="E322" s="42">
        <v>0</v>
      </c>
      <c r="F322" s="42">
        <f t="shared" si="28"/>
        <v>1097.6111078400002</v>
      </c>
      <c r="G322" s="74"/>
      <c r="H322" s="75"/>
      <c r="I322" s="36"/>
      <c r="L322" s="63"/>
      <c r="M322" s="63"/>
      <c r="N322" s="36"/>
    </row>
    <row r="323" spans="1:14" s="37" customFormat="1" ht="15.75" customHeight="1" x14ac:dyDescent="0.25">
      <c r="A323" s="61">
        <f t="shared" si="29"/>
        <v>6</v>
      </c>
      <c r="B323" s="62"/>
      <c r="C323" s="54">
        <v>2</v>
      </c>
      <c r="D323" s="42">
        <f>(2.13*1.07+3.05*4.57+1.07*2.43+3.05*3.2+1.4*0.6+2.75*3.66+0.6*1.06+2.5*0.6+2.45*1.52+2.13*1.37+3.05*2.13+2.13*0.91+3.05*1.52+2*1.2)*10.764</f>
        <v>686.00694240000007</v>
      </c>
      <c r="E323" s="42">
        <v>0</v>
      </c>
      <c r="F323" s="42">
        <f t="shared" si="28"/>
        <v>1097.6111078400002</v>
      </c>
      <c r="G323" s="76"/>
      <c r="H323" s="77"/>
      <c r="I323" s="36"/>
      <c r="L323" s="63"/>
      <c r="M323" s="63"/>
      <c r="N323" s="36"/>
    </row>
    <row r="324" spans="1:14" s="37" customFormat="1" ht="15.75" customHeight="1" x14ac:dyDescent="0.25">
      <c r="A324" s="78" t="s">
        <v>178</v>
      </c>
      <c r="B324" s="79"/>
      <c r="C324" s="79"/>
      <c r="D324" s="79"/>
      <c r="E324" s="79"/>
      <c r="F324" s="79"/>
      <c r="G324" s="79"/>
      <c r="H324" s="80"/>
      <c r="J324" s="36"/>
    </row>
    <row r="325" spans="1:14" s="37" customFormat="1" ht="15.75" customHeight="1" x14ac:dyDescent="0.25">
      <c r="A325" s="61">
        <v>1</v>
      </c>
      <c r="B325" s="62"/>
      <c r="C325" s="54">
        <v>3</v>
      </c>
      <c r="D325" s="42">
        <f>(3.35*7.42+3.05*4.03+1.52*2.45+2.45*3.05+3.05*1.1+4.25*2.8+1.65*0.6+2.45*1.52+2.75*4.07+1.52*2.3+1.52*1.25+0.6*1.47+(1.5*0.6+2.55*0.6+2.45*1.2+3.35*1.52+3.4*1+2.5*0.6))*10.764</f>
        <v>1088.7409259999997</v>
      </c>
      <c r="E325" s="42">
        <v>0</v>
      </c>
      <c r="F325" s="42">
        <f>D325*(($F$235)+1)+(IF(E325&lt;101,E325,IF(E325&lt;201,E325/2,IF(E325&lt;=301,E325/3,E325/4))))</f>
        <v>1741.9854815999997</v>
      </c>
      <c r="G325" s="72" t="str">
        <f>A324</f>
        <v>2nd, 7th, 12th &amp; 17th Floor (Part Refuge Area)</v>
      </c>
      <c r="H325" s="73"/>
      <c r="I325" s="36"/>
      <c r="L325" s="63"/>
      <c r="M325" s="63"/>
      <c r="N325" s="36"/>
    </row>
    <row r="326" spans="1:14" s="37" customFormat="1" ht="15.75" customHeight="1" x14ac:dyDescent="0.25">
      <c r="A326" s="61">
        <f t="shared" ref="A326:A330" si="30">A325+1</f>
        <v>2</v>
      </c>
      <c r="B326" s="62"/>
      <c r="C326" s="54">
        <v>2</v>
      </c>
      <c r="D326" s="42">
        <f>(2.13*1.07+3.05*4.57+1.07*2.43+3.05*3.2+1.4*0.6+2.75*3.66+0.6*1.06+2.5*0.6+2.45*1.52+2.13*1.37+3.05*2.13+2.13*0.91+3.05*1.52+2*1.2)*10.764</f>
        <v>686.00694240000007</v>
      </c>
      <c r="E326" s="42">
        <v>0</v>
      </c>
      <c r="F326" s="42">
        <f>D326*(($F$235)+1)+(IF(E326&lt;101,E326,IF(E326&lt;201,E326/2,IF(E326&lt;=301,E326/3,E326/4))))</f>
        <v>1097.6111078400002</v>
      </c>
      <c r="G326" s="74"/>
      <c r="H326" s="75"/>
      <c r="I326" s="36"/>
      <c r="L326" s="63"/>
      <c r="M326" s="63"/>
      <c r="N326" s="36"/>
    </row>
    <row r="327" spans="1:14" s="37" customFormat="1" ht="15.75" customHeight="1" x14ac:dyDescent="0.25">
      <c r="A327" s="61">
        <f t="shared" si="30"/>
        <v>3</v>
      </c>
      <c r="B327" s="62"/>
      <c r="C327" s="54">
        <v>2</v>
      </c>
      <c r="D327" s="42">
        <f>(2.13*1.07+3.05*4.57+1.07*2.43+3.05*3.2+1.4*0.6+2.75*3.66+0.6*1.06+2.5*0.6+2.45*1.52+2.13*1.37+3.05*2.13+2.13*0.91+3.05*1.52+2*1.2)*10.764</f>
        <v>686.00694240000007</v>
      </c>
      <c r="E327" s="42">
        <v>0</v>
      </c>
      <c r="F327" s="42">
        <f>D327*(($F$235)+1)+(IF(E327&lt;101,E327,IF(E327&lt;201,E327/2,IF(E327&lt;=301,E327/3,E327/4))))</f>
        <v>1097.6111078400002</v>
      </c>
      <c r="G327" s="74"/>
      <c r="H327" s="75"/>
      <c r="I327" s="36"/>
      <c r="L327" s="63"/>
      <c r="M327" s="63"/>
      <c r="N327" s="36"/>
    </row>
    <row r="328" spans="1:14" s="37" customFormat="1" ht="15.75" customHeight="1" x14ac:dyDescent="0.25">
      <c r="A328" s="61">
        <f t="shared" si="30"/>
        <v>4</v>
      </c>
      <c r="B328" s="62"/>
      <c r="C328" s="54">
        <v>3</v>
      </c>
      <c r="D328" s="42">
        <f>(3.35*7.42+3.05*4.03+1.52*2.45+2.45*3.05+3.05*1.1+4.25*2.8+1.65*0.6+2.45*1.52+2.75*4.07+1.52*2.3+1.52*1.25+0.6*1.47+(1.5*0.6+2.55*0.6+2.45*1.2+3.35*1.52+3.4*1+2.5*0.6))*10.764</f>
        <v>1088.7409259999997</v>
      </c>
      <c r="E328" s="42">
        <v>0</v>
      </c>
      <c r="F328" s="42">
        <f>D328*(($F$235)+1)+(IF(E328&lt;101,E328,IF(E328&lt;201,E328/2,IF(E328&lt;=301,E328/3,E328/4))))</f>
        <v>1741.9854815999997</v>
      </c>
      <c r="G328" s="74"/>
      <c r="H328" s="75"/>
      <c r="I328" s="36"/>
      <c r="L328" s="63"/>
      <c r="M328" s="63"/>
      <c r="N328" s="36"/>
    </row>
    <row r="329" spans="1:14" s="37" customFormat="1" ht="15.75" customHeight="1" x14ac:dyDescent="0.25">
      <c r="A329" s="61">
        <f t="shared" si="30"/>
        <v>5</v>
      </c>
      <c r="B329" s="62"/>
      <c r="C329" s="81" t="s">
        <v>177</v>
      </c>
      <c r="D329" s="82"/>
      <c r="E329" s="82"/>
      <c r="F329" s="83"/>
      <c r="G329" s="74"/>
      <c r="H329" s="75"/>
      <c r="I329" s="36"/>
      <c r="L329" s="63"/>
      <c r="M329" s="63"/>
      <c r="N329" s="36"/>
    </row>
    <row r="330" spans="1:14" s="37" customFormat="1" ht="15.75" customHeight="1" x14ac:dyDescent="0.25">
      <c r="A330" s="61">
        <f t="shared" si="30"/>
        <v>6</v>
      </c>
      <c r="B330" s="62"/>
      <c r="C330" s="54">
        <v>2</v>
      </c>
      <c r="D330" s="42">
        <f>(2.13*1.07+3.05*4.57+1.07*2.43+3.05*3.2+1.4*0.6+2.75*3.66+0.6*1.06+2.5*0.6+2.45*1.52+2.13*1.37+3.05*2.13+2.13*0.91+3.05*1.52+2*1.2)*10.764</f>
        <v>686.00694240000007</v>
      </c>
      <c r="E330" s="42">
        <v>0</v>
      </c>
      <c r="F330" s="42">
        <f>D330*(($F$235)+1)+(IF(E330&lt;101,E330,IF(E330&lt;201,E330/2,IF(E330&lt;=301,E330/3,E330/4))))</f>
        <v>1097.6111078400002</v>
      </c>
      <c r="G330" s="76"/>
      <c r="H330" s="77"/>
      <c r="I330" s="36"/>
      <c r="L330" s="63"/>
      <c r="M330" s="63"/>
      <c r="N330" s="36"/>
    </row>
    <row r="331" spans="1:14" s="37" customFormat="1" x14ac:dyDescent="0.25">
      <c r="A331" s="78" t="s">
        <v>179</v>
      </c>
      <c r="B331" s="79"/>
      <c r="C331" s="79"/>
      <c r="D331" s="79"/>
      <c r="E331" s="79"/>
      <c r="F331" s="79"/>
      <c r="G331" s="79"/>
      <c r="H331" s="80"/>
      <c r="J331" s="36"/>
    </row>
    <row r="332" spans="1:14" s="37" customFormat="1" ht="15.75" customHeight="1" x14ac:dyDescent="0.25">
      <c r="A332" s="61">
        <v>1</v>
      </c>
      <c r="B332" s="62"/>
      <c r="C332" s="54">
        <v>3</v>
      </c>
      <c r="D332" s="42">
        <f>(3.35*7.42+3.05*4.03+1.52*2.45+2.45*3.05+3.05*1.1+4.25*2.8+1.65*0.6+2.45*1.52+2.75*4.07+1.52*2.3+1.52*1.25+0.6*1.47+(1.5*0.6+2.55*0.6+2.45*1.2+3.35*1.52+3.4*1+2.5*0.6))*10.764</f>
        <v>1088.7409259999997</v>
      </c>
      <c r="E332" s="42">
        <v>0</v>
      </c>
      <c r="F332" s="42">
        <f t="shared" ref="F332:F336" si="31">D332*(($F$235)+1)+(IF(E332&lt;101,E332,IF(E332&lt;201,E332/2,IF(E332&lt;=301,E332/3,E332/4))))</f>
        <v>1741.9854815999997</v>
      </c>
      <c r="G332" s="72" t="str">
        <f>A331</f>
        <v>18th to 21st, 23rd &amp; 24th Floor</v>
      </c>
      <c r="H332" s="73"/>
      <c r="I332" s="36"/>
      <c r="L332" s="63"/>
      <c r="M332" s="63"/>
      <c r="N332" s="36"/>
    </row>
    <row r="333" spans="1:14" s="37" customFormat="1" ht="15.75" customHeight="1" x14ac:dyDescent="0.25">
      <c r="A333" s="61">
        <f t="shared" ref="A333:A336" si="32">A332+1</f>
        <v>2</v>
      </c>
      <c r="B333" s="62"/>
      <c r="C333" s="54">
        <v>2</v>
      </c>
      <c r="D333" s="42">
        <f>(2.13*1.07+3.05*4.57+1.07*2.43+3.05*3.2+1.4*0.6+2.75*3.66+0.6*1.06+2.5*0.6+2.45*1.52+2.13*1.37+3.05*2.13+2.13*0.91+3.05*1.52+2*1.2)*10.764</f>
        <v>686.00694240000007</v>
      </c>
      <c r="E333" s="42">
        <v>0</v>
      </c>
      <c r="F333" s="42">
        <f t="shared" si="31"/>
        <v>1097.6111078400002</v>
      </c>
      <c r="G333" s="74"/>
      <c r="H333" s="75"/>
      <c r="I333" s="36"/>
      <c r="L333" s="63"/>
      <c r="M333" s="63"/>
      <c r="N333" s="36"/>
    </row>
    <row r="334" spans="1:14" s="37" customFormat="1" ht="15.75" customHeight="1" x14ac:dyDescent="0.25">
      <c r="A334" s="61">
        <f t="shared" si="32"/>
        <v>3</v>
      </c>
      <c r="B334" s="62"/>
      <c r="C334" s="54">
        <v>2</v>
      </c>
      <c r="D334" s="42">
        <f>(2.13*1.07+3.05*4.57+1.07*2.43+3.05*3.2+1.4*0.6+2.75*3.66+0.6*1.06+2.5*0.6+2.45*1.52+2.13*1.37+3.05*2.13+2.13*0.91+3.05*1.52+2*1.2)*10.764</f>
        <v>686.00694240000007</v>
      </c>
      <c r="E334" s="42">
        <v>0</v>
      </c>
      <c r="F334" s="42">
        <f t="shared" si="31"/>
        <v>1097.6111078400002</v>
      </c>
      <c r="G334" s="74"/>
      <c r="H334" s="75"/>
      <c r="I334" s="36"/>
      <c r="L334" s="63"/>
      <c r="M334" s="63"/>
      <c r="N334" s="36"/>
    </row>
    <row r="335" spans="1:14" s="37" customFormat="1" ht="15.75" customHeight="1" x14ac:dyDescent="0.25">
      <c r="A335" s="61">
        <f t="shared" si="32"/>
        <v>4</v>
      </c>
      <c r="B335" s="62"/>
      <c r="C335" s="54">
        <v>3</v>
      </c>
      <c r="D335" s="42">
        <f>(3.35*7.42+3.05*4.03+1.52*2.45+2.45*3.05+3.05*1.1+4.25*2.8+1.65*0.6+2.45*1.52+2.75*4.07+1.52*2.3+1.52*1.25+0.6*1.47+(1.5*0.6+2.55*0.6+2.45*1.2+3.35*1.52+3.4*1+2.5*0.6))*10.764</f>
        <v>1088.7409259999997</v>
      </c>
      <c r="E335" s="42">
        <v>0</v>
      </c>
      <c r="F335" s="42">
        <f t="shared" si="31"/>
        <v>1741.9854815999997</v>
      </c>
      <c r="G335" s="74"/>
      <c r="H335" s="75"/>
      <c r="I335" s="36"/>
      <c r="L335" s="63"/>
      <c r="M335" s="63"/>
      <c r="N335" s="36"/>
    </row>
    <row r="336" spans="1:14" s="37" customFormat="1" ht="15.75" customHeight="1" x14ac:dyDescent="0.25">
      <c r="A336" s="61">
        <f t="shared" si="32"/>
        <v>5</v>
      </c>
      <c r="B336" s="62"/>
      <c r="C336" s="54">
        <v>4</v>
      </c>
      <c r="D336" s="42">
        <f>(4.58*5.85+1.07*3.8+2.13*1.37+2.45*1.52+2.75*4.26+2.4*0.6+1.66*0.6+3.35*1+3.05*3.2+3.05*0.91+1.4*0.6+1.52*2.45+3.05*3.2+1.5*0.6+2.75*4.26+2.4*0.6+1.66*0.6+2.45*1.52+1.1*1.42+2.13*1.37+2.59*3.65+1.5*1.2+4.8*0.91+4.58*1.97)*10.764</f>
        <v>1396.7452512000002</v>
      </c>
      <c r="E336" s="42">
        <v>0</v>
      </c>
      <c r="F336" s="42">
        <f t="shared" si="31"/>
        <v>2234.7924019200004</v>
      </c>
      <c r="G336" s="74"/>
      <c r="H336" s="75"/>
      <c r="I336" s="36"/>
      <c r="L336" s="63"/>
      <c r="M336" s="63"/>
      <c r="N336" s="36"/>
    </row>
    <row r="337" spans="1:14" s="37" customFormat="1" ht="15.75" customHeight="1" x14ac:dyDescent="0.25">
      <c r="A337" s="78" t="s">
        <v>180</v>
      </c>
      <c r="B337" s="79"/>
      <c r="C337" s="79"/>
      <c r="D337" s="79"/>
      <c r="E337" s="79"/>
      <c r="F337" s="79"/>
      <c r="G337" s="79"/>
      <c r="H337" s="80"/>
      <c r="J337" s="36"/>
    </row>
    <row r="338" spans="1:14" s="37" customFormat="1" ht="15.75" customHeight="1" x14ac:dyDescent="0.25">
      <c r="A338" s="61">
        <v>1</v>
      </c>
      <c r="B338" s="62"/>
      <c r="C338" s="54">
        <v>3</v>
      </c>
      <c r="D338" s="42">
        <f>(3.35*7.42+3.05*4.03+1.52*2.45+2.45*3.05+3.05*1.1+4.25*2.8+1.65*0.6+2.45*1.52+2.75*4.07+1.52*2.3+1.52*1.25+0.6*1.47+(1.5*0.6+2.55*0.6+2.45*1.2+3.35*1.52+3.4*1+2.5*0.6))*10.764</f>
        <v>1088.7409259999997</v>
      </c>
      <c r="E338" s="42">
        <v>0</v>
      </c>
      <c r="F338" s="42">
        <f>D338*(($F$235)+1)+(IF(E338&lt;101,E338,IF(E338&lt;201,E338/2,IF(E338&lt;=301,E338/3,E338/4))))</f>
        <v>1741.9854815999997</v>
      </c>
      <c r="G338" s="72" t="str">
        <f>A337</f>
        <v>22nd Floor (Part Refuge Area)</v>
      </c>
      <c r="H338" s="73"/>
      <c r="I338" s="36"/>
      <c r="L338" s="63"/>
      <c r="M338" s="63"/>
      <c r="N338" s="36"/>
    </row>
    <row r="339" spans="1:14" s="37" customFormat="1" ht="15.75" customHeight="1" x14ac:dyDescent="0.25">
      <c r="A339" s="61">
        <f t="shared" ref="A339:A343" si="33">A338+1</f>
        <v>2</v>
      </c>
      <c r="B339" s="62"/>
      <c r="C339" s="54">
        <v>2</v>
      </c>
      <c r="D339" s="42">
        <f>(2.13*1.07+3.05*4.57+1.07*2.43+3.05*3.2+1.4*0.6+2.75*3.66+0.6*1.06+2.5*0.6+2.45*1.52+2.13*1.37+3.05*2.13+2.13*0.91+3.05*1.52+2*1.2)*10.764</f>
        <v>686.00694240000007</v>
      </c>
      <c r="E339" s="42">
        <v>0</v>
      </c>
      <c r="F339" s="42">
        <f>D339*(($F$235)+1)+(IF(E339&lt;101,E339,IF(E339&lt;201,E339/2,IF(E339&lt;=301,E339/3,E339/4))))</f>
        <v>1097.6111078400002</v>
      </c>
      <c r="G339" s="74"/>
      <c r="H339" s="75"/>
      <c r="I339" s="36"/>
      <c r="L339" s="63"/>
      <c r="M339" s="63"/>
      <c r="N339" s="36"/>
    </row>
    <row r="340" spans="1:14" s="37" customFormat="1" ht="15.75" customHeight="1" x14ac:dyDescent="0.25">
      <c r="A340" s="61">
        <f t="shared" si="33"/>
        <v>3</v>
      </c>
      <c r="B340" s="62"/>
      <c r="C340" s="54">
        <v>2</v>
      </c>
      <c r="D340" s="42">
        <f>(2.13*1.07+3.05*4.57+1.07*2.43+3.05*3.2+1.4*0.6+2.75*3.66+0.6*1.06+2.5*0.6+2.45*1.52+2.13*1.37+3.05*2.13+2.13*0.91+3.05*1.52+2*1.2)*10.764</f>
        <v>686.00694240000007</v>
      </c>
      <c r="E340" s="42">
        <v>0</v>
      </c>
      <c r="F340" s="42">
        <f>D340*(($F$235)+1)+(IF(E340&lt;101,E340,IF(E340&lt;201,E340/2,IF(E340&lt;=301,E340/3,E340/4))))</f>
        <v>1097.6111078400002</v>
      </c>
      <c r="G340" s="74"/>
      <c r="H340" s="75"/>
      <c r="I340" s="36"/>
      <c r="L340" s="63"/>
      <c r="M340" s="63"/>
      <c r="N340" s="36"/>
    </row>
    <row r="341" spans="1:14" s="37" customFormat="1" ht="15.75" customHeight="1" x14ac:dyDescent="0.25">
      <c r="A341" s="61">
        <f t="shared" si="33"/>
        <v>4</v>
      </c>
      <c r="B341" s="62"/>
      <c r="C341" s="54">
        <v>3</v>
      </c>
      <c r="D341" s="42">
        <f>(3.35*7.42+3.05*4.03+1.52*2.45+2.45*3.05+3.05*1.1+4.25*2.8+1.65*0.6+2.45*1.52+2.75*4.07+1.52*2.3+1.52*1.25+0.6*1.47+(1.5*0.6+2.55*0.6+2.45*1.2+3.35*1.52+3.4*1+2.5*0.6))*10.764</f>
        <v>1088.7409259999997</v>
      </c>
      <c r="E341" s="42">
        <v>0</v>
      </c>
      <c r="F341" s="42">
        <f>D341*(($F$235)+1)+(IF(E341&lt;101,E341,IF(E341&lt;201,E341/2,IF(E341&lt;=301,E341/3,E341/4))))</f>
        <v>1741.9854815999997</v>
      </c>
      <c r="G341" s="74"/>
      <c r="H341" s="75"/>
      <c r="I341" s="36"/>
      <c r="L341" s="63"/>
      <c r="M341" s="63"/>
      <c r="N341" s="36"/>
    </row>
    <row r="342" spans="1:14" s="37" customFormat="1" ht="15.75" customHeight="1" x14ac:dyDescent="0.25">
      <c r="A342" s="61">
        <f t="shared" si="33"/>
        <v>5</v>
      </c>
      <c r="B342" s="62"/>
      <c r="C342" s="81" t="s">
        <v>177</v>
      </c>
      <c r="D342" s="82"/>
      <c r="E342" s="82"/>
      <c r="F342" s="83"/>
      <c r="G342" s="74"/>
      <c r="H342" s="75"/>
      <c r="I342" s="36"/>
      <c r="L342" s="63"/>
      <c r="M342" s="63"/>
      <c r="N342" s="36"/>
    </row>
    <row r="343" spans="1:14" s="37" customFormat="1" ht="15.75" customHeight="1" x14ac:dyDescent="0.25">
      <c r="A343" s="61">
        <f t="shared" si="33"/>
        <v>6</v>
      </c>
      <c r="B343" s="62"/>
      <c r="C343" s="54">
        <v>2</v>
      </c>
      <c r="D343" s="42">
        <f>(2.13*1.07+3.05*4.57+1.07*2.43+3.05*3.2+1.4*0.6+2.75*3.66+0.6*1.06+2.5*0.6+2.45*1.52+2.13*1.37+3.05*2.13+2.13*0.91+3.05*1.52+2*1.2)*10.764</f>
        <v>686.00694240000007</v>
      </c>
      <c r="E343" s="42">
        <v>0</v>
      </c>
      <c r="F343" s="42">
        <f>D343*(($F$235)+1)+(IF(E343&lt;101,E343,IF(E343&lt;201,E343/2,IF(E343&lt;=301,E343/3,E343/4))))</f>
        <v>1097.6111078400002</v>
      </c>
      <c r="G343" s="76"/>
      <c r="H343" s="77"/>
      <c r="I343" s="36"/>
      <c r="L343" s="63"/>
      <c r="M343" s="63"/>
      <c r="N343" s="36"/>
    </row>
    <row r="344" spans="1:14" s="37" customFormat="1" x14ac:dyDescent="0.25">
      <c r="A344" s="78" t="s">
        <v>233</v>
      </c>
      <c r="B344" s="79"/>
      <c r="C344" s="79"/>
      <c r="D344" s="79"/>
      <c r="E344" s="79"/>
      <c r="F344" s="79"/>
      <c r="G344" s="79"/>
      <c r="H344" s="80"/>
      <c r="J344" s="36"/>
    </row>
    <row r="345" spans="1:14" s="37" customFormat="1" x14ac:dyDescent="0.25">
      <c r="A345" s="78" t="s">
        <v>235</v>
      </c>
      <c r="B345" s="79"/>
      <c r="C345" s="79"/>
      <c r="D345" s="79"/>
      <c r="E345" s="79"/>
      <c r="F345" s="79"/>
      <c r="G345" s="79"/>
      <c r="H345" s="80"/>
      <c r="J345" s="36"/>
    </row>
    <row r="346" spans="1:14" s="37" customFormat="1" x14ac:dyDescent="0.25">
      <c r="A346" s="78" t="s">
        <v>236</v>
      </c>
      <c r="B346" s="79"/>
      <c r="C346" s="79"/>
      <c r="D346" s="79"/>
      <c r="E346" s="79"/>
      <c r="F346" s="79"/>
      <c r="G346" s="79"/>
      <c r="H346" s="80"/>
      <c r="J346" s="36"/>
    </row>
    <row r="347" spans="1:14" s="37" customFormat="1" x14ac:dyDescent="0.25">
      <c r="A347" s="78" t="s">
        <v>237</v>
      </c>
      <c r="B347" s="79"/>
      <c r="C347" s="79"/>
      <c r="D347" s="79"/>
      <c r="E347" s="79"/>
      <c r="F347" s="79"/>
      <c r="G347" s="79"/>
      <c r="H347" s="80"/>
      <c r="J347" s="36"/>
    </row>
    <row r="348" spans="1:14" s="37" customFormat="1" ht="15.75" customHeight="1" x14ac:dyDescent="0.25">
      <c r="A348" s="61">
        <v>1</v>
      </c>
      <c r="B348" s="62"/>
      <c r="C348" s="54">
        <v>3</v>
      </c>
      <c r="D348" s="42">
        <f>(3.35*7.42+3.05*4.03+1.52*2.45+2.45*3.05+3.05*1.1+4.25*2.75+1.68*0.6+2.45*1.52+2.75*4.07+1.52*2.45+1.6*1.25+0.6*1.53+(1.5*0.6+2.55*0.6+2.45*1.2+3.35*1.52+3.4*1.02+2.5*0.6))*10.764</f>
        <v>1091.297376</v>
      </c>
      <c r="E348" s="42">
        <v>0</v>
      </c>
      <c r="F348" s="42">
        <f t="shared" ref="F348:F353" si="34">D348*(($F$235)+1)+(IF(E348&lt;101,E348,IF(E348&lt;201,E348/2,IF(E348&lt;=301,E348/3,E348/4))))</f>
        <v>1746.0758016</v>
      </c>
      <c r="G348" s="72" t="str">
        <f>A347</f>
        <v>5th Floor For Residential</v>
      </c>
      <c r="H348" s="73"/>
      <c r="I348" s="36"/>
      <c r="L348" s="63"/>
      <c r="M348" s="63"/>
      <c r="N348" s="36"/>
    </row>
    <row r="349" spans="1:14" s="37" customFormat="1" ht="15.75" customHeight="1" x14ac:dyDescent="0.25">
      <c r="A349" s="61">
        <f t="shared" ref="A349:A353" si="35">A348+1</f>
        <v>2</v>
      </c>
      <c r="B349" s="62"/>
      <c r="C349" s="54">
        <v>2</v>
      </c>
      <c r="D349" s="42">
        <f>(2.48*1.07+3.05*4.57+1.07*2.43+3.05*3.2+1.4*0.6+2.75*3.66+0.6*1.12+2.5*0.6+2.45*1.52+2.13*1.37+3.05*2.13+2.13*0.91+3.05*1.32+1.11*1+2*1.2)*10.764</f>
        <v>695.80756439999993</v>
      </c>
      <c r="E349" s="42">
        <v>0</v>
      </c>
      <c r="F349" s="42">
        <f t="shared" si="34"/>
        <v>1113.29210304</v>
      </c>
      <c r="G349" s="74"/>
      <c r="H349" s="75"/>
      <c r="I349" s="36"/>
      <c r="L349" s="63"/>
      <c r="M349" s="63"/>
      <c r="N349" s="36"/>
    </row>
    <row r="350" spans="1:14" s="37" customFormat="1" ht="15.75" customHeight="1" x14ac:dyDescent="0.25">
      <c r="A350" s="61">
        <f t="shared" si="35"/>
        <v>3</v>
      </c>
      <c r="B350" s="62"/>
      <c r="C350" s="54">
        <v>2</v>
      </c>
      <c r="D350" s="42">
        <f>(2.48*1.07+3.05*4.57+1.07*2.43+3.05*3.2+1.4*0.6+2.75*3.66+0.6*1.12+2.5*0.6+2.45*1.52+2.13*1.37+3.05*2.13+2.13*0.91+3.05*1.32+1.11*1+2*1.2)*10.764</f>
        <v>695.80756439999993</v>
      </c>
      <c r="E350" s="42">
        <v>0</v>
      </c>
      <c r="F350" s="42">
        <f t="shared" si="34"/>
        <v>1113.29210304</v>
      </c>
      <c r="G350" s="74"/>
      <c r="H350" s="75"/>
      <c r="I350" s="36"/>
      <c r="L350" s="63"/>
      <c r="M350" s="63"/>
      <c r="N350" s="36"/>
    </row>
    <row r="351" spans="1:14" s="37" customFormat="1" ht="15.75" customHeight="1" x14ac:dyDescent="0.25">
      <c r="A351" s="61">
        <f t="shared" si="35"/>
        <v>4</v>
      </c>
      <c r="B351" s="62"/>
      <c r="C351" s="54">
        <v>3</v>
      </c>
      <c r="D351" s="42">
        <f>(3.35*7.42+3.05*4.03+1.52*2.45+2.45*3.05+3.05*1.1+4.25*2.75+1.68*0.6+2.45*1.52+2.75*4.07+1.52*2.45+1.6*1.25+0.6*1.53+(1.5*0.6+2.55*0.6+2.45*1.2+3.35*1.52+3.4*1.02+2.5*0.6))*10.764</f>
        <v>1091.297376</v>
      </c>
      <c r="E351" s="42">
        <v>0</v>
      </c>
      <c r="F351" s="42">
        <f t="shared" si="34"/>
        <v>1746.0758016</v>
      </c>
      <c r="G351" s="74"/>
      <c r="H351" s="75"/>
      <c r="I351" s="36"/>
      <c r="L351" s="63"/>
      <c r="M351" s="63"/>
      <c r="N351" s="36"/>
    </row>
    <row r="352" spans="1:14" s="37" customFormat="1" ht="15.75" customHeight="1" x14ac:dyDescent="0.25">
      <c r="A352" s="61">
        <f t="shared" si="35"/>
        <v>5</v>
      </c>
      <c r="B352" s="62"/>
      <c r="C352" s="54">
        <v>2</v>
      </c>
      <c r="D352" s="42">
        <f t="shared" ref="D352:D353" si="36">(2.48*1.07+3.05*4.57+1.07*2.43+3.05*3.2+1.4*0.6+2.75*3.66+0.6*1.12+2.5*0.6+2.45*1.52+2.13*1.37+3.05*2.13+2.13*0.91+3.05*1.32+1.11*1+2*1.2)*10.764</f>
        <v>695.80756439999993</v>
      </c>
      <c r="E352" s="42">
        <v>0</v>
      </c>
      <c r="F352" s="42">
        <f t="shared" si="34"/>
        <v>1113.29210304</v>
      </c>
      <c r="G352" s="74"/>
      <c r="H352" s="75"/>
      <c r="I352" s="36"/>
      <c r="L352" s="63"/>
      <c r="M352" s="63"/>
      <c r="N352" s="36"/>
    </row>
    <row r="353" spans="1:14" s="37" customFormat="1" ht="15.75" customHeight="1" x14ac:dyDescent="0.25">
      <c r="A353" s="61">
        <f t="shared" si="35"/>
        <v>6</v>
      </c>
      <c r="B353" s="62"/>
      <c r="C353" s="54">
        <v>2</v>
      </c>
      <c r="D353" s="42">
        <f t="shared" si="36"/>
        <v>695.80756439999993</v>
      </c>
      <c r="E353" s="42">
        <v>0</v>
      </c>
      <c r="F353" s="42">
        <f t="shared" si="34"/>
        <v>1113.29210304</v>
      </c>
      <c r="G353" s="76"/>
      <c r="H353" s="77"/>
      <c r="I353" s="36"/>
      <c r="L353" s="63"/>
      <c r="M353" s="63"/>
      <c r="N353" s="36"/>
    </row>
    <row r="354" spans="1:14" s="37" customFormat="1" x14ac:dyDescent="0.25">
      <c r="A354" s="78" t="s">
        <v>238</v>
      </c>
      <c r="B354" s="79"/>
      <c r="C354" s="79"/>
      <c r="D354" s="79"/>
      <c r="E354" s="79"/>
      <c r="F354" s="79"/>
      <c r="G354" s="79"/>
      <c r="H354" s="80"/>
      <c r="J354" s="36"/>
    </row>
    <row r="355" spans="1:14" s="37" customFormat="1" ht="15.75" customHeight="1" x14ac:dyDescent="0.25">
      <c r="A355" s="61">
        <v>1</v>
      </c>
      <c r="B355" s="62"/>
      <c r="C355" s="54">
        <v>3</v>
      </c>
      <c r="D355" s="42">
        <f>(3.35*7.42+3.05*4.03+1.52*2.45+2.45*3.05+3.05*1.1+4.25*2.75+1.68*0.6+2.45*1.52+2.75*4.07+1.52*2.45+1.6*1.25+0.6*1.53+(1.5*0.6+2.55*0.6+2.45*1.2+3.35*1.52+3.4*1.02+2.5*0.6))*10.764</f>
        <v>1091.297376</v>
      </c>
      <c r="E355" s="42">
        <v>0</v>
      </c>
      <c r="F355" s="42">
        <f>D355*(($F$235)+1)+(IF(E355&lt;101,E355,IF(E355&lt;201,E355/2,IF(E355&lt;=301,E355/3,E355/4))))</f>
        <v>1746.0758016</v>
      </c>
      <c r="G355" s="72" t="str">
        <f>A354</f>
        <v>6th, 11th &amp; 16th Floor (Part Refuge Area)</v>
      </c>
      <c r="H355" s="73"/>
      <c r="I355" s="36"/>
      <c r="L355" s="63"/>
      <c r="M355" s="63"/>
      <c r="N355" s="36"/>
    </row>
    <row r="356" spans="1:14" s="37" customFormat="1" ht="15.75" customHeight="1" x14ac:dyDescent="0.25">
      <c r="A356" s="61">
        <f t="shared" ref="A356:A360" si="37">A355+1</f>
        <v>2</v>
      </c>
      <c r="B356" s="62"/>
      <c r="C356" s="54">
        <v>2</v>
      </c>
      <c r="D356" s="42">
        <f>(2.48*1.07+3.05*4.57+1.07*2.43+3.05*3.2+1.4*0.6+2.75*3.66+0.6*1.12+2.5*0.6+2.45*1.52+2.13*1.37+3.05*2.13+2.13*0.91+3.05*1.32+1.11*1+2*1.2)*10.764</f>
        <v>695.80756439999993</v>
      </c>
      <c r="E356" s="42">
        <v>0</v>
      </c>
      <c r="F356" s="42">
        <f>D356*(($F$235)+1)+(IF(E356&lt;101,E356,IF(E356&lt;201,E356/2,IF(E356&lt;=301,E356/3,E356/4))))</f>
        <v>1113.29210304</v>
      </c>
      <c r="G356" s="74"/>
      <c r="H356" s="75"/>
      <c r="I356" s="36"/>
      <c r="L356" s="63"/>
      <c r="M356" s="63"/>
      <c r="N356" s="36"/>
    </row>
    <row r="357" spans="1:14" s="37" customFormat="1" ht="15.75" customHeight="1" x14ac:dyDescent="0.25">
      <c r="A357" s="61">
        <f t="shared" si="37"/>
        <v>3</v>
      </c>
      <c r="B357" s="62"/>
      <c r="C357" s="54">
        <v>2</v>
      </c>
      <c r="D357" s="42">
        <f>(2.48*1.07+3.05*4.57+1.07*2.43+3.05*3.2+1.4*0.6+2.75*3.66+0.6*1.12+2.5*0.6+2.45*1.52+2.13*1.37+3.05*2.13+2.13*0.91+3.05*1.32+1.11*1+2*1.2)*10.764</f>
        <v>695.80756439999993</v>
      </c>
      <c r="E357" s="42">
        <v>0</v>
      </c>
      <c r="F357" s="42">
        <f>D357*(($F$235)+1)+(IF(E357&lt;101,E357,IF(E357&lt;201,E357/2,IF(E357&lt;=301,E357/3,E357/4))))</f>
        <v>1113.29210304</v>
      </c>
      <c r="G357" s="74"/>
      <c r="H357" s="75"/>
      <c r="I357" s="36"/>
      <c r="L357" s="63"/>
      <c r="M357" s="63"/>
      <c r="N357" s="36"/>
    </row>
    <row r="358" spans="1:14" s="37" customFormat="1" ht="15.75" customHeight="1" x14ac:dyDescent="0.25">
      <c r="A358" s="61">
        <f t="shared" si="37"/>
        <v>4</v>
      </c>
      <c r="B358" s="62"/>
      <c r="C358" s="54">
        <v>3</v>
      </c>
      <c r="D358" s="42">
        <f>(3.35*7.42+3.05*4.03+1.52*2.45+2.45*3.05+3.05*1.1+4.25*2.75+1.68*0.6+2.45*1.52+2.75*4.07+1.52*2.45+1.6*1.25+0.6*1.53+(1.5*0.6+2.55*0.6+2.45*1.2+3.35*1.52+3.4*1.02+2.5*0.6))*10.764</f>
        <v>1091.297376</v>
      </c>
      <c r="E358" s="42">
        <v>0</v>
      </c>
      <c r="F358" s="42">
        <f>D358*(($F$235)+1)+(IF(E358&lt;101,E358,IF(E358&lt;201,E358/2,IF(E358&lt;=301,E358/3,E358/4))))</f>
        <v>1746.0758016</v>
      </c>
      <c r="G358" s="74"/>
      <c r="H358" s="75"/>
      <c r="I358" s="36"/>
      <c r="L358" s="63"/>
      <c r="M358" s="63"/>
      <c r="N358" s="36"/>
    </row>
    <row r="359" spans="1:14" s="37" customFormat="1" ht="15.75" customHeight="1" x14ac:dyDescent="0.25">
      <c r="A359" s="61">
        <f t="shared" si="37"/>
        <v>5</v>
      </c>
      <c r="B359" s="62"/>
      <c r="C359" s="54">
        <v>2</v>
      </c>
      <c r="D359" s="42">
        <f t="shared" ref="D359" si="38">(2.48*1.07+3.05*4.57+1.07*2.43+3.05*3.2+1.4*0.6+2.75*3.66+0.6*1.12+2.5*0.6+2.45*1.52+2.13*1.37+3.05*2.13+2.13*0.91+3.05*1.32+1.11*1+2*1.2)*10.764</f>
        <v>695.80756439999993</v>
      </c>
      <c r="E359" s="42">
        <v>0</v>
      </c>
      <c r="F359" s="42">
        <f>D359*(($F$235)+1)+(IF(E359&lt;101,E359,IF(E359&lt;201,E359/2,IF(E359&lt;=301,E359/3,E359/4))))</f>
        <v>1113.29210304</v>
      </c>
      <c r="G359" s="74"/>
      <c r="H359" s="75"/>
      <c r="I359" s="36"/>
      <c r="L359" s="63"/>
      <c r="M359" s="63"/>
      <c r="N359" s="36"/>
    </row>
    <row r="360" spans="1:14" s="37" customFormat="1" ht="15.75" customHeight="1" x14ac:dyDescent="0.25">
      <c r="A360" s="61">
        <f t="shared" si="37"/>
        <v>6</v>
      </c>
      <c r="B360" s="62"/>
      <c r="C360" s="81" t="s">
        <v>177</v>
      </c>
      <c r="D360" s="82"/>
      <c r="E360" s="82"/>
      <c r="F360" s="83"/>
      <c r="G360" s="76"/>
      <c r="H360" s="77"/>
      <c r="I360" s="36"/>
      <c r="L360" s="63"/>
      <c r="M360" s="63"/>
      <c r="N360" s="36"/>
    </row>
    <row r="361" spans="1:14" s="37" customFormat="1" x14ac:dyDescent="0.25">
      <c r="A361" s="78" t="s">
        <v>239</v>
      </c>
      <c r="B361" s="79"/>
      <c r="C361" s="79"/>
      <c r="D361" s="79"/>
      <c r="E361" s="79"/>
      <c r="F361" s="79"/>
      <c r="G361" s="79"/>
      <c r="H361" s="80"/>
      <c r="J361" s="36"/>
    </row>
    <row r="362" spans="1:14" s="37" customFormat="1" ht="15.75" customHeight="1" x14ac:dyDescent="0.25">
      <c r="A362" s="61">
        <v>1</v>
      </c>
      <c r="B362" s="62"/>
      <c r="C362" s="54">
        <v>3</v>
      </c>
      <c r="D362" s="42">
        <f>(3.35*7.42+3.05*4.03+1.52*2.45+2.45*3.05+3.05*1.1+4.25*2.75+1.68*0.6+2.45*1.52+2.75*4.07+1.52*2.45+1.6*1.25+0.6*1.53+(1.5*0.6+2.55*0.6+2.45*1.2+3.35*1.52+3.4*1.02+2.5*0.6))*10.764</f>
        <v>1091.297376</v>
      </c>
      <c r="E362" s="42">
        <v>0</v>
      </c>
      <c r="F362" s="42">
        <f t="shared" ref="F362:F367" si="39">D362*(($F$235)+1)+(IF(E362&lt;101,E362,IF(E362&lt;201,E362/2,IF(E362&lt;=301,E362/3,E362/4))))</f>
        <v>1746.0758016</v>
      </c>
      <c r="G362" s="72" t="str">
        <f>A361</f>
        <v>7th to 10th, 12th to 15th Floor</v>
      </c>
      <c r="H362" s="73"/>
      <c r="I362" s="36"/>
      <c r="L362" s="63"/>
      <c r="M362" s="63"/>
      <c r="N362" s="36"/>
    </row>
    <row r="363" spans="1:14" s="37" customFormat="1" ht="15.75" customHeight="1" x14ac:dyDescent="0.25">
      <c r="A363" s="61">
        <f t="shared" ref="A363:A367" si="40">A362+1</f>
        <v>2</v>
      </c>
      <c r="B363" s="62"/>
      <c r="C363" s="54">
        <v>2</v>
      </c>
      <c r="D363" s="42">
        <f>(2.48*1.07+3.05*4.57+1.07*2.43+3.05*3.2+1.4*0.6+2.75*3.66+0.6*1.12+2.5*0.6+2.45*1.52+2.13*1.37+3.05*2.13+2.13*0.91+3.05*1.32+1.11*1+2*1.2)*10.764</f>
        <v>695.80756439999993</v>
      </c>
      <c r="E363" s="42">
        <v>0</v>
      </c>
      <c r="F363" s="42">
        <f t="shared" si="39"/>
        <v>1113.29210304</v>
      </c>
      <c r="G363" s="74"/>
      <c r="H363" s="75"/>
      <c r="I363" s="36"/>
      <c r="L363" s="63"/>
      <c r="M363" s="63"/>
      <c r="N363" s="36"/>
    </row>
    <row r="364" spans="1:14" s="37" customFormat="1" ht="15.75" customHeight="1" x14ac:dyDescent="0.25">
      <c r="A364" s="61">
        <f t="shared" si="40"/>
        <v>3</v>
      </c>
      <c r="B364" s="62"/>
      <c r="C364" s="54">
        <v>2</v>
      </c>
      <c r="D364" s="42">
        <f>(2.48*1.07+3.05*4.57+1.07*2.43+3.05*3.2+1.4*0.6+2.75*3.66+0.6*1.12+2.5*0.6+2.45*1.52+2.13*1.37+3.05*2.13+2.13*0.91+3.05*1.32+1.11*1+2*1.2)*10.764</f>
        <v>695.80756439999993</v>
      </c>
      <c r="E364" s="42">
        <v>0</v>
      </c>
      <c r="F364" s="42">
        <f t="shared" si="39"/>
        <v>1113.29210304</v>
      </c>
      <c r="G364" s="74"/>
      <c r="H364" s="75"/>
      <c r="I364" s="36"/>
      <c r="L364" s="63"/>
      <c r="M364" s="63"/>
      <c r="N364" s="36"/>
    </row>
    <row r="365" spans="1:14" s="37" customFormat="1" ht="15.75" customHeight="1" x14ac:dyDescent="0.25">
      <c r="A365" s="61">
        <f t="shared" si="40"/>
        <v>4</v>
      </c>
      <c r="B365" s="62"/>
      <c r="C365" s="54">
        <v>3</v>
      </c>
      <c r="D365" s="42">
        <f>(3.35*7.42+3.05*4.03+1.52*2.45+2.45*3.05+3.05*1.1+4.25*2.75+1.68*0.6+2.45*1.52+2.75*4.07+1.52*2.45+1.6*1.25+0.6*1.53+(1.5*0.6+2.55*0.6+2.45*1.2+3.35*1.52+3.4*1.02+2.5*0.6))*10.764</f>
        <v>1091.297376</v>
      </c>
      <c r="E365" s="42">
        <v>0</v>
      </c>
      <c r="F365" s="42">
        <f t="shared" si="39"/>
        <v>1746.0758016</v>
      </c>
      <c r="G365" s="74"/>
      <c r="H365" s="75"/>
      <c r="I365" s="36"/>
      <c r="L365" s="63"/>
      <c r="M365" s="63"/>
      <c r="N365" s="36"/>
    </row>
    <row r="366" spans="1:14" s="37" customFormat="1" ht="15.75" customHeight="1" x14ac:dyDescent="0.25">
      <c r="A366" s="61">
        <f t="shared" si="40"/>
        <v>5</v>
      </c>
      <c r="B366" s="62"/>
      <c r="C366" s="54">
        <v>2</v>
      </c>
      <c r="D366" s="42">
        <f t="shared" ref="D366:D367" si="41">(2.48*1.07+3.05*4.57+1.07*2.43+3.05*3.2+1.4*0.6+2.75*3.66+0.6*1.12+2.5*0.6+2.45*1.52+2.13*1.37+3.05*2.13+2.13*0.91+3.05*1.32+1.11*1+2*1.2)*10.764</f>
        <v>695.80756439999993</v>
      </c>
      <c r="E366" s="42">
        <v>0</v>
      </c>
      <c r="F366" s="42">
        <f t="shared" si="39"/>
        <v>1113.29210304</v>
      </c>
      <c r="G366" s="74"/>
      <c r="H366" s="75"/>
      <c r="I366" s="36"/>
      <c r="L366" s="63"/>
      <c r="M366" s="63"/>
      <c r="N366" s="36"/>
    </row>
    <row r="367" spans="1:14" s="37" customFormat="1" ht="15.75" customHeight="1" x14ac:dyDescent="0.25">
      <c r="A367" s="61">
        <f t="shared" si="40"/>
        <v>6</v>
      </c>
      <c r="B367" s="62"/>
      <c r="C367" s="54">
        <v>2</v>
      </c>
      <c r="D367" s="42">
        <f t="shared" si="41"/>
        <v>695.80756439999993</v>
      </c>
      <c r="E367" s="42">
        <v>0</v>
      </c>
      <c r="F367" s="42">
        <f t="shared" si="39"/>
        <v>1113.29210304</v>
      </c>
      <c r="G367" s="76"/>
      <c r="H367" s="77"/>
      <c r="I367" s="36"/>
      <c r="L367" s="63"/>
      <c r="M367" s="63"/>
      <c r="N367" s="36"/>
    </row>
    <row r="368" spans="1:14" s="37" customFormat="1" x14ac:dyDescent="0.25">
      <c r="A368" s="78" t="s">
        <v>250</v>
      </c>
      <c r="B368" s="79"/>
      <c r="C368" s="79"/>
      <c r="D368" s="79"/>
      <c r="E368" s="79"/>
      <c r="F368" s="79"/>
      <c r="G368" s="79"/>
      <c r="H368" s="80"/>
      <c r="J368" s="36"/>
    </row>
    <row r="369" spans="1:14" s="37" customFormat="1" ht="15.75" customHeight="1" x14ac:dyDescent="0.25">
      <c r="A369" s="61">
        <v>1</v>
      </c>
      <c r="B369" s="62"/>
      <c r="C369" s="54">
        <v>3</v>
      </c>
      <c r="D369" s="42">
        <f>(3.35*7.42+3.05*4.03+1.52*2.45+2.45*3.05+3.05*1.1+4.25*2.75+1.68*0.6+2.45*1.52+2.75*4.07+1.52*2.45+1.6*1.25+0.6*1.53+(1.5*0.6+2.55*0.6+2.45*1.2+3.35*1.52+3.4*1.02+2.5*0.6))*10.764</f>
        <v>1091.297376</v>
      </c>
      <c r="E369" s="42">
        <v>0</v>
      </c>
      <c r="F369" s="42">
        <f>D369*(($F$235)+1)+(IF(E369&lt;101,E369,IF(E369&lt;201,E369/2,IF(E369&lt;=301,E369/3,E369/4))))</f>
        <v>1746.0758016</v>
      </c>
      <c r="G369" s="72" t="str">
        <f>A368</f>
        <v>21st &amp; 26th Floor  (Part Refuge Area)</v>
      </c>
      <c r="H369" s="73"/>
      <c r="I369" s="36"/>
      <c r="L369" s="63"/>
      <c r="M369" s="63"/>
      <c r="N369" s="36"/>
    </row>
    <row r="370" spans="1:14" s="37" customFormat="1" ht="15.75" customHeight="1" x14ac:dyDescent="0.25">
      <c r="A370" s="61">
        <f t="shared" ref="A370:A374" si="42">A369+1</f>
        <v>2</v>
      </c>
      <c r="B370" s="62"/>
      <c r="C370" s="54">
        <v>2</v>
      </c>
      <c r="D370" s="42">
        <f>(2.48*1.07+3.05*4.57+1.07*2.43+3.05*3.2+1.4*0.6+2.75*3.66+0.6*1.12+2.5*0.6+2.45*1.52+2.13*1.37+3.05*2.13+2.13*0.91+3.05*1.32+1.11*1+2*1.2)*10.764</f>
        <v>695.80756439999993</v>
      </c>
      <c r="E370" s="42">
        <v>0</v>
      </c>
      <c r="F370" s="42">
        <f>D370*(($F$235)+1)+(IF(E370&lt;101,E370,IF(E370&lt;201,E370/2,IF(E370&lt;=301,E370/3,E370/4))))</f>
        <v>1113.29210304</v>
      </c>
      <c r="G370" s="74"/>
      <c r="H370" s="75"/>
      <c r="I370" s="36"/>
      <c r="L370" s="63"/>
      <c r="M370" s="63"/>
      <c r="N370" s="36"/>
    </row>
    <row r="371" spans="1:14" s="37" customFormat="1" ht="15.75" customHeight="1" x14ac:dyDescent="0.25">
      <c r="A371" s="61">
        <f t="shared" si="42"/>
        <v>3</v>
      </c>
      <c r="B371" s="62"/>
      <c r="C371" s="54">
        <v>2</v>
      </c>
      <c r="D371" s="42">
        <f>(2.48*1.07+3.05*4.57+1.07*2.43+3.05*3.2+1.4*0.6+2.75*3.66+0.6*1.12+2.5*0.6+2.45*1.52+2.13*1.37+3.05*2.13+2.13*0.91+3.05*1.32+1.11*1+2*1.2)*10.764</f>
        <v>695.80756439999993</v>
      </c>
      <c r="E371" s="42">
        <v>0</v>
      </c>
      <c r="F371" s="42">
        <f>D371*(($F$235)+1)+(IF(E371&lt;101,E371,IF(E371&lt;201,E371/2,IF(E371&lt;=301,E371/3,E371/4))))</f>
        <v>1113.29210304</v>
      </c>
      <c r="G371" s="74"/>
      <c r="H371" s="75"/>
      <c r="I371" s="36"/>
      <c r="L371" s="63"/>
      <c r="M371" s="63"/>
      <c r="N371" s="36"/>
    </row>
    <row r="372" spans="1:14" s="37" customFormat="1" ht="15.75" customHeight="1" x14ac:dyDescent="0.25">
      <c r="A372" s="61">
        <f t="shared" si="42"/>
        <v>4</v>
      </c>
      <c r="B372" s="62"/>
      <c r="C372" s="54">
        <v>3</v>
      </c>
      <c r="D372" s="42">
        <f>(3.35*7.42+3.05*4.03+1.52*2.45+2.45*3.05+3.05*1.1+4.25*2.75+1.68*0.6+2.45*1.52+2.75*4.07+1.52*2.45+1.6*1.25+0.6*1.53+(1.5*0.6+2.55*0.6+2.45*1.2+3.35*1.52+3.4*1.02+2.5*0.6))*10.764</f>
        <v>1091.297376</v>
      </c>
      <c r="E372" s="42">
        <v>0</v>
      </c>
      <c r="F372" s="42">
        <f>D372*(($F$235)+1)+(IF(E372&lt;101,E372,IF(E372&lt;201,E372/2,IF(E372&lt;=301,E372/3,E372/4))))</f>
        <v>1746.0758016</v>
      </c>
      <c r="G372" s="74"/>
      <c r="H372" s="75"/>
      <c r="I372" s="36"/>
      <c r="L372" s="63"/>
      <c r="M372" s="63"/>
      <c r="N372" s="36"/>
    </row>
    <row r="373" spans="1:14" s="37" customFormat="1" ht="15.75" customHeight="1" x14ac:dyDescent="0.25">
      <c r="A373" s="61">
        <f t="shared" si="42"/>
        <v>5</v>
      </c>
      <c r="B373" s="62"/>
      <c r="C373" s="54">
        <v>2</v>
      </c>
      <c r="D373" s="42">
        <f>(2.48*1.07+3.05*4.57+1.07*2.43+3.05*3.51+1.4*0.6+2.75*4.26+0.6*1.72+2.5*0.6+2.45*1.52+2.13*1.37+3.05*2.13+2.13*0.91+3.05*1.97+3.35*1+2*1.22)*10.764</f>
        <v>773.50211639999998</v>
      </c>
      <c r="E373" s="42">
        <v>0</v>
      </c>
      <c r="F373" s="42">
        <f>D373*(($F$235)+1)+(IF(E373&lt;101,E373,IF(E373&lt;201,E373/2,IF(E373&lt;=301,E373/3,E373/4))))</f>
        <v>1237.60338624</v>
      </c>
      <c r="G373" s="74"/>
      <c r="H373" s="75"/>
      <c r="I373" s="36"/>
      <c r="L373" s="63"/>
      <c r="M373" s="63"/>
      <c r="N373" s="36"/>
    </row>
    <row r="374" spans="1:14" s="37" customFormat="1" ht="15.75" customHeight="1" x14ac:dyDescent="0.25">
      <c r="A374" s="61">
        <f t="shared" si="42"/>
        <v>6</v>
      </c>
      <c r="B374" s="62"/>
      <c r="C374" s="81" t="s">
        <v>177</v>
      </c>
      <c r="D374" s="82"/>
      <c r="E374" s="82"/>
      <c r="F374" s="83"/>
      <c r="G374" s="76"/>
      <c r="H374" s="77"/>
      <c r="I374" s="36"/>
      <c r="L374" s="63"/>
      <c r="M374" s="63"/>
      <c r="N374" s="36"/>
    </row>
    <row r="375" spans="1:14" s="37" customFormat="1" x14ac:dyDescent="0.25">
      <c r="A375" s="78" t="s">
        <v>240</v>
      </c>
      <c r="B375" s="79"/>
      <c r="C375" s="79"/>
      <c r="D375" s="79"/>
      <c r="E375" s="79"/>
      <c r="F375" s="79"/>
      <c r="G375" s="79"/>
      <c r="H375" s="80"/>
      <c r="J375" s="36"/>
    </row>
    <row r="376" spans="1:14" s="37" customFormat="1" ht="15.75" customHeight="1" x14ac:dyDescent="0.25">
      <c r="A376" s="61">
        <v>1</v>
      </c>
      <c r="B376" s="62"/>
      <c r="C376" s="54">
        <v>3</v>
      </c>
      <c r="D376" s="42">
        <f>(3.35*7.42+3.05*4.03+1.52*2.45+2.45*3.05+3.05*1.1+4.25*2.75+1.68*0.6+2.45*1.52+2.75*4.07+1.52*2.45+1.6*1.25+0.6*1.53+(1.5*0.6+2.55*0.6+2.45*1.2+3.35*1.52+3.4*1.02+2.5*0.6))*10.764</f>
        <v>1091.297376</v>
      </c>
      <c r="E376" s="42">
        <v>0</v>
      </c>
      <c r="F376" s="42">
        <f t="shared" ref="F376:F380" si="43">D376*(($F$235)+1)+(IF(E376&lt;101,E376,IF(E376&lt;201,E376/2,IF(E376&lt;=301,E376/3,E376/4))))</f>
        <v>1746.0758016</v>
      </c>
      <c r="G376" s="72" t="str">
        <f>A375</f>
        <v>17th to 20th, 22nd to 25th, 27th &amp; 28th Floor</v>
      </c>
      <c r="H376" s="73"/>
      <c r="I376" s="36"/>
      <c r="L376" s="63"/>
      <c r="M376" s="63"/>
      <c r="N376" s="36"/>
    </row>
    <row r="377" spans="1:14" s="37" customFormat="1" ht="15.75" customHeight="1" x14ac:dyDescent="0.25">
      <c r="A377" s="61">
        <f t="shared" ref="A377:A380" si="44">A376+1</f>
        <v>2</v>
      </c>
      <c r="B377" s="62"/>
      <c r="C377" s="54">
        <v>2</v>
      </c>
      <c r="D377" s="42">
        <f>(2.48*1.07+3.05*4.57+1.07*2.43+3.05*3.2+1.4*0.6+2.75*3.66+0.6*1.12+2.5*0.6+2.45*1.52+2.13*1.37+3.05*2.13+2.13*0.91+3.05*1.32+1.11*1+2*1.2)*10.764</f>
        <v>695.80756439999993</v>
      </c>
      <c r="E377" s="42">
        <v>0</v>
      </c>
      <c r="F377" s="42">
        <f t="shared" si="43"/>
        <v>1113.29210304</v>
      </c>
      <c r="G377" s="74"/>
      <c r="H377" s="75"/>
      <c r="I377" s="36"/>
      <c r="L377" s="63"/>
      <c r="M377" s="63"/>
      <c r="N377" s="36"/>
    </row>
    <row r="378" spans="1:14" s="37" customFormat="1" ht="15.75" customHeight="1" x14ac:dyDescent="0.25">
      <c r="A378" s="61">
        <f t="shared" si="44"/>
        <v>3</v>
      </c>
      <c r="B378" s="62"/>
      <c r="C378" s="54">
        <v>2</v>
      </c>
      <c r="D378" s="42">
        <f>(2.48*1.07+3.05*4.57+1.07*2.43+3.05*3.2+1.4*0.6+2.75*3.66+0.6*1.12+2.5*0.6+2.45*1.52+2.13*1.37+3.05*2.13+2.13*0.91+3.05*1.32+1.11*1+2*1.2)*10.764</f>
        <v>695.80756439999993</v>
      </c>
      <c r="E378" s="42">
        <v>0</v>
      </c>
      <c r="F378" s="42">
        <f t="shared" si="43"/>
        <v>1113.29210304</v>
      </c>
      <c r="G378" s="74"/>
      <c r="H378" s="75"/>
      <c r="I378" s="36"/>
      <c r="L378" s="63"/>
      <c r="M378" s="63"/>
      <c r="N378" s="36"/>
    </row>
    <row r="379" spans="1:14" s="37" customFormat="1" ht="15.75" customHeight="1" x14ac:dyDescent="0.25">
      <c r="A379" s="61">
        <f t="shared" si="44"/>
        <v>4</v>
      </c>
      <c r="B379" s="62"/>
      <c r="C379" s="54">
        <v>3</v>
      </c>
      <c r="D379" s="42">
        <f>(3.35*7.42+3.05*4.03+1.52*2.45+2.45*3.05+3.05*1.1+4.25*2.75+1.68*0.6+2.45*1.52+2.75*4.07+1.52*2.45+1.6*1.25+0.6*1.53+(1.5*0.6+2.55*0.6+2.45*1.2+3.35*1.52+3.4*1.02+2.5*0.6))*10.764</f>
        <v>1091.297376</v>
      </c>
      <c r="E379" s="42">
        <v>0</v>
      </c>
      <c r="F379" s="42">
        <f t="shared" si="43"/>
        <v>1746.0758016</v>
      </c>
      <c r="G379" s="74"/>
      <c r="H379" s="75"/>
      <c r="I379" s="36"/>
      <c r="L379" s="63"/>
      <c r="M379" s="63"/>
      <c r="N379" s="36"/>
    </row>
    <row r="380" spans="1:14" s="37" customFormat="1" ht="15.75" customHeight="1" x14ac:dyDescent="0.25">
      <c r="A380" s="61">
        <f t="shared" si="44"/>
        <v>5</v>
      </c>
      <c r="B380" s="62"/>
      <c r="C380" s="54">
        <v>4</v>
      </c>
      <c r="D380" s="42">
        <f>(4.58*6.85+1.07*3.65+2.59*3.65+2.13*1.37+1.1*1.42+2.45*1.52+2.75*4.26+0.6*1.72+3.05*3.51+2.45*1.52+5.2*0.91+3.05*3.51+2.75*4.26+0.6*1.72+2.45*1.52+2.13*1.37+3.05*0.91+0.6*(2.5+1.5+1.5+2.5)+2*1.22+3.35*1+4.58*1.97+2.75*1)*10.764</f>
        <v>1507.7920572</v>
      </c>
      <c r="E380" s="42">
        <v>0</v>
      </c>
      <c r="F380" s="42">
        <f t="shared" si="43"/>
        <v>2412.4672915200003</v>
      </c>
      <c r="G380" s="74"/>
      <c r="H380" s="75"/>
      <c r="I380" s="36"/>
      <c r="L380" s="63"/>
      <c r="M380" s="63"/>
      <c r="N380" s="36"/>
    </row>
    <row r="381" spans="1:14" s="37" customFormat="1" x14ac:dyDescent="0.25">
      <c r="A381" s="78" t="s">
        <v>242</v>
      </c>
      <c r="B381" s="79"/>
      <c r="C381" s="79"/>
      <c r="D381" s="79"/>
      <c r="E381" s="79"/>
      <c r="F381" s="79"/>
      <c r="G381" s="79"/>
      <c r="H381" s="80"/>
      <c r="J381" s="36"/>
    </row>
    <row r="382" spans="1:14" s="37" customFormat="1" x14ac:dyDescent="0.25">
      <c r="A382" s="78" t="s">
        <v>248</v>
      </c>
      <c r="B382" s="79"/>
      <c r="C382" s="79"/>
      <c r="D382" s="79"/>
      <c r="E382" s="79"/>
      <c r="F382" s="79"/>
      <c r="G382" s="79"/>
      <c r="H382" s="80"/>
      <c r="J382" s="36"/>
    </row>
    <row r="383" spans="1:14" s="37" customFormat="1" x14ac:dyDescent="0.25">
      <c r="A383" s="78" t="s">
        <v>235</v>
      </c>
      <c r="B383" s="79"/>
      <c r="C383" s="79"/>
      <c r="D383" s="79"/>
      <c r="E383" s="79"/>
      <c r="F383" s="79"/>
      <c r="G383" s="79"/>
      <c r="H383" s="80"/>
      <c r="J383" s="36"/>
    </row>
    <row r="384" spans="1:14" s="37" customFormat="1" x14ac:dyDescent="0.25">
      <c r="A384" s="78" t="s">
        <v>236</v>
      </c>
      <c r="B384" s="79"/>
      <c r="C384" s="79"/>
      <c r="D384" s="79"/>
      <c r="E384" s="79"/>
      <c r="F384" s="79"/>
      <c r="G384" s="79"/>
      <c r="H384" s="80"/>
      <c r="J384" s="36"/>
    </row>
    <row r="385" spans="1:14" s="37" customFormat="1" x14ac:dyDescent="0.25">
      <c r="A385" s="78" t="s">
        <v>237</v>
      </c>
      <c r="B385" s="79"/>
      <c r="C385" s="79"/>
      <c r="D385" s="79"/>
      <c r="E385" s="79"/>
      <c r="F385" s="79"/>
      <c r="G385" s="79"/>
      <c r="H385" s="80"/>
      <c r="J385" s="36"/>
    </row>
    <row r="386" spans="1:14" s="37" customFormat="1" ht="15.75" customHeight="1" x14ac:dyDescent="0.25">
      <c r="A386" s="61">
        <v>1</v>
      </c>
      <c r="B386" s="62"/>
      <c r="C386" s="54">
        <v>3</v>
      </c>
      <c r="D386" s="42">
        <f>(3.35*7.42+3.05*4.03+1.52*2.45+2.45*3.05+3.05*1.1+4.25*2.75+1.68*0.6+2.45*1.52+2.75*4.07+1.52*2.45+1.6*1.25+0.6*1.53+(1.5*0.6+2.55*0.6+2.45*1.2+3.35*1.52+3.4*1.02+2.5*0.6))*10.764</f>
        <v>1091.297376</v>
      </c>
      <c r="E386" s="42">
        <v>0</v>
      </c>
      <c r="F386" s="42">
        <f t="shared" ref="F386:F391" si="45">D386*(($F$235)+1)+(IF(E386&lt;101,E386,IF(E386&lt;201,E386/2,IF(E386&lt;=301,E386/3,E386/4))))</f>
        <v>1746.0758016</v>
      </c>
      <c r="G386" s="72" t="str">
        <f>A385</f>
        <v>5th Floor For Residential</v>
      </c>
      <c r="H386" s="73"/>
      <c r="I386" s="36"/>
      <c r="L386" s="63"/>
      <c r="M386" s="63"/>
      <c r="N386" s="36"/>
    </row>
    <row r="387" spans="1:14" s="37" customFormat="1" ht="15.75" customHeight="1" x14ac:dyDescent="0.25">
      <c r="A387" s="61">
        <f t="shared" ref="A387:A391" si="46">A386+1</f>
        <v>2</v>
      </c>
      <c r="B387" s="62"/>
      <c r="C387" s="54">
        <v>2</v>
      </c>
      <c r="D387" s="42">
        <f>(2.48*1.07+3.05*4.57+1.07*2.43+3.05*3.2+1.4*0.6+2.75*3.66+0.6*1.12+2.5*0.6+2.45*1.52+2.13*1.37+3.05*2.13+2.13*0.91+3.05*1.32+1.11*1+2*1.2)*10.764</f>
        <v>695.80756439999993</v>
      </c>
      <c r="E387" s="42">
        <v>0</v>
      </c>
      <c r="F387" s="42">
        <f t="shared" si="45"/>
        <v>1113.29210304</v>
      </c>
      <c r="G387" s="74"/>
      <c r="H387" s="75"/>
      <c r="I387" s="36"/>
      <c r="L387" s="63"/>
      <c r="M387" s="63"/>
      <c r="N387" s="36"/>
    </row>
    <row r="388" spans="1:14" s="37" customFormat="1" ht="15.75" customHeight="1" x14ac:dyDescent="0.25">
      <c r="A388" s="61">
        <f t="shared" si="46"/>
        <v>3</v>
      </c>
      <c r="B388" s="62"/>
      <c r="C388" s="54">
        <v>2</v>
      </c>
      <c r="D388" s="42">
        <f>(2.48*1.07+3.05*4.57+1.07*2.43+3.05*3.2+1.4*0.6+2.75*3.66+0.6*1.12+2.5*0.6+2.45*1.52+2.13*1.37+3.05*2.13+2.13*0.91+3.05*1.32+1.11*1+2*1.2)*10.764</f>
        <v>695.80756439999993</v>
      </c>
      <c r="E388" s="42">
        <v>0</v>
      </c>
      <c r="F388" s="42">
        <f t="shared" si="45"/>
        <v>1113.29210304</v>
      </c>
      <c r="G388" s="74"/>
      <c r="H388" s="75"/>
      <c r="I388" s="36"/>
      <c r="L388" s="63"/>
      <c r="M388" s="63"/>
      <c r="N388" s="36"/>
    </row>
    <row r="389" spans="1:14" s="37" customFormat="1" ht="15.75" customHeight="1" x14ac:dyDescent="0.25">
      <c r="A389" s="61">
        <f t="shared" si="46"/>
        <v>4</v>
      </c>
      <c r="B389" s="62"/>
      <c r="C389" s="54">
        <v>3</v>
      </c>
      <c r="D389" s="42">
        <f>(3.35*7.42+3.05*4.03+1.52*2.45+2.45*3.05+3.05*1.1+4.25*2.75+1.68*0.6+2.45*1.52+2.75*4.07+1.52*2.45+1.6*1.25+0.6*1.53+(1.5*0.6+2.55*0.6+2.45*1.2+3.35*1.52+3.4*1.02+2.5*0.6))*10.764</f>
        <v>1091.297376</v>
      </c>
      <c r="E389" s="42">
        <v>0</v>
      </c>
      <c r="F389" s="42">
        <f t="shared" si="45"/>
        <v>1746.0758016</v>
      </c>
      <c r="G389" s="74"/>
      <c r="H389" s="75"/>
      <c r="I389" s="36"/>
      <c r="L389" s="63"/>
      <c r="M389" s="63"/>
      <c r="N389" s="36"/>
    </row>
    <row r="390" spans="1:14" s="37" customFormat="1" ht="15.75" customHeight="1" x14ac:dyDescent="0.25">
      <c r="A390" s="61">
        <f t="shared" si="46"/>
        <v>5</v>
      </c>
      <c r="B390" s="62"/>
      <c r="C390" s="54">
        <v>2</v>
      </c>
      <c r="D390" s="42">
        <f t="shared" ref="D390:D391" si="47">(2.48*1.07+3.05*4.57+1.07*2.43+3.05*3.2+1.4*0.6+2.75*3.66+0.6*1.12+2.5*0.6+2.45*1.52+2.13*1.37+3.05*2.13+2.13*0.91+3.05*1.32+1.11*1+2*1.2)*10.764</f>
        <v>695.80756439999993</v>
      </c>
      <c r="E390" s="42">
        <v>0</v>
      </c>
      <c r="F390" s="42">
        <f t="shared" si="45"/>
        <v>1113.29210304</v>
      </c>
      <c r="G390" s="74"/>
      <c r="H390" s="75"/>
      <c r="I390" s="36"/>
      <c r="L390" s="63"/>
      <c r="M390" s="63"/>
      <c r="N390" s="36"/>
    </row>
    <row r="391" spans="1:14" s="37" customFormat="1" ht="15.75" customHeight="1" x14ac:dyDescent="0.25">
      <c r="A391" s="61">
        <f t="shared" si="46"/>
        <v>6</v>
      </c>
      <c r="B391" s="62"/>
      <c r="C391" s="54">
        <v>2</v>
      </c>
      <c r="D391" s="42">
        <f t="shared" si="47"/>
        <v>695.80756439999993</v>
      </c>
      <c r="E391" s="42">
        <v>0</v>
      </c>
      <c r="F391" s="42">
        <f t="shared" si="45"/>
        <v>1113.29210304</v>
      </c>
      <c r="G391" s="76"/>
      <c r="H391" s="77"/>
      <c r="I391" s="36"/>
      <c r="L391" s="63"/>
      <c r="M391" s="63"/>
      <c r="N391" s="36"/>
    </row>
    <row r="392" spans="1:14" s="37" customFormat="1" x14ac:dyDescent="0.25">
      <c r="A392" s="78" t="s">
        <v>238</v>
      </c>
      <c r="B392" s="79"/>
      <c r="C392" s="79"/>
      <c r="D392" s="79"/>
      <c r="E392" s="79"/>
      <c r="F392" s="79"/>
      <c r="G392" s="79"/>
      <c r="H392" s="80"/>
      <c r="J392" s="36"/>
    </row>
    <row r="393" spans="1:14" s="37" customFormat="1" ht="15.75" customHeight="1" x14ac:dyDescent="0.25">
      <c r="A393" s="61">
        <v>1</v>
      </c>
      <c r="B393" s="62"/>
      <c r="C393" s="54">
        <v>3</v>
      </c>
      <c r="D393" s="42">
        <f>(3.35*7.42+3.05*4.03+1.52*2.45+2.45*3.05+3.05*1.1+4.25*2.75+1.68*0.6+2.45*1.52+2.75*4.07+1.52*2.45+1.6*1.25+0.6*1.53+(1.5*0.6+2.55*0.6+2.45*1.2+3.35*1.52+3.4*1.02+2.5*0.6))*10.764</f>
        <v>1091.297376</v>
      </c>
      <c r="E393" s="42">
        <v>0</v>
      </c>
      <c r="F393" s="42">
        <f t="shared" ref="F393:F397" si="48">D393*(($F$235)+1)+(IF(E393&lt;101,E393,IF(E393&lt;201,E393/2,IF(E393&lt;=301,E393/3,E393/4))))</f>
        <v>1746.0758016</v>
      </c>
      <c r="G393" s="72" t="str">
        <f>A392</f>
        <v>6th, 11th &amp; 16th Floor (Part Refuge Area)</v>
      </c>
      <c r="H393" s="73"/>
      <c r="I393" s="36"/>
      <c r="L393" s="63"/>
      <c r="M393" s="63"/>
      <c r="N393" s="36"/>
    </row>
    <row r="394" spans="1:14" s="37" customFormat="1" ht="15.75" customHeight="1" x14ac:dyDescent="0.25">
      <c r="A394" s="61">
        <f t="shared" ref="A394:A398" si="49">A393+1</f>
        <v>2</v>
      </c>
      <c r="B394" s="62"/>
      <c r="C394" s="54">
        <v>2</v>
      </c>
      <c r="D394" s="42">
        <f>(2.48*1.07+3.05*4.57+1.07*2.43+3.05*3.2+1.4*0.6+2.75*3.66+0.6*1.12+2.5*0.6+2.45*1.52+2.13*1.37+3.05*2.13+2.13*0.91+3.05*1.32+1.11*1+2*1.2)*10.764</f>
        <v>695.80756439999993</v>
      </c>
      <c r="E394" s="42">
        <v>0</v>
      </c>
      <c r="F394" s="42">
        <f t="shared" si="48"/>
        <v>1113.29210304</v>
      </c>
      <c r="G394" s="74"/>
      <c r="H394" s="75"/>
      <c r="I394" s="36"/>
      <c r="L394" s="63"/>
      <c r="M394" s="63"/>
      <c r="N394" s="36"/>
    </row>
    <row r="395" spans="1:14" s="37" customFormat="1" ht="15.75" customHeight="1" x14ac:dyDescent="0.25">
      <c r="A395" s="61">
        <f t="shared" si="49"/>
        <v>3</v>
      </c>
      <c r="B395" s="62"/>
      <c r="C395" s="54">
        <v>2</v>
      </c>
      <c r="D395" s="42">
        <f>(2.48*1.07+3.05*4.57+1.07*2.43+3.05*3.2+1.4*0.6+2.75*3.66+0.6*1.12+2.5*0.6+2.45*1.52+2.13*1.37+3.05*2.13+2.13*0.91+3.05*1.32+1.11*1+2*1.2)*10.764</f>
        <v>695.80756439999993</v>
      </c>
      <c r="E395" s="42">
        <v>0</v>
      </c>
      <c r="F395" s="42">
        <f t="shared" si="48"/>
        <v>1113.29210304</v>
      </c>
      <c r="G395" s="74"/>
      <c r="H395" s="75"/>
      <c r="I395" s="36"/>
      <c r="L395" s="63"/>
      <c r="M395" s="63"/>
      <c r="N395" s="36"/>
    </row>
    <row r="396" spans="1:14" s="37" customFormat="1" ht="15.75" customHeight="1" x14ac:dyDescent="0.25">
      <c r="A396" s="61">
        <f t="shared" si="49"/>
        <v>4</v>
      </c>
      <c r="B396" s="62"/>
      <c r="C396" s="54">
        <v>3</v>
      </c>
      <c r="D396" s="42">
        <f>(3.35*7.42+3.05*4.03+1.52*2.45+2.45*3.05+3.05*1.1+4.25*2.75+1.68*0.6+2.45*1.52+2.75*4.07+1.52*2.45+1.6*1.25+0.6*1.53+(1.5*0.6+2.55*0.6+2.45*1.2+3.35*1.52+3.4*1.02+2.5*0.6))*10.764</f>
        <v>1091.297376</v>
      </c>
      <c r="E396" s="42">
        <v>0</v>
      </c>
      <c r="F396" s="42">
        <f t="shared" si="48"/>
        <v>1746.0758016</v>
      </c>
      <c r="G396" s="74"/>
      <c r="H396" s="75"/>
      <c r="I396" s="36"/>
      <c r="L396" s="63"/>
      <c r="M396" s="63"/>
      <c r="N396" s="36"/>
    </row>
    <row r="397" spans="1:14" s="37" customFormat="1" ht="15.75" customHeight="1" x14ac:dyDescent="0.25">
      <c r="A397" s="61">
        <f t="shared" si="49"/>
        <v>5</v>
      </c>
      <c r="B397" s="62"/>
      <c r="C397" s="54">
        <v>2</v>
      </c>
      <c r="D397" s="42">
        <f t="shared" ref="D397" si="50">(2.48*1.07+3.05*4.57+1.07*2.43+3.05*3.2+1.4*0.6+2.75*3.66+0.6*1.12+2.5*0.6+2.45*1.52+2.13*1.37+3.05*2.13+2.13*0.91+3.05*1.32+1.11*1+2*1.2)*10.764</f>
        <v>695.80756439999993</v>
      </c>
      <c r="E397" s="42">
        <v>0</v>
      </c>
      <c r="F397" s="42">
        <f t="shared" si="48"/>
        <v>1113.29210304</v>
      </c>
      <c r="G397" s="74"/>
      <c r="H397" s="75"/>
      <c r="I397" s="36"/>
      <c r="L397" s="63"/>
      <c r="M397" s="63"/>
      <c r="N397" s="36"/>
    </row>
    <row r="398" spans="1:14" s="37" customFormat="1" ht="15.75" customHeight="1" x14ac:dyDescent="0.25">
      <c r="A398" s="61">
        <f t="shared" si="49"/>
        <v>6</v>
      </c>
      <c r="B398" s="62"/>
      <c r="C398" s="81" t="s">
        <v>177</v>
      </c>
      <c r="D398" s="82"/>
      <c r="E398" s="82"/>
      <c r="F398" s="83"/>
      <c r="G398" s="76"/>
      <c r="H398" s="77"/>
      <c r="I398" s="36"/>
      <c r="L398" s="63"/>
      <c r="M398" s="63"/>
      <c r="N398" s="36"/>
    </row>
    <row r="399" spans="1:14" s="37" customFormat="1" x14ac:dyDescent="0.25">
      <c r="A399" s="78" t="s">
        <v>239</v>
      </c>
      <c r="B399" s="79"/>
      <c r="C399" s="79"/>
      <c r="D399" s="79"/>
      <c r="E399" s="79"/>
      <c r="F399" s="79"/>
      <c r="G399" s="79"/>
      <c r="H399" s="80"/>
      <c r="J399" s="36"/>
    </row>
    <row r="400" spans="1:14" s="37" customFormat="1" ht="15.75" customHeight="1" x14ac:dyDescent="0.25">
      <c r="A400" s="61">
        <v>1</v>
      </c>
      <c r="B400" s="62"/>
      <c r="C400" s="54">
        <v>3</v>
      </c>
      <c r="D400" s="42">
        <f>(3.35*7.42+3.05*4.03+1.52*2.45+2.45*3.05+3.05*1.1+4.25*2.75+1.68*0.6+2.45*1.52+2.75*4.07+1.52*2.45+1.6*1.25+0.6*1.53+(1.5*0.6+2.55*0.6+2.45*1.2+3.35*1.52+3.4*1.02+2.5*0.6))*10.764</f>
        <v>1091.297376</v>
      </c>
      <c r="E400" s="42">
        <v>0</v>
      </c>
      <c r="F400" s="42">
        <f t="shared" ref="F400:F405" si="51">D400*(($F$235)+1)+(IF(E400&lt;101,E400,IF(E400&lt;201,E400/2,IF(E400&lt;=301,E400/3,E400/4))))</f>
        <v>1746.0758016</v>
      </c>
      <c r="G400" s="72" t="str">
        <f>A399</f>
        <v>7th to 10th, 12th to 15th Floor</v>
      </c>
      <c r="H400" s="73"/>
      <c r="I400" s="36"/>
      <c r="L400" s="63"/>
      <c r="M400" s="63"/>
      <c r="N400" s="36"/>
    </row>
    <row r="401" spans="1:14" s="37" customFormat="1" ht="15.75" customHeight="1" x14ac:dyDescent="0.25">
      <c r="A401" s="61">
        <f t="shared" ref="A401:A405" si="52">A400+1</f>
        <v>2</v>
      </c>
      <c r="B401" s="62"/>
      <c r="C401" s="54">
        <v>2</v>
      </c>
      <c r="D401" s="42">
        <f>(2.48*1.07+3.05*4.57+1.07*2.43+3.05*3.2+1.4*0.6+2.75*3.66+0.6*1.12+2.5*0.6+2.45*1.52+2.13*1.37+3.05*2.13+2.13*0.91+3.05*1.32+1.11*1+2*1.2)*10.764</f>
        <v>695.80756439999993</v>
      </c>
      <c r="E401" s="42">
        <v>0</v>
      </c>
      <c r="F401" s="42">
        <f t="shared" si="51"/>
        <v>1113.29210304</v>
      </c>
      <c r="G401" s="74"/>
      <c r="H401" s="75"/>
      <c r="I401" s="36"/>
      <c r="L401" s="63"/>
      <c r="M401" s="63"/>
      <c r="N401" s="36"/>
    </row>
    <row r="402" spans="1:14" s="37" customFormat="1" ht="15.75" customHeight="1" x14ac:dyDescent="0.25">
      <c r="A402" s="61">
        <f t="shared" si="52"/>
        <v>3</v>
      </c>
      <c r="B402" s="62"/>
      <c r="C402" s="54">
        <v>2</v>
      </c>
      <c r="D402" s="42">
        <f>(2.48*1.07+3.05*4.57+1.07*2.43+3.05*3.2+1.4*0.6+2.75*3.66+0.6*1.12+2.5*0.6+2.45*1.52+2.13*1.37+3.05*2.13+2.13*0.91+3.05*1.32+1.11*1+2*1.2)*10.764</f>
        <v>695.80756439999993</v>
      </c>
      <c r="E402" s="42">
        <v>0</v>
      </c>
      <c r="F402" s="42">
        <f t="shared" si="51"/>
        <v>1113.29210304</v>
      </c>
      <c r="G402" s="74"/>
      <c r="H402" s="75"/>
      <c r="I402" s="36"/>
      <c r="L402" s="63"/>
      <c r="M402" s="63"/>
      <c r="N402" s="36"/>
    </row>
    <row r="403" spans="1:14" s="37" customFormat="1" ht="15.75" customHeight="1" x14ac:dyDescent="0.25">
      <c r="A403" s="61">
        <f t="shared" si="52"/>
        <v>4</v>
      </c>
      <c r="B403" s="62"/>
      <c r="C403" s="54">
        <v>3</v>
      </c>
      <c r="D403" s="42">
        <f>(3.35*7.42+3.05*4.03+1.52*2.45+2.45*3.05+3.05*1.1+4.25*2.75+1.68*0.6+2.45*1.52+2.75*4.07+1.52*2.45+1.6*1.25+0.6*1.53+(1.5*0.6+2.55*0.6+2.45*1.2+3.35*1.52+3.4*1.02+2.5*0.6))*10.764</f>
        <v>1091.297376</v>
      </c>
      <c r="E403" s="42">
        <v>0</v>
      </c>
      <c r="F403" s="42">
        <f t="shared" si="51"/>
        <v>1746.0758016</v>
      </c>
      <c r="G403" s="74"/>
      <c r="H403" s="75"/>
      <c r="I403" s="36"/>
      <c r="L403" s="63"/>
      <c r="M403" s="63"/>
      <c r="N403" s="36"/>
    </row>
    <row r="404" spans="1:14" s="37" customFormat="1" ht="15.75" customHeight="1" x14ac:dyDescent="0.25">
      <c r="A404" s="61">
        <f t="shared" si="52"/>
        <v>5</v>
      </c>
      <c r="B404" s="62"/>
      <c r="C404" s="54">
        <v>2</v>
      </c>
      <c r="D404" s="42">
        <f t="shared" ref="D404:D405" si="53">(2.48*1.07+3.05*4.57+1.07*2.43+3.05*3.2+1.4*0.6+2.75*3.66+0.6*1.12+2.5*0.6+2.45*1.52+2.13*1.37+3.05*2.13+2.13*0.91+3.05*1.32+1.11*1+2*1.2)*10.764</f>
        <v>695.80756439999993</v>
      </c>
      <c r="E404" s="42">
        <v>0</v>
      </c>
      <c r="F404" s="42">
        <f t="shared" si="51"/>
        <v>1113.29210304</v>
      </c>
      <c r="G404" s="74"/>
      <c r="H404" s="75"/>
      <c r="I404" s="36"/>
      <c r="L404" s="63"/>
      <c r="M404" s="63"/>
      <c r="N404" s="36"/>
    </row>
    <row r="405" spans="1:14" s="37" customFormat="1" ht="15.75" customHeight="1" x14ac:dyDescent="0.25">
      <c r="A405" s="61">
        <f t="shared" si="52"/>
        <v>6</v>
      </c>
      <c r="B405" s="62"/>
      <c r="C405" s="54">
        <v>2</v>
      </c>
      <c r="D405" s="42">
        <f t="shared" si="53"/>
        <v>695.80756439999993</v>
      </c>
      <c r="E405" s="42">
        <v>0</v>
      </c>
      <c r="F405" s="42">
        <f t="shared" si="51"/>
        <v>1113.29210304</v>
      </c>
      <c r="G405" s="76"/>
      <c r="H405" s="77"/>
      <c r="I405" s="36"/>
      <c r="L405" s="63"/>
      <c r="M405" s="63"/>
      <c r="N405" s="36"/>
    </row>
    <row r="406" spans="1:14" s="37" customFormat="1" x14ac:dyDescent="0.25">
      <c r="A406" s="78" t="s">
        <v>250</v>
      </c>
      <c r="B406" s="79"/>
      <c r="C406" s="79"/>
      <c r="D406" s="79"/>
      <c r="E406" s="79"/>
      <c r="F406" s="79"/>
      <c r="G406" s="79"/>
      <c r="H406" s="80"/>
      <c r="J406" s="36"/>
    </row>
    <row r="407" spans="1:14" s="37" customFormat="1" ht="15.75" customHeight="1" x14ac:dyDescent="0.25">
      <c r="A407" s="61">
        <v>1</v>
      </c>
      <c r="B407" s="62"/>
      <c r="C407" s="54">
        <v>3</v>
      </c>
      <c r="D407" s="42">
        <f>(3.35*7.42+3.05*4.03+1.52*2.45+2.45*3.05+3.05*1.1+4.25*2.75+1.68*0.6+2.45*1.52+2.75*4.07+1.52*2.45+1.6*1.25+0.6*1.53+(1.5*0.6+2.55*0.6+2.45*1.2+3.35*1.52+3.4*1.02+2.5*0.6))*10.764</f>
        <v>1091.297376</v>
      </c>
      <c r="E407" s="42">
        <v>0</v>
      </c>
      <c r="F407" s="42">
        <f t="shared" ref="F407:F411" si="54">D407*(($F$235)+1)+(IF(E407&lt;101,E407,IF(E407&lt;201,E407/2,IF(E407&lt;=301,E407/3,E407/4))))</f>
        <v>1746.0758016</v>
      </c>
      <c r="G407" s="72" t="str">
        <f>A406</f>
        <v>21st &amp; 26th Floor  (Part Refuge Area)</v>
      </c>
      <c r="H407" s="73"/>
      <c r="I407" s="36"/>
      <c r="L407" s="63"/>
      <c r="M407" s="63"/>
      <c r="N407" s="36"/>
    </row>
    <row r="408" spans="1:14" s="37" customFormat="1" ht="15.75" customHeight="1" x14ac:dyDescent="0.25">
      <c r="A408" s="61">
        <f t="shared" ref="A408:A412" si="55">A407+1</f>
        <v>2</v>
      </c>
      <c r="B408" s="62"/>
      <c r="C408" s="54">
        <v>2</v>
      </c>
      <c r="D408" s="42">
        <f>(2.48*1.07+3.05*4.57+1.07*2.43+3.05*3.2+1.4*0.6+2.75*3.66+0.6*1.12+2.5*0.6+2.45*1.52+2.13*1.37+3.05*2.13+2.13*0.91+3.05*1.32+1.11*1+2*1.2)*10.764</f>
        <v>695.80756439999993</v>
      </c>
      <c r="E408" s="42">
        <v>0</v>
      </c>
      <c r="F408" s="42">
        <f t="shared" si="54"/>
        <v>1113.29210304</v>
      </c>
      <c r="G408" s="74"/>
      <c r="H408" s="75"/>
      <c r="I408" s="36"/>
      <c r="L408" s="63"/>
      <c r="M408" s="63"/>
      <c r="N408" s="36"/>
    </row>
    <row r="409" spans="1:14" s="37" customFormat="1" ht="15.75" customHeight="1" x14ac:dyDescent="0.25">
      <c r="A409" s="61">
        <f t="shared" si="55"/>
        <v>3</v>
      </c>
      <c r="B409" s="62"/>
      <c r="C409" s="54">
        <v>2</v>
      </c>
      <c r="D409" s="42">
        <f>(2.48*1.07+3.05*4.57+1.07*2.43+3.05*3.2+1.4*0.6+2.75*3.66+0.6*1.12+2.5*0.6+2.45*1.52+2.13*1.37+3.05*2.13+2.13*0.91+3.05*1.32+1.11*1+2*1.2)*10.764</f>
        <v>695.80756439999993</v>
      </c>
      <c r="E409" s="42">
        <v>0</v>
      </c>
      <c r="F409" s="42">
        <f t="shared" si="54"/>
        <v>1113.29210304</v>
      </c>
      <c r="G409" s="74"/>
      <c r="H409" s="75"/>
      <c r="I409" s="36"/>
      <c r="L409" s="63"/>
      <c r="M409" s="63"/>
      <c r="N409" s="36"/>
    </row>
    <row r="410" spans="1:14" s="37" customFormat="1" ht="15.75" customHeight="1" x14ac:dyDescent="0.25">
      <c r="A410" s="61">
        <f t="shared" si="55"/>
        <v>4</v>
      </c>
      <c r="B410" s="62"/>
      <c r="C410" s="54">
        <v>3</v>
      </c>
      <c r="D410" s="42">
        <f>(3.35*7.42+3.05*4.03+1.52*2.45+2.45*3.05+3.05*1.1+4.25*2.75+1.68*0.6+2.45*1.52+2.75*4.07+1.52*2.45+1.6*1.25+0.6*1.53+(1.5*0.6+2.55*0.6+2.45*1.2+3.35*1.52+3.4*1.02+2.5*0.6))*10.764</f>
        <v>1091.297376</v>
      </c>
      <c r="E410" s="42">
        <v>0</v>
      </c>
      <c r="F410" s="42">
        <f t="shared" si="54"/>
        <v>1746.0758016</v>
      </c>
      <c r="G410" s="74"/>
      <c r="H410" s="75"/>
      <c r="I410" s="36"/>
      <c r="L410" s="63"/>
      <c r="M410" s="63"/>
      <c r="N410" s="36"/>
    </row>
    <row r="411" spans="1:14" s="37" customFormat="1" ht="15.75" customHeight="1" x14ac:dyDescent="0.25">
      <c r="A411" s="61">
        <f t="shared" si="55"/>
        <v>5</v>
      </c>
      <c r="B411" s="62"/>
      <c r="C411" s="54">
        <v>2</v>
      </c>
      <c r="D411" s="42">
        <f>(2.48*1.07+3.05*4.57+1.07*2.43+3.05*3.51+1.4*0.6+2.75*4.26+0.6*1.72+2.5*0.6+2.45*1.52+2.13*1.37+3.05*2.13+2.13*0.91+3.05*1.97+3.35*1+2*1.22)*10.764</f>
        <v>773.50211639999998</v>
      </c>
      <c r="E411" s="42">
        <v>0</v>
      </c>
      <c r="F411" s="42">
        <f t="shared" si="54"/>
        <v>1237.60338624</v>
      </c>
      <c r="G411" s="74"/>
      <c r="H411" s="75"/>
      <c r="I411" s="36"/>
      <c r="L411" s="63"/>
      <c r="M411" s="63"/>
      <c r="N411" s="36"/>
    </row>
    <row r="412" spans="1:14" s="37" customFormat="1" ht="15.75" customHeight="1" x14ac:dyDescent="0.25">
      <c r="A412" s="61">
        <f t="shared" si="55"/>
        <v>6</v>
      </c>
      <c r="B412" s="62"/>
      <c r="C412" s="81" t="s">
        <v>177</v>
      </c>
      <c r="D412" s="82"/>
      <c r="E412" s="82"/>
      <c r="F412" s="83"/>
      <c r="G412" s="76"/>
      <c r="H412" s="77"/>
      <c r="I412" s="36"/>
      <c r="L412" s="63"/>
      <c r="M412" s="63"/>
      <c r="N412" s="36"/>
    </row>
    <row r="413" spans="1:14" s="37" customFormat="1" x14ac:dyDescent="0.25">
      <c r="A413" s="78" t="s">
        <v>240</v>
      </c>
      <c r="B413" s="79"/>
      <c r="C413" s="79"/>
      <c r="D413" s="79"/>
      <c r="E413" s="79"/>
      <c r="F413" s="79"/>
      <c r="G413" s="79"/>
      <c r="H413" s="80"/>
      <c r="J413" s="36"/>
    </row>
    <row r="414" spans="1:14" s="37" customFormat="1" ht="15.75" customHeight="1" x14ac:dyDescent="0.25">
      <c r="A414" s="61">
        <v>1</v>
      </c>
      <c r="B414" s="62"/>
      <c r="C414" s="54">
        <v>3</v>
      </c>
      <c r="D414" s="42">
        <f>(3.35*7.42+3.05*4.03+1.52*2.45+2.45*3.05+3.05*1.1+4.25*2.75+1.68*0.6+2.45*1.52+2.75*4.07+1.52*2.45+1.6*1.25+0.6*1.53+(1.5*0.6+2.55*0.6+2.45*1.2+3.35*1.52+3.4*1.02+2.5*0.6))*10.764</f>
        <v>1091.297376</v>
      </c>
      <c r="E414" s="42">
        <v>0</v>
      </c>
      <c r="F414" s="42">
        <f t="shared" ref="F414:F418" si="56">D414*(($F$235)+1)+(IF(E414&lt;101,E414,IF(E414&lt;201,E414/2,IF(E414&lt;=301,E414/3,E414/4))))</f>
        <v>1746.0758016</v>
      </c>
      <c r="G414" s="72" t="str">
        <f>A413</f>
        <v>17th to 20th, 22nd to 25th, 27th &amp; 28th Floor</v>
      </c>
      <c r="H414" s="73"/>
      <c r="I414" s="36"/>
      <c r="L414" s="63"/>
      <c r="M414" s="63"/>
      <c r="N414" s="36"/>
    </row>
    <row r="415" spans="1:14" s="37" customFormat="1" ht="15.75" customHeight="1" x14ac:dyDescent="0.25">
      <c r="A415" s="61">
        <f t="shared" ref="A415:A418" si="57">A414+1</f>
        <v>2</v>
      </c>
      <c r="B415" s="62"/>
      <c r="C415" s="54">
        <v>2</v>
      </c>
      <c r="D415" s="42">
        <f>(2.48*1.07+3.05*4.57+1.07*2.43+3.05*3.2+1.4*0.6+2.75*3.66+0.6*1.12+2.5*0.6+2.45*1.52+2.13*1.37+3.05*2.13+2.13*0.91+3.05*1.32+1.11*1+2*1.2)*10.764</f>
        <v>695.80756439999993</v>
      </c>
      <c r="E415" s="42">
        <v>0</v>
      </c>
      <c r="F415" s="42">
        <f t="shared" si="56"/>
        <v>1113.29210304</v>
      </c>
      <c r="G415" s="74"/>
      <c r="H415" s="75"/>
      <c r="I415" s="36"/>
      <c r="L415" s="63"/>
      <c r="M415" s="63"/>
      <c r="N415" s="36"/>
    </row>
    <row r="416" spans="1:14" s="37" customFormat="1" ht="15.75" customHeight="1" x14ac:dyDescent="0.25">
      <c r="A416" s="61">
        <f t="shared" si="57"/>
        <v>3</v>
      </c>
      <c r="B416" s="62"/>
      <c r="C416" s="54">
        <v>2</v>
      </c>
      <c r="D416" s="42">
        <f>(2.48*1.07+3.05*4.57+1.07*2.43+3.05*3.2+1.4*0.6+2.75*3.66+0.6*1.12+2.5*0.6+2.45*1.52+2.13*1.37+3.05*2.13+2.13*0.91+3.05*1.32+1.11*1+2*1.2)*10.764</f>
        <v>695.80756439999993</v>
      </c>
      <c r="E416" s="42">
        <v>0</v>
      </c>
      <c r="F416" s="42">
        <f t="shared" si="56"/>
        <v>1113.29210304</v>
      </c>
      <c r="G416" s="74"/>
      <c r="H416" s="75"/>
      <c r="I416" s="36"/>
      <c r="L416" s="63"/>
      <c r="M416" s="63"/>
      <c r="N416" s="36"/>
    </row>
    <row r="417" spans="1:14" s="37" customFormat="1" ht="15.75" customHeight="1" x14ac:dyDescent="0.25">
      <c r="A417" s="61">
        <f t="shared" si="57"/>
        <v>4</v>
      </c>
      <c r="B417" s="62"/>
      <c r="C417" s="54">
        <v>3</v>
      </c>
      <c r="D417" s="42">
        <f>(3.35*7.42+3.05*4.03+1.52*2.45+2.45*3.05+3.05*1.1+4.25*2.75+1.68*0.6+2.45*1.52+2.75*4.07+1.52*2.45+1.6*1.25+0.6*1.53+(1.5*0.6+2.55*0.6+2.45*1.2+3.35*1.52+3.4*1.02+2.5*0.6))*10.764</f>
        <v>1091.297376</v>
      </c>
      <c r="E417" s="42">
        <v>0</v>
      </c>
      <c r="F417" s="42">
        <f t="shared" si="56"/>
        <v>1746.0758016</v>
      </c>
      <c r="G417" s="74"/>
      <c r="H417" s="75"/>
      <c r="I417" s="36"/>
      <c r="L417" s="63"/>
      <c r="M417" s="63"/>
      <c r="N417" s="36"/>
    </row>
    <row r="418" spans="1:14" s="37" customFormat="1" ht="15.75" customHeight="1" x14ac:dyDescent="0.25">
      <c r="A418" s="61">
        <f t="shared" si="57"/>
        <v>5</v>
      </c>
      <c r="B418" s="62"/>
      <c r="C418" s="54">
        <v>4</v>
      </c>
      <c r="D418" s="42">
        <f>(4.58*6.85+1.07*3.65+2.59*3.65+2.13*1.37+1.1*1.42+2.45*1.52+2.75*4.26+0.6*1.72+3.05*3.51+2.45*1.52+5.2*0.91+3.05*3.51+2.75*4.26+0.6*1.72+2.45*1.52+2.13*1.37+3.05*0.91+0.6*(2.5+1.5+1.5+2.5)+2*1.22+3.35*1+4.58*1.97+2.75*1)*10.764</f>
        <v>1507.7920572</v>
      </c>
      <c r="E418" s="42">
        <v>0</v>
      </c>
      <c r="F418" s="42">
        <f t="shared" si="56"/>
        <v>2412.4672915200003</v>
      </c>
      <c r="G418" s="76"/>
      <c r="H418" s="77"/>
      <c r="I418" s="36"/>
      <c r="L418" s="63"/>
      <c r="M418" s="63"/>
      <c r="N418" s="36"/>
    </row>
    <row r="419" spans="1:14" s="37" customFormat="1" x14ac:dyDescent="0.25">
      <c r="A419" s="78"/>
      <c r="B419" s="79"/>
      <c r="C419" s="79"/>
      <c r="D419" s="79"/>
      <c r="E419" s="79"/>
      <c r="F419" s="79"/>
      <c r="G419" s="79"/>
      <c r="H419" s="80"/>
      <c r="J419" s="36"/>
    </row>
    <row r="420" spans="1:14" s="37" customFormat="1" hidden="1" x14ac:dyDescent="0.25">
      <c r="A420" s="78" t="s">
        <v>113</v>
      </c>
      <c r="B420" s="79"/>
      <c r="C420" s="79"/>
      <c r="D420" s="79"/>
      <c r="E420" s="79"/>
      <c r="F420" s="79"/>
      <c r="G420" s="79"/>
      <c r="H420" s="80"/>
      <c r="J420" s="36"/>
    </row>
    <row r="421" spans="1:14" s="37" customFormat="1" hidden="1" x14ac:dyDescent="0.25">
      <c r="A421" s="61">
        <v>1</v>
      </c>
      <c r="B421" s="62"/>
      <c r="C421" s="54"/>
      <c r="D421" s="42"/>
      <c r="E421" s="42">
        <v>0</v>
      </c>
      <c r="F421" s="42">
        <f>D421*(($F$235)+1)+(IF(E421&lt;101,E421,IF(E421&lt;201,E421/2,IF(E421&lt;=301,E421/3,E421/4))))</f>
        <v>0</v>
      </c>
      <c r="G421" s="61" t="str">
        <f>A420</f>
        <v>Ground Floor</v>
      </c>
      <c r="H421" s="62"/>
      <c r="I421" s="36"/>
      <c r="L421" s="63"/>
      <c r="M421" s="63"/>
      <c r="N421" s="36"/>
    </row>
    <row r="422" spans="1:14" s="37" customFormat="1" hidden="1" x14ac:dyDescent="0.25">
      <c r="A422" s="61">
        <f t="shared" ref="A422:A424" si="58">A421+1</f>
        <v>2</v>
      </c>
      <c r="B422" s="62"/>
      <c r="C422" s="54"/>
      <c r="D422" s="42"/>
      <c r="E422" s="42">
        <v>0</v>
      </c>
      <c r="F422" s="42">
        <f>D422*(($F$235)+1)+(IF(E422&lt;101,E422,IF(E422&lt;201,E422/2,IF(E422&lt;=301,E422/3,E422/4))))</f>
        <v>0</v>
      </c>
      <c r="G422" s="61" t="str">
        <f t="shared" ref="G422:G424" si="59">G421</f>
        <v>Ground Floor</v>
      </c>
      <c r="H422" s="62"/>
      <c r="I422" s="36"/>
      <c r="L422" s="63"/>
      <c r="M422" s="63"/>
      <c r="N422" s="36"/>
    </row>
    <row r="423" spans="1:14" s="37" customFormat="1" hidden="1" x14ac:dyDescent="0.25">
      <c r="A423" s="61">
        <f t="shared" si="58"/>
        <v>3</v>
      </c>
      <c r="B423" s="62"/>
      <c r="C423" s="54"/>
      <c r="D423" s="42"/>
      <c r="E423" s="42">
        <v>0</v>
      </c>
      <c r="F423" s="42">
        <f>D423*(($F$235)+1)+(IF(E423&lt;101,E423,IF(E423&lt;201,E423/2,IF(E423&lt;=301,E423/3,E423/4))))</f>
        <v>0</v>
      </c>
      <c r="G423" s="61" t="str">
        <f t="shared" si="59"/>
        <v>Ground Floor</v>
      </c>
      <c r="H423" s="62"/>
      <c r="I423" s="36"/>
      <c r="L423" s="63"/>
      <c r="M423" s="63"/>
      <c r="N423" s="36"/>
    </row>
    <row r="424" spans="1:14" s="37" customFormat="1" hidden="1" x14ac:dyDescent="0.25">
      <c r="A424" s="61">
        <f t="shared" si="58"/>
        <v>4</v>
      </c>
      <c r="B424" s="62"/>
      <c r="C424" s="54"/>
      <c r="D424" s="42"/>
      <c r="E424" s="42">
        <v>0</v>
      </c>
      <c r="F424" s="42">
        <f>D424*(($F$235)+1)+(IF(E424&lt;101,E424,IF(E424&lt;201,E424/2,IF(E424&lt;=301,E424/3,E424/4))))</f>
        <v>0</v>
      </c>
      <c r="G424" s="61" t="str">
        <f t="shared" si="59"/>
        <v>Ground Floor</v>
      </c>
      <c r="H424" s="62"/>
      <c r="I424" s="36"/>
      <c r="L424" s="63"/>
      <c r="M424" s="63"/>
      <c r="N424" s="36"/>
    </row>
    <row r="425" spans="1:14" s="37" customFormat="1" hidden="1" x14ac:dyDescent="0.25">
      <c r="A425" s="168" t="s">
        <v>114</v>
      </c>
      <c r="B425" s="168"/>
      <c r="C425" s="168"/>
      <c r="D425" s="168"/>
      <c r="E425" s="168"/>
      <c r="F425" s="168"/>
      <c r="G425" s="168"/>
      <c r="H425" s="168"/>
      <c r="I425" s="36"/>
      <c r="L425" s="63"/>
      <c r="M425" s="63"/>
    </row>
    <row r="426" spans="1:14" s="37" customFormat="1" hidden="1" x14ac:dyDescent="0.25">
      <c r="A426" s="147">
        <f>LEFT(A425,SUM(LEN(A425)-LEN(SUBSTITUTE(A425,{"0","1","2","3","4","5","6","7","8","9"},""))))*100+1</f>
        <v>201</v>
      </c>
      <c r="B426" s="147"/>
      <c r="C426" s="54"/>
      <c r="D426" s="42"/>
      <c r="E426" s="42">
        <v>0</v>
      </c>
      <c r="F426" s="42">
        <f t="shared" ref="F426:F427" si="60">D426*(($F$235)+1)+(IF(E426&lt;101,E426,IF(E426&lt;201,E426/2,IF(E426&lt;=301,E426/3,E426/4))))</f>
        <v>0</v>
      </c>
      <c r="G426" s="147" t="str">
        <f>A425</f>
        <v>2nd Floor</v>
      </c>
      <c r="H426" s="147"/>
      <c r="I426" s="36"/>
      <c r="N426" s="36"/>
    </row>
    <row r="427" spans="1:14" s="37" customFormat="1" hidden="1" x14ac:dyDescent="0.25">
      <c r="A427" s="147">
        <f>A426+1</f>
        <v>202</v>
      </c>
      <c r="B427" s="147"/>
      <c r="C427" s="54"/>
      <c r="D427" s="42"/>
      <c r="E427" s="42">
        <v>0</v>
      </c>
      <c r="F427" s="42">
        <f t="shared" si="60"/>
        <v>0</v>
      </c>
      <c r="G427" s="147" t="str">
        <f>G426</f>
        <v>2nd Floor</v>
      </c>
      <c r="H427" s="147"/>
      <c r="I427" s="36"/>
      <c r="N427" s="36"/>
    </row>
    <row r="428" spans="1:14" s="37" customFormat="1" hidden="1" x14ac:dyDescent="0.25">
      <c r="A428" s="147">
        <f>A427+1</f>
        <v>203</v>
      </c>
      <c r="B428" s="147"/>
      <c r="C428" s="54"/>
      <c r="D428" s="42"/>
      <c r="E428" s="42">
        <v>0</v>
      </c>
      <c r="F428" s="42">
        <f>D428*(($F$235)+1)+(IF(E428&lt;101,E428,IF(E428&lt;201,E428/2,IF(E428&lt;=301,E428/3,E428/4))))</f>
        <v>0</v>
      </c>
      <c r="G428" s="147" t="str">
        <f>G427</f>
        <v>2nd Floor</v>
      </c>
      <c r="H428" s="147"/>
      <c r="I428" s="36"/>
      <c r="N428" s="36"/>
    </row>
    <row r="429" spans="1:14" s="37" customFormat="1" hidden="1" x14ac:dyDescent="0.25">
      <c r="A429" s="147">
        <f>A428+1</f>
        <v>204</v>
      </c>
      <c r="B429" s="147"/>
      <c r="C429" s="54"/>
      <c r="D429" s="42"/>
      <c r="E429" s="42">
        <v>0</v>
      </c>
      <c r="F429" s="42">
        <f>D429*(($F$235)+1)+(IF(E429&lt;101,E429,IF(E429&lt;201,E429/2,IF(E429&lt;=301,E429/3,E429/4))))</f>
        <v>0</v>
      </c>
      <c r="G429" s="147" t="str">
        <f>G428</f>
        <v>2nd Floor</v>
      </c>
      <c r="H429" s="147"/>
      <c r="I429" s="36"/>
      <c r="N429" s="36"/>
    </row>
    <row r="430" spans="1:14" s="37" customFormat="1" hidden="1" x14ac:dyDescent="0.25">
      <c r="A430" s="147">
        <f>A429+1</f>
        <v>205</v>
      </c>
      <c r="B430" s="147"/>
      <c r="C430" s="54"/>
      <c r="D430" s="42"/>
      <c r="E430" s="42">
        <v>0</v>
      </c>
      <c r="F430" s="42">
        <f>D430*(($F$235)+1)+(IF(E430&lt;101,E430,IF(E430&lt;201,E430/2,IF(E430&lt;=301,E430/3,E430/4))))</f>
        <v>0</v>
      </c>
      <c r="G430" s="147" t="str">
        <f>G429</f>
        <v>2nd Floor</v>
      </c>
      <c r="H430" s="147"/>
      <c r="I430" s="36"/>
      <c r="N430" s="36"/>
    </row>
    <row r="431" spans="1:14" s="37" customFormat="1" ht="15.75" hidden="1" customHeight="1" x14ac:dyDescent="0.25">
      <c r="A431" s="78" t="s">
        <v>150</v>
      </c>
      <c r="B431" s="79"/>
      <c r="C431" s="79"/>
      <c r="D431" s="79"/>
      <c r="E431" s="79"/>
      <c r="F431" s="79"/>
      <c r="G431" s="79"/>
      <c r="H431" s="80"/>
      <c r="I431" s="36"/>
    </row>
    <row r="432" spans="1:14" s="37" customFormat="1" hidden="1" x14ac:dyDescent="0.25">
      <c r="A432" s="61" t="str">
        <f ca="1">(SUMPRODUCT(MID(0&amp;(LEFT(A431,SUM(LEN(A431)-LEN(SUBSTITUTE(A431,{"0","1","2"},""))))), LARGE(INDEX(ISNUMBER(--MID((LEFT(A431,SUM(LEN(A431)-LEN(SUBSTITUTE(A431,{"0","1","2"},""))))), ROW(INDIRECT("1:"&amp;LEN((LEFT(A431,SUM(LEN(A431)-LEN(SUBSTITUTE(A431,{"0","1","2"},"")))))))), 1)) * ROW(INDIRECT("1:"&amp;LEN((LEFT(A431,SUM(LEN(A431)-LEN(SUBSTITUTE(A431,{"0","1","2"},"")))))))), 0), ROW(INDIRECT("1:"&amp;LEN((LEFT(A431,SUM(LEN(A431)-LEN(SUBSTITUTE(A431,{"0","1","2"},"")))))))))+1, 1) * 10^ROW(INDIRECT("1:"&amp;LEN((LEFT(A431,SUM(LEN(A431)-LEN(SUBSTITUTE(A431,{"0","1","2"},""))))))))/10))*100+1&amp;""&amp;" ,.., "&amp;""&amp;(SUMPRODUCT(MID(0&amp;(--TRIM(RIGHT(SUBSTITUTE(LEFT(A431,_xlfn.AGGREGATE(16,6,FIND({0,1,2,3,4,5,6,7,8,9},A431,ROW(INDIRECT("1:"&amp;LEN(A431)))),1))," ",REPT(" ",LEN(A431))),LEN(A431)))), LARGE(INDEX(ISNUMBER(--MID((--TRIM(RIGHT(SUBSTITUTE(LEFT(A431,_xlfn.AGGREGATE(16,6,FIND({0,1,2,3,4,5,6,7,8,9},A431,ROW(INDIRECT("1:"&amp;LEN(A431)))),1))," ",REPT(" ",LEN(A431))),LEN(A431)))), ROW(INDIRECT("1:"&amp;LEN((--TRIM(RIGHT(SUBSTITUTE(LEFT(A431,_xlfn.AGGREGATE(16,6,FIND({0,1,2,3,4,5,6,7,8,9},A431,ROW(INDIRECT("1:"&amp;LEN(A431)))),1))," ",REPT(" ",LEN(A431))),LEN(A431))))))), 1)) * ROW(INDIRECT("1:"&amp;LEN((--TRIM(RIGHT(SUBSTITUTE(LEFT(A431,_xlfn.AGGREGATE(16,6,FIND({0,1,2,3,4,5,6,7,8,9},A431,ROW(INDIRECT("1:"&amp;LEN(A431)))),1))," ",REPT(" ",LEN(A431))),LEN(A431))))))), 0), ROW(INDIRECT("1:"&amp;LEN((--TRIM(RIGHT(SUBSTITUTE(LEFT(A431,_xlfn.AGGREGATE(16,6,FIND({0,1,2,3,4,5,6,7,8,9},A431,ROW(INDIRECT("1:"&amp;LEN(A431)))),1))," ",REPT(" ",LEN(A431))),LEN(A431))))))))+1, 1) * 10^ROW(INDIRECT("1:"&amp;LEN((--TRIM(RIGHT(SUBSTITUTE(LEFT(A431,_xlfn.AGGREGATE(16,6,FIND({0,1,2,3,4,5,6,7,8,9},A431,ROW(INDIRECT("1:"&amp;LEN(A431)))),1))," ",REPT(" ",LEN(A431))),LEN(A431)))))))/10))*100+1</f>
        <v>301 ,.., 1501</v>
      </c>
      <c r="B432" s="62"/>
      <c r="C432" s="54"/>
      <c r="D432" s="42"/>
      <c r="E432" s="42">
        <v>0</v>
      </c>
      <c r="F432" s="42">
        <f>D432*(($F$235)+1)+(IF(E432&lt;101,E432,IF(E432&lt;201,E432/2,IF(E432&lt;=301,E432/3,E432/4))))</f>
        <v>0</v>
      </c>
      <c r="G432" s="61" t="str">
        <f>A431</f>
        <v>3rd, 5th, 7th, 9th, 11th, 13th, 15th Floor</v>
      </c>
      <c r="H432" s="62"/>
      <c r="I432" s="36"/>
    </row>
    <row r="433" spans="1:9" s="37" customFormat="1" hidden="1" x14ac:dyDescent="0.25">
      <c r="A433" s="61" t="str">
        <f ca="1">(SUMPRODUCT(MID(0&amp;(LEFT(A432,SUM(LEN(A432)-LEN(SUBSTITUTE(A432,{"0","1","2"},""))))), LARGE(INDEX(ISNUMBER(--MID((LEFT(A432,SUM(LEN(A432)-LEN(SUBSTITUTE(A432,{"0","1","2"},""))))), ROW(INDIRECT("1:"&amp;LEN((LEFT(A432,SUM(LEN(A432)-LEN(SUBSTITUTE(A432,{"0","1","2"},"")))))))), 1)) * ROW(INDIRECT("1:"&amp;LEN((LEFT(A432,SUM(LEN(A432)-LEN(SUBSTITUTE(A432,{"0","1","2"},"")))))))), 0), ROW(INDIRECT("1:"&amp;LEN((LEFT(A432,SUM(LEN(A432)-LEN(SUBSTITUTE(A432,{"0","1","2"},"")))))))))+1, 1) * 10^ROW(INDIRECT("1:"&amp;LEN((LEFT(A432,SUM(LEN(A432)-LEN(SUBSTITUTE(A432,{"0","1","2"},""))))))))/10))*1+1&amp;""&amp;" ,.., "&amp;""&amp;(SUMPRODUCT(MID(0&amp;(--TRIM(RIGHT(SUBSTITUTE(LEFT(A432,_xlfn.AGGREGATE(16,6,FIND({0,1,2,3,4,5,6,7,8,9},A432,ROW(INDIRECT("1:"&amp;LEN(A432)))),1))," ",REPT(" ",LEN(A432))),LEN(A432)))), LARGE(INDEX(ISNUMBER(--MID((--TRIM(RIGHT(SUBSTITUTE(LEFT(A432,_xlfn.AGGREGATE(16,6,FIND({0,1,2,3,4,5,6,7,8,9},A432,ROW(INDIRECT("1:"&amp;LEN(A432)))),1))," ",REPT(" ",LEN(A432))),LEN(A432)))), ROW(INDIRECT("1:"&amp;LEN((--TRIM(RIGHT(SUBSTITUTE(LEFT(A432,_xlfn.AGGREGATE(16,6,FIND({0,1,2,3,4,5,6,7,8,9},A432,ROW(INDIRECT("1:"&amp;LEN(A432)))),1))," ",REPT(" ",LEN(A432))),LEN(A432))))))), 1)) * ROW(INDIRECT("1:"&amp;LEN((--TRIM(RIGHT(SUBSTITUTE(LEFT(A432,_xlfn.AGGREGATE(16,6,FIND({0,1,2,3,4,5,6,7,8,9},A432,ROW(INDIRECT("1:"&amp;LEN(A432)))),1))," ",REPT(" ",LEN(A432))),LEN(A432))))))), 0), ROW(INDIRECT("1:"&amp;LEN((--TRIM(RIGHT(SUBSTITUTE(LEFT(A432,_xlfn.AGGREGATE(16,6,FIND({0,1,2,3,4,5,6,7,8,9},A432,ROW(INDIRECT("1:"&amp;LEN(A432)))),1))," ",REPT(" ",LEN(A432))),LEN(A432))))))))+1, 1) * 10^ROW(INDIRECT("1:"&amp;LEN((--TRIM(RIGHT(SUBSTITUTE(LEFT(A432,_xlfn.AGGREGATE(16,6,FIND({0,1,2,3,4,5,6,7,8,9},A432,ROW(INDIRECT("1:"&amp;LEN(A432)))),1))," ",REPT(" ",LEN(A432))),LEN(A432)))))))/10))*1+1</f>
        <v>302 ,.., 1502</v>
      </c>
      <c r="B433" s="62"/>
      <c r="C433" s="54"/>
      <c r="D433" s="42"/>
      <c r="E433" s="42">
        <v>0</v>
      </c>
      <c r="F433" s="42">
        <f>D433*(($F$235)+1)+(IF(E433&lt;101,E433,IF(E433&lt;201,E433/2,IF(E433&lt;=301,E433/3,E433/4))))</f>
        <v>0</v>
      </c>
      <c r="G433" s="61" t="str">
        <f>G432</f>
        <v>3rd, 5th, 7th, 9th, 11th, 13th, 15th Floor</v>
      </c>
      <c r="H433" s="62"/>
      <c r="I433" s="36"/>
    </row>
    <row r="434" spans="1:9" s="37" customFormat="1" ht="15.75" hidden="1" customHeight="1" x14ac:dyDescent="0.25">
      <c r="A434" s="61" t="str">
        <f ca="1">(SUMPRODUCT(MID(0&amp;(LEFT(A433,SUM(LEN(A433)-LEN(SUBSTITUTE(A433,{"0","1","2"},""))))), LARGE(INDEX(ISNUMBER(--MID((LEFT(A433,SUM(LEN(A433)-LEN(SUBSTITUTE(A433,{"0","1","2"},""))))), ROW(INDIRECT("1:"&amp;LEN((LEFT(A433,SUM(LEN(A433)-LEN(SUBSTITUTE(A433,{"0","1","2"},"")))))))), 1)) * ROW(INDIRECT("1:"&amp;LEN((LEFT(A433,SUM(LEN(A433)-LEN(SUBSTITUTE(A433,{"0","1","2"},"")))))))), 0), ROW(INDIRECT("1:"&amp;LEN((LEFT(A433,SUM(LEN(A433)-LEN(SUBSTITUTE(A433,{"0","1","2"},"")))))))))+1, 1) * 10^ROW(INDIRECT("1:"&amp;LEN((LEFT(A433,SUM(LEN(A433)-LEN(SUBSTITUTE(A433,{"0","1","2"},""))))))))/10))*1+1&amp;""&amp;" ,.., "&amp;""&amp;(SUMPRODUCT(MID(0&amp;(--TRIM(RIGHT(SUBSTITUTE(LEFT(A433,_xlfn.AGGREGATE(16,6,FIND({0,1,2,3,4,5,6,7,8,9},A433,ROW(INDIRECT("1:"&amp;LEN(A433)))),1))," ",REPT(" ",LEN(A433))),LEN(A433)))), LARGE(INDEX(ISNUMBER(--MID((--TRIM(RIGHT(SUBSTITUTE(LEFT(A433,_xlfn.AGGREGATE(16,6,FIND({0,1,2,3,4,5,6,7,8,9},A433,ROW(INDIRECT("1:"&amp;LEN(A433)))),1))," ",REPT(" ",LEN(A433))),LEN(A433)))), ROW(INDIRECT("1:"&amp;LEN((--TRIM(RIGHT(SUBSTITUTE(LEFT(A433,_xlfn.AGGREGATE(16,6,FIND({0,1,2,3,4,5,6,7,8,9},A433,ROW(INDIRECT("1:"&amp;LEN(A433)))),1))," ",REPT(" ",LEN(A433))),LEN(A433))))))), 1)) * ROW(INDIRECT("1:"&amp;LEN((--TRIM(RIGHT(SUBSTITUTE(LEFT(A433,_xlfn.AGGREGATE(16,6,FIND({0,1,2,3,4,5,6,7,8,9},A433,ROW(INDIRECT("1:"&amp;LEN(A433)))),1))," ",REPT(" ",LEN(A433))),LEN(A433))))))), 0), ROW(INDIRECT("1:"&amp;LEN((--TRIM(RIGHT(SUBSTITUTE(LEFT(A433,_xlfn.AGGREGATE(16,6,FIND({0,1,2,3,4,5,6,7,8,9},A433,ROW(INDIRECT("1:"&amp;LEN(A433)))),1))," ",REPT(" ",LEN(A433))),LEN(A433))))))))+1, 1) * 10^ROW(INDIRECT("1:"&amp;LEN((--TRIM(RIGHT(SUBSTITUTE(LEFT(A433,_xlfn.AGGREGATE(16,6,FIND({0,1,2,3,4,5,6,7,8,9},A433,ROW(INDIRECT("1:"&amp;LEN(A433)))),1))," ",REPT(" ",LEN(A433))),LEN(A433)))))))/10))*1+1</f>
        <v>303 ,.., 1503</v>
      </c>
      <c r="B434" s="62"/>
      <c r="C434" s="54"/>
      <c r="D434" s="42"/>
      <c r="E434" s="42">
        <v>0</v>
      </c>
      <c r="F434" s="42">
        <f>D434*(($F$235)+1)+(IF(E434&lt;101,E434,IF(E434&lt;201,E434/2,IF(E434&lt;=301,E434/3,E434/4))))</f>
        <v>0</v>
      </c>
      <c r="G434" s="61" t="str">
        <f>G433</f>
        <v>3rd, 5th, 7th, 9th, 11th, 13th, 15th Floor</v>
      </c>
      <c r="H434" s="62"/>
      <c r="I434" s="36"/>
    </row>
    <row r="435" spans="1:9" s="37" customFormat="1" ht="15.75" hidden="1" customHeight="1" x14ac:dyDescent="0.25">
      <c r="A435" s="61" t="str">
        <f ca="1">(SUMPRODUCT(MID(0&amp;(LEFT(A434,SUM(LEN(A434)-LEN(SUBSTITUTE(A434,{"0","1","2"},""))))), LARGE(INDEX(ISNUMBER(--MID((LEFT(A434,SUM(LEN(A434)-LEN(SUBSTITUTE(A434,{"0","1","2"},""))))), ROW(INDIRECT("1:"&amp;LEN((LEFT(A434,SUM(LEN(A434)-LEN(SUBSTITUTE(A434,{"0","1","2"},"")))))))), 1)) * ROW(INDIRECT("1:"&amp;LEN((LEFT(A434,SUM(LEN(A434)-LEN(SUBSTITUTE(A434,{"0","1","2"},"")))))))), 0), ROW(INDIRECT("1:"&amp;LEN((LEFT(A434,SUM(LEN(A434)-LEN(SUBSTITUTE(A434,{"0","1","2"},"")))))))))+1, 1) * 10^ROW(INDIRECT("1:"&amp;LEN((LEFT(A434,SUM(LEN(A434)-LEN(SUBSTITUTE(A434,{"0","1","2"},""))))))))/10))*1+1&amp;""&amp;" ,.., "&amp;""&amp;(SUMPRODUCT(MID(0&amp;(--TRIM(RIGHT(SUBSTITUTE(LEFT(A434,_xlfn.AGGREGATE(16,6,FIND({0,1,2,3,4,5,6,7,8,9},A434,ROW(INDIRECT("1:"&amp;LEN(A434)))),1))," ",REPT(" ",LEN(A434))),LEN(A434)))), LARGE(INDEX(ISNUMBER(--MID((--TRIM(RIGHT(SUBSTITUTE(LEFT(A434,_xlfn.AGGREGATE(16,6,FIND({0,1,2,3,4,5,6,7,8,9},A434,ROW(INDIRECT("1:"&amp;LEN(A434)))),1))," ",REPT(" ",LEN(A434))),LEN(A434)))), ROW(INDIRECT("1:"&amp;LEN((--TRIM(RIGHT(SUBSTITUTE(LEFT(A434,_xlfn.AGGREGATE(16,6,FIND({0,1,2,3,4,5,6,7,8,9},A434,ROW(INDIRECT("1:"&amp;LEN(A434)))),1))," ",REPT(" ",LEN(A434))),LEN(A434))))))), 1)) * ROW(INDIRECT("1:"&amp;LEN((--TRIM(RIGHT(SUBSTITUTE(LEFT(A434,_xlfn.AGGREGATE(16,6,FIND({0,1,2,3,4,5,6,7,8,9},A434,ROW(INDIRECT("1:"&amp;LEN(A434)))),1))," ",REPT(" ",LEN(A434))),LEN(A434))))))), 0), ROW(INDIRECT("1:"&amp;LEN((--TRIM(RIGHT(SUBSTITUTE(LEFT(A434,_xlfn.AGGREGATE(16,6,FIND({0,1,2,3,4,5,6,7,8,9},A434,ROW(INDIRECT("1:"&amp;LEN(A434)))),1))," ",REPT(" ",LEN(A434))),LEN(A434))))))))+1, 1) * 10^ROW(INDIRECT("1:"&amp;LEN((--TRIM(RIGHT(SUBSTITUTE(LEFT(A434,_xlfn.AGGREGATE(16,6,FIND({0,1,2,3,4,5,6,7,8,9},A434,ROW(INDIRECT("1:"&amp;LEN(A434)))),1))," ",REPT(" ",LEN(A434))),LEN(A434)))))))/10))*1+1</f>
        <v>304 ,.., 1504</v>
      </c>
      <c r="B435" s="62"/>
      <c r="C435" s="54"/>
      <c r="D435" s="42"/>
      <c r="E435" s="42">
        <v>0</v>
      </c>
      <c r="F435" s="42">
        <f>D435*(($F$235)+1)+(IF(E435&lt;101,E435,IF(E435&lt;201,E435/2,IF(E435&lt;=301,E435/3,E435/4))))</f>
        <v>0</v>
      </c>
      <c r="G435" s="61" t="str">
        <f>G434</f>
        <v>3rd, 5th, 7th, 9th, 11th, 13th, 15th Floor</v>
      </c>
      <c r="H435" s="62"/>
      <c r="I435" s="36"/>
    </row>
    <row r="436" spans="1:9" s="37" customFormat="1" ht="15.75" hidden="1" customHeight="1" x14ac:dyDescent="0.25">
      <c r="A436" s="61" t="str">
        <f ca="1">(SUMPRODUCT(MID(0&amp;(LEFT(A435,SUM(LEN(A435)-LEN(SUBSTITUTE(A435,{"0","1","2"},""))))), LARGE(INDEX(ISNUMBER(--MID((LEFT(A435,SUM(LEN(A435)-LEN(SUBSTITUTE(A435,{"0","1","2"},""))))), ROW(INDIRECT("1:"&amp;LEN((LEFT(A435,SUM(LEN(A435)-LEN(SUBSTITUTE(A435,{"0","1","2"},"")))))))), 1)) * ROW(INDIRECT("1:"&amp;LEN((LEFT(A435,SUM(LEN(A435)-LEN(SUBSTITUTE(A435,{"0","1","2"},"")))))))), 0), ROW(INDIRECT("1:"&amp;LEN((LEFT(A435,SUM(LEN(A435)-LEN(SUBSTITUTE(A435,{"0","1","2"},"")))))))))+1, 1) * 10^ROW(INDIRECT("1:"&amp;LEN((LEFT(A435,SUM(LEN(A435)-LEN(SUBSTITUTE(A435,{"0","1","2"},""))))))))/10))*1+1&amp;""&amp;" ,.., "&amp;""&amp;(SUMPRODUCT(MID(0&amp;(--TRIM(RIGHT(SUBSTITUTE(LEFT(A435,_xlfn.AGGREGATE(16,6,FIND({0,1,2,3,4,5,6,7,8,9},A435,ROW(INDIRECT("1:"&amp;LEN(A435)))),1))," ",REPT(" ",LEN(A435))),LEN(A435)))), LARGE(INDEX(ISNUMBER(--MID((--TRIM(RIGHT(SUBSTITUTE(LEFT(A435,_xlfn.AGGREGATE(16,6,FIND({0,1,2,3,4,5,6,7,8,9},A435,ROW(INDIRECT("1:"&amp;LEN(A435)))),1))," ",REPT(" ",LEN(A435))),LEN(A435)))), ROW(INDIRECT("1:"&amp;LEN((--TRIM(RIGHT(SUBSTITUTE(LEFT(A435,_xlfn.AGGREGATE(16,6,FIND({0,1,2,3,4,5,6,7,8,9},A435,ROW(INDIRECT("1:"&amp;LEN(A435)))),1))," ",REPT(" ",LEN(A435))),LEN(A435))))))), 1)) * ROW(INDIRECT("1:"&amp;LEN((--TRIM(RIGHT(SUBSTITUTE(LEFT(A435,_xlfn.AGGREGATE(16,6,FIND({0,1,2,3,4,5,6,7,8,9},A435,ROW(INDIRECT("1:"&amp;LEN(A435)))),1))," ",REPT(" ",LEN(A435))),LEN(A435))))))), 0), ROW(INDIRECT("1:"&amp;LEN((--TRIM(RIGHT(SUBSTITUTE(LEFT(A435,_xlfn.AGGREGATE(16,6,FIND({0,1,2,3,4,5,6,7,8,9},A435,ROW(INDIRECT("1:"&amp;LEN(A435)))),1))," ",REPT(" ",LEN(A435))),LEN(A435))))))))+1, 1) * 10^ROW(INDIRECT("1:"&amp;LEN((--TRIM(RIGHT(SUBSTITUTE(LEFT(A435,_xlfn.AGGREGATE(16,6,FIND({0,1,2,3,4,5,6,7,8,9},A435,ROW(INDIRECT("1:"&amp;LEN(A435)))),1))," ",REPT(" ",LEN(A435))),LEN(A435)))))))/10))*1+1</f>
        <v>305 ,.., 1505</v>
      </c>
      <c r="B436" s="62"/>
      <c r="C436" s="54"/>
      <c r="D436" s="42"/>
      <c r="E436" s="42">
        <v>0</v>
      </c>
      <c r="F436" s="42">
        <f>D436*(($F$235)+1)+(IF(E436&lt;101,E436,IF(E436&lt;201,E436/2,IF(E436&lt;=301,E436/3,E436/4))))</f>
        <v>0</v>
      </c>
      <c r="G436" s="61" t="str">
        <f>G435</f>
        <v>3rd, 5th, 7th, 9th, 11th, 13th, 15th Floor</v>
      </c>
      <c r="H436" s="62"/>
      <c r="I436" s="36"/>
    </row>
    <row r="437" spans="1:9" s="37" customFormat="1" hidden="1" x14ac:dyDescent="0.25">
      <c r="A437" s="78" t="s">
        <v>144</v>
      </c>
      <c r="B437" s="79"/>
      <c r="C437" s="79"/>
      <c r="D437" s="79"/>
      <c r="E437" s="79"/>
      <c r="F437" s="79"/>
      <c r="G437" s="79"/>
      <c r="H437" s="80"/>
      <c r="I437" s="36"/>
    </row>
    <row r="438" spans="1:9" s="37" customFormat="1" hidden="1" x14ac:dyDescent="0.25">
      <c r="A438" s="61" t="str">
        <f ca="1">(SUMPRODUCT(MID(0&amp;(LEFT(A437,SUM(LEN(A437)-LEN(SUBSTITUTE(A437,{"0","1","2"},""))))), LARGE(INDEX(ISNUMBER(--MID((LEFT(A437,SUM(LEN(A437)-LEN(SUBSTITUTE(A437,{"0","1","2"},""))))), ROW(INDIRECT("1:"&amp;LEN((LEFT(A437,SUM(LEN(A437)-LEN(SUBSTITUTE(A437,{"0","1","2"},"")))))))), 1)) * ROW(INDIRECT("1:"&amp;LEN((LEFT(A437,SUM(LEN(A437)-LEN(SUBSTITUTE(A437,{"0","1","2"},"")))))))), 0), ROW(INDIRECT("1:"&amp;LEN((LEFT(A437,SUM(LEN(A437)-LEN(SUBSTITUTE(A437,{"0","1","2"},"")))))))))+1, 1) * 10^ROW(INDIRECT("1:"&amp;LEN((LEFT(A437,SUM(LEN(A437)-LEN(SUBSTITUTE(A437,{"0","1","2"},""))))))))/10))*100+1&amp;""&amp;" to "&amp;""&amp;(SUMPRODUCT(MID(0&amp;(--TRIM(RIGHT(SUBSTITUTE(LEFT(A437,_xlfn.AGGREGATE(16,6,FIND({0,1,2,3,4,5,6,7,8,9},A437,ROW(INDIRECT("1:"&amp;LEN(A437)))),1))," ",REPT(" ",LEN(A437))),LEN(A437)))), LARGE(INDEX(ISNUMBER(--MID((--TRIM(RIGHT(SUBSTITUTE(LEFT(A437,_xlfn.AGGREGATE(16,6,FIND({0,1,2,3,4,5,6,7,8,9},A437,ROW(INDIRECT("1:"&amp;LEN(A437)))),1))," ",REPT(" ",LEN(A437))),LEN(A437)))), ROW(INDIRECT("1:"&amp;LEN((--TRIM(RIGHT(SUBSTITUTE(LEFT(A437,_xlfn.AGGREGATE(16,6,FIND({0,1,2,3,4,5,6,7,8,9},A437,ROW(INDIRECT("1:"&amp;LEN(A437)))),1))," ",REPT(" ",LEN(A437))),LEN(A437))))))), 1)) * ROW(INDIRECT("1:"&amp;LEN((--TRIM(RIGHT(SUBSTITUTE(LEFT(A437,_xlfn.AGGREGATE(16,6,FIND({0,1,2,3,4,5,6,7,8,9},A437,ROW(INDIRECT("1:"&amp;LEN(A437)))),1))," ",REPT(" ",LEN(A437))),LEN(A437))))))), 0), ROW(INDIRECT("1:"&amp;LEN((--TRIM(RIGHT(SUBSTITUTE(LEFT(A437,_xlfn.AGGREGATE(16,6,FIND({0,1,2,3,4,5,6,7,8,9},A437,ROW(INDIRECT("1:"&amp;LEN(A437)))),1))," ",REPT(" ",LEN(A437))),LEN(A437))))))))+1, 1) * 10^ROW(INDIRECT("1:"&amp;LEN((--TRIM(RIGHT(SUBSTITUTE(LEFT(A437,_xlfn.AGGREGATE(16,6,FIND({0,1,2,3,4,5,6,7,8,9},A437,ROW(INDIRECT("1:"&amp;LEN(A437)))),1))," ",REPT(" ",LEN(A437))),LEN(A437)))))))/10))*100+1</f>
        <v>201 to 501</v>
      </c>
      <c r="B438" s="62"/>
      <c r="C438" s="54"/>
      <c r="D438" s="42"/>
      <c r="E438" s="42">
        <v>0</v>
      </c>
      <c r="F438" s="42">
        <f>D438*(($F$235)+1)+(IF(E438&lt;101,E438,IF(E438&lt;201,E438/2,IF(E438&lt;=301,E438/3,E438/4))))</f>
        <v>0</v>
      </c>
      <c r="G438" s="61" t="str">
        <f>A437</f>
        <v>2nd to 5th Floor</v>
      </c>
      <c r="H438" s="62"/>
      <c r="I438" s="36"/>
    </row>
    <row r="439" spans="1:9" s="37" customFormat="1" hidden="1" x14ac:dyDescent="0.25">
      <c r="A439" s="61" t="str">
        <f ca="1">(SUMPRODUCT(MID(0&amp;(LEFT(A438,SUM(LEN(A438)-LEN(SUBSTITUTE(A438,{"0","1","2"},""))))), LARGE(INDEX(ISNUMBER(--MID((LEFT(A438,SUM(LEN(A438)-LEN(SUBSTITUTE(A438,{"0","1","2"},""))))), ROW(INDIRECT("1:"&amp;LEN((LEFT(A438,SUM(LEN(A438)-LEN(SUBSTITUTE(A438,{"0","1","2"},"")))))))), 1)) * ROW(INDIRECT("1:"&amp;LEN((LEFT(A438,SUM(LEN(A438)-LEN(SUBSTITUTE(A438,{"0","1","2"},"")))))))), 0), ROW(INDIRECT("1:"&amp;LEN((LEFT(A438,SUM(LEN(A438)-LEN(SUBSTITUTE(A438,{"0","1","2"},"")))))))))+1, 1) * 10^ROW(INDIRECT("1:"&amp;LEN((LEFT(A438,SUM(LEN(A438)-LEN(SUBSTITUTE(A438,{"0","1","2"},""))))))))/10))*1+1&amp;""&amp;" to "&amp;""&amp;(SUMPRODUCT(MID(0&amp;(--TRIM(RIGHT(SUBSTITUTE(LEFT(A438,_xlfn.AGGREGATE(16,6,FIND({0,1,2,3,4,5,6,7,8,9},A438,ROW(INDIRECT("1:"&amp;LEN(A438)))),1))," ",REPT(" ",LEN(A438))),LEN(A438)))), LARGE(INDEX(ISNUMBER(--MID((--TRIM(RIGHT(SUBSTITUTE(LEFT(A438,_xlfn.AGGREGATE(16,6,FIND({0,1,2,3,4,5,6,7,8,9},A438,ROW(INDIRECT("1:"&amp;LEN(A438)))),1))," ",REPT(" ",LEN(A438))),LEN(A438)))), ROW(INDIRECT("1:"&amp;LEN((--TRIM(RIGHT(SUBSTITUTE(LEFT(A438,_xlfn.AGGREGATE(16,6,FIND({0,1,2,3,4,5,6,7,8,9},A438,ROW(INDIRECT("1:"&amp;LEN(A438)))),1))," ",REPT(" ",LEN(A438))),LEN(A438))))))), 1)) * ROW(INDIRECT("1:"&amp;LEN((--TRIM(RIGHT(SUBSTITUTE(LEFT(A438,_xlfn.AGGREGATE(16,6,FIND({0,1,2,3,4,5,6,7,8,9},A438,ROW(INDIRECT("1:"&amp;LEN(A438)))),1))," ",REPT(" ",LEN(A438))),LEN(A438))))))), 0), ROW(INDIRECT("1:"&amp;LEN((--TRIM(RIGHT(SUBSTITUTE(LEFT(A438,_xlfn.AGGREGATE(16,6,FIND({0,1,2,3,4,5,6,7,8,9},A438,ROW(INDIRECT("1:"&amp;LEN(A438)))),1))," ",REPT(" ",LEN(A438))),LEN(A438))))))))+1, 1) * 10^ROW(INDIRECT("1:"&amp;LEN((--TRIM(RIGHT(SUBSTITUTE(LEFT(A438,_xlfn.AGGREGATE(16,6,FIND({0,1,2,3,4,5,6,7,8,9},A438,ROW(INDIRECT("1:"&amp;LEN(A438)))),1))," ",REPT(" ",LEN(A438))),LEN(A438)))))))/10))*1+1</f>
        <v>202 to 502</v>
      </c>
      <c r="B439" s="62"/>
      <c r="C439" s="54"/>
      <c r="D439" s="42"/>
      <c r="E439" s="42">
        <v>0</v>
      </c>
      <c r="F439" s="42">
        <f>D439*(($F$235)+1)+(IF(E439&lt;101,E439,IF(E439&lt;201,E439/2,IF(E439&lt;=301,E439/3,E439/4))))</f>
        <v>0</v>
      </c>
      <c r="G439" s="61" t="str">
        <f>G438</f>
        <v>2nd to 5th Floor</v>
      </c>
      <c r="H439" s="62"/>
      <c r="I439" s="36"/>
    </row>
    <row r="440" spans="1:9" s="37" customFormat="1" hidden="1" x14ac:dyDescent="0.25">
      <c r="A440" s="61" t="str">
        <f ca="1">(SUMPRODUCT(MID(0&amp;(LEFT(A439,SUM(LEN(A439)-LEN(SUBSTITUTE(A439,{"0","1","2"},""))))), LARGE(INDEX(ISNUMBER(--MID((LEFT(A439,SUM(LEN(A439)-LEN(SUBSTITUTE(A439,{"0","1","2"},""))))), ROW(INDIRECT("1:"&amp;LEN((LEFT(A439,SUM(LEN(A439)-LEN(SUBSTITUTE(A439,{"0","1","2"},"")))))))), 1)) * ROW(INDIRECT("1:"&amp;LEN((LEFT(A439,SUM(LEN(A439)-LEN(SUBSTITUTE(A439,{"0","1","2"},"")))))))), 0), ROW(INDIRECT("1:"&amp;LEN((LEFT(A439,SUM(LEN(A439)-LEN(SUBSTITUTE(A439,{"0","1","2"},"")))))))))+1, 1) * 10^ROW(INDIRECT("1:"&amp;LEN((LEFT(A439,SUM(LEN(A439)-LEN(SUBSTITUTE(A439,{"0","1","2"},""))))))))/10))*1+1&amp;""&amp;" to "&amp;""&amp;(SUMPRODUCT(MID(0&amp;(--TRIM(RIGHT(SUBSTITUTE(LEFT(A439,_xlfn.AGGREGATE(16,6,FIND({0,1,2,3,4,5,6,7,8,9},A439,ROW(INDIRECT("1:"&amp;LEN(A439)))),1))," ",REPT(" ",LEN(A439))),LEN(A439)))), LARGE(INDEX(ISNUMBER(--MID((--TRIM(RIGHT(SUBSTITUTE(LEFT(A439,_xlfn.AGGREGATE(16,6,FIND({0,1,2,3,4,5,6,7,8,9},A439,ROW(INDIRECT("1:"&amp;LEN(A439)))),1))," ",REPT(" ",LEN(A439))),LEN(A439)))), ROW(INDIRECT("1:"&amp;LEN((--TRIM(RIGHT(SUBSTITUTE(LEFT(A439,_xlfn.AGGREGATE(16,6,FIND({0,1,2,3,4,5,6,7,8,9},A439,ROW(INDIRECT("1:"&amp;LEN(A439)))),1))," ",REPT(" ",LEN(A439))),LEN(A439))))))), 1)) * ROW(INDIRECT("1:"&amp;LEN((--TRIM(RIGHT(SUBSTITUTE(LEFT(A439,_xlfn.AGGREGATE(16,6,FIND({0,1,2,3,4,5,6,7,8,9},A439,ROW(INDIRECT("1:"&amp;LEN(A439)))),1))," ",REPT(" ",LEN(A439))),LEN(A439))))))), 0), ROW(INDIRECT("1:"&amp;LEN((--TRIM(RIGHT(SUBSTITUTE(LEFT(A439,_xlfn.AGGREGATE(16,6,FIND({0,1,2,3,4,5,6,7,8,9},A439,ROW(INDIRECT("1:"&amp;LEN(A439)))),1))," ",REPT(" ",LEN(A439))),LEN(A439))))))))+1, 1) * 10^ROW(INDIRECT("1:"&amp;LEN((--TRIM(RIGHT(SUBSTITUTE(LEFT(A439,_xlfn.AGGREGATE(16,6,FIND({0,1,2,3,4,5,6,7,8,9},A439,ROW(INDIRECT("1:"&amp;LEN(A439)))),1))," ",REPT(" ",LEN(A439))),LEN(A439)))))))/10))*1+1</f>
        <v>203 to 503</v>
      </c>
      <c r="B440" s="62"/>
      <c r="C440" s="54"/>
      <c r="D440" s="42"/>
      <c r="E440" s="42">
        <v>0</v>
      </c>
      <c r="F440" s="42">
        <f>D440*(($F$235)+1)+(IF(E440&lt;101,E440,IF(E440&lt;201,E440/2,IF(E440&lt;=301,E440/3,E440/4))))</f>
        <v>0</v>
      </c>
      <c r="G440" s="61" t="str">
        <f>G439</f>
        <v>2nd to 5th Floor</v>
      </c>
      <c r="H440" s="62"/>
      <c r="I440" s="36"/>
    </row>
    <row r="441" spans="1:9" s="37" customFormat="1" hidden="1" x14ac:dyDescent="0.25">
      <c r="A441" s="61" t="str">
        <f ca="1">(SUMPRODUCT(MID(0&amp;(LEFT(A440,SUM(LEN(A440)-LEN(SUBSTITUTE(A440,{"0","1","2"},""))))), LARGE(INDEX(ISNUMBER(--MID((LEFT(A440,SUM(LEN(A440)-LEN(SUBSTITUTE(A440,{"0","1","2"},""))))), ROW(INDIRECT("1:"&amp;LEN((LEFT(A440,SUM(LEN(A440)-LEN(SUBSTITUTE(A440,{"0","1","2"},"")))))))), 1)) * ROW(INDIRECT("1:"&amp;LEN((LEFT(A440,SUM(LEN(A440)-LEN(SUBSTITUTE(A440,{"0","1","2"},"")))))))), 0), ROW(INDIRECT("1:"&amp;LEN((LEFT(A440,SUM(LEN(A440)-LEN(SUBSTITUTE(A440,{"0","1","2"},"")))))))))+1, 1) * 10^ROW(INDIRECT("1:"&amp;LEN((LEFT(A440,SUM(LEN(A440)-LEN(SUBSTITUTE(A440,{"0","1","2"},""))))))))/10))*1+1&amp;""&amp;" to "&amp;""&amp;(SUMPRODUCT(MID(0&amp;(--TRIM(RIGHT(SUBSTITUTE(LEFT(A440,_xlfn.AGGREGATE(16,6,FIND({0,1,2,3,4,5,6,7,8,9},A440,ROW(INDIRECT("1:"&amp;LEN(A440)))),1))," ",REPT(" ",LEN(A440))),LEN(A440)))), LARGE(INDEX(ISNUMBER(--MID((--TRIM(RIGHT(SUBSTITUTE(LEFT(A440,_xlfn.AGGREGATE(16,6,FIND({0,1,2,3,4,5,6,7,8,9},A440,ROW(INDIRECT("1:"&amp;LEN(A440)))),1))," ",REPT(" ",LEN(A440))),LEN(A440)))), ROW(INDIRECT("1:"&amp;LEN((--TRIM(RIGHT(SUBSTITUTE(LEFT(A440,_xlfn.AGGREGATE(16,6,FIND({0,1,2,3,4,5,6,7,8,9},A440,ROW(INDIRECT("1:"&amp;LEN(A440)))),1))," ",REPT(" ",LEN(A440))),LEN(A440))))))), 1)) * ROW(INDIRECT("1:"&amp;LEN((--TRIM(RIGHT(SUBSTITUTE(LEFT(A440,_xlfn.AGGREGATE(16,6,FIND({0,1,2,3,4,5,6,7,8,9},A440,ROW(INDIRECT("1:"&amp;LEN(A440)))),1))," ",REPT(" ",LEN(A440))),LEN(A440))))))), 0), ROW(INDIRECT("1:"&amp;LEN((--TRIM(RIGHT(SUBSTITUTE(LEFT(A440,_xlfn.AGGREGATE(16,6,FIND({0,1,2,3,4,5,6,7,8,9},A440,ROW(INDIRECT("1:"&amp;LEN(A440)))),1))," ",REPT(" ",LEN(A440))),LEN(A440))))))))+1, 1) * 10^ROW(INDIRECT("1:"&amp;LEN((--TRIM(RIGHT(SUBSTITUTE(LEFT(A440,_xlfn.AGGREGATE(16,6,FIND({0,1,2,3,4,5,6,7,8,9},A440,ROW(INDIRECT("1:"&amp;LEN(A440)))),1))," ",REPT(" ",LEN(A440))),LEN(A440)))))))/10))*1+1</f>
        <v>204 to 504</v>
      </c>
      <c r="B441" s="62"/>
      <c r="C441" s="54"/>
      <c r="D441" s="42"/>
      <c r="E441" s="42">
        <v>0</v>
      </c>
      <c r="F441" s="42">
        <f>D441*(($F$235)+1)+(IF(E441&lt;101,E441,IF(E441&lt;201,E441/2,IF(E441&lt;=301,E441/3,E441/4))))</f>
        <v>0</v>
      </c>
      <c r="G441" s="61" t="str">
        <f>G440</f>
        <v>2nd to 5th Floor</v>
      </c>
      <c r="H441" s="62"/>
      <c r="I441" s="36"/>
    </row>
    <row r="442" spans="1:9" s="37" customFormat="1" hidden="1" x14ac:dyDescent="0.25">
      <c r="A442" s="61" t="str">
        <f ca="1">(SUMPRODUCT(MID(0&amp;(LEFT(A441,SUM(LEN(A441)-LEN(SUBSTITUTE(A441,{"0","1","2"},""))))), LARGE(INDEX(ISNUMBER(--MID((LEFT(A441,SUM(LEN(A441)-LEN(SUBSTITUTE(A441,{"0","1","2"},""))))), ROW(INDIRECT("1:"&amp;LEN((LEFT(A441,SUM(LEN(A441)-LEN(SUBSTITUTE(A441,{"0","1","2"},"")))))))), 1)) * ROW(INDIRECT("1:"&amp;LEN((LEFT(A441,SUM(LEN(A441)-LEN(SUBSTITUTE(A441,{"0","1","2"},"")))))))), 0), ROW(INDIRECT("1:"&amp;LEN((LEFT(A441,SUM(LEN(A441)-LEN(SUBSTITUTE(A441,{"0","1","2"},"")))))))))+1, 1) * 10^ROW(INDIRECT("1:"&amp;LEN((LEFT(A441,SUM(LEN(A441)-LEN(SUBSTITUTE(A441,{"0","1","2"},""))))))))/10))*1+1&amp;""&amp;" to "&amp;""&amp;(SUMPRODUCT(MID(0&amp;(--TRIM(RIGHT(SUBSTITUTE(LEFT(A441,_xlfn.AGGREGATE(16,6,FIND({0,1,2,3,4,5,6,7,8,9},A441,ROW(INDIRECT("1:"&amp;LEN(A441)))),1))," ",REPT(" ",LEN(A441))),LEN(A441)))), LARGE(INDEX(ISNUMBER(--MID((--TRIM(RIGHT(SUBSTITUTE(LEFT(A441,_xlfn.AGGREGATE(16,6,FIND({0,1,2,3,4,5,6,7,8,9},A441,ROW(INDIRECT("1:"&amp;LEN(A441)))),1))," ",REPT(" ",LEN(A441))),LEN(A441)))), ROW(INDIRECT("1:"&amp;LEN((--TRIM(RIGHT(SUBSTITUTE(LEFT(A441,_xlfn.AGGREGATE(16,6,FIND({0,1,2,3,4,5,6,7,8,9},A441,ROW(INDIRECT("1:"&amp;LEN(A441)))),1))," ",REPT(" ",LEN(A441))),LEN(A441))))))), 1)) * ROW(INDIRECT("1:"&amp;LEN((--TRIM(RIGHT(SUBSTITUTE(LEFT(A441,_xlfn.AGGREGATE(16,6,FIND({0,1,2,3,4,5,6,7,8,9},A441,ROW(INDIRECT("1:"&amp;LEN(A441)))),1))," ",REPT(" ",LEN(A441))),LEN(A441))))))), 0), ROW(INDIRECT("1:"&amp;LEN((--TRIM(RIGHT(SUBSTITUTE(LEFT(A441,_xlfn.AGGREGATE(16,6,FIND({0,1,2,3,4,5,6,7,8,9},A441,ROW(INDIRECT("1:"&amp;LEN(A441)))),1))," ",REPT(" ",LEN(A441))),LEN(A441))))))))+1, 1) * 10^ROW(INDIRECT("1:"&amp;LEN((--TRIM(RIGHT(SUBSTITUTE(LEFT(A441,_xlfn.AGGREGATE(16,6,FIND({0,1,2,3,4,5,6,7,8,9},A441,ROW(INDIRECT("1:"&amp;LEN(A441)))),1))," ",REPT(" ",LEN(A441))),LEN(A441)))))))/10))*1+1</f>
        <v>205 to 505</v>
      </c>
      <c r="B442" s="62"/>
      <c r="C442" s="54"/>
      <c r="D442" s="42"/>
      <c r="E442" s="42">
        <v>0</v>
      </c>
      <c r="F442" s="42">
        <f>D442*(($F$235)+1)+(IF(E442&lt;101,E442,IF(E442&lt;201,E442/2,IF(E442&lt;=301,E442/3,E442/4))))</f>
        <v>0</v>
      </c>
      <c r="G442" s="61" t="str">
        <f>G441</f>
        <v>2nd to 5th Floor</v>
      </c>
      <c r="H442" s="62"/>
      <c r="I442" s="36"/>
    </row>
    <row r="443" spans="1:9" s="37" customFormat="1" hidden="1" x14ac:dyDescent="0.25">
      <c r="A443" s="78" t="s">
        <v>145</v>
      </c>
      <c r="B443" s="79"/>
      <c r="C443" s="79"/>
      <c r="D443" s="79"/>
      <c r="E443" s="79"/>
      <c r="F443" s="79"/>
      <c r="G443" s="79"/>
      <c r="H443" s="80"/>
      <c r="I443" s="36"/>
    </row>
    <row r="444" spans="1:9" s="37" customFormat="1" hidden="1" x14ac:dyDescent="0.25">
      <c r="A444" s="61" t="str">
        <f ca="1">(SUMPRODUCT(MID(0&amp;(LEFT(A443,SUM(LEN(A443)-LEN(SUBSTITUTE(A443,{"0","1","2"},""))))), LARGE(INDEX(ISNUMBER(--MID((LEFT(A443,SUM(LEN(A443)-LEN(SUBSTITUTE(A443,{"0","1","2"},""))))), ROW(INDIRECT("1:"&amp;LEN((LEFT(A443,SUM(LEN(A443)-LEN(SUBSTITUTE(A443,{"0","1","2"},"")))))))), 1)) * ROW(INDIRECT("1:"&amp;LEN((LEFT(A443,SUM(LEN(A443)-LEN(SUBSTITUTE(A443,{"0","1","2"},"")))))))), 0), ROW(INDIRECT("1:"&amp;LEN((LEFT(A443,SUM(LEN(A443)-LEN(SUBSTITUTE(A443,{"0","1","2"},"")))))))))+1, 1) * 10^ROW(INDIRECT("1:"&amp;LEN((LEFT(A443,SUM(LEN(A443)-LEN(SUBSTITUTE(A443,{"0","1","2"},""))))))))/10))*100+1&amp;""&amp;" &amp; "&amp;""&amp;(SUMPRODUCT(MID(0&amp;(--TRIM(RIGHT(SUBSTITUTE(LEFT(A443,_xlfn.AGGREGATE(16,6,FIND({0,1,2,3,4,5,6,7,8,9},A443,ROW(INDIRECT("1:"&amp;LEN(A443)))),1))," ",REPT(" ",LEN(A443))),LEN(A443)))), LARGE(INDEX(ISNUMBER(--MID((--TRIM(RIGHT(SUBSTITUTE(LEFT(A443,_xlfn.AGGREGATE(16,6,FIND({0,1,2,3,4,5,6,7,8,9},A443,ROW(INDIRECT("1:"&amp;LEN(A443)))),1))," ",REPT(" ",LEN(A443))),LEN(A443)))), ROW(INDIRECT("1:"&amp;LEN((--TRIM(RIGHT(SUBSTITUTE(LEFT(A443,_xlfn.AGGREGATE(16,6,FIND({0,1,2,3,4,5,6,7,8,9},A443,ROW(INDIRECT("1:"&amp;LEN(A443)))),1))," ",REPT(" ",LEN(A443))),LEN(A443))))))), 1)) * ROW(INDIRECT("1:"&amp;LEN((--TRIM(RIGHT(SUBSTITUTE(LEFT(A443,_xlfn.AGGREGATE(16,6,FIND({0,1,2,3,4,5,6,7,8,9},A443,ROW(INDIRECT("1:"&amp;LEN(A443)))),1))," ",REPT(" ",LEN(A443))),LEN(A443))))))), 0), ROW(INDIRECT("1:"&amp;LEN((--TRIM(RIGHT(SUBSTITUTE(LEFT(A443,_xlfn.AGGREGATE(16,6,FIND({0,1,2,3,4,5,6,7,8,9},A443,ROW(INDIRECT("1:"&amp;LEN(A443)))),1))," ",REPT(" ",LEN(A443))),LEN(A443))))))))+1, 1) * 10^ROW(INDIRECT("1:"&amp;LEN((--TRIM(RIGHT(SUBSTITUTE(LEFT(A443,_xlfn.AGGREGATE(16,6,FIND({0,1,2,3,4,5,6,7,8,9},A443,ROW(INDIRECT("1:"&amp;LEN(A443)))),1))," ",REPT(" ",LEN(A443))),LEN(A443)))))))/10))*100+1</f>
        <v>201 &amp; 501</v>
      </c>
      <c r="B444" s="62"/>
      <c r="C444" s="54"/>
      <c r="D444" s="42"/>
      <c r="E444" s="42">
        <v>0</v>
      </c>
      <c r="F444" s="42">
        <f>D444*(($F$235)+1)+(IF(E444&lt;101,E444,IF(E444&lt;201,E444/2,IF(E444&lt;=301,E444/3,E444/4))))</f>
        <v>0</v>
      </c>
      <c r="G444" s="61" t="str">
        <f>A443</f>
        <v>2nd &amp; 5th Floor</v>
      </c>
      <c r="H444" s="62"/>
      <c r="I444" s="36"/>
    </row>
    <row r="445" spans="1:9" s="37" customFormat="1" hidden="1" x14ac:dyDescent="0.25">
      <c r="A445" s="61" t="str">
        <f ca="1">(SUMPRODUCT(MID(0&amp;(LEFT(A444,SUM(LEN(A444)-LEN(SUBSTITUTE(A444,{"0","1","2"},""))))), LARGE(INDEX(ISNUMBER(--MID((LEFT(A444,SUM(LEN(A444)-LEN(SUBSTITUTE(A444,{"0","1","2"},""))))), ROW(INDIRECT("1:"&amp;LEN((LEFT(A444,SUM(LEN(A444)-LEN(SUBSTITUTE(A444,{"0","1","2"},"")))))))), 1)) * ROW(INDIRECT("1:"&amp;LEN((LEFT(A444,SUM(LEN(A444)-LEN(SUBSTITUTE(A444,{"0","1","2"},"")))))))), 0), ROW(INDIRECT("1:"&amp;LEN((LEFT(A444,SUM(LEN(A444)-LEN(SUBSTITUTE(A444,{"0","1","2"},"")))))))))+1, 1) * 10^ROW(INDIRECT("1:"&amp;LEN((LEFT(A444,SUM(LEN(A444)-LEN(SUBSTITUTE(A444,{"0","1","2"},""))))))))/10))*1+1&amp;""&amp;" &amp; "&amp;""&amp;(SUMPRODUCT(MID(0&amp;(--TRIM(RIGHT(SUBSTITUTE(LEFT(A444,_xlfn.AGGREGATE(16,6,FIND({0,1,2,3,4,5,6,7,8,9},A444,ROW(INDIRECT("1:"&amp;LEN(A444)))),1))," ",REPT(" ",LEN(A444))),LEN(A444)))), LARGE(INDEX(ISNUMBER(--MID((--TRIM(RIGHT(SUBSTITUTE(LEFT(A444,_xlfn.AGGREGATE(16,6,FIND({0,1,2,3,4,5,6,7,8,9},A444,ROW(INDIRECT("1:"&amp;LEN(A444)))),1))," ",REPT(" ",LEN(A444))),LEN(A444)))), ROW(INDIRECT("1:"&amp;LEN((--TRIM(RIGHT(SUBSTITUTE(LEFT(A444,_xlfn.AGGREGATE(16,6,FIND({0,1,2,3,4,5,6,7,8,9},A444,ROW(INDIRECT("1:"&amp;LEN(A444)))),1))," ",REPT(" ",LEN(A444))),LEN(A444))))))), 1)) * ROW(INDIRECT("1:"&amp;LEN((--TRIM(RIGHT(SUBSTITUTE(LEFT(A444,_xlfn.AGGREGATE(16,6,FIND({0,1,2,3,4,5,6,7,8,9},A444,ROW(INDIRECT("1:"&amp;LEN(A444)))),1))," ",REPT(" ",LEN(A444))),LEN(A444))))))), 0), ROW(INDIRECT("1:"&amp;LEN((--TRIM(RIGHT(SUBSTITUTE(LEFT(A444,_xlfn.AGGREGATE(16,6,FIND({0,1,2,3,4,5,6,7,8,9},A444,ROW(INDIRECT("1:"&amp;LEN(A444)))),1))," ",REPT(" ",LEN(A444))),LEN(A444))))))))+1, 1) * 10^ROW(INDIRECT("1:"&amp;LEN((--TRIM(RIGHT(SUBSTITUTE(LEFT(A444,_xlfn.AGGREGATE(16,6,FIND({0,1,2,3,4,5,6,7,8,9},A444,ROW(INDIRECT("1:"&amp;LEN(A444)))),1))," ",REPT(" ",LEN(A444))),LEN(A444)))))))/10))*1+1</f>
        <v>202 &amp; 502</v>
      </c>
      <c r="B445" s="62"/>
      <c r="C445" s="54"/>
      <c r="D445" s="42"/>
      <c r="E445" s="42">
        <v>0</v>
      </c>
      <c r="F445" s="42">
        <f>D445*(($F$235)+1)+(IF(E445&lt;101,E445,IF(E445&lt;201,E445/2,IF(E445&lt;=301,E445/3,E445/4))))</f>
        <v>0</v>
      </c>
      <c r="G445" s="61" t="str">
        <f t="shared" ref="G445:G448" si="61">G444</f>
        <v>2nd &amp; 5th Floor</v>
      </c>
      <c r="H445" s="62"/>
      <c r="I445" s="36"/>
    </row>
    <row r="446" spans="1:9" s="37" customFormat="1" hidden="1" x14ac:dyDescent="0.25">
      <c r="A446" s="61" t="str">
        <f ca="1">(SUMPRODUCT(MID(0&amp;(LEFT(A445,SUM(LEN(A445)-LEN(SUBSTITUTE(A445,{"0","1","2"},""))))), LARGE(INDEX(ISNUMBER(--MID((LEFT(A445,SUM(LEN(A445)-LEN(SUBSTITUTE(A445,{"0","1","2"},""))))), ROW(INDIRECT("1:"&amp;LEN((LEFT(A445,SUM(LEN(A445)-LEN(SUBSTITUTE(A445,{"0","1","2"},"")))))))), 1)) * ROW(INDIRECT("1:"&amp;LEN((LEFT(A445,SUM(LEN(A445)-LEN(SUBSTITUTE(A445,{"0","1","2"},"")))))))), 0), ROW(INDIRECT("1:"&amp;LEN((LEFT(A445,SUM(LEN(A445)-LEN(SUBSTITUTE(A445,{"0","1","2"},"")))))))))+1, 1) * 10^ROW(INDIRECT("1:"&amp;LEN((LEFT(A445,SUM(LEN(A445)-LEN(SUBSTITUTE(A445,{"0","1","2"},""))))))))/10))*1+1&amp;""&amp;" &amp; "&amp;""&amp;(SUMPRODUCT(MID(0&amp;(--TRIM(RIGHT(SUBSTITUTE(LEFT(A445,_xlfn.AGGREGATE(16,6,FIND({0,1,2,3,4,5,6,7,8,9},A445,ROW(INDIRECT("1:"&amp;LEN(A445)))),1))," ",REPT(" ",LEN(A445))),LEN(A445)))), LARGE(INDEX(ISNUMBER(--MID((--TRIM(RIGHT(SUBSTITUTE(LEFT(A445,_xlfn.AGGREGATE(16,6,FIND({0,1,2,3,4,5,6,7,8,9},A445,ROW(INDIRECT("1:"&amp;LEN(A445)))),1))," ",REPT(" ",LEN(A445))),LEN(A445)))), ROW(INDIRECT("1:"&amp;LEN((--TRIM(RIGHT(SUBSTITUTE(LEFT(A445,_xlfn.AGGREGATE(16,6,FIND({0,1,2,3,4,5,6,7,8,9},A445,ROW(INDIRECT("1:"&amp;LEN(A445)))),1))," ",REPT(" ",LEN(A445))),LEN(A445))))))), 1)) * ROW(INDIRECT("1:"&amp;LEN((--TRIM(RIGHT(SUBSTITUTE(LEFT(A445,_xlfn.AGGREGATE(16,6,FIND({0,1,2,3,4,5,6,7,8,9},A445,ROW(INDIRECT("1:"&amp;LEN(A445)))),1))," ",REPT(" ",LEN(A445))),LEN(A445))))))), 0), ROW(INDIRECT("1:"&amp;LEN((--TRIM(RIGHT(SUBSTITUTE(LEFT(A445,_xlfn.AGGREGATE(16,6,FIND({0,1,2,3,4,5,6,7,8,9},A445,ROW(INDIRECT("1:"&amp;LEN(A445)))),1))," ",REPT(" ",LEN(A445))),LEN(A445))))))))+1, 1) * 10^ROW(INDIRECT("1:"&amp;LEN((--TRIM(RIGHT(SUBSTITUTE(LEFT(A445,_xlfn.AGGREGATE(16,6,FIND({0,1,2,3,4,5,6,7,8,9},A445,ROW(INDIRECT("1:"&amp;LEN(A445)))),1))," ",REPT(" ",LEN(A445))),LEN(A445)))))))/10))*1+1</f>
        <v>203 &amp; 503</v>
      </c>
      <c r="B446" s="62"/>
      <c r="C446" s="54"/>
      <c r="D446" s="42"/>
      <c r="E446" s="42">
        <v>0</v>
      </c>
      <c r="F446" s="42">
        <f>D446*(($F$235)+1)+(IF(E446&lt;101,E446,IF(E446&lt;201,E446/2,IF(E446&lt;=301,E446/3,E446/4))))</f>
        <v>0</v>
      </c>
      <c r="G446" s="61" t="str">
        <f t="shared" si="61"/>
        <v>2nd &amp; 5th Floor</v>
      </c>
      <c r="H446" s="62"/>
      <c r="I446" s="36"/>
    </row>
    <row r="447" spans="1:9" s="37" customFormat="1" hidden="1" x14ac:dyDescent="0.25">
      <c r="A447" s="61" t="str">
        <f ca="1">(SUMPRODUCT(MID(0&amp;(LEFT(A446,SUM(LEN(A446)-LEN(SUBSTITUTE(A446,{"0","1","2"},""))))), LARGE(INDEX(ISNUMBER(--MID((LEFT(A446,SUM(LEN(A446)-LEN(SUBSTITUTE(A446,{"0","1","2"},""))))), ROW(INDIRECT("1:"&amp;LEN((LEFT(A446,SUM(LEN(A446)-LEN(SUBSTITUTE(A446,{"0","1","2"},"")))))))), 1)) * ROW(INDIRECT("1:"&amp;LEN((LEFT(A446,SUM(LEN(A446)-LEN(SUBSTITUTE(A446,{"0","1","2"},"")))))))), 0), ROW(INDIRECT("1:"&amp;LEN((LEFT(A446,SUM(LEN(A446)-LEN(SUBSTITUTE(A446,{"0","1","2"},"")))))))))+1, 1) * 10^ROW(INDIRECT("1:"&amp;LEN((LEFT(A446,SUM(LEN(A446)-LEN(SUBSTITUTE(A446,{"0","1","2"},""))))))))/10))*1+1&amp;""&amp;" &amp; "&amp;""&amp;(SUMPRODUCT(MID(0&amp;(--TRIM(RIGHT(SUBSTITUTE(LEFT(A446,_xlfn.AGGREGATE(16,6,FIND({0,1,2,3,4,5,6,7,8,9},A446,ROW(INDIRECT("1:"&amp;LEN(A446)))),1))," ",REPT(" ",LEN(A446))),LEN(A446)))), LARGE(INDEX(ISNUMBER(--MID((--TRIM(RIGHT(SUBSTITUTE(LEFT(A446,_xlfn.AGGREGATE(16,6,FIND({0,1,2,3,4,5,6,7,8,9},A446,ROW(INDIRECT("1:"&amp;LEN(A446)))),1))," ",REPT(" ",LEN(A446))),LEN(A446)))), ROW(INDIRECT("1:"&amp;LEN((--TRIM(RIGHT(SUBSTITUTE(LEFT(A446,_xlfn.AGGREGATE(16,6,FIND({0,1,2,3,4,5,6,7,8,9},A446,ROW(INDIRECT("1:"&amp;LEN(A446)))),1))," ",REPT(" ",LEN(A446))),LEN(A446))))))), 1)) * ROW(INDIRECT("1:"&amp;LEN((--TRIM(RIGHT(SUBSTITUTE(LEFT(A446,_xlfn.AGGREGATE(16,6,FIND({0,1,2,3,4,5,6,7,8,9},A446,ROW(INDIRECT("1:"&amp;LEN(A446)))),1))," ",REPT(" ",LEN(A446))),LEN(A446))))))), 0), ROW(INDIRECT("1:"&amp;LEN((--TRIM(RIGHT(SUBSTITUTE(LEFT(A446,_xlfn.AGGREGATE(16,6,FIND({0,1,2,3,4,5,6,7,8,9},A446,ROW(INDIRECT("1:"&amp;LEN(A446)))),1))," ",REPT(" ",LEN(A446))),LEN(A446))))))))+1, 1) * 10^ROW(INDIRECT("1:"&amp;LEN((--TRIM(RIGHT(SUBSTITUTE(LEFT(A446,_xlfn.AGGREGATE(16,6,FIND({0,1,2,3,4,5,6,7,8,9},A446,ROW(INDIRECT("1:"&amp;LEN(A446)))),1))," ",REPT(" ",LEN(A446))),LEN(A446)))))))/10))*1+1</f>
        <v>204 &amp; 504</v>
      </c>
      <c r="B447" s="62"/>
      <c r="C447" s="54"/>
      <c r="D447" s="42"/>
      <c r="E447" s="42">
        <v>0</v>
      </c>
      <c r="F447" s="42">
        <f>D447*(($F$235)+1)+(IF(E447&lt;101,E447,IF(E447&lt;201,E447/2,IF(E447&lt;=301,E447/3,E447/4))))</f>
        <v>0</v>
      </c>
      <c r="G447" s="61" t="str">
        <f t="shared" si="61"/>
        <v>2nd &amp; 5th Floor</v>
      </c>
      <c r="H447" s="62"/>
      <c r="I447" s="36"/>
    </row>
    <row r="448" spans="1:9" s="37" customFormat="1" hidden="1" x14ac:dyDescent="0.25">
      <c r="A448" s="61" t="str">
        <f ca="1">(SUMPRODUCT(MID(0&amp;(LEFT(A447,SUM(LEN(A447)-LEN(SUBSTITUTE(A447,{"0","1","2"},""))))), LARGE(INDEX(ISNUMBER(--MID((LEFT(A447,SUM(LEN(A447)-LEN(SUBSTITUTE(A447,{"0","1","2"},""))))), ROW(INDIRECT("1:"&amp;LEN((LEFT(A447,SUM(LEN(A447)-LEN(SUBSTITUTE(A447,{"0","1","2"},"")))))))), 1)) * ROW(INDIRECT("1:"&amp;LEN((LEFT(A447,SUM(LEN(A447)-LEN(SUBSTITUTE(A447,{"0","1","2"},"")))))))), 0), ROW(INDIRECT("1:"&amp;LEN((LEFT(A447,SUM(LEN(A447)-LEN(SUBSTITUTE(A447,{"0","1","2"},"")))))))))+1, 1) * 10^ROW(INDIRECT("1:"&amp;LEN((LEFT(A447,SUM(LEN(A447)-LEN(SUBSTITUTE(A447,{"0","1","2"},""))))))))/10))*1+1&amp;""&amp;" &amp; "&amp;""&amp;(SUMPRODUCT(MID(0&amp;(--TRIM(RIGHT(SUBSTITUTE(LEFT(A447,_xlfn.AGGREGATE(16,6,FIND({0,1,2,3,4,5,6,7,8,9},A447,ROW(INDIRECT("1:"&amp;LEN(A447)))),1))," ",REPT(" ",LEN(A447))),LEN(A447)))), LARGE(INDEX(ISNUMBER(--MID((--TRIM(RIGHT(SUBSTITUTE(LEFT(A447,_xlfn.AGGREGATE(16,6,FIND({0,1,2,3,4,5,6,7,8,9},A447,ROW(INDIRECT("1:"&amp;LEN(A447)))),1))," ",REPT(" ",LEN(A447))),LEN(A447)))), ROW(INDIRECT("1:"&amp;LEN((--TRIM(RIGHT(SUBSTITUTE(LEFT(A447,_xlfn.AGGREGATE(16,6,FIND({0,1,2,3,4,5,6,7,8,9},A447,ROW(INDIRECT("1:"&amp;LEN(A447)))),1))," ",REPT(" ",LEN(A447))),LEN(A447))))))), 1)) * ROW(INDIRECT("1:"&amp;LEN((--TRIM(RIGHT(SUBSTITUTE(LEFT(A447,_xlfn.AGGREGATE(16,6,FIND({0,1,2,3,4,5,6,7,8,9},A447,ROW(INDIRECT("1:"&amp;LEN(A447)))),1))," ",REPT(" ",LEN(A447))),LEN(A447))))))), 0), ROW(INDIRECT("1:"&amp;LEN((--TRIM(RIGHT(SUBSTITUTE(LEFT(A447,_xlfn.AGGREGATE(16,6,FIND({0,1,2,3,4,5,6,7,8,9},A447,ROW(INDIRECT("1:"&amp;LEN(A447)))),1))," ",REPT(" ",LEN(A447))),LEN(A447))))))))+1, 1) * 10^ROW(INDIRECT("1:"&amp;LEN((--TRIM(RIGHT(SUBSTITUTE(LEFT(A447,_xlfn.AGGREGATE(16,6,FIND({0,1,2,3,4,5,6,7,8,9},A447,ROW(INDIRECT("1:"&amp;LEN(A447)))),1))," ",REPT(" ",LEN(A447))),LEN(A447)))))))/10))*1+1</f>
        <v>205 &amp; 505</v>
      </c>
      <c r="B448" s="62"/>
      <c r="C448" s="54"/>
      <c r="D448" s="42"/>
      <c r="E448" s="42">
        <v>0</v>
      </c>
      <c r="F448" s="42">
        <f>D448*(($F$235)+1)+(IF(E448&lt;101,E448,IF(E448&lt;201,E448/2,IF(E448&lt;=301,E448/3,E448/4))))</f>
        <v>0</v>
      </c>
      <c r="G448" s="61" t="str">
        <f t="shared" si="61"/>
        <v>2nd &amp; 5th Floor</v>
      </c>
      <c r="H448" s="62"/>
      <c r="I448" s="36"/>
    </row>
    <row r="449" spans="1:13" s="35" customFormat="1" x14ac:dyDescent="0.25">
      <c r="A449" s="199" t="s">
        <v>67</v>
      </c>
      <c r="B449" s="199"/>
      <c r="C449" s="199"/>
      <c r="D449" s="199"/>
      <c r="E449" s="199"/>
      <c r="F449" s="199"/>
      <c r="G449" s="199"/>
      <c r="H449" s="199"/>
    </row>
    <row r="450" spans="1:13" s="35" customFormat="1" ht="32.25" customHeight="1" x14ac:dyDescent="0.25">
      <c r="A450" s="46" t="s">
        <v>154</v>
      </c>
      <c r="B450" s="64" t="s">
        <v>260</v>
      </c>
      <c r="C450" s="65"/>
      <c r="D450" s="65"/>
      <c r="E450" s="65"/>
      <c r="F450" s="65"/>
      <c r="G450" s="65"/>
      <c r="H450" s="66"/>
      <c r="I450" s="213" t="s">
        <v>258</v>
      </c>
      <c r="J450" s="214"/>
      <c r="K450" s="214"/>
      <c r="L450" s="214"/>
      <c r="M450" s="214"/>
    </row>
    <row r="451" spans="1:13" s="35" customFormat="1" x14ac:dyDescent="0.25">
      <c r="A451" s="46" t="s">
        <v>154</v>
      </c>
      <c r="B451" s="64" t="str">
        <f>(IF(F234="Saleable area Loading :","We have considered Saleable area of Flats as per our Calculation.","We considered Saleable area of Flat as per Builder area Sheet."))</f>
        <v>We have considered Saleable area of Flats as per our Calculation.</v>
      </c>
      <c r="C451" s="65"/>
      <c r="D451" s="65"/>
      <c r="E451" s="65"/>
      <c r="F451" s="65"/>
      <c r="G451" s="65"/>
      <c r="H451" s="66"/>
      <c r="I451" s="213"/>
      <c r="J451" s="214"/>
      <c r="K451" s="214"/>
      <c r="L451" s="214"/>
      <c r="M451" s="214"/>
    </row>
    <row r="452" spans="1:13" s="35" customFormat="1" x14ac:dyDescent="0.25">
      <c r="A452" s="46" t="s">
        <v>154</v>
      </c>
      <c r="B452" s="64" t="str">
        <f>(IF(F196="Saleable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452" s="65"/>
      <c r="D452" s="65"/>
      <c r="E452" s="65"/>
      <c r="F452" s="65"/>
      <c r="G452" s="65"/>
      <c r="H452" s="66"/>
    </row>
    <row r="453" spans="1:13" s="35" customFormat="1" x14ac:dyDescent="0.25">
      <c r="A453" s="46" t="s">
        <v>154</v>
      </c>
      <c r="B453" s="159" t="s">
        <v>121</v>
      </c>
      <c r="C453" s="160"/>
      <c r="D453" s="160"/>
      <c r="E453" s="160"/>
      <c r="F453" s="160"/>
      <c r="G453" s="160"/>
      <c r="H453" s="161"/>
    </row>
    <row r="454" spans="1:13" s="35" customFormat="1" x14ac:dyDescent="0.25">
      <c r="A454" s="46" t="s">
        <v>154</v>
      </c>
      <c r="B454" s="159" t="s">
        <v>241</v>
      </c>
      <c r="C454" s="160"/>
      <c r="D454" s="160"/>
      <c r="E454" s="160"/>
      <c r="F454" s="160"/>
      <c r="G454" s="160"/>
      <c r="H454" s="161"/>
    </row>
    <row r="455" spans="1:13" s="35" customFormat="1" x14ac:dyDescent="0.25">
      <c r="A455" s="46" t="s">
        <v>154</v>
      </c>
      <c r="B455" s="159" t="s">
        <v>153</v>
      </c>
      <c r="C455" s="160"/>
      <c r="D455" s="160"/>
      <c r="E455" s="160"/>
      <c r="F455" s="160"/>
      <c r="G455" s="160"/>
      <c r="H455" s="161"/>
    </row>
    <row r="456" spans="1:13" s="35" customFormat="1" x14ac:dyDescent="0.25">
      <c r="A456" s="46" t="s">
        <v>154</v>
      </c>
      <c r="B456" s="159" t="s">
        <v>122</v>
      </c>
      <c r="C456" s="160"/>
      <c r="D456" s="160"/>
      <c r="E456" s="160"/>
      <c r="F456" s="160"/>
      <c r="G456" s="160"/>
      <c r="H456" s="161"/>
    </row>
    <row r="457" spans="1:13" s="35" customFormat="1" ht="34.5" hidden="1" customHeight="1" x14ac:dyDescent="0.25">
      <c r="A457" s="46" t="s">
        <v>154</v>
      </c>
      <c r="B457" s="159" t="s">
        <v>155</v>
      </c>
      <c r="C457" s="160"/>
      <c r="D457" s="160"/>
      <c r="E457" s="160"/>
      <c r="F457" s="160"/>
      <c r="G457" s="160"/>
      <c r="H457" s="161"/>
    </row>
    <row r="458" spans="1:13" s="35" customFormat="1" x14ac:dyDescent="0.25">
      <c r="A458" s="46" t="s">
        <v>154</v>
      </c>
      <c r="B458" s="159" t="s">
        <v>123</v>
      </c>
      <c r="C458" s="160"/>
      <c r="D458" s="160"/>
      <c r="E458" s="160"/>
      <c r="F458" s="160"/>
      <c r="G458" s="160"/>
      <c r="H458" s="161"/>
    </row>
    <row r="459" spans="1:13" s="35" customFormat="1" ht="81.75" customHeight="1" x14ac:dyDescent="0.25">
      <c r="A459" s="46" t="s">
        <v>154</v>
      </c>
      <c r="B459" s="64" t="s">
        <v>211</v>
      </c>
      <c r="C459" s="65"/>
      <c r="D459" s="65"/>
      <c r="E459" s="65"/>
      <c r="F459" s="65"/>
      <c r="G459" s="65"/>
      <c r="H459" s="66"/>
    </row>
    <row r="460" spans="1:13" s="35" customFormat="1" x14ac:dyDescent="0.25">
      <c r="A460" s="46" t="s">
        <v>154</v>
      </c>
      <c r="B460" s="64" t="s">
        <v>243</v>
      </c>
      <c r="C460" s="65"/>
      <c r="D460" s="65"/>
      <c r="E460" s="65"/>
      <c r="F460" s="65"/>
      <c r="G460" s="65"/>
      <c r="H460" s="66"/>
    </row>
    <row r="461" spans="1:13" x14ac:dyDescent="0.25">
      <c r="A461" s="157" t="s">
        <v>60</v>
      </c>
      <c r="B461" s="157"/>
      <c r="C461" s="157"/>
      <c r="D461" s="157"/>
      <c r="E461" s="157"/>
      <c r="F461" s="157"/>
      <c r="G461" s="157"/>
      <c r="H461" s="157"/>
    </row>
    <row r="462" spans="1:13" x14ac:dyDescent="0.25">
      <c r="A462" s="115" t="s">
        <v>61</v>
      </c>
      <c r="B462" s="115"/>
      <c r="C462" s="115"/>
      <c r="D462" s="115"/>
      <c r="E462" s="115"/>
      <c r="F462" s="115"/>
      <c r="G462" s="115"/>
      <c r="H462" s="115"/>
    </row>
    <row r="463" spans="1:13" ht="15.75" customHeight="1" x14ac:dyDescent="0.25">
      <c r="A463" s="146" t="s">
        <v>62</v>
      </c>
      <c r="B463" s="146"/>
      <c r="C463" s="146"/>
      <c r="D463" s="146"/>
      <c r="E463" s="146"/>
      <c r="F463" s="146"/>
      <c r="G463" s="146"/>
      <c r="H463" s="146"/>
    </row>
    <row r="464" spans="1:13" x14ac:dyDescent="0.25">
      <c r="A464" s="115" t="s">
        <v>63</v>
      </c>
      <c r="B464" s="115"/>
      <c r="C464" s="115"/>
      <c r="D464" s="115"/>
      <c r="E464" s="115"/>
      <c r="F464" s="115"/>
      <c r="G464" s="115"/>
      <c r="H464" s="115"/>
    </row>
    <row r="465" spans="1:8" x14ac:dyDescent="0.25">
      <c r="A465" s="115" t="s">
        <v>64</v>
      </c>
      <c r="B465" s="115"/>
      <c r="C465" s="115"/>
      <c r="D465" s="115"/>
      <c r="E465" s="115"/>
      <c r="F465" s="115"/>
      <c r="G465" s="115"/>
      <c r="H465" s="115"/>
    </row>
    <row r="466" spans="1:8" x14ac:dyDescent="0.25">
      <c r="A466" s="115" t="s">
        <v>124</v>
      </c>
      <c r="B466" s="115"/>
      <c r="C466" s="115"/>
      <c r="D466" s="115"/>
      <c r="E466" s="115"/>
      <c r="F466" s="115"/>
      <c r="G466" s="115"/>
      <c r="H466" s="115"/>
    </row>
    <row r="467" spans="1:8" ht="35.25" customHeight="1" x14ac:dyDescent="0.25">
      <c r="A467" s="162" t="s">
        <v>125</v>
      </c>
      <c r="B467" s="162"/>
      <c r="C467" s="162"/>
      <c r="D467" s="162"/>
      <c r="E467" s="162"/>
      <c r="F467" s="162"/>
      <c r="G467" s="162"/>
      <c r="H467" s="162"/>
    </row>
    <row r="468" spans="1:8" x14ac:dyDescent="0.25">
      <c r="A468" s="165" t="s">
        <v>76</v>
      </c>
      <c r="B468" s="165"/>
      <c r="C468" s="165" t="s">
        <v>212</v>
      </c>
      <c r="D468" s="165"/>
      <c r="E468" s="165" t="s">
        <v>100</v>
      </c>
      <c r="F468" s="165"/>
      <c r="G468" s="165" t="s">
        <v>259</v>
      </c>
      <c r="H468" s="165"/>
    </row>
    <row r="469" spans="1:8" x14ac:dyDescent="0.25">
      <c r="A469" s="164" t="s">
        <v>78</v>
      </c>
      <c r="B469" s="164"/>
      <c r="C469" s="164"/>
      <c r="D469" s="164"/>
      <c r="E469" s="164"/>
      <c r="F469" s="164"/>
      <c r="G469" s="164"/>
      <c r="H469" s="164"/>
    </row>
    <row r="470" spans="1:8" x14ac:dyDescent="0.25">
      <c r="A470" s="164"/>
      <c r="B470" s="164"/>
      <c r="C470" s="164"/>
      <c r="D470" s="164"/>
      <c r="E470" s="164"/>
      <c r="F470" s="164"/>
      <c r="G470" s="164"/>
      <c r="H470" s="164"/>
    </row>
    <row r="471" spans="1:8" x14ac:dyDescent="0.25">
      <c r="A471" s="164"/>
      <c r="B471" s="164"/>
      <c r="C471" s="164"/>
      <c r="D471" s="164"/>
      <c r="E471" s="164"/>
      <c r="F471" s="164"/>
      <c r="G471" s="164"/>
      <c r="H471" s="164"/>
    </row>
    <row r="472" spans="1:8" x14ac:dyDescent="0.25">
      <c r="A472" s="164"/>
      <c r="B472" s="164"/>
      <c r="C472" s="164"/>
      <c r="D472" s="164"/>
      <c r="E472" s="164"/>
      <c r="F472" s="164"/>
      <c r="G472" s="164"/>
      <c r="H472" s="164"/>
    </row>
    <row r="473" spans="1:8" x14ac:dyDescent="0.25">
      <c r="A473" s="38" t="s">
        <v>65</v>
      </c>
      <c r="B473" s="39"/>
      <c r="C473" s="39"/>
      <c r="D473" s="38" t="str">
        <f>E8</f>
        <v>Raheja Solaris 1, 2 &amp; 3</v>
      </c>
      <c r="F473" s="39"/>
      <c r="G473" s="39"/>
      <c r="H473" s="39"/>
    </row>
    <row r="474" spans="1:8" x14ac:dyDescent="0.25">
      <c r="A474" s="39"/>
      <c r="B474" s="39"/>
      <c r="C474" s="39"/>
      <c r="D474" s="39"/>
      <c r="E474" s="39"/>
      <c r="F474" s="39"/>
      <c r="G474" s="39"/>
      <c r="H474" s="39"/>
    </row>
    <row r="475" spans="1:8" x14ac:dyDescent="0.25">
      <c r="A475" s="39"/>
      <c r="B475" s="39"/>
      <c r="C475" s="39"/>
      <c r="D475" s="39"/>
      <c r="E475" s="39"/>
      <c r="F475" s="39"/>
      <c r="G475" s="39"/>
      <c r="H475" s="39"/>
    </row>
    <row r="476" spans="1:8" ht="15" customHeight="1" x14ac:dyDescent="0.25"/>
    <row r="515" spans="1:1" x14ac:dyDescent="0.25">
      <c r="A515" s="41" t="s">
        <v>245</v>
      </c>
    </row>
    <row r="557" spans="1:1" x14ac:dyDescent="0.25">
      <c r="A557" s="41" t="s">
        <v>66</v>
      </c>
    </row>
  </sheetData>
  <mergeCells count="887">
    <mergeCell ref="I450:M451"/>
    <mergeCell ref="C37:H37"/>
    <mergeCell ref="A119:B119"/>
    <mergeCell ref="C119:H119"/>
    <mergeCell ref="A121:B121"/>
    <mergeCell ref="C121:H121"/>
    <mergeCell ref="A122:B122"/>
    <mergeCell ref="E122:F122"/>
    <mergeCell ref="G122:H122"/>
    <mergeCell ref="A123:B123"/>
    <mergeCell ref="E123:F132"/>
    <mergeCell ref="G123:H132"/>
    <mergeCell ref="A124:B124"/>
    <mergeCell ref="A125:B125"/>
    <mergeCell ref="A126:B126"/>
    <mergeCell ref="A127:B127"/>
    <mergeCell ref="A128:B128"/>
    <mergeCell ref="A129:B129"/>
    <mergeCell ref="A130:B130"/>
    <mergeCell ref="A131:B131"/>
    <mergeCell ref="A132:B132"/>
    <mergeCell ref="C57:H57"/>
    <mergeCell ref="A108:B108"/>
    <mergeCell ref="A111:B111"/>
    <mergeCell ref="A107:B107"/>
    <mergeCell ref="G211:H220"/>
    <mergeCell ref="G302:H306"/>
    <mergeCell ref="G332:H336"/>
    <mergeCell ref="A324:H324"/>
    <mergeCell ref="A325:B325"/>
    <mergeCell ref="G325:H330"/>
    <mergeCell ref="L325:M325"/>
    <mergeCell ref="A326:B326"/>
    <mergeCell ref="L326:M326"/>
    <mergeCell ref="A327:B327"/>
    <mergeCell ref="L327:M327"/>
    <mergeCell ref="A328:B328"/>
    <mergeCell ref="L328:M328"/>
    <mergeCell ref="A329:B329"/>
    <mergeCell ref="L329:M329"/>
    <mergeCell ref="L323:M323"/>
    <mergeCell ref="A330:B330"/>
    <mergeCell ref="L332:M332"/>
    <mergeCell ref="A333:B333"/>
    <mergeCell ref="L318:M318"/>
    <mergeCell ref="A319:B319"/>
    <mergeCell ref="L319:M319"/>
    <mergeCell ref="A320:B320"/>
    <mergeCell ref="L320:M320"/>
    <mergeCell ref="A321:B321"/>
    <mergeCell ref="L321:M321"/>
    <mergeCell ref="A322:B322"/>
    <mergeCell ref="L322:M322"/>
    <mergeCell ref="L330:M330"/>
    <mergeCell ref="C329:F329"/>
    <mergeCell ref="L333:M333"/>
    <mergeCell ref="A334:B334"/>
    <mergeCell ref="L334:M334"/>
    <mergeCell ref="L335:M335"/>
    <mergeCell ref="L340:M340"/>
    <mergeCell ref="A341:B341"/>
    <mergeCell ref="L341:M341"/>
    <mergeCell ref="A336:B336"/>
    <mergeCell ref="L336:M336"/>
    <mergeCell ref="A337:H337"/>
    <mergeCell ref="A338:B338"/>
    <mergeCell ref="G338:H343"/>
    <mergeCell ref="L338:M338"/>
    <mergeCell ref="A339:B339"/>
    <mergeCell ref="L339:M339"/>
    <mergeCell ref="A340:B340"/>
    <mergeCell ref="A342:B342"/>
    <mergeCell ref="L342:M342"/>
    <mergeCell ref="A343:B343"/>
    <mergeCell ref="L343:M343"/>
    <mergeCell ref="C342:F342"/>
    <mergeCell ref="L303:M303"/>
    <mergeCell ref="A304:B304"/>
    <mergeCell ref="L304:M304"/>
    <mergeCell ref="L305:M305"/>
    <mergeCell ref="A306:B306"/>
    <mergeCell ref="L306:M306"/>
    <mergeCell ref="A307:H307"/>
    <mergeCell ref="A308:B308"/>
    <mergeCell ref="G308:H313"/>
    <mergeCell ref="L308:M308"/>
    <mergeCell ref="A309:B309"/>
    <mergeCell ref="L309:M309"/>
    <mergeCell ref="A310:B310"/>
    <mergeCell ref="L310:M310"/>
    <mergeCell ref="A311:B311"/>
    <mergeCell ref="L311:M311"/>
    <mergeCell ref="A312:B312"/>
    <mergeCell ref="L312:M312"/>
    <mergeCell ref="A313:B313"/>
    <mergeCell ref="L313:M313"/>
    <mergeCell ref="C313:F313"/>
    <mergeCell ref="L297:M297"/>
    <mergeCell ref="A298:B298"/>
    <mergeCell ref="L298:M298"/>
    <mergeCell ref="A299:B299"/>
    <mergeCell ref="L299:M299"/>
    <mergeCell ref="L300:M300"/>
    <mergeCell ref="C296:F296"/>
    <mergeCell ref="A301:H301"/>
    <mergeCell ref="A302:B302"/>
    <mergeCell ref="L302:M302"/>
    <mergeCell ref="C251:F251"/>
    <mergeCell ref="L251:M251"/>
    <mergeCell ref="A252:B252"/>
    <mergeCell ref="L252:M252"/>
    <mergeCell ref="A255:B255"/>
    <mergeCell ref="L255:M255"/>
    <mergeCell ref="L295:M295"/>
    <mergeCell ref="A296:B296"/>
    <mergeCell ref="L296:M296"/>
    <mergeCell ref="A256:B256"/>
    <mergeCell ref="L256:M256"/>
    <mergeCell ref="L265:M265"/>
    <mergeCell ref="L257:M257"/>
    <mergeCell ref="A253:B253"/>
    <mergeCell ref="L253:M253"/>
    <mergeCell ref="A254:B254"/>
    <mergeCell ref="L254:M254"/>
    <mergeCell ref="L266:M266"/>
    <mergeCell ref="L269:M269"/>
    <mergeCell ref="A270:B270"/>
    <mergeCell ref="L270:M270"/>
    <mergeCell ref="A271:B271"/>
    <mergeCell ref="L271:M271"/>
    <mergeCell ref="A268:B268"/>
    <mergeCell ref="C189:D189"/>
    <mergeCell ref="E189:F189"/>
    <mergeCell ref="A220:B220"/>
    <mergeCell ref="A233:H233"/>
    <mergeCell ref="A209:H209"/>
    <mergeCell ref="A285:H285"/>
    <mergeCell ref="A286:H286"/>
    <mergeCell ref="A294:H294"/>
    <mergeCell ref="L215:M215"/>
    <mergeCell ref="A216:B216"/>
    <mergeCell ref="L216:M216"/>
    <mergeCell ref="A217:B217"/>
    <mergeCell ref="L217:M217"/>
    <mergeCell ref="A218:B218"/>
    <mergeCell ref="L218:M218"/>
    <mergeCell ref="L292:M292"/>
    <mergeCell ref="L293:M293"/>
    <mergeCell ref="L288:M288"/>
    <mergeCell ref="L289:M289"/>
    <mergeCell ref="L290:M290"/>
    <mergeCell ref="L250:M250"/>
    <mergeCell ref="A251:B251"/>
    <mergeCell ref="L219:M219"/>
    <mergeCell ref="L220:M220"/>
    <mergeCell ref="A210:H210"/>
    <mergeCell ref="E196:E197"/>
    <mergeCell ref="G196:H197"/>
    <mergeCell ref="F161:H161"/>
    <mergeCell ref="A161:E161"/>
    <mergeCell ref="F164:H164"/>
    <mergeCell ref="E179:F179"/>
    <mergeCell ref="B457:H457"/>
    <mergeCell ref="A47:B47"/>
    <mergeCell ref="C47:H47"/>
    <mergeCell ref="B455:H455"/>
    <mergeCell ref="F163:H163"/>
    <mergeCell ref="A163:E163"/>
    <mergeCell ref="G433:H433"/>
    <mergeCell ref="G429:H429"/>
    <mergeCell ref="G426:H426"/>
    <mergeCell ref="D196:D197"/>
    <mergeCell ref="A164:E164"/>
    <mergeCell ref="A211:B211"/>
    <mergeCell ref="A212:B212"/>
    <mergeCell ref="A213:B213"/>
    <mergeCell ref="A215:B215"/>
    <mergeCell ref="G432:H432"/>
    <mergeCell ref="G192:H192"/>
    <mergeCell ref="A16:B16"/>
    <mergeCell ref="C16:H16"/>
    <mergeCell ref="A38:B38"/>
    <mergeCell ref="C38:H38"/>
    <mergeCell ref="A165:E165"/>
    <mergeCell ref="A166:E166"/>
    <mergeCell ref="F166:H166"/>
    <mergeCell ref="F165:H165"/>
    <mergeCell ref="A162:E162"/>
    <mergeCell ref="A71:C71"/>
    <mergeCell ref="D70:H70"/>
    <mergeCell ref="E109:F118"/>
    <mergeCell ref="G109:H118"/>
    <mergeCell ref="A117:B117"/>
    <mergeCell ref="A118:B118"/>
    <mergeCell ref="D71:H71"/>
    <mergeCell ref="A42:D42"/>
    <mergeCell ref="E42:H42"/>
    <mergeCell ref="E43:H43"/>
    <mergeCell ref="E44:H44"/>
    <mergeCell ref="E45:H45"/>
    <mergeCell ref="A43:D43"/>
    <mergeCell ref="A116:B116"/>
    <mergeCell ref="A115:B115"/>
    <mergeCell ref="A314:H314"/>
    <mergeCell ref="A315:H315"/>
    <mergeCell ref="A441:B441"/>
    <mergeCell ref="A442:B442"/>
    <mergeCell ref="A435:B435"/>
    <mergeCell ref="A432:B432"/>
    <mergeCell ref="G424:H424"/>
    <mergeCell ref="A421:B421"/>
    <mergeCell ref="A295:B295"/>
    <mergeCell ref="G295:H300"/>
    <mergeCell ref="A300:B300"/>
    <mergeCell ref="A305:B305"/>
    <mergeCell ref="A316:H316"/>
    <mergeCell ref="A317:H317"/>
    <mergeCell ref="A318:B318"/>
    <mergeCell ref="G318:H323"/>
    <mergeCell ref="A323:B323"/>
    <mergeCell ref="A297:B297"/>
    <mergeCell ref="A303:B303"/>
    <mergeCell ref="A331:H331"/>
    <mergeCell ref="A332:B332"/>
    <mergeCell ref="A335:B335"/>
    <mergeCell ref="G355:H360"/>
    <mergeCell ref="A360:B360"/>
    <mergeCell ref="B451:H451"/>
    <mergeCell ref="B453:H453"/>
    <mergeCell ref="B454:H454"/>
    <mergeCell ref="G444:H444"/>
    <mergeCell ref="G442:H442"/>
    <mergeCell ref="A449:H449"/>
    <mergeCell ref="G440:H440"/>
    <mergeCell ref="C196:C197"/>
    <mergeCell ref="B234:B235"/>
    <mergeCell ref="A437:H437"/>
    <mergeCell ref="A431:H431"/>
    <mergeCell ref="G427:H427"/>
    <mergeCell ref="B196:B197"/>
    <mergeCell ref="A196:A197"/>
    <mergeCell ref="C234:C235"/>
    <mergeCell ref="A420:H420"/>
    <mergeCell ref="A284:H284"/>
    <mergeCell ref="A287:H287"/>
    <mergeCell ref="A214:B214"/>
    <mergeCell ref="A424:B424"/>
    <mergeCell ref="G434:H434"/>
    <mergeCell ref="G448:H448"/>
    <mergeCell ref="A447:B447"/>
    <mergeCell ref="G447:H447"/>
    <mergeCell ref="L425:M425"/>
    <mergeCell ref="A234:A235"/>
    <mergeCell ref="A430:B430"/>
    <mergeCell ref="A427:B427"/>
    <mergeCell ref="A428:B428"/>
    <mergeCell ref="A438:B438"/>
    <mergeCell ref="A439:B439"/>
    <mergeCell ref="A440:B440"/>
    <mergeCell ref="A429:B429"/>
    <mergeCell ref="G430:H430"/>
    <mergeCell ref="G436:H436"/>
    <mergeCell ref="G435:H435"/>
    <mergeCell ref="L424:M424"/>
    <mergeCell ref="G421:H421"/>
    <mergeCell ref="L421:M421"/>
    <mergeCell ref="A422:B422"/>
    <mergeCell ref="G422:H422"/>
    <mergeCell ref="L422:M422"/>
    <mergeCell ref="A423:B423"/>
    <mergeCell ref="G423:H423"/>
    <mergeCell ref="L423:M423"/>
    <mergeCell ref="G438:H438"/>
    <mergeCell ref="A436:B436"/>
    <mergeCell ref="L291:M291"/>
    <mergeCell ref="A179:B179"/>
    <mergeCell ref="C179:D179"/>
    <mergeCell ref="G179:H179"/>
    <mergeCell ref="C181:D181"/>
    <mergeCell ref="E181:F181"/>
    <mergeCell ref="A192:B192"/>
    <mergeCell ref="A180:B180"/>
    <mergeCell ref="C180:D180"/>
    <mergeCell ref="E180:F180"/>
    <mergeCell ref="G180:H180"/>
    <mergeCell ref="A183:B183"/>
    <mergeCell ref="C183:D183"/>
    <mergeCell ref="E183:F183"/>
    <mergeCell ref="G183:H183"/>
    <mergeCell ref="A186:B186"/>
    <mergeCell ref="G189:H189"/>
    <mergeCell ref="C185:D185"/>
    <mergeCell ref="G185:H185"/>
    <mergeCell ref="C192:D192"/>
    <mergeCell ref="E192:F192"/>
    <mergeCell ref="C188:D188"/>
    <mergeCell ref="E188:F188"/>
    <mergeCell ref="G188:H188"/>
    <mergeCell ref="A189:B189"/>
    <mergeCell ref="A105:B105"/>
    <mergeCell ref="C105:H105"/>
    <mergeCell ref="A113:B113"/>
    <mergeCell ref="A72:C72"/>
    <mergeCell ref="D72:H72"/>
    <mergeCell ref="C107:H107"/>
    <mergeCell ref="A110:B110"/>
    <mergeCell ref="A112:B112"/>
    <mergeCell ref="E108:F108"/>
    <mergeCell ref="A73:C73"/>
    <mergeCell ref="D73:H73"/>
    <mergeCell ref="A76:C76"/>
    <mergeCell ref="D76:H76"/>
    <mergeCell ref="A74:C74"/>
    <mergeCell ref="D74:H74"/>
    <mergeCell ref="A75:C75"/>
    <mergeCell ref="D75:H75"/>
    <mergeCell ref="A109:B109"/>
    <mergeCell ref="G108:H108"/>
    <mergeCell ref="A95:B95"/>
    <mergeCell ref="E95:F104"/>
    <mergeCell ref="G95:H104"/>
    <mergeCell ref="A96:B96"/>
    <mergeCell ref="A97:B97"/>
    <mergeCell ref="A36:H36"/>
    <mergeCell ref="A35:B35"/>
    <mergeCell ref="C35:E35"/>
    <mergeCell ref="A40:D40"/>
    <mergeCell ref="E40:H40"/>
    <mergeCell ref="F32:H32"/>
    <mergeCell ref="F33:H33"/>
    <mergeCell ref="A39:H39"/>
    <mergeCell ref="A70:C70"/>
    <mergeCell ref="F35:H35"/>
    <mergeCell ref="A37:B37"/>
    <mergeCell ref="A44:D44"/>
    <mergeCell ref="A45:D45"/>
    <mergeCell ref="A46:H46"/>
    <mergeCell ref="D68:H68"/>
    <mergeCell ref="A68:C68"/>
    <mergeCell ref="G55:H55"/>
    <mergeCell ref="A56:B57"/>
    <mergeCell ref="D66:H66"/>
    <mergeCell ref="C56:E56"/>
    <mergeCell ref="A69:C69"/>
    <mergeCell ref="G63:H63"/>
    <mergeCell ref="A63:B64"/>
    <mergeCell ref="C64:H64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98:B98"/>
    <mergeCell ref="A99:B99"/>
    <mergeCell ref="A100:B100"/>
    <mergeCell ref="A101:B101"/>
    <mergeCell ref="A102:B102"/>
    <mergeCell ref="A103:B103"/>
    <mergeCell ref="A104:B104"/>
    <mergeCell ref="A469:H472"/>
    <mergeCell ref="A468:B468"/>
    <mergeCell ref="E468:F468"/>
    <mergeCell ref="C468:D468"/>
    <mergeCell ref="G468:H468"/>
    <mergeCell ref="A178:H178"/>
    <mergeCell ref="A168:E168"/>
    <mergeCell ref="F168:H168"/>
    <mergeCell ref="A177:E177"/>
    <mergeCell ref="F177:H177"/>
    <mergeCell ref="A425:H425"/>
    <mergeCell ref="A188:B188"/>
    <mergeCell ref="A434:B434"/>
    <mergeCell ref="A181:B181"/>
    <mergeCell ref="A464:H464"/>
    <mergeCell ref="A184:H184"/>
    <mergeCell ref="A467:H467"/>
    <mergeCell ref="A465:H465"/>
    <mergeCell ref="A461:H461"/>
    <mergeCell ref="A462:H462"/>
    <mergeCell ref="E185:F185"/>
    <mergeCell ref="B458:H458"/>
    <mergeCell ref="B456:H456"/>
    <mergeCell ref="A269:B269"/>
    <mergeCell ref="A65:H65"/>
    <mergeCell ref="A66:C66"/>
    <mergeCell ref="A67:C67"/>
    <mergeCell ref="D67:H67"/>
    <mergeCell ref="B452:H452"/>
    <mergeCell ref="A446:B446"/>
    <mergeCell ref="G446:H446"/>
    <mergeCell ref="G445:H445"/>
    <mergeCell ref="A443:H443"/>
    <mergeCell ref="A444:B444"/>
    <mergeCell ref="A445:B445"/>
    <mergeCell ref="A448:B448"/>
    <mergeCell ref="A194:H194"/>
    <mergeCell ref="G428:H428"/>
    <mergeCell ref="G439:H439"/>
    <mergeCell ref="A433:B433"/>
    <mergeCell ref="A195:H195"/>
    <mergeCell ref="B450:H450"/>
    <mergeCell ref="A198:H198"/>
    <mergeCell ref="A199:H199"/>
    <mergeCell ref="A200:B200"/>
    <mergeCell ref="E41:H41"/>
    <mergeCell ref="A41:D41"/>
    <mergeCell ref="A466:H466"/>
    <mergeCell ref="A463:H463"/>
    <mergeCell ref="G441:H441"/>
    <mergeCell ref="A426:B426"/>
    <mergeCell ref="A185:B185"/>
    <mergeCell ref="D234:D235"/>
    <mergeCell ref="E234:E235"/>
    <mergeCell ref="G234:H235"/>
    <mergeCell ref="A114:B114"/>
    <mergeCell ref="F162:H162"/>
    <mergeCell ref="G181:H181"/>
    <mergeCell ref="A54:B54"/>
    <mergeCell ref="C54:E54"/>
    <mergeCell ref="G54:H54"/>
    <mergeCell ref="G56:H56"/>
    <mergeCell ref="A291:B291"/>
    <mergeCell ref="A292:B292"/>
    <mergeCell ref="A293:B293"/>
    <mergeCell ref="G288:H293"/>
    <mergeCell ref="A288:B288"/>
    <mergeCell ref="A289:B289"/>
    <mergeCell ref="A290:B290"/>
    <mergeCell ref="A91:B91"/>
    <mergeCell ref="C91:H91"/>
    <mergeCell ref="A93:B93"/>
    <mergeCell ref="C93:H93"/>
    <mergeCell ref="A94:B94"/>
    <mergeCell ref="E94:F94"/>
    <mergeCell ref="G94:H94"/>
    <mergeCell ref="A273:B273"/>
    <mergeCell ref="G273:H282"/>
    <mergeCell ref="A280:B280"/>
    <mergeCell ref="A167:E167"/>
    <mergeCell ref="F167:H167"/>
    <mergeCell ref="A272:H272"/>
    <mergeCell ref="A174:E174"/>
    <mergeCell ref="F174:H174"/>
    <mergeCell ref="A175:E175"/>
    <mergeCell ref="F175:H175"/>
    <mergeCell ref="A176:E176"/>
    <mergeCell ref="F176:H176"/>
    <mergeCell ref="A171:E171"/>
    <mergeCell ref="A48:H48"/>
    <mergeCell ref="A53:H53"/>
    <mergeCell ref="A49:B49"/>
    <mergeCell ref="C49:E49"/>
    <mergeCell ref="G49:H49"/>
    <mergeCell ref="A50:B50"/>
    <mergeCell ref="C50:E50"/>
    <mergeCell ref="G50:H50"/>
    <mergeCell ref="A51:B52"/>
    <mergeCell ref="C51:E51"/>
    <mergeCell ref="G51:H51"/>
    <mergeCell ref="C52:H52"/>
    <mergeCell ref="D69:H69"/>
    <mergeCell ref="C55:E55"/>
    <mergeCell ref="C63:E63"/>
    <mergeCell ref="A55:B55"/>
    <mergeCell ref="A77:B77"/>
    <mergeCell ref="C77:H77"/>
    <mergeCell ref="A79:B79"/>
    <mergeCell ref="C79:H79"/>
    <mergeCell ref="A80:B80"/>
    <mergeCell ref="E80:F80"/>
    <mergeCell ref="G80:H80"/>
    <mergeCell ref="A58:H58"/>
    <mergeCell ref="A59:B59"/>
    <mergeCell ref="C59:E59"/>
    <mergeCell ref="G59:H59"/>
    <mergeCell ref="A60:B60"/>
    <mergeCell ref="C60:E60"/>
    <mergeCell ref="G60:H60"/>
    <mergeCell ref="A61:B62"/>
    <mergeCell ref="C61:E61"/>
    <mergeCell ref="G61:H61"/>
    <mergeCell ref="C62:H62"/>
    <mergeCell ref="A81:B81"/>
    <mergeCell ref="E81:F90"/>
    <mergeCell ref="G81:H90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L200:M200"/>
    <mergeCell ref="A201:B201"/>
    <mergeCell ref="L201:M201"/>
    <mergeCell ref="A202:B202"/>
    <mergeCell ref="L202:M202"/>
    <mergeCell ref="A203:B203"/>
    <mergeCell ref="L203:M203"/>
    <mergeCell ref="A204:B204"/>
    <mergeCell ref="L204:M204"/>
    <mergeCell ref="G200:H208"/>
    <mergeCell ref="A205:B205"/>
    <mergeCell ref="L205:M205"/>
    <mergeCell ref="A206:B206"/>
    <mergeCell ref="L206:M206"/>
    <mergeCell ref="A207:B207"/>
    <mergeCell ref="L207:M207"/>
    <mergeCell ref="A208:B208"/>
    <mergeCell ref="L208:M208"/>
    <mergeCell ref="L214:M214"/>
    <mergeCell ref="L213:M213"/>
    <mergeCell ref="L212:M212"/>
    <mergeCell ref="L211:M211"/>
    <mergeCell ref="G241:H248"/>
    <mergeCell ref="L241:M241"/>
    <mergeCell ref="A242:B242"/>
    <mergeCell ref="L242:M242"/>
    <mergeCell ref="A243:B243"/>
    <mergeCell ref="L243:M243"/>
    <mergeCell ref="A246:B246"/>
    <mergeCell ref="L246:M246"/>
    <mergeCell ref="A247:B247"/>
    <mergeCell ref="L247:M247"/>
    <mergeCell ref="A248:B248"/>
    <mergeCell ref="L248:M248"/>
    <mergeCell ref="A244:B244"/>
    <mergeCell ref="L244:M244"/>
    <mergeCell ref="A245:B245"/>
    <mergeCell ref="L245:M245"/>
    <mergeCell ref="A241:B241"/>
    <mergeCell ref="A239:H239"/>
    <mergeCell ref="A240:H240"/>
    <mergeCell ref="A219:B219"/>
    <mergeCell ref="A275:B275"/>
    <mergeCell ref="L275:M275"/>
    <mergeCell ref="A276:B276"/>
    <mergeCell ref="L276:M276"/>
    <mergeCell ref="A277:B277"/>
    <mergeCell ref="L277:M277"/>
    <mergeCell ref="L268:M268"/>
    <mergeCell ref="G262:H271"/>
    <mergeCell ref="A264:B264"/>
    <mergeCell ref="L264:M264"/>
    <mergeCell ref="A262:B262"/>
    <mergeCell ref="L262:M262"/>
    <mergeCell ref="A263:B263"/>
    <mergeCell ref="L263:M263"/>
    <mergeCell ref="L267:M267"/>
    <mergeCell ref="A266:B266"/>
    <mergeCell ref="B459:H459"/>
    <mergeCell ref="A236:H236"/>
    <mergeCell ref="A283:H283"/>
    <mergeCell ref="C186:D186"/>
    <mergeCell ref="E186:F186"/>
    <mergeCell ref="G186:H186"/>
    <mergeCell ref="A187:B187"/>
    <mergeCell ref="C187:D187"/>
    <mergeCell ref="E187:F187"/>
    <mergeCell ref="G187:H187"/>
    <mergeCell ref="A267:B267"/>
    <mergeCell ref="A265:B265"/>
    <mergeCell ref="A258:H258"/>
    <mergeCell ref="A259:H259"/>
    <mergeCell ref="A260:H260"/>
    <mergeCell ref="A261:H261"/>
    <mergeCell ref="A249:H249"/>
    <mergeCell ref="A250:B250"/>
    <mergeCell ref="G250:H257"/>
    <mergeCell ref="A257:B257"/>
    <mergeCell ref="A237:H237"/>
    <mergeCell ref="A221:H221"/>
    <mergeCell ref="A193:B193"/>
    <mergeCell ref="C193:D193"/>
    <mergeCell ref="F171:H171"/>
    <mergeCell ref="A169:E169"/>
    <mergeCell ref="F169:H169"/>
    <mergeCell ref="A170:E170"/>
    <mergeCell ref="F170:H170"/>
    <mergeCell ref="A172:E172"/>
    <mergeCell ref="F172:H172"/>
    <mergeCell ref="A173:E173"/>
    <mergeCell ref="F173:H173"/>
    <mergeCell ref="A133:B133"/>
    <mergeCell ref="C133:H133"/>
    <mergeCell ref="A135:B135"/>
    <mergeCell ref="C135:H135"/>
    <mergeCell ref="A136:B136"/>
    <mergeCell ref="E136:F136"/>
    <mergeCell ref="G136:H136"/>
    <mergeCell ref="A137:B137"/>
    <mergeCell ref="E137:F146"/>
    <mergeCell ref="G137:H146"/>
    <mergeCell ref="A138:B138"/>
    <mergeCell ref="A139:B139"/>
    <mergeCell ref="A140:B140"/>
    <mergeCell ref="A141:B141"/>
    <mergeCell ref="A142:B142"/>
    <mergeCell ref="A143:B143"/>
    <mergeCell ref="A144:B144"/>
    <mergeCell ref="A145:B145"/>
    <mergeCell ref="A146:B146"/>
    <mergeCell ref="A147:B147"/>
    <mergeCell ref="C147:H147"/>
    <mergeCell ref="A149:B149"/>
    <mergeCell ref="C149:H149"/>
    <mergeCell ref="A150:B150"/>
    <mergeCell ref="E150:F150"/>
    <mergeCell ref="G150:H150"/>
    <mergeCell ref="A151:B151"/>
    <mergeCell ref="E151:F160"/>
    <mergeCell ref="G151:H160"/>
    <mergeCell ref="A152:B152"/>
    <mergeCell ref="A153:B153"/>
    <mergeCell ref="A154:B154"/>
    <mergeCell ref="A155:B155"/>
    <mergeCell ref="A156:B156"/>
    <mergeCell ref="A157:B157"/>
    <mergeCell ref="A158:B158"/>
    <mergeCell ref="A159:B159"/>
    <mergeCell ref="A160:B160"/>
    <mergeCell ref="E193:F193"/>
    <mergeCell ref="G193:H193"/>
    <mergeCell ref="A222:H222"/>
    <mergeCell ref="A223:B223"/>
    <mergeCell ref="G223:H232"/>
    <mergeCell ref="L223:M223"/>
    <mergeCell ref="A224:B224"/>
    <mergeCell ref="L224:M224"/>
    <mergeCell ref="A225:B225"/>
    <mergeCell ref="L225:M225"/>
    <mergeCell ref="A226:B226"/>
    <mergeCell ref="L226:M226"/>
    <mergeCell ref="A227:B227"/>
    <mergeCell ref="L227:M227"/>
    <mergeCell ref="A228:B228"/>
    <mergeCell ref="L228:M228"/>
    <mergeCell ref="A229:B229"/>
    <mergeCell ref="L229:M229"/>
    <mergeCell ref="A230:B230"/>
    <mergeCell ref="L230:M230"/>
    <mergeCell ref="A231:B231"/>
    <mergeCell ref="L231:M231"/>
    <mergeCell ref="A232:B232"/>
    <mergeCell ref="L232:M232"/>
    <mergeCell ref="A419:H419"/>
    <mergeCell ref="A345:H345"/>
    <mergeCell ref="A348:B348"/>
    <mergeCell ref="G348:H353"/>
    <mergeCell ref="L348:M348"/>
    <mergeCell ref="A349:B349"/>
    <mergeCell ref="L349:M349"/>
    <mergeCell ref="A350:B350"/>
    <mergeCell ref="L350:M350"/>
    <mergeCell ref="A351:B351"/>
    <mergeCell ref="L351:M351"/>
    <mergeCell ref="A352:B352"/>
    <mergeCell ref="L352:M352"/>
    <mergeCell ref="A353:B353"/>
    <mergeCell ref="L353:M353"/>
    <mergeCell ref="A347:H347"/>
    <mergeCell ref="A346:H346"/>
    <mergeCell ref="A354:H354"/>
    <mergeCell ref="A355:B355"/>
    <mergeCell ref="L360:M360"/>
    <mergeCell ref="C360:F360"/>
    <mergeCell ref="A361:H361"/>
    <mergeCell ref="A362:B362"/>
    <mergeCell ref="G362:H367"/>
    <mergeCell ref="A238:H238"/>
    <mergeCell ref="L355:M355"/>
    <mergeCell ref="A356:B356"/>
    <mergeCell ref="L356:M356"/>
    <mergeCell ref="A357:B357"/>
    <mergeCell ref="L357:M357"/>
    <mergeCell ref="A358:B358"/>
    <mergeCell ref="L358:M358"/>
    <mergeCell ref="A359:B359"/>
    <mergeCell ref="L359:M359"/>
    <mergeCell ref="A344:H344"/>
    <mergeCell ref="L280:M280"/>
    <mergeCell ref="A281:B281"/>
    <mergeCell ref="L281:M281"/>
    <mergeCell ref="A282:B282"/>
    <mergeCell ref="L282:M282"/>
    <mergeCell ref="A278:B278"/>
    <mergeCell ref="L278:M278"/>
    <mergeCell ref="A279:B279"/>
    <mergeCell ref="L279:M279"/>
    <mergeCell ref="L273:M273"/>
    <mergeCell ref="A274:B274"/>
    <mergeCell ref="C274:F274"/>
    <mergeCell ref="L274:M274"/>
    <mergeCell ref="L362:M362"/>
    <mergeCell ref="A363:B363"/>
    <mergeCell ref="L363:M363"/>
    <mergeCell ref="A364:B364"/>
    <mergeCell ref="L364:M364"/>
    <mergeCell ref="A365:B365"/>
    <mergeCell ref="L365:M365"/>
    <mergeCell ref="A366:B366"/>
    <mergeCell ref="L366:M366"/>
    <mergeCell ref="A367:B367"/>
    <mergeCell ref="L367:M367"/>
    <mergeCell ref="A368:H368"/>
    <mergeCell ref="A369:B369"/>
    <mergeCell ref="G369:H374"/>
    <mergeCell ref="L369:M369"/>
    <mergeCell ref="A370:B370"/>
    <mergeCell ref="L370:M370"/>
    <mergeCell ref="A371:B371"/>
    <mergeCell ref="L371:M371"/>
    <mergeCell ref="A372:B372"/>
    <mergeCell ref="L372:M372"/>
    <mergeCell ref="A373:B373"/>
    <mergeCell ref="L373:M373"/>
    <mergeCell ref="A374:B374"/>
    <mergeCell ref="L374:M374"/>
    <mergeCell ref="C374:F374"/>
    <mergeCell ref="A375:H375"/>
    <mergeCell ref="A376:B376"/>
    <mergeCell ref="L376:M376"/>
    <mergeCell ref="A377:B377"/>
    <mergeCell ref="L377:M377"/>
    <mergeCell ref="A378:B378"/>
    <mergeCell ref="L378:M378"/>
    <mergeCell ref="A379:B379"/>
    <mergeCell ref="L379:M379"/>
    <mergeCell ref="A380:B380"/>
    <mergeCell ref="L380:M380"/>
    <mergeCell ref="A381:H381"/>
    <mergeCell ref="A383:H383"/>
    <mergeCell ref="A384:H384"/>
    <mergeCell ref="A385:H385"/>
    <mergeCell ref="A386:B386"/>
    <mergeCell ref="G386:H391"/>
    <mergeCell ref="L386:M386"/>
    <mergeCell ref="A387:B387"/>
    <mergeCell ref="L387:M387"/>
    <mergeCell ref="A388:B388"/>
    <mergeCell ref="L388:M388"/>
    <mergeCell ref="A389:B389"/>
    <mergeCell ref="L389:M389"/>
    <mergeCell ref="A390:B390"/>
    <mergeCell ref="L390:M390"/>
    <mergeCell ref="A391:B391"/>
    <mergeCell ref="L391:M391"/>
    <mergeCell ref="A382:H382"/>
    <mergeCell ref="A392:H392"/>
    <mergeCell ref="A393:B393"/>
    <mergeCell ref="G393:H398"/>
    <mergeCell ref="L393:M393"/>
    <mergeCell ref="A394:B394"/>
    <mergeCell ref="L394:M394"/>
    <mergeCell ref="A395:B395"/>
    <mergeCell ref="L395:M395"/>
    <mergeCell ref="A396:B396"/>
    <mergeCell ref="L396:M396"/>
    <mergeCell ref="A397:B397"/>
    <mergeCell ref="L397:M397"/>
    <mergeCell ref="A398:B398"/>
    <mergeCell ref="C398:F398"/>
    <mergeCell ref="L398:M398"/>
    <mergeCell ref="A399:H399"/>
    <mergeCell ref="A400:B400"/>
    <mergeCell ref="G400:H405"/>
    <mergeCell ref="L400:M400"/>
    <mergeCell ref="A401:B401"/>
    <mergeCell ref="L401:M401"/>
    <mergeCell ref="A402:B402"/>
    <mergeCell ref="L402:M402"/>
    <mergeCell ref="A403:B403"/>
    <mergeCell ref="L403:M403"/>
    <mergeCell ref="A404:B404"/>
    <mergeCell ref="L404:M404"/>
    <mergeCell ref="A405:B405"/>
    <mergeCell ref="L405:M405"/>
    <mergeCell ref="A417:B417"/>
    <mergeCell ref="L417:M417"/>
    <mergeCell ref="A406:H406"/>
    <mergeCell ref="A407:B407"/>
    <mergeCell ref="G407:H412"/>
    <mergeCell ref="L407:M407"/>
    <mergeCell ref="A408:B408"/>
    <mergeCell ref="L408:M408"/>
    <mergeCell ref="A409:B409"/>
    <mergeCell ref="L409:M409"/>
    <mergeCell ref="A410:B410"/>
    <mergeCell ref="L410:M410"/>
    <mergeCell ref="A411:B411"/>
    <mergeCell ref="L411:M411"/>
    <mergeCell ref="A412:B412"/>
    <mergeCell ref="C412:F412"/>
    <mergeCell ref="L412:M412"/>
    <mergeCell ref="A418:B418"/>
    <mergeCell ref="L418:M418"/>
    <mergeCell ref="B460:H460"/>
    <mergeCell ref="A182:B182"/>
    <mergeCell ref="C182:D182"/>
    <mergeCell ref="E182:F182"/>
    <mergeCell ref="G182:H182"/>
    <mergeCell ref="A190:B190"/>
    <mergeCell ref="C190:D190"/>
    <mergeCell ref="E190:F190"/>
    <mergeCell ref="G190:H190"/>
    <mergeCell ref="A191:B191"/>
    <mergeCell ref="C191:D191"/>
    <mergeCell ref="E191:F191"/>
    <mergeCell ref="G191:H191"/>
    <mergeCell ref="G376:H380"/>
    <mergeCell ref="G414:H418"/>
    <mergeCell ref="A413:H413"/>
    <mergeCell ref="A414:B414"/>
    <mergeCell ref="L414:M414"/>
    <mergeCell ref="A415:B415"/>
    <mergeCell ref="L415:M415"/>
    <mergeCell ref="A416:B416"/>
    <mergeCell ref="L416:M416"/>
  </mergeCells>
  <hyperlinks>
    <hyperlink ref="C38" r:id="rId1"/>
  </hyperlinks>
  <printOptions horizontalCentered="1"/>
  <pageMargins left="0.39370078740157499" right="0.39370078740157499" top="0.82677165354330695" bottom="0.78740157480314998" header="0.15748031496063" footer="0.196850393700787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104" max="7" man="1"/>
    <brk id="472" max="16383" man="1"/>
    <brk id="514" max="16383" man="1"/>
    <brk id="556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5703125" defaultRowHeight="15" x14ac:dyDescent="0.25"/>
  <cols>
    <col min="1" max="1" width="8.570312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570312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218" t="s">
        <v>101</v>
      </c>
      <c r="C3" s="218"/>
      <c r="D3" s="218"/>
      <c r="E3" s="218"/>
      <c r="F3" s="218"/>
      <c r="G3" s="218"/>
      <c r="H3" s="218"/>
    </row>
    <row r="4" spans="1:9" x14ac:dyDescent="0.25">
      <c r="A4" s="2"/>
      <c r="B4" s="3" t="s">
        <v>102</v>
      </c>
      <c r="C4" s="3" t="s">
        <v>103</v>
      </c>
      <c r="D4" s="3" t="s">
        <v>68</v>
      </c>
      <c r="E4" s="3" t="s">
        <v>104</v>
      </c>
      <c r="F4" s="3" t="s">
        <v>110</v>
      </c>
      <c r="G4" s="3" t="s">
        <v>111</v>
      </c>
      <c r="H4" s="3" t="s">
        <v>105</v>
      </c>
    </row>
    <row r="5" spans="1:9" ht="15" customHeight="1" x14ac:dyDescent="0.25">
      <c r="A5" s="2"/>
      <c r="B5" s="5" t="s">
        <v>106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106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106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106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106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107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107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108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109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VSJC-06</cp:lastModifiedBy>
  <cp:lastPrinted>2025-07-10T09:43:53Z</cp:lastPrinted>
  <dcterms:created xsi:type="dcterms:W3CDTF">2019-07-16T09:29:46Z</dcterms:created>
  <dcterms:modified xsi:type="dcterms:W3CDTF">2025-07-10T09:50:09Z</dcterms:modified>
</cp:coreProperties>
</file>