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1.07 Dump\"/>
    </mc:Choice>
  </mc:AlternateContent>
  <xr:revisionPtr revIDLastSave="0" documentId="13_ncr:1_{538C5AF6-A1D4-4810-8F90-08E863F8F4E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9" i="1" l="1"/>
  <c r="D154" i="1"/>
  <c r="D149" i="1"/>
  <c r="D144" i="1"/>
  <c r="D139" i="1"/>
  <c r="I109" i="1"/>
  <c r="O162" i="1" l="1"/>
  <c r="D162" i="1"/>
  <c r="F162" i="1" s="1"/>
  <c r="O161" i="1"/>
  <c r="F161" i="1"/>
  <c r="D161" i="1"/>
  <c r="O160" i="1"/>
  <c r="D160" i="1"/>
  <c r="F160" i="1" s="1"/>
  <c r="A160" i="1"/>
  <c r="A161" i="1" s="1"/>
  <c r="A162" i="1" s="1"/>
  <c r="O159" i="1"/>
  <c r="G159" i="1"/>
  <c r="F159" i="1"/>
  <c r="P209" i="1"/>
  <c r="D209" i="1"/>
  <c r="F209" i="1" s="1"/>
  <c r="P208" i="1"/>
  <c r="D208" i="1"/>
  <c r="F208" i="1" s="1"/>
  <c r="P207" i="1"/>
  <c r="D207" i="1"/>
  <c r="F207" i="1" s="1"/>
  <c r="A207" i="1"/>
  <c r="A208" i="1" s="1"/>
  <c r="A209" i="1" s="1"/>
  <c r="P206" i="1"/>
  <c r="D206" i="1"/>
  <c r="F206" i="1" s="1"/>
  <c r="A206" i="1"/>
  <c r="P205" i="1"/>
  <c r="G205" i="1"/>
  <c r="D205" i="1"/>
  <c r="F205" i="1" s="1"/>
  <c r="D203" i="1"/>
  <c r="F203" i="1" s="1"/>
  <c r="D202" i="1"/>
  <c r="F202" i="1" s="1"/>
  <c r="D199" i="1"/>
  <c r="P203" i="1"/>
  <c r="P202" i="1"/>
  <c r="P201" i="1"/>
  <c r="D201" i="1"/>
  <c r="F201" i="1" s="1"/>
  <c r="P200" i="1"/>
  <c r="D200" i="1"/>
  <c r="F200" i="1" s="1"/>
  <c r="A200" i="1"/>
  <c r="A201" i="1" s="1"/>
  <c r="A202" i="1" s="1"/>
  <c r="A203" i="1" s="1"/>
  <c r="P199" i="1"/>
  <c r="G199" i="1"/>
  <c r="F199" i="1"/>
  <c r="D157" i="1"/>
  <c r="D156" i="1"/>
  <c r="F156" i="1" s="1"/>
  <c r="D155" i="1"/>
  <c r="F155" i="1" s="1"/>
  <c r="O157" i="1"/>
  <c r="F157" i="1"/>
  <c r="O156" i="1"/>
  <c r="O155" i="1"/>
  <c r="O154" i="1"/>
  <c r="G154" i="1"/>
  <c r="F154" i="1"/>
  <c r="A155" i="1"/>
  <c r="A156" i="1" s="1"/>
  <c r="A157" i="1" s="1"/>
  <c r="D196" i="1" l="1"/>
  <c r="F196" i="1" s="1"/>
  <c r="D195" i="1"/>
  <c r="F195" i="1" s="1"/>
  <c r="D193" i="1"/>
  <c r="F193" i="1" s="1"/>
  <c r="D192" i="1"/>
  <c r="F192" i="1" s="1"/>
  <c r="P197" i="1"/>
  <c r="P196" i="1"/>
  <c r="P195" i="1"/>
  <c r="P194" i="1"/>
  <c r="D194" i="1"/>
  <c r="F194" i="1" s="1"/>
  <c r="P193" i="1"/>
  <c r="A193" i="1"/>
  <c r="A194" i="1" s="1"/>
  <c r="A195" i="1" s="1"/>
  <c r="A196" i="1" s="1"/>
  <c r="A197" i="1" s="1"/>
  <c r="P192" i="1"/>
  <c r="G192" i="1"/>
  <c r="O152" i="1"/>
  <c r="D152" i="1"/>
  <c r="F152" i="1" s="1"/>
  <c r="O151" i="1"/>
  <c r="D151" i="1"/>
  <c r="F151" i="1" s="1"/>
  <c r="O150" i="1"/>
  <c r="K150" i="1"/>
  <c r="D150" i="1"/>
  <c r="F150" i="1" s="1"/>
  <c r="J150" i="1" s="1"/>
  <c r="O149" i="1"/>
  <c r="G149" i="1"/>
  <c r="F149" i="1"/>
  <c r="J149" i="1" s="1"/>
  <c r="D142" i="1"/>
  <c r="D141" i="1"/>
  <c r="D140" i="1"/>
  <c r="P190" i="1"/>
  <c r="D190" i="1"/>
  <c r="F190" i="1" s="1"/>
  <c r="P189" i="1"/>
  <c r="D189" i="1"/>
  <c r="F189" i="1" s="1"/>
  <c r="P188" i="1"/>
  <c r="D188" i="1"/>
  <c r="F188" i="1" s="1"/>
  <c r="P187" i="1"/>
  <c r="D187" i="1"/>
  <c r="F187" i="1" s="1"/>
  <c r="P186" i="1"/>
  <c r="D186" i="1"/>
  <c r="F186" i="1" s="1"/>
  <c r="A186" i="1"/>
  <c r="A187" i="1" s="1"/>
  <c r="A188" i="1" s="1"/>
  <c r="A189" i="1" s="1"/>
  <c r="A190" i="1" s="1"/>
  <c r="P185" i="1"/>
  <c r="G185" i="1"/>
  <c r="D185" i="1"/>
  <c r="F185" i="1" s="1"/>
  <c r="D183" i="1"/>
  <c r="F183" i="1" s="1"/>
  <c r="A179" i="1"/>
  <c r="A180" i="1" s="1"/>
  <c r="A181" i="1" s="1"/>
  <c r="A182" i="1" s="1"/>
  <c r="A183" i="1" s="1"/>
  <c r="P183" i="1"/>
  <c r="D182" i="1"/>
  <c r="D181" i="1"/>
  <c r="D180" i="1"/>
  <c r="D179" i="1"/>
  <c r="D178" i="1"/>
  <c r="D147" i="1"/>
  <c r="D146" i="1"/>
  <c r="D145" i="1"/>
  <c r="E101" i="1" l="1"/>
  <c r="C101" i="1"/>
  <c r="E100" i="1"/>
  <c r="C100" i="1"/>
  <c r="D122" i="1"/>
  <c r="D110" i="1"/>
  <c r="I41" i="1"/>
  <c r="E102" i="1" l="1"/>
  <c r="E3" i="1"/>
  <c r="A169" i="1" l="1"/>
  <c r="A170" i="1" s="1"/>
  <c r="A171" i="1" s="1"/>
  <c r="A172" i="1" s="1"/>
  <c r="A164" i="1"/>
  <c r="O172" i="1" l="1"/>
  <c r="D172" i="1"/>
  <c r="F172" i="1" s="1"/>
  <c r="O171" i="1"/>
  <c r="D171" i="1"/>
  <c r="F171" i="1" s="1"/>
  <c r="O170" i="1"/>
  <c r="K170" i="1"/>
  <c r="D170" i="1"/>
  <c r="F170" i="1" s="1"/>
  <c r="J170" i="1" s="1"/>
  <c r="O169" i="1"/>
  <c r="G169" i="1"/>
  <c r="D169" i="1"/>
  <c r="F169" i="1" s="1"/>
  <c r="J169" i="1" s="1"/>
  <c r="O147" i="1"/>
  <c r="F147" i="1"/>
  <c r="O146" i="1"/>
  <c r="F146" i="1"/>
  <c r="O145" i="1"/>
  <c r="K145" i="1"/>
  <c r="F145" i="1"/>
  <c r="J145" i="1" s="1"/>
  <c r="O144" i="1"/>
  <c r="G144" i="1"/>
  <c r="F144" i="1"/>
  <c r="J144" i="1" s="1"/>
  <c r="O167" i="1"/>
  <c r="D167" i="1"/>
  <c r="F167" i="1" s="1"/>
  <c r="O166" i="1"/>
  <c r="D166" i="1"/>
  <c r="F166" i="1" s="1"/>
  <c r="O165" i="1"/>
  <c r="K165" i="1"/>
  <c r="D165" i="1"/>
  <c r="F165" i="1" s="1"/>
  <c r="J165" i="1" s="1"/>
  <c r="O164" i="1"/>
  <c r="G164" i="1"/>
  <c r="D164" i="1"/>
  <c r="F164" i="1" s="1"/>
  <c r="J164" i="1" s="1"/>
  <c r="K140" i="1"/>
  <c r="O140" i="1"/>
  <c r="O141" i="1"/>
  <c r="O142" i="1"/>
  <c r="O139" i="1"/>
  <c r="I117" i="1"/>
  <c r="A165" i="1"/>
  <c r="J178" i="1" l="1"/>
  <c r="P179" i="1"/>
  <c r="P180" i="1"/>
  <c r="P181" i="1"/>
  <c r="P182" i="1"/>
  <c r="P178" i="1"/>
  <c r="A166" i="1"/>
  <c r="F182" i="1" l="1"/>
  <c r="F181" i="1"/>
  <c r="F180" i="1"/>
  <c r="F179" i="1"/>
  <c r="G178" i="1"/>
  <c r="F178" i="1"/>
  <c r="G101" i="1" s="1"/>
  <c r="F142" i="1"/>
  <c r="F141" i="1"/>
  <c r="F140" i="1"/>
  <c r="J140" i="1" s="1"/>
  <c r="G139" i="1"/>
  <c r="D130" i="1"/>
  <c r="F130" i="1" s="1"/>
  <c r="D129" i="1"/>
  <c r="D128" i="1"/>
  <c r="F128" i="1" s="1"/>
  <c r="D127" i="1"/>
  <c r="F127" i="1" s="1"/>
  <c r="D126" i="1"/>
  <c r="F126" i="1" s="1"/>
  <c r="D125" i="1"/>
  <c r="F125" i="1" s="1"/>
  <c r="D124" i="1"/>
  <c r="F124" i="1" s="1"/>
  <c r="D123" i="1"/>
  <c r="F123" i="1" s="1"/>
  <c r="J125" i="1"/>
  <c r="F129" i="1"/>
  <c r="F122" i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F110" i="1"/>
  <c r="D109" i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G109" i="1"/>
  <c r="E42" i="1"/>
  <c r="A167" i="1"/>
  <c r="E97" i="1" l="1"/>
  <c r="C102" i="1"/>
  <c r="F109" i="1"/>
  <c r="G97" i="1" s="1"/>
  <c r="C97" i="1"/>
  <c r="F139" i="1"/>
  <c r="G100" i="1" s="1"/>
  <c r="C14" i="1"/>
  <c r="G102" i="1" l="1"/>
  <c r="J100" i="1" s="1"/>
  <c r="K100" i="1"/>
  <c r="J139" i="1"/>
  <c r="E29" i="1"/>
  <c r="F212" i="1" l="1"/>
  <c r="F213" i="1"/>
  <c r="F214" i="1"/>
  <c r="F211" i="1"/>
  <c r="A212" i="1"/>
  <c r="A213" i="1" s="1"/>
  <c r="A214" i="1" s="1"/>
  <c r="G211" i="1"/>
  <c r="G212" i="1" s="1"/>
  <c r="G213" i="1" s="1"/>
  <c r="G214" i="1" s="1"/>
  <c r="F94" i="1" l="1"/>
  <c r="B241" i="1" l="1"/>
  <c r="A228" i="1"/>
  <c r="A234" i="1"/>
  <c r="A222" i="1"/>
  <c r="F238" i="1" l="1"/>
  <c r="F237" i="1"/>
  <c r="F236" i="1"/>
  <c r="F235" i="1"/>
  <c r="F234" i="1"/>
  <c r="F232" i="1"/>
  <c r="F231" i="1"/>
  <c r="F230" i="1"/>
  <c r="F229" i="1"/>
  <c r="F228" i="1"/>
  <c r="F226" i="1"/>
  <c r="F225" i="1"/>
  <c r="F224" i="1"/>
  <c r="F223" i="1"/>
  <c r="F222" i="1"/>
  <c r="F220" i="1"/>
  <c r="F219" i="1"/>
  <c r="F217" i="1"/>
  <c r="F216" i="1"/>
  <c r="F218" i="1"/>
  <c r="A235" i="1"/>
  <c r="A229" i="1"/>
  <c r="A223" i="1"/>
  <c r="B242" i="1" l="1"/>
  <c r="A224" i="1"/>
  <c r="A236" i="1"/>
  <c r="A23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3" i="1"/>
  <c r="G234" i="1"/>
  <c r="G235" i="1" s="1"/>
  <c r="G236" i="1" s="1"/>
  <c r="G237" i="1" s="1"/>
  <c r="G238" i="1" s="1"/>
  <c r="G228" i="1"/>
  <c r="G229" i="1" s="1"/>
  <c r="G230" i="1" s="1"/>
  <c r="G231" i="1" s="1"/>
  <c r="G232" i="1" s="1"/>
  <c r="G222" i="1"/>
  <c r="G223" i="1" s="1"/>
  <c r="G224" i="1" s="1"/>
  <c r="G225" i="1" s="1"/>
  <c r="G226" i="1" s="1"/>
  <c r="G216" i="1"/>
  <c r="G217" i="1" s="1"/>
  <c r="G218" i="1" s="1"/>
  <c r="G219" i="1" s="1"/>
  <c r="G220" i="1" s="1"/>
  <c r="A216" i="1"/>
  <c r="A217" i="1" s="1"/>
  <c r="A218" i="1" s="1"/>
  <c r="A219" i="1" s="1"/>
  <c r="A220" i="1" s="1"/>
  <c r="J77" i="1"/>
  <c r="J76" i="1"/>
  <c r="J75" i="1"/>
  <c r="J74" i="1"/>
  <c r="C66" i="1"/>
  <c r="D55" i="1"/>
  <c r="G49" i="1"/>
  <c r="G50" i="1" s="1"/>
  <c r="C49" i="1"/>
  <c r="E43" i="1"/>
  <c r="E26" i="1"/>
  <c r="E24" i="1"/>
  <c r="E7" i="1"/>
  <c r="A237" i="1"/>
  <c r="A225" i="1"/>
  <c r="A231" i="1"/>
  <c r="H67" i="1"/>
  <c r="D60" i="1" l="1"/>
  <c r="D79" i="1"/>
  <c r="D77" i="1"/>
  <c r="D76" i="1"/>
  <c r="D75" i="1"/>
  <c r="D73" i="1"/>
  <c r="J66" i="1"/>
  <c r="D78" i="1"/>
  <c r="D74" i="1"/>
  <c r="J70" i="1"/>
  <c r="J71" i="1"/>
  <c r="J69" i="1"/>
  <c r="J72" i="1"/>
  <c r="A238" i="1"/>
  <c r="A226" i="1"/>
  <c r="A232" i="1"/>
  <c r="J73" i="1" l="1"/>
  <c r="J78" i="1" s="1"/>
  <c r="D72" i="1"/>
  <c r="J68" i="1"/>
  <c r="D70" i="1"/>
  <c r="J79" i="1" l="1"/>
  <c r="E70" i="1"/>
  <c r="G70" i="1" l="1"/>
  <c r="D64" i="1" s="1"/>
  <c r="F65" i="1" s="1"/>
  <c r="J67" i="1"/>
  <c r="D71" i="1"/>
  <c r="I67" i="1" s="1"/>
  <c r="I68" i="1" s="1"/>
  <c r="D65" i="1" l="1"/>
  <c r="I66" i="1"/>
  <c r="C68" i="1" s="1"/>
</calcChain>
</file>

<file path=xl/sharedStrings.xml><?xml version="1.0" encoding="utf-8"?>
<sst xmlns="http://schemas.openxmlformats.org/spreadsheetml/2006/main" count="309" uniqueCount="236">
  <si>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</si>
  <si>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</si>
  <si>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</si>
  <si>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</si>
  <si>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</si>
  <si>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</si>
  <si>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</si>
  <si>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</si>
  <si>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</si>
  <si>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</si>
  <si>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</si>
  <si>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</si>
  <si>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</si>
  <si>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</si>
  <si>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</si>
  <si>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</si>
  <si>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</si>
  <si>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</si>
  <si>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</si>
  <si>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</si>
  <si>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</si>
  <si>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</si>
  <si>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</si>
  <si>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</si>
  <si>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</si>
  <si>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</si>
  <si>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</si>
  <si>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</si>
  <si>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</si>
  <si>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</si>
  <si>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</si>
  <si>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</si>
  <si>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</si>
  <si>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</si>
  <si>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</si>
  <si>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</si>
  <si>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</si>
  <si>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</si>
  <si>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</si>
  <si>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</si>
  <si>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</si>
  <si>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</si>
  <si>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</si>
  <si>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</si>
  <si>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</si>
  <si>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</si>
  <si>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</si>
  <si>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</si>
  <si>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</si>
  <si>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</si>
  <si>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</si>
  <si>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</si>
  <si>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</si>
  <si>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</si>
  <si>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</si>
  <si>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</si>
  <si>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</si>
  <si>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</si>
  <si>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</si>
  <si>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</si>
  <si>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</si>
  <si>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</si>
  <si>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</si>
  <si>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</si>
  <si>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</si>
  <si>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</si>
  <si>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</si>
  <si>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</si>
  <si>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</si>
  <si>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</si>
  <si>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</si>
  <si>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</si>
  <si>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</si>
  <si>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</si>
  <si>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</si>
  <si>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</si>
  <si>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</si>
  <si>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</si>
  <si>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</si>
  <si>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</si>
  <si>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</si>
  <si>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</si>
  <si>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</si>
  <si>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</si>
  <si>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</si>
  <si>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</si>
  <si>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</si>
  <si>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</si>
  <si>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</si>
  <si>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</si>
  <si>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</si>
  <si>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</si>
  <si>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</si>
  <si>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</si>
  <si>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</si>
  <si>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</si>
  <si>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</si>
  <si>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</si>
  <si>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</si>
  <si>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</si>
  <si>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</si>
  <si>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</si>
  <si>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</si>
  <si>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</si>
  <si>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</si>
  <si>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</si>
  <si>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</si>
  <si>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</si>
  <si>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</si>
  <si>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</si>
  <si>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</si>
  <si>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</si>
  <si>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</si>
  <si>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</si>
  <si>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</si>
  <si>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</si>
  <si>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</si>
  <si>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</si>
  <si>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</si>
  <si>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</si>
  <si>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</si>
  <si>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</si>
  <si>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</si>
  <si>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</si>
  <si>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</si>
  <si>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</si>
  <si>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</si>
  <si>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</si>
  <si>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</si>
  <si>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</si>
  <si>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</si>
  <si>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</si>
  <si>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</si>
  <si>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</si>
  <si>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</si>
  <si>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</si>
  <si>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</si>
  <si>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</si>
  <si>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</si>
  <si>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</si>
  <si>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</si>
  <si>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</si>
  <si>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</si>
  <si>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</si>
  <si>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</si>
  <si>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</si>
  <si>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</si>
  <si>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</si>
  <si>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</si>
  <si>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</si>
  <si>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</si>
  <si>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</si>
  <si>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</si>
  <si>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</si>
  <si>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</si>
  <si>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</si>
  <si>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</si>
  <si>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</si>
  <si>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</si>
  <si>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</si>
  <si>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</si>
  <si>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</si>
  <si>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</si>
  <si>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</si>
  <si>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</si>
  <si>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</si>
  <si>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</si>
  <si>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</si>
  <si>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</si>
  <si>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</si>
  <si>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</si>
  <si>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</si>
  <si>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</si>
  <si>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</si>
  <si>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</si>
  <si>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</si>
  <si>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</si>
  <si>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</si>
  <si>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Thane</t>
  </si>
  <si>
    <t>Neelkanth Infracon</t>
  </si>
  <si>
    <t>Neelkanth Auris</t>
  </si>
  <si>
    <t>P52000045492</t>
  </si>
  <si>
    <t>Plot No</t>
  </si>
  <si>
    <t>Khanda Colony</t>
  </si>
  <si>
    <t>Panvel</t>
  </si>
  <si>
    <t>https://goo.gl/maps/NLX4i78PyKYgUvyb8</t>
  </si>
  <si>
    <t>Bhoomi Landmark</t>
  </si>
  <si>
    <t>Open Plot</t>
  </si>
  <si>
    <t>Internal Road</t>
  </si>
  <si>
    <t>Khandeshwar</t>
  </si>
  <si>
    <t>1.4KM from Khandeshwar Railway Station</t>
  </si>
  <si>
    <t>Raigad</t>
  </si>
  <si>
    <t>New Panvel West</t>
  </si>
  <si>
    <t>2 Wings</t>
  </si>
  <si>
    <t>Wing A &amp; B</t>
  </si>
  <si>
    <t>A &amp; B Wing = G + 1st + Mezzanine Level + 2nd Floor to 14th Floor</t>
  </si>
  <si>
    <t>Ground Floor For Commercial &amp; Parking</t>
  </si>
  <si>
    <t>Shop</t>
  </si>
  <si>
    <t>Wing A + B</t>
  </si>
  <si>
    <t>Wing A</t>
  </si>
  <si>
    <t>Wing B</t>
  </si>
  <si>
    <t>7th Floor (Part Refuge Area)</t>
  </si>
  <si>
    <t>9th to 11th, 13th &amp; 14th Floor</t>
  </si>
  <si>
    <t>12th Floor (Part Refuge Area)</t>
  </si>
  <si>
    <t>On Site, we meet Mr. Mahesh Sharma (9222933319)</t>
  </si>
  <si>
    <t>2nd Floor For Amenities</t>
  </si>
  <si>
    <t>3rd to 6th, 8th Floor For Residential</t>
  </si>
  <si>
    <r>
      <rPr>
        <sz val="12"/>
        <rFont val="Times New Roman"/>
        <family val="1"/>
      </rPr>
      <t>Approved Plans, CC, Sale Plans,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Cost Sheet</t>
    </r>
  </si>
  <si>
    <t>Mr. Darshit Patel - 9870488558</t>
  </si>
  <si>
    <t>35, Sector No.17</t>
  </si>
  <si>
    <t>Highway</t>
  </si>
  <si>
    <t>Panvel Municipal Corporation (PMC)</t>
  </si>
  <si>
    <t>We considered Gross carpet area = Net carpet + Balcony.</t>
  </si>
  <si>
    <t>1st Floor for Parking</t>
  </si>
  <si>
    <t>Mezzanine Floor (Between 1st &amp; 2nd Floor)</t>
  </si>
  <si>
    <t>Recommended rate of the Shop Per Sq. Ft.(G + 1st Floor)</t>
  </si>
  <si>
    <t>Shop (Duplex with 1st Floor)</t>
  </si>
  <si>
    <t>Recommended rate of the Shop Per Sq. Ft.(Only Ground floor)</t>
  </si>
  <si>
    <t xml:space="preserve">As per RERA - 05/05/2027
</t>
  </si>
  <si>
    <t xml:space="preserve">Site Person - Contact Details ( Name &amp; Contact No.)
</t>
  </si>
  <si>
    <t>Mr. Mahesh Sharma (9222933319)</t>
  </si>
  <si>
    <t>Office No. 1031, Wing J, Akshar Business Park, Plot No. 03 Sector 25, Near APMC Market, Vashi, Navi
Mumbai, Maharashtra 400703 TEL: 022-46090378/79/80
Email : vsjcapf@gmail.com. Web site : www.vsjadon.com</t>
  </si>
  <si>
    <t>PMP/NRV/16355/J.K-1860/2024</t>
  </si>
  <si>
    <t>PMP/TP/N.Panvel/17/35/21-24/16355/1860/2024</t>
  </si>
  <si>
    <t>1st Floor for Commercial &amp; Parking</t>
  </si>
  <si>
    <t>9th Floor (Part Refuge Area)</t>
  </si>
  <si>
    <t>9th Floor (Part Terrace Area)</t>
  </si>
  <si>
    <t>Terrace Area</t>
  </si>
  <si>
    <t>10th, 12th &amp; 14th Floor</t>
  </si>
  <si>
    <t>11th &amp; 13th Floor (Part Refuge Area)</t>
  </si>
  <si>
    <t>Flats - 114, Shops - 22</t>
  </si>
  <si>
    <t>Gr/St + 14th Upper Floor
Total Built Up Area = 12471.903 Sq.Mt
No. of Residential Units = 114 Nos.
No. of Commercial Units = 22 Nos.</t>
  </si>
  <si>
    <t>We have updated latest approved floor plans &amp; CC from Rera Site (On 30/01/2025).</t>
  </si>
  <si>
    <t>Mayur Ranvare</t>
  </si>
  <si>
    <t>Pranita Mhatre</t>
  </si>
  <si>
    <t>Finishing work is in process at the time of Visit. (Labour Found)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</si>
</sst>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24" xfId="1" applyNumberFormat="1" applyFont="1" applyBorder="1" applyAlignment="1">
      <alignment vertical="center"/>
    </xf>
    <xf numFmtId="1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9" fontId="6" fillId="0" borderId="7" xfId="1" applyNumberFormat="1" applyFont="1" applyBorder="1" applyAlignment="1" applyProtection="1">
      <alignment horizontal="center" vertical="center" wrapText="1"/>
      <protection locked="0"/>
    </xf>
    <xf numFmtId="169" fontId="6" fillId="0" borderId="20" xfId="1" applyNumberFormat="1" applyFont="1" applyBorder="1" applyAlignment="1" applyProtection="1">
      <alignment horizontal="center" vertical="center" wrapText="1"/>
      <protection locked="0"/>
    </xf>
    <xf numFmtId="169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27" fillId="0" borderId="7" xfId="1" applyNumberFormat="1" applyFont="1" applyBorder="1" applyAlignment="1" applyProtection="1">
      <alignment horizontal="center" vertical="center" wrapText="1"/>
      <protection locked="0"/>
    </xf>
    <xf numFmtId="1" fontId="27" fillId="0" borderId="20" xfId="1" applyNumberFormat="1" applyFont="1" applyBorder="1" applyAlignment="1" applyProtection="1">
      <alignment horizontal="center" vertical="center" wrapText="1"/>
      <protection locked="0"/>
    </xf>
    <xf numFmtId="1" fontId="27" fillId="0" borderId="8" xfId="1" applyNumberFormat="1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69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576694</xdr:colOff>
      <xdr:row>327</xdr:row>
      <xdr:rowOff>123825</xdr:rowOff>
    </xdr:from>
    <xdr:to>
      <xdr:col>7</xdr:col>
      <xdr:colOff>581644</xdr:colOff>
      <xdr:row>344</xdr:row>
      <xdr:rowOff>108929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6694" y="57568234"/>
          <a:ext cx="5693973" cy="33708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576694</xdr:colOff>
      <xdr:row>308</xdr:row>
      <xdr:rowOff>190500</xdr:rowOff>
    </xdr:from>
    <xdr:to>
      <xdr:col>7</xdr:col>
      <xdr:colOff>581644</xdr:colOff>
      <xdr:row>325</xdr:row>
      <xdr:rowOff>175604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6694" y="53850886"/>
          <a:ext cx="5693973" cy="33708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0</xdr:colOff>
      <xdr:row>263</xdr:row>
      <xdr:rowOff>12122</xdr:rowOff>
    </xdr:from>
    <xdr:to>
      <xdr:col>9</xdr:col>
      <xdr:colOff>381001</xdr:colOff>
      <xdr:row>266</xdr:row>
      <xdr:rowOff>116031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17773" y="44719008"/>
          <a:ext cx="1541319" cy="6927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0000"/>
              </a:solidFill>
            </a:rPr>
            <a:t>A Wing</a:t>
          </a:r>
        </a:p>
      </xdr:txBody>
    </xdr:sp>
    <xdr:clientData/>
  </xdr:twoCellAnchor>
  <xdr:twoCellAnchor>
    <xdr:from>
      <xdr:col>12</xdr:col>
      <xdr:colOff>342900</xdr:colOff>
      <xdr:row>262</xdr:row>
      <xdr:rowOff>0</xdr:rowOff>
    </xdr:from>
    <xdr:to>
      <xdr:col>14</xdr:col>
      <xdr:colOff>256310</xdr:colOff>
      <xdr:row>265</xdr:row>
      <xdr:rowOff>95250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785764" y="44507727"/>
          <a:ext cx="1541319" cy="6927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0000"/>
              </a:solidFill>
            </a:rPr>
            <a:t>B Wing</a:t>
          </a:r>
        </a:p>
      </xdr:txBody>
    </xdr:sp>
    <xdr:clientData/>
  </xdr:twoCellAnchor>
  <xdr:twoCellAnchor editAs="oneCell">
    <xdr:from>
      <xdr:col>9</xdr:col>
      <xdr:colOff>654050</xdr:colOff>
      <xdr:row>36</xdr:row>
      <xdr:rowOff>0</xdr:rowOff>
    </xdr:from>
    <xdr:to>
      <xdr:col>13</xdr:col>
      <xdr:colOff>68900</xdr:colOff>
      <xdr:row>47</xdr:row>
      <xdr:rowOff>163522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15450" y="7950200"/>
          <a:ext cx="2520000" cy="25574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260350</xdr:colOff>
      <xdr:row>46</xdr:row>
      <xdr:rowOff>254000</xdr:rowOff>
    </xdr:from>
    <xdr:to>
      <xdr:col>12</xdr:col>
      <xdr:colOff>367850</xdr:colOff>
      <xdr:row>51</xdr:row>
      <xdr:rowOff>32965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02550" y="10172700"/>
          <a:ext cx="3600000" cy="18046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733697</xdr:colOff>
      <xdr:row>267</xdr:row>
      <xdr:rowOff>15241</xdr:rowOff>
    </xdr:from>
    <xdr:to>
      <xdr:col>16</xdr:col>
      <xdr:colOff>308316</xdr:colOff>
      <xdr:row>307</xdr:row>
      <xdr:rowOff>1853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A055799-200F-A03E-C23C-6256FC1A7D44}"/>
            </a:ext>
          </a:extLst>
        </xdr:cNvPr>
        <xdr:cNvGrpSpPr/>
      </xdr:nvGrpSpPr>
      <xdr:grpSpPr>
        <a:xfrm>
          <a:off x="8013038" y="49437665"/>
          <a:ext cx="6154713" cy="7875553"/>
          <a:chOff x="230660" y="142158"/>
          <a:chExt cx="6156122" cy="7903793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8F0D4346-553F-2253-ABBD-D093AC8EE9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660" y="142158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60E50E2A-D1A8-9536-214B-2597C982F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6265" y="144507"/>
            <a:ext cx="3820517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4BA4D9D6-4C1F-BDB4-F1AF-DA53DC1C8E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1534" y="6245951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A172FA5-E860-65C5-44CA-A5ED87B5C9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34659" y="6245951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C4E6FDA8-98E7-F995-14CC-758500F4CF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2143" y="6245951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73CE9047-6DBC-1763-58EA-709C716197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3401" y="3195229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F51EF78E-38F1-DD9F-5356-A12FFA58F6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58017" y="3195229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TextBox 22">
            <a:extLst>
              <a:ext uri="{FF2B5EF4-FFF2-40B4-BE49-F238E27FC236}">
                <a16:creationId xmlns:a16="http://schemas.microsoft.com/office/drawing/2014/main" id="{BD907D06-C7F9-F765-E66D-B0F50266BDF3}"/>
              </a:ext>
            </a:extLst>
          </xdr:cNvPr>
          <xdr:cNvSpPr txBox="1"/>
        </xdr:nvSpPr>
        <xdr:spPr>
          <a:xfrm>
            <a:off x="3545003" y="337754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35" name="TextBox 23">
            <a:extLst>
              <a:ext uri="{FF2B5EF4-FFF2-40B4-BE49-F238E27FC236}">
                <a16:creationId xmlns:a16="http://schemas.microsoft.com/office/drawing/2014/main" id="{4AF9093B-9C89-9F87-644F-AF1A692681D2}"/>
              </a:ext>
            </a:extLst>
          </xdr:cNvPr>
          <xdr:cNvSpPr txBox="1"/>
        </xdr:nvSpPr>
        <xdr:spPr>
          <a:xfrm>
            <a:off x="1111534" y="319288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36" name="TextBox 24">
            <a:extLst>
              <a:ext uri="{FF2B5EF4-FFF2-40B4-BE49-F238E27FC236}">
                <a16:creationId xmlns:a16="http://schemas.microsoft.com/office/drawing/2014/main" id="{117C923A-EF91-694B-9C1D-71CB2CC2FAEF}"/>
              </a:ext>
            </a:extLst>
          </xdr:cNvPr>
          <xdr:cNvSpPr txBox="1"/>
        </xdr:nvSpPr>
        <xdr:spPr>
          <a:xfrm>
            <a:off x="3335623" y="470058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37" name="TextBox 25">
            <a:extLst>
              <a:ext uri="{FF2B5EF4-FFF2-40B4-BE49-F238E27FC236}">
                <a16:creationId xmlns:a16="http://schemas.microsoft.com/office/drawing/2014/main" id="{5826A2F4-D9B4-9F7A-1E49-CFB974BC5B5F}"/>
              </a:ext>
            </a:extLst>
          </xdr:cNvPr>
          <xdr:cNvSpPr txBox="1"/>
        </xdr:nvSpPr>
        <xdr:spPr>
          <a:xfrm>
            <a:off x="289775" y="565161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</xdr:grpSp>
    <xdr:clientData/>
  </xdr:twoCellAnchor>
  <xdr:twoCellAnchor>
    <xdr:from>
      <xdr:col>0</xdr:col>
      <xdr:colOff>260426</xdr:colOff>
      <xdr:row>263</xdr:row>
      <xdr:rowOff>132231</xdr:rowOff>
    </xdr:from>
    <xdr:to>
      <xdr:col>7</xdr:col>
      <xdr:colOff>1093695</xdr:colOff>
      <xdr:row>304</xdr:row>
      <xdr:rowOff>143436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F6248823-7695-CE0D-3970-0578B52D2D23}"/>
            </a:ext>
          </a:extLst>
        </xdr:cNvPr>
        <xdr:cNvGrpSpPr/>
      </xdr:nvGrpSpPr>
      <xdr:grpSpPr>
        <a:xfrm>
          <a:off x="260426" y="48774725"/>
          <a:ext cx="6642398" cy="8088405"/>
          <a:chOff x="314213" y="48909195"/>
          <a:chExt cx="6190129" cy="7554109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A1B9119F-C646-CC59-442F-9EE81B1355A6}"/>
              </a:ext>
            </a:extLst>
          </xdr:cNvPr>
          <xdr:cNvGrpSpPr/>
        </xdr:nvGrpSpPr>
        <xdr:grpSpPr>
          <a:xfrm>
            <a:off x="314213" y="48909195"/>
            <a:ext cx="6190129" cy="7554109"/>
            <a:chOff x="-50028" y="1122006"/>
            <a:chExt cx="7153994" cy="8342034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DA37B63C-DB3D-5FB5-5B7F-0EFB84ABD2F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82784" y="7070905"/>
              <a:ext cx="1800477" cy="239313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38FE10C5-A069-4436-65F5-C5AB1A8EC1E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50028" y="1122006"/>
              <a:ext cx="2278583" cy="30286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4C70CADD-0D1F-92B6-D275-1122A084EFC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825383" y="1122006"/>
              <a:ext cx="2278583" cy="30286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DD1FC6B8-DEC4-2022-8011-87E860E7F9F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37994" y="4254498"/>
              <a:ext cx="1982011" cy="263442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867F95A-F11F-BEC5-FC8E-A2B63DC45C9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83023" y="4255452"/>
              <a:ext cx="1982011" cy="263442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B0101B5D-2018-228B-47E5-0DBC922983A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07309" y="1122006"/>
              <a:ext cx="2278583" cy="30286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830EE2F7-E50B-0BB5-B974-35491D33D14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7008" y="4254498"/>
              <a:ext cx="1982011" cy="263442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21E77B72-6FC7-F457-19A6-A0A0A5AE1CC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97554" y="7070905"/>
              <a:ext cx="1793189" cy="239313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9" name="TextBox 25">
            <a:extLst>
              <a:ext uri="{FF2B5EF4-FFF2-40B4-BE49-F238E27FC236}">
                <a16:creationId xmlns:a16="http://schemas.microsoft.com/office/drawing/2014/main" id="{9D1B4A23-93EB-48A0-A42C-CB6D1A31731E}"/>
              </a:ext>
            </a:extLst>
          </xdr:cNvPr>
          <xdr:cNvSpPr txBox="1"/>
        </xdr:nvSpPr>
        <xdr:spPr>
          <a:xfrm>
            <a:off x="314213" y="48909195"/>
            <a:ext cx="875361" cy="36801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40" name="TextBox 24">
            <a:extLst>
              <a:ext uri="{FF2B5EF4-FFF2-40B4-BE49-F238E27FC236}">
                <a16:creationId xmlns:a16="http://schemas.microsoft.com/office/drawing/2014/main" id="{7C062D67-9325-4283-A12F-41F930D0E365}"/>
              </a:ext>
            </a:extLst>
          </xdr:cNvPr>
          <xdr:cNvSpPr txBox="1"/>
        </xdr:nvSpPr>
        <xdr:spPr>
          <a:xfrm>
            <a:off x="2797436" y="49276748"/>
            <a:ext cx="875361" cy="36801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LX4i78PyKYgUvyb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07"/>
  <sheetViews>
    <sheetView tabSelected="1" view="pageBreakPreview" topLeftCell="A67" zoomScale="85" zoomScaleNormal="100" zoomScaleSheetLayoutView="85" workbookViewId="0">
      <selection activeCell="L82" sqref="L82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5546875" style="40" customWidth="1"/>
    <col min="4" max="4" width="14.109375" style="40" customWidth="1"/>
    <col min="5" max="7" width="11.5546875" style="40" customWidth="1"/>
    <col min="8" max="8" width="21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5546875" style="21" customWidth="1"/>
    <col min="17" max="247" width="9.109375" style="21"/>
    <col min="248" max="248" width="8.5546875" style="21" customWidth="1"/>
    <col min="249" max="249" width="9.88671875" style="21" customWidth="1"/>
    <col min="250" max="250" width="14.44140625" style="21" customWidth="1"/>
    <col min="251" max="251" width="7.441406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5546875" style="21" customWidth="1"/>
    <col min="505" max="505" width="9.88671875" style="21" customWidth="1"/>
    <col min="506" max="506" width="14.44140625" style="21" customWidth="1"/>
    <col min="507" max="507" width="7.441406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5546875" style="21" customWidth="1"/>
    <col min="761" max="761" width="9.88671875" style="21" customWidth="1"/>
    <col min="762" max="762" width="14.44140625" style="21" customWidth="1"/>
    <col min="763" max="763" width="7.441406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5546875" style="21" customWidth="1"/>
    <col min="1017" max="1017" width="9.88671875" style="21" customWidth="1"/>
    <col min="1018" max="1018" width="14.44140625" style="21" customWidth="1"/>
    <col min="1019" max="1019" width="7.441406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5546875" style="21" customWidth="1"/>
    <col min="1273" max="1273" width="9.88671875" style="21" customWidth="1"/>
    <col min="1274" max="1274" width="14.44140625" style="21" customWidth="1"/>
    <col min="1275" max="1275" width="7.441406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5546875" style="21" customWidth="1"/>
    <col min="1529" max="1529" width="9.88671875" style="21" customWidth="1"/>
    <col min="1530" max="1530" width="14.44140625" style="21" customWidth="1"/>
    <col min="1531" max="1531" width="7.441406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5546875" style="21" customWidth="1"/>
    <col min="1785" max="1785" width="9.88671875" style="21" customWidth="1"/>
    <col min="1786" max="1786" width="14.44140625" style="21" customWidth="1"/>
    <col min="1787" max="1787" width="7.441406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5546875" style="21" customWidth="1"/>
    <col min="2041" max="2041" width="9.88671875" style="21" customWidth="1"/>
    <col min="2042" max="2042" width="14.44140625" style="21" customWidth="1"/>
    <col min="2043" max="2043" width="7.441406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5546875" style="21" customWidth="1"/>
    <col min="2297" max="2297" width="9.88671875" style="21" customWidth="1"/>
    <col min="2298" max="2298" width="14.44140625" style="21" customWidth="1"/>
    <col min="2299" max="2299" width="7.441406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5546875" style="21" customWidth="1"/>
    <col min="2553" max="2553" width="9.88671875" style="21" customWidth="1"/>
    <col min="2554" max="2554" width="14.44140625" style="21" customWidth="1"/>
    <col min="2555" max="2555" width="7.441406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5546875" style="21" customWidth="1"/>
    <col min="2809" max="2809" width="9.88671875" style="21" customWidth="1"/>
    <col min="2810" max="2810" width="14.44140625" style="21" customWidth="1"/>
    <col min="2811" max="2811" width="7.441406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5546875" style="21" customWidth="1"/>
    <col min="3065" max="3065" width="9.88671875" style="21" customWidth="1"/>
    <col min="3066" max="3066" width="14.44140625" style="21" customWidth="1"/>
    <col min="3067" max="3067" width="7.441406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5546875" style="21" customWidth="1"/>
    <col min="3321" max="3321" width="9.88671875" style="21" customWidth="1"/>
    <col min="3322" max="3322" width="14.44140625" style="21" customWidth="1"/>
    <col min="3323" max="3323" width="7.441406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5546875" style="21" customWidth="1"/>
    <col min="3577" max="3577" width="9.88671875" style="21" customWidth="1"/>
    <col min="3578" max="3578" width="14.44140625" style="21" customWidth="1"/>
    <col min="3579" max="3579" width="7.441406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5546875" style="21" customWidth="1"/>
    <col min="3833" max="3833" width="9.88671875" style="21" customWidth="1"/>
    <col min="3834" max="3834" width="14.44140625" style="21" customWidth="1"/>
    <col min="3835" max="3835" width="7.441406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5546875" style="21" customWidth="1"/>
    <col min="4089" max="4089" width="9.88671875" style="21" customWidth="1"/>
    <col min="4090" max="4090" width="14.44140625" style="21" customWidth="1"/>
    <col min="4091" max="4091" width="7.441406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5546875" style="21" customWidth="1"/>
    <col min="4345" max="4345" width="9.88671875" style="21" customWidth="1"/>
    <col min="4346" max="4346" width="14.44140625" style="21" customWidth="1"/>
    <col min="4347" max="4347" width="7.441406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5546875" style="21" customWidth="1"/>
    <col min="4601" max="4601" width="9.88671875" style="21" customWidth="1"/>
    <col min="4602" max="4602" width="14.44140625" style="21" customWidth="1"/>
    <col min="4603" max="4603" width="7.441406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5546875" style="21" customWidth="1"/>
    <col min="4857" max="4857" width="9.88671875" style="21" customWidth="1"/>
    <col min="4858" max="4858" width="14.44140625" style="21" customWidth="1"/>
    <col min="4859" max="4859" width="7.441406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5546875" style="21" customWidth="1"/>
    <col min="5113" max="5113" width="9.88671875" style="21" customWidth="1"/>
    <col min="5114" max="5114" width="14.44140625" style="21" customWidth="1"/>
    <col min="5115" max="5115" width="7.441406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5546875" style="21" customWidth="1"/>
    <col min="5369" max="5369" width="9.88671875" style="21" customWidth="1"/>
    <col min="5370" max="5370" width="14.44140625" style="21" customWidth="1"/>
    <col min="5371" max="5371" width="7.441406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5546875" style="21" customWidth="1"/>
    <col min="5625" max="5625" width="9.88671875" style="21" customWidth="1"/>
    <col min="5626" max="5626" width="14.44140625" style="21" customWidth="1"/>
    <col min="5627" max="5627" width="7.441406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5546875" style="21" customWidth="1"/>
    <col min="5881" max="5881" width="9.88671875" style="21" customWidth="1"/>
    <col min="5882" max="5882" width="14.44140625" style="21" customWidth="1"/>
    <col min="5883" max="5883" width="7.441406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5546875" style="21" customWidth="1"/>
    <col min="6137" max="6137" width="9.88671875" style="21" customWidth="1"/>
    <col min="6138" max="6138" width="14.44140625" style="21" customWidth="1"/>
    <col min="6139" max="6139" width="7.441406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5546875" style="21" customWidth="1"/>
    <col min="6393" max="6393" width="9.88671875" style="21" customWidth="1"/>
    <col min="6394" max="6394" width="14.44140625" style="21" customWidth="1"/>
    <col min="6395" max="6395" width="7.441406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5546875" style="21" customWidth="1"/>
    <col min="6649" max="6649" width="9.88671875" style="21" customWidth="1"/>
    <col min="6650" max="6650" width="14.44140625" style="21" customWidth="1"/>
    <col min="6651" max="6651" width="7.441406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5546875" style="21" customWidth="1"/>
    <col min="6905" max="6905" width="9.88671875" style="21" customWidth="1"/>
    <col min="6906" max="6906" width="14.44140625" style="21" customWidth="1"/>
    <col min="6907" max="6907" width="7.441406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5546875" style="21" customWidth="1"/>
    <col min="7161" max="7161" width="9.88671875" style="21" customWidth="1"/>
    <col min="7162" max="7162" width="14.44140625" style="21" customWidth="1"/>
    <col min="7163" max="7163" width="7.441406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5546875" style="21" customWidth="1"/>
    <col min="7417" max="7417" width="9.88671875" style="21" customWidth="1"/>
    <col min="7418" max="7418" width="14.44140625" style="21" customWidth="1"/>
    <col min="7419" max="7419" width="7.441406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5546875" style="21" customWidth="1"/>
    <col min="7673" max="7673" width="9.88671875" style="21" customWidth="1"/>
    <col min="7674" max="7674" width="14.44140625" style="21" customWidth="1"/>
    <col min="7675" max="7675" width="7.441406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5546875" style="21" customWidth="1"/>
    <col min="7929" max="7929" width="9.88671875" style="21" customWidth="1"/>
    <col min="7930" max="7930" width="14.44140625" style="21" customWidth="1"/>
    <col min="7931" max="7931" width="7.441406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5546875" style="21" customWidth="1"/>
    <col min="8185" max="8185" width="9.88671875" style="21" customWidth="1"/>
    <col min="8186" max="8186" width="14.44140625" style="21" customWidth="1"/>
    <col min="8187" max="8187" width="7.441406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5546875" style="21" customWidth="1"/>
    <col min="8441" max="8441" width="9.88671875" style="21" customWidth="1"/>
    <col min="8442" max="8442" width="14.44140625" style="21" customWidth="1"/>
    <col min="8443" max="8443" width="7.441406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5546875" style="21" customWidth="1"/>
    <col min="8697" max="8697" width="9.88671875" style="21" customWidth="1"/>
    <col min="8698" max="8698" width="14.44140625" style="21" customWidth="1"/>
    <col min="8699" max="8699" width="7.441406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5546875" style="21" customWidth="1"/>
    <col min="8953" max="8953" width="9.88671875" style="21" customWidth="1"/>
    <col min="8954" max="8954" width="14.44140625" style="21" customWidth="1"/>
    <col min="8955" max="8955" width="7.441406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5546875" style="21" customWidth="1"/>
    <col min="9209" max="9209" width="9.88671875" style="21" customWidth="1"/>
    <col min="9210" max="9210" width="14.44140625" style="21" customWidth="1"/>
    <col min="9211" max="9211" width="7.441406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5546875" style="21" customWidth="1"/>
    <col min="9465" max="9465" width="9.88671875" style="21" customWidth="1"/>
    <col min="9466" max="9466" width="14.44140625" style="21" customWidth="1"/>
    <col min="9467" max="9467" width="7.441406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5546875" style="21" customWidth="1"/>
    <col min="9721" max="9721" width="9.88671875" style="21" customWidth="1"/>
    <col min="9722" max="9722" width="14.44140625" style="21" customWidth="1"/>
    <col min="9723" max="9723" width="7.441406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5546875" style="21" customWidth="1"/>
    <col min="9977" max="9977" width="9.88671875" style="21" customWidth="1"/>
    <col min="9978" max="9978" width="14.44140625" style="21" customWidth="1"/>
    <col min="9979" max="9979" width="7.441406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5546875" style="21" customWidth="1"/>
    <col min="10233" max="10233" width="9.88671875" style="21" customWidth="1"/>
    <col min="10234" max="10234" width="14.44140625" style="21" customWidth="1"/>
    <col min="10235" max="10235" width="7.441406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5546875" style="21" customWidth="1"/>
    <col min="10489" max="10489" width="9.88671875" style="21" customWidth="1"/>
    <col min="10490" max="10490" width="14.44140625" style="21" customWidth="1"/>
    <col min="10491" max="10491" width="7.441406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5546875" style="21" customWidth="1"/>
    <col min="10745" max="10745" width="9.88671875" style="21" customWidth="1"/>
    <col min="10746" max="10746" width="14.44140625" style="21" customWidth="1"/>
    <col min="10747" max="10747" width="7.441406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5546875" style="21" customWidth="1"/>
    <col min="11001" max="11001" width="9.88671875" style="21" customWidth="1"/>
    <col min="11002" max="11002" width="14.44140625" style="21" customWidth="1"/>
    <col min="11003" max="11003" width="7.441406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5546875" style="21" customWidth="1"/>
    <col min="11257" max="11257" width="9.88671875" style="21" customWidth="1"/>
    <col min="11258" max="11258" width="14.44140625" style="21" customWidth="1"/>
    <col min="11259" max="11259" width="7.441406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5546875" style="21" customWidth="1"/>
    <col min="11513" max="11513" width="9.88671875" style="21" customWidth="1"/>
    <col min="11514" max="11514" width="14.44140625" style="21" customWidth="1"/>
    <col min="11515" max="11515" width="7.441406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5546875" style="21" customWidth="1"/>
    <col min="11769" max="11769" width="9.88671875" style="21" customWidth="1"/>
    <col min="11770" max="11770" width="14.44140625" style="21" customWidth="1"/>
    <col min="11771" max="11771" width="7.441406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5546875" style="21" customWidth="1"/>
    <col min="12025" max="12025" width="9.88671875" style="21" customWidth="1"/>
    <col min="12026" max="12026" width="14.44140625" style="21" customWidth="1"/>
    <col min="12027" max="12027" width="7.441406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5546875" style="21" customWidth="1"/>
    <col min="12281" max="12281" width="9.88671875" style="21" customWidth="1"/>
    <col min="12282" max="12282" width="14.44140625" style="21" customWidth="1"/>
    <col min="12283" max="12283" width="7.441406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5546875" style="21" customWidth="1"/>
    <col min="12537" max="12537" width="9.88671875" style="21" customWidth="1"/>
    <col min="12538" max="12538" width="14.44140625" style="21" customWidth="1"/>
    <col min="12539" max="12539" width="7.441406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5546875" style="21" customWidth="1"/>
    <col min="12793" max="12793" width="9.88671875" style="21" customWidth="1"/>
    <col min="12794" max="12794" width="14.44140625" style="21" customWidth="1"/>
    <col min="12795" max="12795" width="7.441406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5546875" style="21" customWidth="1"/>
    <col min="13049" max="13049" width="9.88671875" style="21" customWidth="1"/>
    <col min="13050" max="13050" width="14.44140625" style="21" customWidth="1"/>
    <col min="13051" max="13051" width="7.441406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5546875" style="21" customWidth="1"/>
    <col min="13305" max="13305" width="9.88671875" style="21" customWidth="1"/>
    <col min="13306" max="13306" width="14.44140625" style="21" customWidth="1"/>
    <col min="13307" max="13307" width="7.441406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5546875" style="21" customWidth="1"/>
    <col min="13561" max="13561" width="9.88671875" style="21" customWidth="1"/>
    <col min="13562" max="13562" width="14.44140625" style="21" customWidth="1"/>
    <col min="13563" max="13563" width="7.441406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5546875" style="21" customWidth="1"/>
    <col min="13817" max="13817" width="9.88671875" style="21" customWidth="1"/>
    <col min="13818" max="13818" width="14.44140625" style="21" customWidth="1"/>
    <col min="13819" max="13819" width="7.441406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5546875" style="21" customWidth="1"/>
    <col min="14073" max="14073" width="9.88671875" style="21" customWidth="1"/>
    <col min="14074" max="14074" width="14.44140625" style="21" customWidth="1"/>
    <col min="14075" max="14075" width="7.441406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5546875" style="21" customWidth="1"/>
    <col min="14329" max="14329" width="9.88671875" style="21" customWidth="1"/>
    <col min="14330" max="14330" width="14.44140625" style="21" customWidth="1"/>
    <col min="14331" max="14331" width="7.441406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5546875" style="21" customWidth="1"/>
    <col min="14585" max="14585" width="9.88671875" style="21" customWidth="1"/>
    <col min="14586" max="14586" width="14.44140625" style="21" customWidth="1"/>
    <col min="14587" max="14587" width="7.441406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5546875" style="21" customWidth="1"/>
    <col min="14841" max="14841" width="9.88671875" style="21" customWidth="1"/>
    <col min="14842" max="14842" width="14.44140625" style="21" customWidth="1"/>
    <col min="14843" max="14843" width="7.441406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5546875" style="21" customWidth="1"/>
    <col min="15097" max="15097" width="9.88671875" style="21" customWidth="1"/>
    <col min="15098" max="15098" width="14.44140625" style="21" customWidth="1"/>
    <col min="15099" max="15099" width="7.441406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5546875" style="21" customWidth="1"/>
    <col min="15353" max="15353" width="9.88671875" style="21" customWidth="1"/>
    <col min="15354" max="15354" width="14.44140625" style="21" customWidth="1"/>
    <col min="15355" max="15355" width="7.441406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5546875" style="21" customWidth="1"/>
    <col min="15609" max="15609" width="9.88671875" style="21" customWidth="1"/>
    <col min="15610" max="15610" width="14.44140625" style="21" customWidth="1"/>
    <col min="15611" max="15611" width="7.441406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5546875" style="21" customWidth="1"/>
    <col min="15865" max="15865" width="9.88671875" style="21" customWidth="1"/>
    <col min="15866" max="15866" width="14.44140625" style="21" customWidth="1"/>
    <col min="15867" max="15867" width="7.441406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5546875" style="21" customWidth="1"/>
    <col min="16121" max="16121" width="9.88671875" style="21" customWidth="1"/>
    <col min="16122" max="16122" width="14.44140625" style="21" customWidth="1"/>
    <col min="16123" max="16123" width="7.441406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56" t="s">
        <v>221</v>
      </c>
      <c r="B1" s="156"/>
      <c r="C1" s="156"/>
      <c r="D1" s="156"/>
      <c r="E1" s="156"/>
      <c r="F1" s="156"/>
      <c r="G1" s="156"/>
      <c r="H1" s="156"/>
    </row>
    <row r="2" spans="1:8" ht="16.5" customHeight="1" x14ac:dyDescent="0.3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3">
      <c r="A3" s="118" t="s">
        <v>1</v>
      </c>
      <c r="B3" s="118"/>
      <c r="C3" s="118"/>
      <c r="D3" s="118"/>
      <c r="E3" s="157" t="str">
        <f ca="1">TEXT(TODAY(),"DD/MM/YYYY")</f>
        <v>11/07/2025</v>
      </c>
      <c r="F3" s="118"/>
      <c r="G3" s="118"/>
      <c r="H3" s="118"/>
    </row>
    <row r="4" spans="1:8" ht="15" customHeight="1" x14ac:dyDescent="0.3">
      <c r="A4" s="118" t="s">
        <v>2</v>
      </c>
      <c r="B4" s="118"/>
      <c r="C4" s="118"/>
      <c r="D4" s="118"/>
      <c r="E4" s="118" t="s">
        <v>178</v>
      </c>
      <c r="F4" s="118"/>
      <c r="G4" s="118"/>
      <c r="H4" s="118"/>
    </row>
    <row r="5" spans="1:8" x14ac:dyDescent="0.3">
      <c r="A5" s="118" t="s">
        <v>3</v>
      </c>
      <c r="B5" s="118"/>
      <c r="C5" s="118"/>
      <c r="D5" s="118"/>
      <c r="E5" s="157">
        <v>45848</v>
      </c>
      <c r="F5" s="118"/>
      <c r="G5" s="118"/>
      <c r="H5" s="118"/>
    </row>
    <row r="6" spans="1:8" ht="16.5" customHeight="1" x14ac:dyDescent="0.3">
      <c r="A6" s="118" t="s">
        <v>4</v>
      </c>
      <c r="B6" s="118"/>
      <c r="C6" s="118"/>
      <c r="D6" s="118"/>
      <c r="E6" s="118" t="s">
        <v>179</v>
      </c>
      <c r="F6" s="118"/>
      <c r="G6" s="118"/>
      <c r="H6" s="118"/>
    </row>
    <row r="7" spans="1:8" ht="15" customHeight="1" x14ac:dyDescent="0.3">
      <c r="A7" s="118" t="s">
        <v>5</v>
      </c>
      <c r="B7" s="118"/>
      <c r="C7" s="118"/>
      <c r="D7" s="118"/>
      <c r="E7" s="118" t="str">
        <f>E6</f>
        <v>Neelkanth Infracon</v>
      </c>
      <c r="F7" s="118"/>
      <c r="G7" s="118"/>
      <c r="H7" s="118"/>
    </row>
    <row r="8" spans="1:8" x14ac:dyDescent="0.3">
      <c r="A8" s="118" t="s">
        <v>6</v>
      </c>
      <c r="B8" s="118"/>
      <c r="C8" s="118"/>
      <c r="D8" s="118"/>
      <c r="E8" s="145" t="s">
        <v>180</v>
      </c>
      <c r="F8" s="145"/>
      <c r="G8" s="145"/>
      <c r="H8" s="145"/>
    </row>
    <row r="9" spans="1:8" x14ac:dyDescent="0.3">
      <c r="A9" s="118" t="s">
        <v>128</v>
      </c>
      <c r="B9" s="118"/>
      <c r="C9" s="118"/>
      <c r="D9" s="118"/>
      <c r="E9" s="118" t="s">
        <v>208</v>
      </c>
      <c r="F9" s="118"/>
      <c r="G9" s="118"/>
      <c r="H9" s="118"/>
    </row>
    <row r="10" spans="1:8" x14ac:dyDescent="0.3">
      <c r="A10" s="117" t="s">
        <v>219</v>
      </c>
      <c r="B10" s="118"/>
      <c r="C10" s="118"/>
      <c r="D10" s="118"/>
      <c r="E10" s="118" t="s">
        <v>220</v>
      </c>
      <c r="F10" s="118"/>
      <c r="G10" s="118"/>
      <c r="H10" s="118"/>
    </row>
    <row r="11" spans="1:8" x14ac:dyDescent="0.3">
      <c r="A11" s="118" t="s">
        <v>7</v>
      </c>
      <c r="B11" s="118"/>
      <c r="C11" s="118"/>
      <c r="D11" s="118"/>
      <c r="E11" s="118" t="s">
        <v>194</v>
      </c>
      <c r="F11" s="118"/>
      <c r="G11" s="118"/>
      <c r="H11" s="118"/>
    </row>
    <row r="12" spans="1:8" ht="16.5" customHeight="1" x14ac:dyDescent="0.3">
      <c r="A12" s="84" t="s">
        <v>8</v>
      </c>
      <c r="B12" s="84"/>
      <c r="C12" s="84"/>
      <c r="D12" s="84"/>
      <c r="E12" s="158" t="s">
        <v>207</v>
      </c>
      <c r="F12" s="158"/>
      <c r="G12" s="158"/>
      <c r="H12" s="158"/>
    </row>
    <row r="13" spans="1:8" x14ac:dyDescent="0.3">
      <c r="A13" s="84" t="s">
        <v>9</v>
      </c>
      <c r="B13" s="84"/>
      <c r="C13" s="84"/>
      <c r="D13" s="84"/>
      <c r="E13" s="117" t="s">
        <v>181</v>
      </c>
      <c r="F13" s="118"/>
      <c r="G13" s="118"/>
      <c r="H13" s="118"/>
    </row>
    <row r="14" spans="1:8" ht="33" customHeight="1" x14ac:dyDescent="0.3">
      <c r="A14" s="116" t="s">
        <v>10</v>
      </c>
      <c r="B14" s="116"/>
      <c r="C14" s="11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Neelkanth Auris, Plot No.35, Sector No.17, near Bhoomi Landmark, Internal Road, Khanda Colony, Khandeshwar, New Panvel West, Panvel, Raigad - 410206.</v>
      </c>
      <c r="D14" s="116"/>
      <c r="E14" s="116"/>
      <c r="F14" s="116"/>
      <c r="G14" s="116"/>
      <c r="H14" s="116"/>
    </row>
    <row r="15" spans="1:8" x14ac:dyDescent="0.3">
      <c r="A15" s="117" t="s">
        <v>182</v>
      </c>
      <c r="B15" s="117"/>
      <c r="C15" s="117" t="s">
        <v>209</v>
      </c>
      <c r="D15" s="117"/>
      <c r="E15" s="117"/>
      <c r="F15" s="117"/>
      <c r="G15" s="117"/>
      <c r="H15" s="117"/>
    </row>
    <row r="16" spans="1:8" ht="15.75" customHeight="1" x14ac:dyDescent="0.3">
      <c r="A16" s="109" t="s">
        <v>175</v>
      </c>
      <c r="B16" s="111"/>
      <c r="C16" s="109" t="s">
        <v>183</v>
      </c>
      <c r="D16" s="110"/>
      <c r="E16" s="110"/>
      <c r="F16" s="110"/>
      <c r="G16" s="110"/>
      <c r="H16" s="111"/>
    </row>
    <row r="17" spans="1:8" ht="15.75" customHeight="1" x14ac:dyDescent="0.3">
      <c r="A17" s="116" t="s">
        <v>11</v>
      </c>
      <c r="B17" s="116"/>
      <c r="C17" s="118" t="s">
        <v>188</v>
      </c>
      <c r="D17" s="118"/>
      <c r="E17" s="116" t="s">
        <v>176</v>
      </c>
      <c r="F17" s="116"/>
      <c r="G17" s="117" t="s">
        <v>189</v>
      </c>
      <c r="H17" s="117"/>
    </row>
    <row r="18" spans="1:8" x14ac:dyDescent="0.3">
      <c r="A18" s="84" t="s">
        <v>13</v>
      </c>
      <c r="B18" s="84"/>
      <c r="C18" s="117" t="s">
        <v>192</v>
      </c>
      <c r="D18" s="117"/>
      <c r="E18" s="116" t="s">
        <v>12</v>
      </c>
      <c r="F18" s="116"/>
      <c r="G18" s="159" t="s">
        <v>191</v>
      </c>
      <c r="H18" s="159"/>
    </row>
    <row r="19" spans="1:8" x14ac:dyDescent="0.3">
      <c r="A19" s="84" t="s">
        <v>76</v>
      </c>
      <c r="B19" s="84"/>
      <c r="C19" s="117" t="s">
        <v>184</v>
      </c>
      <c r="D19" s="117"/>
      <c r="E19" s="116" t="s">
        <v>14</v>
      </c>
      <c r="F19" s="116"/>
      <c r="G19" s="117">
        <v>410206</v>
      </c>
      <c r="H19" s="117"/>
    </row>
    <row r="20" spans="1:8" ht="32.25" customHeight="1" x14ac:dyDescent="0.3">
      <c r="A20" s="84" t="s">
        <v>129</v>
      </c>
      <c r="B20" s="84"/>
      <c r="C20" s="117" t="s">
        <v>186</v>
      </c>
      <c r="D20" s="117"/>
      <c r="E20" s="116" t="s">
        <v>15</v>
      </c>
      <c r="F20" s="116"/>
      <c r="G20" s="117" t="s">
        <v>190</v>
      </c>
      <c r="H20" s="117"/>
    </row>
    <row r="21" spans="1:8" ht="15" customHeight="1" x14ac:dyDescent="0.3">
      <c r="A21" s="116" t="s">
        <v>79</v>
      </c>
      <c r="B21" s="116"/>
      <c r="C21" s="116"/>
      <c r="D21" s="116"/>
      <c r="E21" s="118" t="s">
        <v>16</v>
      </c>
      <c r="F21" s="118"/>
      <c r="G21" s="118"/>
      <c r="H21" s="118"/>
    </row>
    <row r="22" spans="1:8" ht="18.75" customHeight="1" x14ac:dyDescent="0.3">
      <c r="A22" s="116"/>
      <c r="B22" s="116"/>
      <c r="C22" s="116"/>
      <c r="D22" s="116"/>
      <c r="E22" s="118"/>
      <c r="F22" s="118"/>
      <c r="G22" s="118"/>
      <c r="H22" s="118"/>
    </row>
    <row r="23" spans="1:8" ht="15" customHeight="1" x14ac:dyDescent="0.3">
      <c r="A23" s="116" t="s">
        <v>17</v>
      </c>
      <c r="B23" s="116"/>
      <c r="C23" s="116"/>
      <c r="D23" s="116"/>
      <c r="E23" s="117" t="s">
        <v>18</v>
      </c>
      <c r="F23" s="117"/>
      <c r="G23" s="117"/>
      <c r="H23" s="117"/>
    </row>
    <row r="24" spans="1:8" ht="15" customHeight="1" x14ac:dyDescent="0.3">
      <c r="A24" s="84" t="s">
        <v>19</v>
      </c>
      <c r="B24" s="84"/>
      <c r="C24" s="84"/>
      <c r="D24" s="84"/>
      <c r="E24" s="117" t="str">
        <f>IF(AND(G18="Mumbai"),"Upper Class","Middle Class")</f>
        <v>Middle Class</v>
      </c>
      <c r="F24" s="117"/>
      <c r="G24" s="117"/>
      <c r="H24" s="117"/>
    </row>
    <row r="25" spans="1:8" x14ac:dyDescent="0.3">
      <c r="A25" s="84" t="s">
        <v>20</v>
      </c>
      <c r="B25" s="84"/>
      <c r="C25" s="84"/>
      <c r="D25" s="84"/>
      <c r="E25" s="117" t="s">
        <v>21</v>
      </c>
      <c r="F25" s="117"/>
      <c r="G25" s="117"/>
      <c r="H25" s="117"/>
    </row>
    <row r="26" spans="1:8" ht="15.75" customHeight="1" x14ac:dyDescent="0.3">
      <c r="A26" s="84" t="s">
        <v>22</v>
      </c>
      <c r="B26" s="84"/>
      <c r="C26" s="84"/>
      <c r="D26" s="84"/>
      <c r="E26" s="117" t="str">
        <f>IF(AND(G18="Mumbai"),"Developed","Developing")</f>
        <v>Developing</v>
      </c>
      <c r="F26" s="117"/>
      <c r="G26" s="117"/>
      <c r="H26" s="117"/>
    </row>
    <row r="27" spans="1:8" x14ac:dyDescent="0.3">
      <c r="A27" s="84" t="s">
        <v>23</v>
      </c>
      <c r="B27" s="84"/>
      <c r="C27" s="84"/>
      <c r="D27" s="84"/>
      <c r="E27" s="117" t="s">
        <v>24</v>
      </c>
      <c r="F27" s="117"/>
      <c r="G27" s="117"/>
      <c r="H27" s="117"/>
    </row>
    <row r="28" spans="1:8" ht="15.75" customHeight="1" x14ac:dyDescent="0.3">
      <c r="A28" s="84" t="s">
        <v>84</v>
      </c>
      <c r="B28" s="84"/>
      <c r="C28" s="84"/>
      <c r="D28" s="84"/>
      <c r="E28" s="117" t="s">
        <v>85</v>
      </c>
      <c r="F28" s="117"/>
      <c r="G28" s="117"/>
      <c r="H28" s="117"/>
    </row>
    <row r="29" spans="1:8" ht="15" customHeight="1" x14ac:dyDescent="0.3">
      <c r="A29" s="84" t="s">
        <v>35</v>
      </c>
      <c r="B29" s="84"/>
      <c r="C29" s="84"/>
      <c r="D29" s="84"/>
      <c r="E29" s="11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17"/>
      <c r="G29" s="117"/>
      <c r="H29" s="117"/>
    </row>
    <row r="30" spans="1:8" ht="15.75" customHeight="1" x14ac:dyDescent="0.3">
      <c r="A30" s="84" t="s">
        <v>96</v>
      </c>
      <c r="B30" s="84"/>
      <c r="C30" s="84"/>
      <c r="D30" s="84"/>
      <c r="E30" s="117" t="s">
        <v>36</v>
      </c>
      <c r="F30" s="117"/>
      <c r="G30" s="117"/>
      <c r="H30" s="117"/>
    </row>
    <row r="31" spans="1:8" s="22" customFormat="1" x14ac:dyDescent="0.3">
      <c r="A31" s="163" t="s">
        <v>97</v>
      </c>
      <c r="B31" s="163"/>
      <c r="C31" s="162" t="s">
        <v>29</v>
      </c>
      <c r="D31" s="162"/>
      <c r="E31" s="162"/>
      <c r="F31" s="162" t="s">
        <v>31</v>
      </c>
      <c r="G31" s="162"/>
      <c r="H31" s="162"/>
    </row>
    <row r="32" spans="1:8" s="22" customFormat="1" x14ac:dyDescent="0.3">
      <c r="A32" s="160" t="s">
        <v>25</v>
      </c>
      <c r="B32" s="160" t="s">
        <v>30</v>
      </c>
      <c r="C32" s="161" t="s">
        <v>30</v>
      </c>
      <c r="D32" s="161"/>
      <c r="E32" s="161"/>
      <c r="F32" s="161" t="s">
        <v>210</v>
      </c>
      <c r="G32" s="161"/>
      <c r="H32" s="161"/>
    </row>
    <row r="33" spans="1:9" x14ac:dyDescent="0.3">
      <c r="A33" s="160" t="s">
        <v>26</v>
      </c>
      <c r="B33" s="160" t="s">
        <v>30</v>
      </c>
      <c r="C33" s="161" t="s">
        <v>30</v>
      </c>
      <c r="D33" s="161"/>
      <c r="E33" s="161"/>
      <c r="F33" s="161" t="s">
        <v>187</v>
      </c>
      <c r="G33" s="161"/>
      <c r="H33" s="161"/>
    </row>
    <row r="34" spans="1:9" s="22" customFormat="1" x14ac:dyDescent="0.3">
      <c r="A34" s="160" t="s">
        <v>28</v>
      </c>
      <c r="B34" s="160" t="s">
        <v>30</v>
      </c>
      <c r="C34" s="161" t="s">
        <v>30</v>
      </c>
      <c r="D34" s="161"/>
      <c r="E34" s="161"/>
      <c r="F34" s="161" t="s">
        <v>186</v>
      </c>
      <c r="G34" s="161"/>
      <c r="H34" s="161"/>
    </row>
    <row r="35" spans="1:9" x14ac:dyDescent="0.3">
      <c r="A35" s="160" t="s">
        <v>27</v>
      </c>
      <c r="B35" s="160" t="s">
        <v>30</v>
      </c>
      <c r="C35" s="161" t="s">
        <v>30</v>
      </c>
      <c r="D35" s="161"/>
      <c r="E35" s="161"/>
      <c r="F35" s="161" t="s">
        <v>188</v>
      </c>
      <c r="G35" s="161"/>
      <c r="H35" s="161"/>
    </row>
    <row r="36" spans="1:9" x14ac:dyDescent="0.3">
      <c r="A36" s="84" t="s">
        <v>32</v>
      </c>
      <c r="B36" s="84"/>
      <c r="C36" s="84"/>
      <c r="D36" s="84"/>
      <c r="E36" s="84"/>
      <c r="F36" s="84"/>
      <c r="G36" s="84"/>
      <c r="H36" s="84"/>
    </row>
    <row r="37" spans="1:9" ht="15.75" customHeight="1" x14ac:dyDescent="0.3">
      <c r="A37" s="103" t="s">
        <v>33</v>
      </c>
      <c r="B37" s="103"/>
      <c r="C37" s="179">
        <v>19.005361000000001</v>
      </c>
      <c r="D37" s="179"/>
      <c r="E37" s="103" t="s">
        <v>34</v>
      </c>
      <c r="F37" s="103"/>
      <c r="G37" s="180">
        <v>73.106911999999994</v>
      </c>
      <c r="H37" s="180"/>
    </row>
    <row r="38" spans="1:9" x14ac:dyDescent="0.3">
      <c r="A38" s="103" t="s">
        <v>174</v>
      </c>
      <c r="B38" s="103"/>
      <c r="C38" s="192" t="s">
        <v>185</v>
      </c>
      <c r="D38" s="117"/>
      <c r="E38" s="117"/>
      <c r="F38" s="117"/>
      <c r="G38" s="117"/>
      <c r="H38" s="117"/>
    </row>
    <row r="39" spans="1:9" x14ac:dyDescent="0.3">
      <c r="A39" s="164" t="s">
        <v>37</v>
      </c>
      <c r="B39" s="164"/>
      <c r="C39" s="164"/>
      <c r="D39" s="164"/>
      <c r="E39" s="164"/>
      <c r="F39" s="164"/>
      <c r="G39" s="164"/>
      <c r="H39" s="164"/>
    </row>
    <row r="40" spans="1:9" x14ac:dyDescent="0.3">
      <c r="A40" s="84" t="s">
        <v>38</v>
      </c>
      <c r="B40" s="84"/>
      <c r="C40" s="84"/>
      <c r="D40" s="84"/>
      <c r="E40" s="196">
        <v>3668.89</v>
      </c>
      <c r="F40" s="196"/>
      <c r="G40" s="196"/>
      <c r="H40" s="196"/>
    </row>
    <row r="41" spans="1:9" x14ac:dyDescent="0.3">
      <c r="A41" s="84" t="s">
        <v>39</v>
      </c>
      <c r="B41" s="84"/>
      <c r="C41" s="84"/>
      <c r="D41" s="84"/>
      <c r="E41" s="83">
        <v>1.1000000000000001</v>
      </c>
      <c r="F41" s="83"/>
      <c r="G41" s="83"/>
      <c r="H41" s="83"/>
      <c r="I41" s="21">
        <f>4035.779/E40</f>
        <v>1.1000000000000001</v>
      </c>
    </row>
    <row r="42" spans="1:9" x14ac:dyDescent="0.3">
      <c r="A42" s="84" t="s">
        <v>40</v>
      </c>
      <c r="B42" s="84"/>
      <c r="C42" s="84"/>
      <c r="D42" s="84"/>
      <c r="E42" s="83">
        <f>E44/E40-E41</f>
        <v>2.2993668384715815</v>
      </c>
      <c r="F42" s="83"/>
      <c r="G42" s="83"/>
      <c r="H42" s="83"/>
    </row>
    <row r="43" spans="1:9" x14ac:dyDescent="0.3">
      <c r="A43" s="84" t="s">
        <v>41</v>
      </c>
      <c r="B43" s="84"/>
      <c r="C43" s="84"/>
      <c r="D43" s="84"/>
      <c r="E43" s="83">
        <f>E41+E42</f>
        <v>3.3993668384715816</v>
      </c>
      <c r="F43" s="83"/>
      <c r="G43" s="83"/>
      <c r="H43" s="83"/>
    </row>
    <row r="44" spans="1:9" x14ac:dyDescent="0.3">
      <c r="A44" s="84" t="s">
        <v>95</v>
      </c>
      <c r="B44" s="84"/>
      <c r="C44" s="84"/>
      <c r="D44" s="84"/>
      <c r="E44" s="178">
        <v>12471.903</v>
      </c>
      <c r="F44" s="178"/>
      <c r="G44" s="178"/>
      <c r="H44" s="178"/>
    </row>
    <row r="45" spans="1:9" x14ac:dyDescent="0.3">
      <c r="A45" s="118" t="s">
        <v>42</v>
      </c>
      <c r="B45" s="118"/>
      <c r="C45" s="118"/>
      <c r="D45" s="118"/>
      <c r="E45" s="118" t="s">
        <v>193</v>
      </c>
      <c r="F45" s="118"/>
      <c r="G45" s="118"/>
      <c r="H45" s="118"/>
    </row>
    <row r="46" spans="1:9" x14ac:dyDescent="0.3">
      <c r="A46" s="164" t="s">
        <v>43</v>
      </c>
      <c r="B46" s="164"/>
      <c r="C46" s="164"/>
      <c r="D46" s="164"/>
      <c r="E46" s="164"/>
      <c r="F46" s="164"/>
      <c r="G46" s="164"/>
      <c r="H46" s="164"/>
    </row>
    <row r="47" spans="1:9" ht="33.75" customHeight="1" x14ac:dyDescent="0.3">
      <c r="A47" s="100" t="s">
        <v>162</v>
      </c>
      <c r="B47" s="101"/>
      <c r="C47" s="197" t="s">
        <v>211</v>
      </c>
      <c r="D47" s="198"/>
      <c r="E47" s="198"/>
      <c r="F47" s="198"/>
      <c r="G47" s="198"/>
      <c r="H47" s="199"/>
    </row>
    <row r="48" spans="1:9" ht="15.75" customHeight="1" x14ac:dyDescent="0.3">
      <c r="A48" s="100" t="s">
        <v>44</v>
      </c>
      <c r="B48" s="101"/>
      <c r="C48" s="100" t="s">
        <v>222</v>
      </c>
      <c r="D48" s="102"/>
      <c r="E48" s="101"/>
      <c r="F48" s="18" t="s">
        <v>45</v>
      </c>
      <c r="G48" s="105">
        <v>45492</v>
      </c>
      <c r="H48" s="101"/>
    </row>
    <row r="49" spans="1:14" x14ac:dyDescent="0.3">
      <c r="A49" s="100" t="s">
        <v>46</v>
      </c>
      <c r="B49" s="101"/>
      <c r="C49" s="100" t="str">
        <f>C48</f>
        <v>PMP/NRV/16355/J.K-1860/2024</v>
      </c>
      <c r="D49" s="102"/>
      <c r="E49" s="101"/>
      <c r="F49" s="18" t="s">
        <v>45</v>
      </c>
      <c r="G49" s="105">
        <f>G48</f>
        <v>45492</v>
      </c>
      <c r="H49" s="106"/>
    </row>
    <row r="50" spans="1:14" s="23" customFormat="1" ht="33.75" customHeight="1" x14ac:dyDescent="0.3">
      <c r="A50" s="128" t="s">
        <v>166</v>
      </c>
      <c r="B50" s="129"/>
      <c r="C50" s="100" t="s">
        <v>223</v>
      </c>
      <c r="D50" s="102"/>
      <c r="E50" s="101"/>
      <c r="F50" s="18" t="s">
        <v>45</v>
      </c>
      <c r="G50" s="105">
        <f>G49</f>
        <v>45492</v>
      </c>
      <c r="H50" s="106"/>
    </row>
    <row r="51" spans="1:14" s="23" customFormat="1" ht="61.5" customHeight="1" x14ac:dyDescent="0.3">
      <c r="A51" s="130"/>
      <c r="B51" s="131"/>
      <c r="C51" s="100" t="s">
        <v>231</v>
      </c>
      <c r="D51" s="102"/>
      <c r="E51" s="102"/>
      <c r="F51" s="102"/>
      <c r="G51" s="102"/>
      <c r="H51" s="101"/>
    </row>
    <row r="52" spans="1:14" x14ac:dyDescent="0.3">
      <c r="A52" s="121" t="s">
        <v>177</v>
      </c>
      <c r="B52" s="122"/>
      <c r="C52" s="112" t="s">
        <v>30</v>
      </c>
      <c r="D52" s="113"/>
      <c r="E52" s="114"/>
      <c r="F52" s="53" t="s">
        <v>45</v>
      </c>
      <c r="G52" s="119" t="s">
        <v>30</v>
      </c>
      <c r="H52" s="120"/>
    </row>
    <row r="53" spans="1:14" hidden="1" x14ac:dyDescent="0.3">
      <c r="A53" s="123"/>
      <c r="B53" s="124"/>
      <c r="C53" s="112" t="s">
        <v>30</v>
      </c>
      <c r="D53" s="113"/>
      <c r="E53" s="113"/>
      <c r="F53" s="113"/>
      <c r="G53" s="113"/>
      <c r="H53" s="114"/>
    </row>
    <row r="54" spans="1:14" x14ac:dyDescent="0.3">
      <c r="A54" s="115" t="s">
        <v>48</v>
      </c>
      <c r="B54" s="115"/>
      <c r="C54" s="115"/>
      <c r="D54" s="115"/>
      <c r="E54" s="115"/>
      <c r="F54" s="115"/>
      <c r="G54" s="115"/>
      <c r="H54" s="115"/>
    </row>
    <row r="55" spans="1:14" x14ac:dyDescent="0.3">
      <c r="A55" s="116" t="s">
        <v>94</v>
      </c>
      <c r="B55" s="116"/>
      <c r="C55" s="116"/>
      <c r="D55" s="84">
        <f>E44</f>
        <v>12471.903</v>
      </c>
      <c r="E55" s="84"/>
      <c r="F55" s="84"/>
      <c r="G55" s="84"/>
      <c r="H55" s="84"/>
    </row>
    <row r="56" spans="1:14" x14ac:dyDescent="0.3">
      <c r="A56" s="117" t="s">
        <v>49</v>
      </c>
      <c r="B56" s="118"/>
      <c r="C56" s="118"/>
      <c r="D56" s="118" t="s">
        <v>230</v>
      </c>
      <c r="E56" s="118"/>
      <c r="F56" s="118"/>
      <c r="G56" s="118"/>
      <c r="H56" s="118"/>
      <c r="I56" s="24"/>
    </row>
    <row r="57" spans="1:14" x14ac:dyDescent="0.3">
      <c r="A57" s="107" t="s">
        <v>50</v>
      </c>
      <c r="B57" s="108"/>
      <c r="C57" s="127"/>
      <c r="D57" s="125" t="s">
        <v>195</v>
      </c>
      <c r="E57" s="126"/>
      <c r="F57" s="126"/>
      <c r="G57" s="126"/>
      <c r="H57" s="126"/>
    </row>
    <row r="58" spans="1:14" x14ac:dyDescent="0.3">
      <c r="A58" s="107" t="s">
        <v>92</v>
      </c>
      <c r="B58" s="108"/>
      <c r="C58" s="108"/>
      <c r="D58" s="109" t="s">
        <v>195</v>
      </c>
      <c r="E58" s="110"/>
      <c r="F58" s="110"/>
      <c r="G58" s="110"/>
      <c r="H58" s="111"/>
    </row>
    <row r="59" spans="1:14" ht="15.75" customHeight="1" x14ac:dyDescent="0.3">
      <c r="A59" s="84" t="s">
        <v>47</v>
      </c>
      <c r="B59" s="84"/>
      <c r="C59" s="84"/>
      <c r="D59" s="165" t="s">
        <v>218</v>
      </c>
      <c r="E59" s="165"/>
      <c r="F59" s="165"/>
      <c r="G59" s="165"/>
      <c r="H59" s="165"/>
      <c r="J59" s="25"/>
      <c r="K59" s="24"/>
      <c r="N59" s="24"/>
    </row>
    <row r="60" spans="1:14" ht="15.75" customHeight="1" x14ac:dyDescent="0.3">
      <c r="A60" s="84" t="s">
        <v>90</v>
      </c>
      <c r="B60" s="84"/>
      <c r="C60" s="84"/>
      <c r="D60" s="177" t="str">
        <f>(IF(G52="NA","60 Years After Completion",IF(G52&lt;&gt;"NA",""&amp;60-ROUNDDOWN((E3-G52)/360,0)&amp;" Years"," ")))</f>
        <v>60 Years After Completion</v>
      </c>
      <c r="E60" s="177"/>
      <c r="F60" s="177"/>
      <c r="G60" s="177"/>
      <c r="H60" s="177"/>
      <c r="N60" s="24"/>
    </row>
    <row r="61" spans="1:14" ht="15.75" customHeight="1" x14ac:dyDescent="0.3">
      <c r="A61" s="84" t="s">
        <v>91</v>
      </c>
      <c r="B61" s="84"/>
      <c r="C61" s="84"/>
      <c r="D61" s="116" t="s">
        <v>24</v>
      </c>
      <c r="E61" s="116"/>
      <c r="F61" s="116"/>
      <c r="G61" s="116"/>
      <c r="H61" s="116"/>
      <c r="J61" s="26"/>
      <c r="K61" s="26"/>
    </row>
    <row r="62" spans="1:14" ht="15" hidden="1" customHeight="1" x14ac:dyDescent="0.3">
      <c r="A62" s="84" t="s">
        <v>77</v>
      </c>
      <c r="B62" s="84"/>
      <c r="C62" s="84"/>
      <c r="D62" s="117" t="s">
        <v>157</v>
      </c>
      <c r="E62" s="116"/>
      <c r="F62" s="116"/>
      <c r="G62" s="116"/>
      <c r="H62" s="116"/>
    </row>
    <row r="63" spans="1:14" x14ac:dyDescent="0.3">
      <c r="A63" s="116" t="s">
        <v>158</v>
      </c>
      <c r="B63" s="116"/>
      <c r="C63" s="116"/>
      <c r="D63" s="116" t="s">
        <v>30</v>
      </c>
      <c r="E63" s="116"/>
      <c r="F63" s="116"/>
      <c r="G63" s="116"/>
      <c r="H63" s="116"/>
      <c r="I63" s="27"/>
      <c r="J63" s="27"/>
      <c r="K63" s="27"/>
      <c r="L63" s="27"/>
      <c r="M63" s="27"/>
      <c r="N63" s="27"/>
    </row>
    <row r="64" spans="1:14" ht="15.75" customHeight="1" x14ac:dyDescent="0.3">
      <c r="A64" s="154" t="s">
        <v>89</v>
      </c>
      <c r="B64" s="154"/>
      <c r="C64" s="154"/>
      <c r="D64" s="125" t="str">
        <f ca="1">(IF(G70&gt;95%,"Nothing",IF(G70&gt;0%,"Cement, Aggregate, Steel, etc",IF(G70=0%,"Work not yet Started"))))</f>
        <v>Cement, Aggregate, Steel, etc</v>
      </c>
      <c r="E64" s="125"/>
      <c r="F64" s="125"/>
      <c r="G64" s="125"/>
      <c r="H64" s="125"/>
      <c r="J64" s="26"/>
    </row>
    <row r="65" spans="1:10" ht="33.75" customHeight="1" thickBot="1" x14ac:dyDescent="0.35">
      <c r="A65" s="153" t="s">
        <v>121</v>
      </c>
      <c r="B65" s="153"/>
      <c r="C65" s="153"/>
      <c r="D65" s="125" t="str">
        <f ca="1">(IF(D64="Nothing","Yes",IF(D64="Cement, Aggregate, Steel, etc","Under Construction",IF(D64="Work not yet Started","Work not yet Started"))))</f>
        <v>Under Construction</v>
      </c>
      <c r="E65" s="125"/>
      <c r="F65" s="125" t="str">
        <f ca="1">(IF(D64="Nothing","Yes",IF(D64="Cement, Aggregate, Steel, etc","Under Construction",IF(D64="Work not yet Started","Work not yet Started"))))</f>
        <v>Under Construction</v>
      </c>
      <c r="G65" s="125"/>
      <c r="H65" s="125"/>
    </row>
    <row r="66" spans="1:10" ht="15.75" customHeight="1" x14ac:dyDescent="0.3">
      <c r="A66" s="146" t="s">
        <v>147</v>
      </c>
      <c r="B66" s="147"/>
      <c r="C66" s="148" t="str">
        <f>D58</f>
        <v>A &amp; B Wing = G + 1st + Mezzanine Level + 2nd Floor to 14th Floor</v>
      </c>
      <c r="D66" s="149"/>
      <c r="E66" s="149"/>
      <c r="F66" s="149"/>
      <c r="G66" s="149"/>
      <c r="H66" s="150"/>
      <c r="I66" s="49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13 Floor, Finishing upto 5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13 Floor, Finishing upto 5 Floor</v>
      </c>
    </row>
    <row r="67" spans="1:10" x14ac:dyDescent="0.3">
      <c r="A67" s="16" t="s">
        <v>149</v>
      </c>
      <c r="B67" s="58">
        <v>0</v>
      </c>
      <c r="C67" s="47" t="s">
        <v>75</v>
      </c>
      <c r="D67" s="47">
        <v>1</v>
      </c>
      <c r="E67" s="47" t="s">
        <v>74</v>
      </c>
      <c r="F67" s="58">
        <v>0</v>
      </c>
      <c r="G67" s="48" t="s">
        <v>83</v>
      </c>
      <c r="H67" s="17">
        <f ca="1">--TRIM(RIGHT(SUBSTITUTE(LEFT(C66,_xlfn.AGGREGATE(16,6,FIND({0,1,2,3,4,5,6,7,8,9},C66,ROW(INDIRECT("1:"&amp;LEN(C66)))),1))," ",REPT(" ",LEN(C66))),LEN(C66)))</f>
        <v>14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75" customHeight="1" x14ac:dyDescent="0.3">
      <c r="A68" s="144" t="s">
        <v>93</v>
      </c>
      <c r="B68" s="145"/>
      <c r="C68" s="151" t="str">
        <f ca="1">(IF($C$53=C66,"All work Completed. OC Received.",I66))</f>
        <v>Excavation, Plinth, RCC Slab, Brickwork, Internal Plaster, External Plaster, Flooring Completed, Painting upto 13 Floor, Finishing upto 5 Floor Completed</v>
      </c>
      <c r="D68" s="151"/>
      <c r="E68" s="151"/>
      <c r="F68" s="151"/>
      <c r="G68" s="151"/>
      <c r="H68" s="152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ht="15.75" customHeight="1" x14ac:dyDescent="0.3">
      <c r="A69" s="95" t="s">
        <v>51</v>
      </c>
      <c r="B69" s="96"/>
      <c r="C69" s="44" t="s">
        <v>146</v>
      </c>
      <c r="D69" s="44" t="s">
        <v>86</v>
      </c>
      <c r="E69" s="96" t="s">
        <v>88</v>
      </c>
      <c r="F69" s="96"/>
      <c r="G69" s="96" t="s">
        <v>87</v>
      </c>
      <c r="H69" s="155"/>
      <c r="I69" s="14" t="s">
        <v>148</v>
      </c>
      <c r="J69" s="28">
        <f ca="1">H67*25%</f>
        <v>3.5</v>
      </c>
    </row>
    <row r="70" spans="1:10" x14ac:dyDescent="0.3">
      <c r="A70" s="95" t="s">
        <v>135</v>
      </c>
      <c r="B70" s="96"/>
      <c r="C70" s="44">
        <v>14</v>
      </c>
      <c r="D70" s="19">
        <f ca="1">((100/H67)*C70)/100</f>
        <v>1</v>
      </c>
      <c r="E70" s="166">
        <f ca="1">(((C71/H67*10)+(40/(D67+F67+H67)*C72)+(7.5/(H67)*C73)+(7.5/(H67)*C74)+(10/H67*C75)+(10/H67*C76)+(5/H67*C77)+(5/H67*C78)+(5/H67*C79))/100)</f>
        <v>0.91428571428571426</v>
      </c>
      <c r="F70" s="167"/>
      <c r="G70" s="166">
        <f ca="1">((((C70/H67)*20)+((C71/H67)*25)+(30/(H67+F67+D67)*C72)+(5/H67*C73)+(5/H67*C74)+(5/H67*C75)+(5/H67*C76)+(0/H67*C77)+(0/H67*C78)+(5/H67*C79))/100)</f>
        <v>0.95</v>
      </c>
      <c r="H70" s="172"/>
      <c r="I70" s="14" t="s">
        <v>104</v>
      </c>
      <c r="J70" s="29">
        <f ca="1">H67*50%</f>
        <v>7</v>
      </c>
    </row>
    <row r="71" spans="1:10" x14ac:dyDescent="0.3">
      <c r="A71" s="95" t="s">
        <v>52</v>
      </c>
      <c r="B71" s="96"/>
      <c r="C71" s="57">
        <v>14</v>
      </c>
      <c r="D71" s="19">
        <f ca="1">((100/H67)*C71)/100</f>
        <v>1</v>
      </c>
      <c r="E71" s="168"/>
      <c r="F71" s="169"/>
      <c r="G71" s="168"/>
      <c r="H71" s="173"/>
      <c r="I71" s="14" t="s">
        <v>105</v>
      </c>
      <c r="J71" s="29">
        <f ca="1">H67</f>
        <v>14</v>
      </c>
    </row>
    <row r="72" spans="1:10" ht="15.75" customHeight="1" x14ac:dyDescent="0.3">
      <c r="A72" s="95" t="s">
        <v>136</v>
      </c>
      <c r="B72" s="96"/>
      <c r="C72" s="44">
        <v>15</v>
      </c>
      <c r="D72" s="19">
        <f ca="1">((100/(D67+F67+H67))*C72)/100</f>
        <v>1</v>
      </c>
      <c r="E72" s="168"/>
      <c r="F72" s="169"/>
      <c r="G72" s="168"/>
      <c r="H72" s="173"/>
      <c r="I72" s="14" t="s">
        <v>106</v>
      </c>
      <c r="J72" s="30">
        <f ca="1">(IF(B67&gt;1,(H67/(B67+2)),H67/4))</f>
        <v>3.5</v>
      </c>
    </row>
    <row r="73" spans="1:10" ht="15.75" customHeight="1" x14ac:dyDescent="0.3">
      <c r="A73" s="95" t="s">
        <v>143</v>
      </c>
      <c r="B73" s="96" t="s">
        <v>137</v>
      </c>
      <c r="C73" s="44">
        <v>14</v>
      </c>
      <c r="D73" s="19">
        <f ca="1">((100/H67)*C73)/100</f>
        <v>1</v>
      </c>
      <c r="E73" s="168"/>
      <c r="F73" s="169"/>
      <c r="G73" s="168"/>
      <c r="H73" s="173"/>
      <c r="I73" s="14" t="s">
        <v>107</v>
      </c>
      <c r="J73" s="30">
        <f ca="1">(IF(B67&gt;1,(H67/(B67+2)+J72),H67/4+J72))</f>
        <v>7</v>
      </c>
    </row>
    <row r="74" spans="1:10" ht="15.75" customHeight="1" x14ac:dyDescent="0.3">
      <c r="A74" s="95" t="s">
        <v>144</v>
      </c>
      <c r="B74" s="96" t="s">
        <v>137</v>
      </c>
      <c r="C74" s="44">
        <v>14</v>
      </c>
      <c r="D74" s="19">
        <f ca="1">((100/H67)*C74)/100</f>
        <v>1</v>
      </c>
      <c r="E74" s="168"/>
      <c r="F74" s="169"/>
      <c r="G74" s="168"/>
      <c r="H74" s="173"/>
      <c r="I74" s="14" t="s">
        <v>155</v>
      </c>
      <c r="J74" s="30">
        <f>(IF(B67&gt;1,(H67/(B67+2)+J73),0))</f>
        <v>0</v>
      </c>
    </row>
    <row r="75" spans="1:10" ht="15" customHeight="1" x14ac:dyDescent="0.3">
      <c r="A75" s="95" t="s">
        <v>142</v>
      </c>
      <c r="B75" s="96" t="s">
        <v>139</v>
      </c>
      <c r="C75" s="44">
        <v>14</v>
      </c>
      <c r="D75" s="19">
        <f ca="1">((100/(H67))*C75)/100</f>
        <v>1</v>
      </c>
      <c r="E75" s="168"/>
      <c r="F75" s="169"/>
      <c r="G75" s="168"/>
      <c r="H75" s="173"/>
      <c r="I75" s="14" t="s">
        <v>150</v>
      </c>
      <c r="J75" s="30">
        <f>(IF(B67&gt;2,(H67/(B67+2)+J74),0))</f>
        <v>0</v>
      </c>
    </row>
    <row r="76" spans="1:10" ht="15.75" customHeight="1" x14ac:dyDescent="0.3">
      <c r="A76" s="95" t="s">
        <v>138</v>
      </c>
      <c r="B76" s="96" t="s">
        <v>138</v>
      </c>
      <c r="C76" s="44">
        <v>14</v>
      </c>
      <c r="D76" s="19">
        <f ca="1">((100/H67)*C76)/100</f>
        <v>1</v>
      </c>
      <c r="E76" s="168"/>
      <c r="F76" s="169"/>
      <c r="G76" s="168"/>
      <c r="H76" s="173"/>
      <c r="I76" s="14" t="s">
        <v>151</v>
      </c>
      <c r="J76" s="31">
        <f>(IF(B67&gt;3,(H67/(B67+2)+J75),0))</f>
        <v>0</v>
      </c>
    </row>
    <row r="77" spans="1:10" ht="15.75" customHeight="1" x14ac:dyDescent="0.3">
      <c r="A77" s="95" t="s">
        <v>145</v>
      </c>
      <c r="B77" s="96"/>
      <c r="C77" s="44">
        <v>13</v>
      </c>
      <c r="D77" s="19">
        <f ca="1">((100/H67)*C77)/100</f>
        <v>0.9285714285714286</v>
      </c>
      <c r="E77" s="168"/>
      <c r="F77" s="169"/>
      <c r="G77" s="168"/>
      <c r="H77" s="173"/>
      <c r="I77" s="14" t="s">
        <v>152</v>
      </c>
      <c r="J77" s="30">
        <f>(IF(B67&gt;4,(H67/(B67+2)+J76),0))</f>
        <v>0</v>
      </c>
    </row>
    <row r="78" spans="1:10" ht="15.75" customHeight="1" x14ac:dyDescent="0.3">
      <c r="A78" s="95" t="s">
        <v>140</v>
      </c>
      <c r="B78" s="96" t="s">
        <v>140</v>
      </c>
      <c r="C78" s="44">
        <v>5</v>
      </c>
      <c r="D78" s="19">
        <f ca="1">((100/(H67))*C78)/100</f>
        <v>0.35714285714285715</v>
      </c>
      <c r="E78" s="168"/>
      <c r="F78" s="169"/>
      <c r="G78" s="168"/>
      <c r="H78" s="173"/>
      <c r="I78" s="14" t="s">
        <v>156</v>
      </c>
      <c r="J78" s="30">
        <f ca="1">(IF(B67=1,(H67/(B67+3)+J73),IF(B67=0,(H67/4+J73),IF(B67&gt;1,0))))</f>
        <v>10.5</v>
      </c>
    </row>
    <row r="79" spans="1:10" ht="16.2" thickBot="1" x14ac:dyDescent="0.35">
      <c r="A79" s="175" t="s">
        <v>141</v>
      </c>
      <c r="B79" s="176"/>
      <c r="C79" s="45">
        <v>0</v>
      </c>
      <c r="D79" s="20">
        <f ca="1">((100/(H67))*C79)/100</f>
        <v>0</v>
      </c>
      <c r="E79" s="170"/>
      <c r="F79" s="171"/>
      <c r="G79" s="170"/>
      <c r="H79" s="174"/>
      <c r="I79" s="15" t="s">
        <v>108</v>
      </c>
      <c r="J79" s="32">
        <f ca="1">(IF(B67&gt;1.5,(H67/(B67+2)+J73+MAX(0,J74-J73)+MAX(0,J75-J74)+MAX(0,J76-J75)+MAX(0,J77-J76)+MAX(0,J78-J77)),IF(B67=1,(H67/(B67+3)+J78),IF(B67=0,H67/4+J78))))</f>
        <v>14</v>
      </c>
    </row>
    <row r="80" spans="1:10" x14ac:dyDescent="0.3">
      <c r="A80" s="193" t="s">
        <v>168</v>
      </c>
      <c r="B80" s="193"/>
      <c r="C80" s="193"/>
      <c r="D80" s="193"/>
      <c r="E80" s="193"/>
      <c r="F80" s="182" t="s">
        <v>172</v>
      </c>
      <c r="G80" s="182"/>
      <c r="H80" s="182"/>
    </row>
    <row r="81" spans="1:8" x14ac:dyDescent="0.3">
      <c r="A81" s="84" t="s">
        <v>170</v>
      </c>
      <c r="B81" s="84"/>
      <c r="C81" s="84"/>
      <c r="D81" s="84"/>
      <c r="E81" s="84"/>
      <c r="F81" s="97">
        <v>10000</v>
      </c>
      <c r="G81" s="97"/>
      <c r="H81" s="97"/>
    </row>
    <row r="82" spans="1:8" x14ac:dyDescent="0.3">
      <c r="A82" s="84" t="s">
        <v>217</v>
      </c>
      <c r="B82" s="84"/>
      <c r="C82" s="84"/>
      <c r="D82" s="84"/>
      <c r="E82" s="84"/>
      <c r="F82" s="181">
        <v>19000</v>
      </c>
      <c r="G82" s="181"/>
      <c r="H82" s="181"/>
    </row>
    <row r="83" spans="1:8" hidden="1" x14ac:dyDescent="0.3">
      <c r="A83" s="84" t="s">
        <v>171</v>
      </c>
      <c r="B83" s="84"/>
      <c r="C83" s="84"/>
      <c r="D83" s="84"/>
      <c r="E83" s="84"/>
      <c r="F83" s="181"/>
      <c r="G83" s="181"/>
      <c r="H83" s="181"/>
    </row>
    <row r="84" spans="1:8" s="33" customFormat="1" hidden="1" x14ac:dyDescent="0.25">
      <c r="A84" s="183" t="s">
        <v>169</v>
      </c>
      <c r="B84" s="183"/>
      <c r="C84" s="183"/>
      <c r="D84" s="183"/>
      <c r="E84" s="183"/>
      <c r="F84" s="181"/>
      <c r="G84" s="181"/>
      <c r="H84" s="181"/>
    </row>
    <row r="85" spans="1:8" x14ac:dyDescent="0.3">
      <c r="A85" s="84" t="s">
        <v>215</v>
      </c>
      <c r="B85" s="84"/>
      <c r="C85" s="84"/>
      <c r="D85" s="84"/>
      <c r="E85" s="84"/>
      <c r="F85" s="181">
        <v>18000</v>
      </c>
      <c r="G85" s="181"/>
      <c r="H85" s="181"/>
    </row>
    <row r="86" spans="1:8" s="33" customFormat="1" x14ac:dyDescent="0.25">
      <c r="A86" s="84" t="s">
        <v>98</v>
      </c>
      <c r="B86" s="84"/>
      <c r="C86" s="84"/>
      <c r="D86" s="84"/>
      <c r="E86" s="84"/>
      <c r="F86" s="181">
        <v>550000</v>
      </c>
      <c r="G86" s="181"/>
      <c r="H86" s="181"/>
    </row>
    <row r="87" spans="1:8" s="33" customFormat="1" hidden="1" x14ac:dyDescent="0.25">
      <c r="A87" s="84" t="s">
        <v>99</v>
      </c>
      <c r="B87" s="84"/>
      <c r="C87" s="84"/>
      <c r="D87" s="84"/>
      <c r="E87" s="84"/>
      <c r="F87" s="181"/>
      <c r="G87" s="181"/>
      <c r="H87" s="181"/>
    </row>
    <row r="88" spans="1:8" s="33" customFormat="1" hidden="1" x14ac:dyDescent="0.25">
      <c r="A88" s="84" t="s">
        <v>173</v>
      </c>
      <c r="B88" s="84"/>
      <c r="C88" s="84"/>
      <c r="D88" s="84"/>
      <c r="E88" s="84"/>
      <c r="F88" s="181"/>
      <c r="G88" s="181"/>
      <c r="H88" s="181"/>
    </row>
    <row r="89" spans="1:8" s="33" customFormat="1" hidden="1" x14ac:dyDescent="0.25">
      <c r="A89" s="84" t="s">
        <v>100</v>
      </c>
      <c r="B89" s="84"/>
      <c r="C89" s="84"/>
      <c r="D89" s="84"/>
      <c r="E89" s="84"/>
      <c r="F89" s="181"/>
      <c r="G89" s="181"/>
      <c r="H89" s="181"/>
    </row>
    <row r="90" spans="1:8" s="33" customFormat="1" hidden="1" x14ac:dyDescent="0.25">
      <c r="A90" s="84" t="s">
        <v>101</v>
      </c>
      <c r="B90" s="84"/>
      <c r="C90" s="84"/>
      <c r="D90" s="84"/>
      <c r="E90" s="84"/>
      <c r="F90" s="181"/>
      <c r="G90" s="181"/>
      <c r="H90" s="181"/>
    </row>
    <row r="91" spans="1:8" s="33" customFormat="1" hidden="1" x14ac:dyDescent="0.25">
      <c r="A91" s="84" t="s">
        <v>102</v>
      </c>
      <c r="B91" s="84"/>
      <c r="C91" s="84"/>
      <c r="D91" s="84"/>
      <c r="E91" s="84"/>
      <c r="F91" s="181"/>
      <c r="G91" s="181"/>
      <c r="H91" s="181"/>
    </row>
    <row r="92" spans="1:8" s="33" customFormat="1" hidden="1" x14ac:dyDescent="0.25">
      <c r="A92" s="84" t="s">
        <v>103</v>
      </c>
      <c r="B92" s="84"/>
      <c r="C92" s="84"/>
      <c r="D92" s="84"/>
      <c r="E92" s="84"/>
      <c r="F92" s="181"/>
      <c r="G92" s="181"/>
      <c r="H92" s="181"/>
    </row>
    <row r="93" spans="1:8" x14ac:dyDescent="0.3">
      <c r="A93" s="84" t="s">
        <v>53</v>
      </c>
      <c r="B93" s="84"/>
      <c r="C93" s="84"/>
      <c r="D93" s="84"/>
      <c r="E93" s="84"/>
      <c r="F93" s="181">
        <v>400000</v>
      </c>
      <c r="G93" s="181"/>
      <c r="H93" s="181"/>
    </row>
    <row r="94" spans="1:8" s="34" customFormat="1" x14ac:dyDescent="0.3">
      <c r="A94" s="164" t="s">
        <v>54</v>
      </c>
      <c r="B94" s="164"/>
      <c r="C94" s="164"/>
      <c r="D94" s="164"/>
      <c r="E94" s="164"/>
      <c r="F94" s="181">
        <f>F81*0.8</f>
        <v>8000</v>
      </c>
      <c r="G94" s="181"/>
      <c r="H94" s="181"/>
    </row>
    <row r="95" spans="1:8" s="35" customFormat="1" ht="15.75" customHeight="1" x14ac:dyDescent="0.3">
      <c r="A95" s="104" t="s">
        <v>78</v>
      </c>
      <c r="B95" s="104"/>
      <c r="C95" s="104"/>
      <c r="D95" s="104"/>
      <c r="E95" s="104"/>
      <c r="F95" s="104"/>
      <c r="G95" s="104"/>
      <c r="H95" s="104"/>
    </row>
    <row r="96" spans="1:8" s="35" customFormat="1" ht="15.75" customHeight="1" x14ac:dyDescent="0.3">
      <c r="A96" s="86" t="s">
        <v>55</v>
      </c>
      <c r="B96" s="86"/>
      <c r="C96" s="186" t="s">
        <v>81</v>
      </c>
      <c r="D96" s="186"/>
      <c r="E96" s="140" t="s">
        <v>56</v>
      </c>
      <c r="F96" s="140"/>
      <c r="G96" s="86" t="s">
        <v>57</v>
      </c>
      <c r="H96" s="86"/>
    </row>
    <row r="97" spans="1:14" s="35" customFormat="1" x14ac:dyDescent="0.3">
      <c r="A97" s="191" t="s">
        <v>198</v>
      </c>
      <c r="B97" s="191"/>
      <c r="C97" s="194">
        <f>COUNT(D109:D130)</f>
        <v>22</v>
      </c>
      <c r="D97" s="195"/>
      <c r="E97" s="98">
        <f>SUM(D109:D130)</f>
        <v>15121.417895999997</v>
      </c>
      <c r="F97" s="99"/>
      <c r="G97" s="98">
        <f>SUM(F109:F130)</f>
        <v>24194.268633599993</v>
      </c>
      <c r="H97" s="99"/>
    </row>
    <row r="98" spans="1:14" s="35" customFormat="1" x14ac:dyDescent="0.3">
      <c r="A98" s="104" t="s">
        <v>73</v>
      </c>
      <c r="B98" s="104"/>
      <c r="C98" s="104"/>
      <c r="D98" s="104"/>
      <c r="E98" s="104"/>
      <c r="F98" s="104"/>
      <c r="G98" s="104"/>
      <c r="H98" s="104"/>
    </row>
    <row r="99" spans="1:14" s="35" customFormat="1" ht="15.75" customHeight="1" x14ac:dyDescent="0.3">
      <c r="A99" s="86" t="s">
        <v>55</v>
      </c>
      <c r="B99" s="86"/>
      <c r="C99" s="186" t="s">
        <v>81</v>
      </c>
      <c r="D99" s="186"/>
      <c r="E99" s="140" t="s">
        <v>56</v>
      </c>
      <c r="F99" s="140"/>
      <c r="G99" s="86" t="s">
        <v>57</v>
      </c>
      <c r="H99" s="86"/>
    </row>
    <row r="100" spans="1:14" s="35" customFormat="1" x14ac:dyDescent="0.3">
      <c r="A100" s="191" t="s">
        <v>199</v>
      </c>
      <c r="B100" s="191"/>
      <c r="C100" s="98">
        <f>COUNT(D139:D142)*5+COUNT(D144:D147)+COUNT(D149:D152)+COUNT(D154:D157)*3+COUNT(D159:D162)*2</f>
        <v>48</v>
      </c>
      <c r="D100" s="98"/>
      <c r="E100" s="98">
        <f>SUM(D139:D142)*5+SUM(D144:D147)+SUM(D149:D152)+SUM(D154:D157)*3+SUM(D159:D162)*2</f>
        <v>38715.1177608</v>
      </c>
      <c r="F100" s="98"/>
      <c r="G100" s="98">
        <f>SUM(F139:F142)*5+SUM(F144:F147)+SUM(F149:F152)+SUM(F154:F157)*3+SUM(F159:F162)*2</f>
        <v>58072.6766412</v>
      </c>
      <c r="H100" s="98"/>
      <c r="J100" s="59">
        <f>SUM(G97,G102)</f>
        <v>145743.60108905999</v>
      </c>
      <c r="K100" s="59">
        <f>SUM(E97,E102)</f>
        <v>96154.306199640007</v>
      </c>
    </row>
    <row r="101" spans="1:14" s="35" customFormat="1" x14ac:dyDescent="0.3">
      <c r="A101" s="191" t="s">
        <v>200</v>
      </c>
      <c r="B101" s="191"/>
      <c r="C101" s="98">
        <f>COUNT(D178:D183)*5+COUNT(D185:D190)+COUNT(D192:D196)+COUNT(D199:D203)*3+COUNT(D205:D209)*2</f>
        <v>66</v>
      </c>
      <c r="D101" s="98"/>
      <c r="E101" s="98">
        <f>SUM(D178:D183)*5+SUM(D185:D190)+SUM(D192:D196)+SUM(D199:D203)*3+SUM(D205:D209)*2</f>
        <v>42317.77054284</v>
      </c>
      <c r="F101" s="98"/>
      <c r="G101" s="98">
        <f>SUM(F178:F183)*5+SUM(F185:F190)+SUM(F192:F196)+SUM(F199:F203)*3+SUM(F205:F209)*2</f>
        <v>63476.655814259997</v>
      </c>
      <c r="H101" s="98"/>
    </row>
    <row r="102" spans="1:14" s="35" customFormat="1" x14ac:dyDescent="0.3">
      <c r="A102" s="104" t="s">
        <v>161</v>
      </c>
      <c r="B102" s="104"/>
      <c r="C102" s="186">
        <f>SUM(C100:C101)</f>
        <v>114</v>
      </c>
      <c r="D102" s="186"/>
      <c r="E102" s="187">
        <f>SUM(E100:E101)</f>
        <v>81032.888303640008</v>
      </c>
      <c r="F102" s="187"/>
      <c r="G102" s="187">
        <f>SUM(G100:G101)</f>
        <v>121549.33245546</v>
      </c>
      <c r="H102" s="187"/>
    </row>
    <row r="103" spans="1:14" s="34" customFormat="1" x14ac:dyDescent="0.3">
      <c r="A103" s="162" t="s">
        <v>58</v>
      </c>
      <c r="B103" s="162"/>
      <c r="C103" s="162"/>
      <c r="D103" s="162"/>
      <c r="E103" s="162"/>
      <c r="F103" s="162"/>
      <c r="G103" s="162"/>
      <c r="H103" s="162"/>
    </row>
    <row r="104" spans="1:14" x14ac:dyDescent="0.3">
      <c r="A104" s="103" t="s">
        <v>59</v>
      </c>
      <c r="B104" s="103"/>
      <c r="C104" s="103"/>
      <c r="D104" s="103"/>
      <c r="E104" s="103"/>
      <c r="F104" s="103"/>
      <c r="G104" s="103"/>
      <c r="H104" s="103"/>
    </row>
    <row r="105" spans="1:14" ht="47.25" customHeight="1" x14ac:dyDescent="0.3">
      <c r="A105" s="87" t="s">
        <v>125</v>
      </c>
      <c r="B105" s="87" t="s">
        <v>124</v>
      </c>
      <c r="C105" s="87" t="s">
        <v>60</v>
      </c>
      <c r="D105" s="87" t="s">
        <v>61</v>
      </c>
      <c r="E105" s="89" t="s">
        <v>167</v>
      </c>
      <c r="F105" s="43" t="s">
        <v>159</v>
      </c>
      <c r="G105" s="91" t="s">
        <v>63</v>
      </c>
      <c r="H105" s="92"/>
    </row>
    <row r="106" spans="1:14" s="37" customFormat="1" x14ac:dyDescent="0.3">
      <c r="A106" s="88"/>
      <c r="B106" s="88"/>
      <c r="C106" s="88"/>
      <c r="D106" s="88"/>
      <c r="E106" s="90"/>
      <c r="F106" s="13">
        <v>0.6</v>
      </c>
      <c r="G106" s="93"/>
      <c r="H106" s="94"/>
    </row>
    <row r="107" spans="1:14" s="37" customFormat="1" x14ac:dyDescent="0.3">
      <c r="A107" s="77" t="s">
        <v>198</v>
      </c>
      <c r="B107" s="78"/>
      <c r="C107" s="78"/>
      <c r="D107" s="78"/>
      <c r="E107" s="78"/>
      <c r="F107" s="78"/>
      <c r="G107" s="78"/>
      <c r="H107" s="79"/>
      <c r="J107" s="36"/>
    </row>
    <row r="108" spans="1:14" s="37" customFormat="1" x14ac:dyDescent="0.3">
      <c r="A108" s="77" t="s">
        <v>196</v>
      </c>
      <c r="B108" s="78"/>
      <c r="C108" s="78"/>
      <c r="D108" s="78"/>
      <c r="E108" s="78"/>
      <c r="F108" s="78"/>
      <c r="G108" s="78"/>
      <c r="H108" s="79"/>
      <c r="J108" s="36"/>
    </row>
    <row r="109" spans="1:14" s="37" customFormat="1" ht="50.25" customHeight="1" x14ac:dyDescent="0.3">
      <c r="A109" s="64">
        <v>1</v>
      </c>
      <c r="B109" s="65"/>
      <c r="C109" s="42" t="s">
        <v>216</v>
      </c>
      <c r="D109" s="56">
        <f>(116.262)*(10.764)</f>
        <v>1251.444168</v>
      </c>
      <c r="E109" s="42">
        <v>0</v>
      </c>
      <c r="F109" s="42">
        <f>(D109+E109)*(($F$106)+1)</f>
        <v>2002.3106688</v>
      </c>
      <c r="G109" s="66" t="str">
        <f>A108</f>
        <v>Ground Floor For Commercial &amp; Parking</v>
      </c>
      <c r="H109" s="67"/>
      <c r="I109" s="36">
        <f>13.091*4.715+11.691*4.715</f>
        <v>116.84712999999999</v>
      </c>
      <c r="L109" s="184"/>
      <c r="M109" s="184"/>
      <c r="N109" s="36"/>
    </row>
    <row r="110" spans="1:14" s="37" customFormat="1" ht="49.5" customHeight="1" x14ac:dyDescent="0.3">
      <c r="A110" s="64">
        <f t="shared" ref="A110:A130" si="0">A109+1</f>
        <v>2</v>
      </c>
      <c r="B110" s="65"/>
      <c r="C110" s="42" t="s">
        <v>216</v>
      </c>
      <c r="D110" s="56">
        <f>(144.191)*(10.764)</f>
        <v>1552.0719239999999</v>
      </c>
      <c r="E110" s="42">
        <v>0</v>
      </c>
      <c r="F110" s="42">
        <f t="shared" ref="F110:F112" si="1">(D110+E110)*(($F$106)+1)</f>
        <v>2483.3150783999999</v>
      </c>
      <c r="G110" s="68"/>
      <c r="H110" s="69"/>
      <c r="I110" s="36"/>
      <c r="L110" s="184"/>
      <c r="M110" s="184"/>
      <c r="N110" s="36"/>
    </row>
    <row r="111" spans="1:14" s="37" customFormat="1" ht="50.25" customHeight="1" x14ac:dyDescent="0.3">
      <c r="A111" s="64">
        <f t="shared" si="0"/>
        <v>3</v>
      </c>
      <c r="B111" s="65"/>
      <c r="C111" s="42" t="s">
        <v>216</v>
      </c>
      <c r="D111" s="56">
        <f>(110.611)*(10.764)</f>
        <v>1190.616804</v>
      </c>
      <c r="E111" s="42">
        <v>0</v>
      </c>
      <c r="F111" s="42">
        <f t="shared" si="1"/>
        <v>1904.9868864</v>
      </c>
      <c r="G111" s="68"/>
      <c r="H111" s="69"/>
      <c r="I111" s="36"/>
      <c r="L111" s="184"/>
      <c r="M111" s="184"/>
      <c r="N111" s="36"/>
    </row>
    <row r="112" spans="1:14" s="37" customFormat="1" ht="48.75" customHeight="1" x14ac:dyDescent="0.3">
      <c r="A112" s="64">
        <f t="shared" si="0"/>
        <v>4</v>
      </c>
      <c r="B112" s="65"/>
      <c r="C112" s="42" t="s">
        <v>216</v>
      </c>
      <c r="D112" s="56">
        <f>(104.957)*(10.764)</f>
        <v>1129.7571479999999</v>
      </c>
      <c r="E112" s="42">
        <v>0</v>
      </c>
      <c r="F112" s="42">
        <f t="shared" si="1"/>
        <v>1807.6114367999999</v>
      </c>
      <c r="G112" s="68"/>
      <c r="H112" s="69"/>
      <c r="I112" s="36"/>
      <c r="L112" s="184"/>
      <c r="M112" s="184"/>
      <c r="N112" s="36"/>
    </row>
    <row r="113" spans="1:14" s="37" customFormat="1" ht="51.75" customHeight="1" x14ac:dyDescent="0.3">
      <c r="A113" s="64">
        <f t="shared" si="0"/>
        <v>5</v>
      </c>
      <c r="B113" s="65"/>
      <c r="C113" s="42" t="s">
        <v>216</v>
      </c>
      <c r="D113" s="56">
        <f>105.764*(10.764)</f>
        <v>1138.4436959999998</v>
      </c>
      <c r="E113" s="42">
        <v>0</v>
      </c>
      <c r="F113" s="42">
        <f t="shared" ref="F113:F118" si="2">(D113+E113)*(($F$106)+1)</f>
        <v>1821.5099135999999</v>
      </c>
      <c r="G113" s="68"/>
      <c r="H113" s="69"/>
      <c r="I113" s="36"/>
      <c r="L113" s="184"/>
      <c r="M113" s="184"/>
      <c r="N113" s="36"/>
    </row>
    <row r="114" spans="1:14" s="37" customFormat="1" ht="51.75" customHeight="1" x14ac:dyDescent="0.3">
      <c r="A114" s="64">
        <f t="shared" si="0"/>
        <v>6</v>
      </c>
      <c r="B114" s="65"/>
      <c r="C114" s="42" t="s">
        <v>216</v>
      </c>
      <c r="D114" s="56">
        <f>(104.805)*(10.764)</f>
        <v>1128.12102</v>
      </c>
      <c r="E114" s="42">
        <v>0</v>
      </c>
      <c r="F114" s="42">
        <f t="shared" si="2"/>
        <v>1804.9936320000002</v>
      </c>
      <c r="G114" s="68"/>
      <c r="H114" s="69"/>
      <c r="I114" s="36"/>
      <c r="L114" s="184"/>
      <c r="M114" s="184"/>
      <c r="N114" s="36"/>
    </row>
    <row r="115" spans="1:14" s="37" customFormat="1" ht="46.5" customHeight="1" x14ac:dyDescent="0.3">
      <c r="A115" s="64">
        <f t="shared" si="0"/>
        <v>7</v>
      </c>
      <c r="B115" s="65"/>
      <c r="C115" s="42" t="s">
        <v>216</v>
      </c>
      <c r="D115" s="56">
        <f>(255.754)*(10.764)</f>
        <v>2752.9360559999996</v>
      </c>
      <c r="E115" s="42">
        <v>0</v>
      </c>
      <c r="F115" s="42">
        <f t="shared" si="2"/>
        <v>4404.6976895999996</v>
      </c>
      <c r="G115" s="68"/>
      <c r="H115" s="69"/>
      <c r="I115" s="36"/>
      <c r="L115" s="184"/>
      <c r="M115" s="184"/>
      <c r="N115" s="36"/>
    </row>
    <row r="116" spans="1:14" s="37" customFormat="1" ht="15.75" customHeight="1" x14ac:dyDescent="0.3">
      <c r="A116" s="64">
        <f t="shared" si="0"/>
        <v>8</v>
      </c>
      <c r="B116" s="65"/>
      <c r="C116" s="42" t="s">
        <v>197</v>
      </c>
      <c r="D116" s="56">
        <f>(42.109)*(10.764)</f>
        <v>453.26127600000001</v>
      </c>
      <c r="E116" s="42">
        <v>0</v>
      </c>
      <c r="F116" s="42">
        <f t="shared" si="2"/>
        <v>725.21804160000011</v>
      </c>
      <c r="G116" s="68"/>
      <c r="H116" s="69"/>
      <c r="I116" s="36"/>
      <c r="L116" s="184"/>
      <c r="M116" s="184"/>
      <c r="N116" s="36"/>
    </row>
    <row r="117" spans="1:14" s="37" customFormat="1" ht="15.75" customHeight="1" x14ac:dyDescent="0.3">
      <c r="A117" s="64">
        <f t="shared" si="0"/>
        <v>9</v>
      </c>
      <c r="B117" s="65"/>
      <c r="C117" s="42" t="s">
        <v>197</v>
      </c>
      <c r="D117" s="56">
        <f>(53.813)*(10.764)</f>
        <v>579.24313199999995</v>
      </c>
      <c r="E117" s="42">
        <v>0</v>
      </c>
      <c r="F117" s="42">
        <f t="shared" si="2"/>
        <v>926.7890112</v>
      </c>
      <c r="G117" s="68"/>
      <c r="H117" s="69"/>
      <c r="I117" s="36">
        <f>(5.78*9.31)*10.764</f>
        <v>579.23021519999998</v>
      </c>
      <c r="K117" s="36"/>
      <c r="L117" s="184"/>
      <c r="M117" s="184"/>
      <c r="N117" s="36"/>
    </row>
    <row r="118" spans="1:14" s="37" customFormat="1" ht="15.75" customHeight="1" x14ac:dyDescent="0.3">
      <c r="A118" s="64">
        <f t="shared" si="0"/>
        <v>10</v>
      </c>
      <c r="B118" s="65"/>
      <c r="C118" s="42" t="s">
        <v>197</v>
      </c>
      <c r="D118" s="56">
        <f>(29.792)*(10.764)</f>
        <v>320.68108799999999</v>
      </c>
      <c r="E118" s="42">
        <v>0</v>
      </c>
      <c r="F118" s="42">
        <f t="shared" si="2"/>
        <v>513.08974079999996</v>
      </c>
      <c r="G118" s="68"/>
      <c r="H118" s="69"/>
      <c r="I118" s="36"/>
      <c r="K118" s="36"/>
      <c r="L118" s="184"/>
      <c r="M118" s="184"/>
      <c r="N118" s="36"/>
    </row>
    <row r="119" spans="1:14" s="37" customFormat="1" ht="15.75" customHeight="1" x14ac:dyDescent="0.3">
      <c r="A119" s="64">
        <f t="shared" si="0"/>
        <v>11</v>
      </c>
      <c r="B119" s="65"/>
      <c r="C119" s="42" t="s">
        <v>197</v>
      </c>
      <c r="D119" s="56">
        <f>(28.722)*(10.764)</f>
        <v>309.16360800000001</v>
      </c>
      <c r="E119" s="42">
        <v>0</v>
      </c>
      <c r="F119" s="42">
        <f t="shared" ref="F119:F121" si="3">(D119+E119)*(($F$106)+1)</f>
        <v>494.66177280000005</v>
      </c>
      <c r="G119" s="68"/>
      <c r="H119" s="69"/>
      <c r="I119" s="36"/>
      <c r="K119" s="36"/>
      <c r="L119" s="184"/>
      <c r="M119" s="184"/>
      <c r="N119" s="36"/>
    </row>
    <row r="120" spans="1:14" s="37" customFormat="1" ht="15.75" customHeight="1" x14ac:dyDescent="0.3">
      <c r="A120" s="64">
        <f t="shared" si="0"/>
        <v>12</v>
      </c>
      <c r="B120" s="65"/>
      <c r="C120" s="42" t="s">
        <v>197</v>
      </c>
      <c r="D120" s="56">
        <f>(27.709)*(10.764)</f>
        <v>298.25967599999996</v>
      </c>
      <c r="E120" s="42">
        <v>0</v>
      </c>
      <c r="F120" s="42">
        <f t="shared" si="3"/>
        <v>477.21548159999998</v>
      </c>
      <c r="G120" s="68"/>
      <c r="H120" s="69"/>
      <c r="I120" s="36"/>
      <c r="K120" s="36"/>
      <c r="L120" s="184"/>
      <c r="M120" s="184"/>
      <c r="N120" s="36"/>
    </row>
    <row r="121" spans="1:14" s="37" customFormat="1" ht="15.75" customHeight="1" x14ac:dyDescent="0.3">
      <c r="A121" s="64">
        <f t="shared" si="0"/>
        <v>13</v>
      </c>
      <c r="B121" s="65"/>
      <c r="C121" s="42" t="s">
        <v>197</v>
      </c>
      <c r="D121" s="56">
        <f>(27.711)*(10.764)</f>
        <v>298.28120399999995</v>
      </c>
      <c r="E121" s="42">
        <v>0</v>
      </c>
      <c r="F121" s="42">
        <f t="shared" si="3"/>
        <v>477.24992639999994</v>
      </c>
      <c r="G121" s="68"/>
      <c r="H121" s="69"/>
      <c r="I121" s="36"/>
      <c r="K121" s="36"/>
      <c r="L121" s="184"/>
      <c r="M121" s="184"/>
      <c r="N121" s="36"/>
    </row>
    <row r="122" spans="1:14" s="37" customFormat="1" ht="15.75" customHeight="1" x14ac:dyDescent="0.3">
      <c r="A122" s="64">
        <f t="shared" si="0"/>
        <v>14</v>
      </c>
      <c r="B122" s="65"/>
      <c r="C122" s="42" t="s">
        <v>197</v>
      </c>
      <c r="D122" s="56">
        <f>(28.561)*(10.764)</f>
        <v>307.43060399999996</v>
      </c>
      <c r="E122" s="42">
        <v>0</v>
      </c>
      <c r="F122" s="42">
        <f t="shared" ref="F122:F128" si="4">(D122+E122)*(($F$106)+1)</f>
        <v>491.88896639999996</v>
      </c>
      <c r="G122" s="68"/>
      <c r="H122" s="69"/>
      <c r="I122" s="36"/>
      <c r="K122" s="36"/>
      <c r="L122" s="184"/>
      <c r="M122" s="184"/>
      <c r="N122" s="36"/>
    </row>
    <row r="123" spans="1:14" s="37" customFormat="1" ht="15.75" customHeight="1" x14ac:dyDescent="0.3">
      <c r="A123" s="64">
        <f t="shared" si="0"/>
        <v>15</v>
      </c>
      <c r="B123" s="65"/>
      <c r="C123" s="42" t="s">
        <v>197</v>
      </c>
      <c r="D123" s="56">
        <f>(28.559)*(10.764)</f>
        <v>307.40907599999997</v>
      </c>
      <c r="E123" s="42">
        <v>0</v>
      </c>
      <c r="F123" s="42">
        <f t="shared" si="4"/>
        <v>491.8545216</v>
      </c>
      <c r="G123" s="68"/>
      <c r="H123" s="69"/>
      <c r="I123" s="36"/>
      <c r="L123" s="184"/>
      <c r="M123" s="184"/>
      <c r="N123" s="36"/>
    </row>
    <row r="124" spans="1:14" s="37" customFormat="1" ht="15.75" customHeight="1" x14ac:dyDescent="0.3">
      <c r="A124" s="64">
        <f t="shared" si="0"/>
        <v>16</v>
      </c>
      <c r="B124" s="65"/>
      <c r="C124" s="42" t="s">
        <v>197</v>
      </c>
      <c r="D124" s="56">
        <f>(27.709)*(10.764)</f>
        <v>298.25967599999996</v>
      </c>
      <c r="E124" s="42">
        <v>0</v>
      </c>
      <c r="F124" s="42">
        <f t="shared" si="4"/>
        <v>477.21548159999998</v>
      </c>
      <c r="G124" s="68"/>
      <c r="H124" s="69"/>
      <c r="I124" s="36"/>
      <c r="K124" s="36"/>
      <c r="L124" s="184"/>
      <c r="M124" s="184"/>
      <c r="N124" s="36"/>
    </row>
    <row r="125" spans="1:14" s="37" customFormat="1" ht="15.75" customHeight="1" x14ac:dyDescent="0.3">
      <c r="A125" s="64">
        <f t="shared" si="0"/>
        <v>17</v>
      </c>
      <c r="B125" s="65"/>
      <c r="C125" s="42" t="s">
        <v>197</v>
      </c>
      <c r="D125" s="56">
        <f>(27.709)*(10.764)</f>
        <v>298.25967599999996</v>
      </c>
      <c r="E125" s="42">
        <v>0</v>
      </c>
      <c r="F125" s="42">
        <f t="shared" si="4"/>
        <v>477.21548159999998</v>
      </c>
      <c r="G125" s="68"/>
      <c r="H125" s="69"/>
      <c r="I125" s="36"/>
      <c r="J125" s="55">
        <f>10.764</f>
        <v>10.763999999999999</v>
      </c>
      <c r="K125" s="36"/>
      <c r="L125" s="184"/>
      <c r="M125" s="184"/>
      <c r="N125" s="36"/>
    </row>
    <row r="126" spans="1:14" s="37" customFormat="1" ht="15.75" customHeight="1" x14ac:dyDescent="0.3">
      <c r="A126" s="64">
        <f t="shared" si="0"/>
        <v>18</v>
      </c>
      <c r="B126" s="65"/>
      <c r="C126" s="42" t="s">
        <v>197</v>
      </c>
      <c r="D126" s="56">
        <f>(30.802)*(10.764)</f>
        <v>331.552728</v>
      </c>
      <c r="E126" s="42">
        <v>0</v>
      </c>
      <c r="F126" s="42">
        <f t="shared" si="4"/>
        <v>530.48436479999998</v>
      </c>
      <c r="G126" s="68"/>
      <c r="H126" s="69"/>
      <c r="I126" s="36"/>
      <c r="K126" s="36"/>
      <c r="L126" s="184"/>
      <c r="M126" s="184"/>
      <c r="N126" s="36"/>
    </row>
    <row r="127" spans="1:14" s="37" customFormat="1" ht="15.75" customHeight="1" x14ac:dyDescent="0.3">
      <c r="A127" s="64">
        <f t="shared" si="0"/>
        <v>19</v>
      </c>
      <c r="B127" s="65"/>
      <c r="C127" s="42" t="s">
        <v>197</v>
      </c>
      <c r="D127" s="56">
        <f>(24.995)*(10.764)</f>
        <v>269.04617999999999</v>
      </c>
      <c r="E127" s="42">
        <v>0</v>
      </c>
      <c r="F127" s="42">
        <f t="shared" si="4"/>
        <v>430.47388799999999</v>
      </c>
      <c r="G127" s="68"/>
      <c r="H127" s="69"/>
      <c r="I127" s="36"/>
      <c r="K127" s="36"/>
      <c r="L127" s="184"/>
      <c r="M127" s="184"/>
      <c r="N127" s="36"/>
    </row>
    <row r="128" spans="1:14" s="37" customFormat="1" ht="15.75" customHeight="1" x14ac:dyDescent="0.3">
      <c r="A128" s="64">
        <f t="shared" si="0"/>
        <v>20</v>
      </c>
      <c r="B128" s="65"/>
      <c r="C128" s="42" t="s">
        <v>197</v>
      </c>
      <c r="D128" s="56">
        <f>(27.709)*(10.764)</f>
        <v>298.25967599999996</v>
      </c>
      <c r="E128" s="42">
        <v>0</v>
      </c>
      <c r="F128" s="42">
        <f t="shared" si="4"/>
        <v>477.21548159999998</v>
      </c>
      <c r="G128" s="68"/>
      <c r="H128" s="69"/>
      <c r="I128" s="36"/>
      <c r="K128" s="36"/>
      <c r="L128" s="184"/>
      <c r="M128" s="184"/>
      <c r="N128" s="36"/>
    </row>
    <row r="129" spans="1:15" s="37" customFormat="1" ht="15.75" customHeight="1" x14ac:dyDescent="0.3">
      <c r="A129" s="64">
        <f t="shared" si="0"/>
        <v>21</v>
      </c>
      <c r="B129" s="65"/>
      <c r="C129" s="42" t="s">
        <v>197</v>
      </c>
      <c r="D129" s="56">
        <f>(27.709)*(10.764)</f>
        <v>298.25967599999996</v>
      </c>
      <c r="E129" s="42">
        <v>0</v>
      </c>
      <c r="F129" s="42">
        <f t="shared" ref="F129" si="5">(D129+E129)*(($F$106)+1)</f>
        <v>477.21548159999998</v>
      </c>
      <c r="G129" s="68"/>
      <c r="H129" s="69"/>
      <c r="I129" s="36"/>
      <c r="K129" s="36"/>
      <c r="L129" s="184"/>
      <c r="M129" s="184"/>
      <c r="N129" s="36"/>
    </row>
    <row r="130" spans="1:15" s="37" customFormat="1" ht="15.75" customHeight="1" x14ac:dyDescent="0.3">
      <c r="A130" s="64">
        <f t="shared" si="0"/>
        <v>22</v>
      </c>
      <c r="B130" s="65"/>
      <c r="C130" s="42" t="s">
        <v>197</v>
      </c>
      <c r="D130" s="56">
        <f>(28.861)*(10.764)</f>
        <v>310.65980400000001</v>
      </c>
      <c r="E130" s="42">
        <v>0</v>
      </c>
      <c r="F130" s="42">
        <f t="shared" ref="F130" si="6">(D130+E130)*(($F$106)+1)</f>
        <v>497.05568640000001</v>
      </c>
      <c r="G130" s="70"/>
      <c r="H130" s="71"/>
      <c r="I130" s="36"/>
      <c r="K130" s="36"/>
      <c r="L130" s="184"/>
      <c r="M130" s="184"/>
      <c r="N130" s="36"/>
    </row>
    <row r="131" spans="1:15" s="37" customFormat="1" x14ac:dyDescent="0.3">
      <c r="A131" s="64"/>
      <c r="B131" s="185"/>
      <c r="C131" s="185"/>
      <c r="D131" s="185"/>
      <c r="E131" s="185"/>
      <c r="F131" s="185"/>
      <c r="G131" s="185"/>
      <c r="H131" s="65"/>
      <c r="I131" s="36"/>
      <c r="K131" s="36"/>
      <c r="N131" s="36"/>
    </row>
    <row r="132" spans="1:15" ht="47.25" customHeight="1" x14ac:dyDescent="0.3">
      <c r="A132" s="91" t="s">
        <v>126</v>
      </c>
      <c r="B132" s="91" t="s">
        <v>127</v>
      </c>
      <c r="C132" s="87" t="s">
        <v>60</v>
      </c>
      <c r="D132" s="87" t="s">
        <v>61</v>
      </c>
      <c r="E132" s="89" t="s">
        <v>62</v>
      </c>
      <c r="F132" s="43" t="s">
        <v>159</v>
      </c>
      <c r="G132" s="91" t="s">
        <v>63</v>
      </c>
      <c r="H132" s="92"/>
      <c r="I132" s="36"/>
    </row>
    <row r="133" spans="1:15" s="37" customFormat="1" x14ac:dyDescent="0.3">
      <c r="A133" s="93"/>
      <c r="B133" s="93"/>
      <c r="C133" s="88"/>
      <c r="D133" s="88"/>
      <c r="E133" s="90"/>
      <c r="F133" s="13">
        <v>0.5</v>
      </c>
      <c r="G133" s="93"/>
      <c r="H133" s="94"/>
      <c r="I133" s="36"/>
    </row>
    <row r="134" spans="1:15" s="37" customFormat="1" x14ac:dyDescent="0.3">
      <c r="A134" s="188" t="s">
        <v>199</v>
      </c>
      <c r="B134" s="189"/>
      <c r="C134" s="189"/>
      <c r="D134" s="189"/>
      <c r="E134" s="189"/>
      <c r="F134" s="189"/>
      <c r="G134" s="189"/>
      <c r="H134" s="190"/>
      <c r="I134" s="36"/>
    </row>
    <row r="135" spans="1:15" s="37" customFormat="1" x14ac:dyDescent="0.3">
      <c r="A135" s="141" t="s">
        <v>224</v>
      </c>
      <c r="B135" s="142"/>
      <c r="C135" s="142"/>
      <c r="D135" s="142"/>
      <c r="E135" s="142"/>
      <c r="F135" s="142"/>
      <c r="G135" s="142"/>
      <c r="H135" s="143"/>
      <c r="J135" s="36"/>
    </row>
    <row r="136" spans="1:15" s="37" customFormat="1" x14ac:dyDescent="0.3">
      <c r="A136" s="141" t="s">
        <v>214</v>
      </c>
      <c r="B136" s="142"/>
      <c r="C136" s="142"/>
      <c r="D136" s="142"/>
      <c r="E136" s="142"/>
      <c r="F136" s="142"/>
      <c r="G136" s="142"/>
      <c r="H136" s="143"/>
      <c r="J136" s="36"/>
    </row>
    <row r="137" spans="1:15" s="37" customFormat="1" x14ac:dyDescent="0.3">
      <c r="A137" s="141" t="s">
        <v>205</v>
      </c>
      <c r="B137" s="142"/>
      <c r="C137" s="142"/>
      <c r="D137" s="142"/>
      <c r="E137" s="142"/>
      <c r="F137" s="142"/>
      <c r="G137" s="142"/>
      <c r="H137" s="143"/>
      <c r="J137" s="36"/>
    </row>
    <row r="138" spans="1:15" s="37" customFormat="1" ht="15.75" customHeight="1" x14ac:dyDescent="0.3">
      <c r="A138" s="77" t="s">
        <v>206</v>
      </c>
      <c r="B138" s="78"/>
      <c r="C138" s="78"/>
      <c r="D138" s="78"/>
      <c r="E138" s="78"/>
      <c r="F138" s="78"/>
      <c r="G138" s="78"/>
      <c r="H138" s="79"/>
      <c r="I138" s="36"/>
    </row>
    <row r="139" spans="1:15" s="37" customFormat="1" ht="15.75" customHeight="1" x14ac:dyDescent="0.3">
      <c r="A139" s="64">
        <v>1</v>
      </c>
      <c r="B139" s="65"/>
      <c r="C139" s="54">
        <v>3</v>
      </c>
      <c r="D139" s="56">
        <f>(6.02*3.05+3.05*0.92+2.855*2.52+3.175*2.75+3.6*3.2+3.97*3.2+2.14*1.22+2.14*1.37+2.14*1.37+0.9*1.7+0.9*1.22+3.05*1.55+1.45*3.05)*(10.764)</f>
        <v>878.01140699999996</v>
      </c>
      <c r="E139" s="42">
        <v>0</v>
      </c>
      <c r="F139" s="42">
        <f>D139*(($F$133)+1)+(IF(E139&lt;101,E139,IF(E139&lt;201,E139/2,IF(E139&lt;=301,E139/3,E139/4))))</f>
        <v>1317.0171104999999</v>
      </c>
      <c r="G139" s="66" t="str">
        <f>A138</f>
        <v>3rd to 6th, 8th Floor For Residential</v>
      </c>
      <c r="H139" s="67"/>
      <c r="I139" s="36"/>
      <c r="J139" s="37">
        <f>8000*F139</f>
        <v>10536136.884</v>
      </c>
      <c r="M139" s="37">
        <v>301</v>
      </c>
      <c r="N139" s="37">
        <v>801</v>
      </c>
      <c r="O139" s="37" t="str">
        <f>M139&amp;""&amp;" to "&amp;""&amp;N139</f>
        <v>301 to 801</v>
      </c>
    </row>
    <row r="140" spans="1:15" s="37" customFormat="1" ht="15.75" customHeight="1" x14ac:dyDescent="0.3">
      <c r="A140" s="64">
        <v>2</v>
      </c>
      <c r="B140" s="65"/>
      <c r="C140" s="54">
        <v>2</v>
      </c>
      <c r="D140" s="56">
        <f>(4.4*4.24+3.65*1.84+3.05*2.44+3.05*3.05+3.66*3.05+2.14*1.22+1.22*2.14+0.9*4+0.75*1.25)*(10.764)</f>
        <v>678.5474903999999</v>
      </c>
      <c r="E140" s="42">
        <v>0</v>
      </c>
      <c r="F140" s="42">
        <f>D140*(($F$133)+1)+(IF(E140&lt;101,E140,IF(E140&lt;201,E140/2,IF(E140&lt;=301,E140/3,E140/4))))</f>
        <v>1017.8212355999999</v>
      </c>
      <c r="G140" s="68"/>
      <c r="H140" s="69"/>
      <c r="I140" s="36"/>
      <c r="J140" s="37">
        <f>F140*8000</f>
        <v>8142569.8847999992</v>
      </c>
      <c r="K140" s="37">
        <f>(4.4*4.24+3.65*1.84+3.05*2.44+3.05*3.05+3.66*3.05+1.22*2.14+2.14*1.22+0.9*3.7+0.6*1.2)</f>
        <v>62.551099999999991</v>
      </c>
      <c r="M140" s="37">
        <v>302</v>
      </c>
      <c r="N140" s="37">
        <v>802</v>
      </c>
      <c r="O140" s="37" t="str">
        <f t="shared" ref="O140:O142" si="7">M140&amp;""&amp;" to "&amp;""&amp;N140</f>
        <v>302 to 802</v>
      </c>
    </row>
    <row r="141" spans="1:15" s="37" customFormat="1" ht="15.75" customHeight="1" x14ac:dyDescent="0.3">
      <c r="A141" s="64">
        <v>3</v>
      </c>
      <c r="B141" s="65"/>
      <c r="C141" s="54">
        <v>3</v>
      </c>
      <c r="D141" s="56">
        <f>(4.4*4.235+3.65*1.845+3.05*2.44+3.05*3.05+3.65*3.255+3.05*3.6+2.14*1.22+2.14*1.22+1.22*2.14+0.9*1.45+1.22*1.75+1.35*1.1+1.22*1.1)*(10.764)</f>
        <v>851.14069559999996</v>
      </c>
      <c r="E141" s="42">
        <v>0</v>
      </c>
      <c r="F141" s="42">
        <f>D141*(($F$133)+1)+(IF(E141&lt;101,E141,IF(E141&lt;201,E141/2,IF(E141&lt;=301,E141/3,E141/4))))</f>
        <v>1276.7110433999999</v>
      </c>
      <c r="G141" s="68"/>
      <c r="H141" s="69"/>
      <c r="I141" s="36"/>
      <c r="M141" s="37">
        <v>303</v>
      </c>
      <c r="N141" s="37">
        <v>803</v>
      </c>
      <c r="O141" s="37" t="str">
        <f t="shared" si="7"/>
        <v>303 to 803</v>
      </c>
    </row>
    <row r="142" spans="1:15" s="37" customFormat="1" ht="15.75" customHeight="1" x14ac:dyDescent="0.3">
      <c r="A142" s="64">
        <v>4</v>
      </c>
      <c r="B142" s="65"/>
      <c r="C142" s="54">
        <v>3</v>
      </c>
      <c r="D142" s="56">
        <f>(1.2*1.4+3.2*5.48+1.22*3.215+2.45*2.9+3.05*2.9+3.2*3.6+3.05*3.35+1.23*2.1+1.37*2.14+2.14*1.2+0.9*4.45+1.95*0.55+0.9*0.7+1.1*1.3)*(10.764)</f>
        <v>818.56022040000005</v>
      </c>
      <c r="E142" s="42">
        <v>0</v>
      </c>
      <c r="F142" s="42">
        <f>D142*(($F$133)+1)+(IF(E142&lt;101,E142,IF(E142&lt;201,E142/2,IF(E142&lt;=301,E142/3,E142/4))))</f>
        <v>1227.8403306</v>
      </c>
      <c r="G142" s="70"/>
      <c r="H142" s="71"/>
      <c r="I142" s="36"/>
      <c r="M142" s="37">
        <v>304</v>
      </c>
      <c r="N142" s="37">
        <v>804</v>
      </c>
      <c r="O142" s="37" t="str">
        <f t="shared" si="7"/>
        <v>304 to 804</v>
      </c>
    </row>
    <row r="143" spans="1:15" s="37" customFormat="1" ht="15.75" customHeight="1" x14ac:dyDescent="0.3">
      <c r="A143" s="77" t="s">
        <v>201</v>
      </c>
      <c r="B143" s="78"/>
      <c r="C143" s="78"/>
      <c r="D143" s="78"/>
      <c r="E143" s="78"/>
      <c r="F143" s="78"/>
      <c r="G143" s="78"/>
      <c r="H143" s="79"/>
      <c r="I143" s="36"/>
    </row>
    <row r="144" spans="1:15" s="37" customFormat="1" ht="15.75" customHeight="1" x14ac:dyDescent="0.3">
      <c r="A144" s="64">
        <v>1</v>
      </c>
      <c r="B144" s="65"/>
      <c r="C144" s="54">
        <v>3</v>
      </c>
      <c r="D144" s="56">
        <f>(6.02*3.05+3.05*0.92+2.855*2.52+3.175*2.75+3.6*3.2+3.97*3.2+2.14*1.22+2.14*1.37+2.14*1.37+0.9*1.7+0.9*1.22+3.05*1.55+1.45*3.05)*(10.764)</f>
        <v>878.01140699999996</v>
      </c>
      <c r="E144" s="42">
        <v>0</v>
      </c>
      <c r="F144" s="42">
        <f>D144*(($F$133)+1)+(IF(E144&lt;101,E144,IF(E144&lt;201,E144/2,IF(E144&lt;=301,E144/3,E144/4))))</f>
        <v>1317.0171104999999</v>
      </c>
      <c r="G144" s="66" t="str">
        <f>A143</f>
        <v>7th Floor (Part Refuge Area)</v>
      </c>
      <c r="H144" s="67"/>
      <c r="I144" s="36"/>
      <c r="J144" s="37">
        <f>8000*F144</f>
        <v>10536136.884</v>
      </c>
      <c r="M144" s="37">
        <v>301</v>
      </c>
      <c r="N144" s="37">
        <v>801</v>
      </c>
      <c r="O144" s="37" t="str">
        <f>M144&amp;""&amp;" to "&amp;""&amp;N144</f>
        <v>301 to 801</v>
      </c>
    </row>
    <row r="145" spans="1:15" s="37" customFormat="1" ht="15.75" customHeight="1" x14ac:dyDescent="0.3">
      <c r="A145" s="64">
        <v>2</v>
      </c>
      <c r="B145" s="65"/>
      <c r="C145" s="54">
        <v>2</v>
      </c>
      <c r="D145" s="56">
        <f>(4.4*4.24+3.65*1.84+3.05*2.44+3.05*3.05+3.66*3.05+2.14*1.22+1.22*2.14+0.9*4+0.75*1.25)*(10.764)</f>
        <v>678.5474903999999</v>
      </c>
      <c r="E145" s="42">
        <v>0</v>
      </c>
      <c r="F145" s="42">
        <f>D145*(($F$133)+1)+(IF(E145&lt;101,E145,IF(E145&lt;201,E145/2,IF(E145&lt;=301,E145/3,E145/4))))</f>
        <v>1017.8212355999999</v>
      </c>
      <c r="G145" s="68"/>
      <c r="H145" s="69"/>
      <c r="I145" s="36"/>
      <c r="J145" s="37">
        <f>F145*8000</f>
        <v>8142569.8847999992</v>
      </c>
      <c r="K145" s="37">
        <f>(4.4*4.24+3.65*1.84+3.05*2.44+3.05*3.05+3.66*3.05+1.22*2.14+2.14*1.22+0.9*3.7+0.6*1.2)</f>
        <v>62.551099999999991</v>
      </c>
      <c r="M145" s="37">
        <v>302</v>
      </c>
      <c r="N145" s="37">
        <v>802</v>
      </c>
      <c r="O145" s="37" t="str">
        <f t="shared" ref="O145:O147" si="8">M145&amp;""&amp;" to "&amp;""&amp;N145</f>
        <v>302 to 802</v>
      </c>
    </row>
    <row r="146" spans="1:15" s="37" customFormat="1" ht="15.75" customHeight="1" x14ac:dyDescent="0.3">
      <c r="A146" s="64">
        <v>3</v>
      </c>
      <c r="B146" s="65"/>
      <c r="C146" s="54">
        <v>3</v>
      </c>
      <c r="D146" s="56">
        <f>(4.4*4.235+3.65*1.845+3.05*2.44+3.05*3.05+3.65*3.255+3.05*3.6+2.14*1.22+2.14*1.22+1.22*2.14+0.9*1.45+1.22*1.75+1.35*1.1+1.22*1.1)*(10.764)</f>
        <v>851.14069559999996</v>
      </c>
      <c r="E146" s="42">
        <v>0</v>
      </c>
      <c r="F146" s="42">
        <f>D146*(($F$133)+1)+(IF(E146&lt;101,E146,IF(E146&lt;201,E146/2,IF(E146&lt;=301,E146/3,E146/4))))</f>
        <v>1276.7110433999999</v>
      </c>
      <c r="G146" s="68"/>
      <c r="H146" s="69"/>
      <c r="I146" s="36"/>
      <c r="M146" s="37">
        <v>303</v>
      </c>
      <c r="N146" s="37">
        <v>803</v>
      </c>
      <c r="O146" s="37" t="str">
        <f t="shared" si="8"/>
        <v>303 to 803</v>
      </c>
    </row>
    <row r="147" spans="1:15" s="37" customFormat="1" ht="15.75" customHeight="1" x14ac:dyDescent="0.3">
      <c r="A147" s="64">
        <v>4</v>
      </c>
      <c r="B147" s="65"/>
      <c r="C147" s="54">
        <v>3</v>
      </c>
      <c r="D147" s="56">
        <f>(1.2*1.4+3.2*5.48+1.22*3.215+2.45*2.9+3.05*2.9+3.2*3.6+3.05*3.35+1.23*2.1+1.37*2.14+2.14*1.2+0.9*4.45+1.95*0.55+0.9*0.7+1.1*1.3)*(10.764)</f>
        <v>818.56022040000005</v>
      </c>
      <c r="E147" s="42">
        <v>0</v>
      </c>
      <c r="F147" s="42">
        <f>D147*(($F$133)+1)+(IF(E147&lt;101,E147,IF(E147&lt;201,E147/2,IF(E147&lt;=301,E147/3,E147/4))))</f>
        <v>1227.8403306</v>
      </c>
      <c r="G147" s="70"/>
      <c r="H147" s="71"/>
      <c r="I147" s="36"/>
      <c r="M147" s="37">
        <v>304</v>
      </c>
      <c r="N147" s="37">
        <v>804</v>
      </c>
      <c r="O147" s="37" t="str">
        <f t="shared" si="8"/>
        <v>304 to 804</v>
      </c>
    </row>
    <row r="148" spans="1:15" s="37" customFormat="1" ht="15.75" customHeight="1" x14ac:dyDescent="0.3">
      <c r="A148" s="77" t="s">
        <v>225</v>
      </c>
      <c r="B148" s="78"/>
      <c r="C148" s="78"/>
      <c r="D148" s="78"/>
      <c r="E148" s="78"/>
      <c r="F148" s="78"/>
      <c r="G148" s="78"/>
      <c r="H148" s="79"/>
      <c r="I148" s="36"/>
    </row>
    <row r="149" spans="1:15" s="37" customFormat="1" ht="15.75" customHeight="1" x14ac:dyDescent="0.3">
      <c r="A149" s="64">
        <v>1</v>
      </c>
      <c r="B149" s="65"/>
      <c r="C149" s="54">
        <v>3</v>
      </c>
      <c r="D149" s="56">
        <f>(6.02*3.05+3.05*0.92+2.855*2.52+3.175*2.75+3.6*3.2+3.97*3.2+2.14*1.22+2.14*1.37+2.14*1.37+0.9*1.7+0.9*1.22+3.05*1.55+1.45*3.05)*(10.764)</f>
        <v>878.01140699999996</v>
      </c>
      <c r="E149" s="42">
        <v>0</v>
      </c>
      <c r="F149" s="42">
        <f>D149*(($F$133)+1)+(IF(E149&lt;101,E149,IF(E149&lt;201,E149/2,IF(E149&lt;=301,E149/3,E149/4))))</f>
        <v>1317.0171104999999</v>
      </c>
      <c r="G149" s="66" t="str">
        <f>A148</f>
        <v>9th Floor (Part Refuge Area)</v>
      </c>
      <c r="H149" s="67"/>
      <c r="I149" s="36"/>
      <c r="J149" s="37">
        <f>8000*F149</f>
        <v>10536136.884</v>
      </c>
      <c r="M149" s="37">
        <v>301</v>
      </c>
      <c r="N149" s="37">
        <v>801</v>
      </c>
      <c r="O149" s="37" t="str">
        <f>M149&amp;""&amp;" to "&amp;""&amp;N149</f>
        <v>301 to 801</v>
      </c>
    </row>
    <row r="150" spans="1:15" s="37" customFormat="1" ht="15.75" customHeight="1" x14ac:dyDescent="0.3">
      <c r="A150" s="64">
        <v>2</v>
      </c>
      <c r="B150" s="65"/>
      <c r="C150" s="54">
        <v>2</v>
      </c>
      <c r="D150" s="56">
        <f>(4.4*4.24+3.65*1.84+3.05*2.44+3.05*3.05+3.66*3.05+2.14*1.22+1.22*2.14+0.9*4+0.75*1.25)*(10.764)</f>
        <v>678.5474903999999</v>
      </c>
      <c r="E150" s="42">
        <v>0</v>
      </c>
      <c r="F150" s="42">
        <f>D150*(($F$133)+1)+(IF(E150&lt;101,E150,IF(E150&lt;201,E150/2,IF(E150&lt;=301,E150/3,E150/4))))</f>
        <v>1017.8212355999999</v>
      </c>
      <c r="G150" s="68"/>
      <c r="H150" s="69"/>
      <c r="I150" s="36"/>
      <c r="J150" s="37">
        <f>F150*8000</f>
        <v>8142569.8847999992</v>
      </c>
      <c r="K150" s="37">
        <f>(4.4*4.24+3.65*1.84+3.05*2.44+3.05*3.05+3.66*3.05+1.22*2.14+2.14*1.22+0.9*3.7+0.6*1.2)</f>
        <v>62.551099999999991</v>
      </c>
      <c r="M150" s="37">
        <v>302</v>
      </c>
      <c r="N150" s="37">
        <v>802</v>
      </c>
      <c r="O150" s="37" t="str">
        <f t="shared" ref="O150:O152" si="9">M150&amp;""&amp;" to "&amp;""&amp;N150</f>
        <v>302 to 802</v>
      </c>
    </row>
    <row r="151" spans="1:15" s="37" customFormat="1" ht="15.75" customHeight="1" x14ac:dyDescent="0.3">
      <c r="A151" s="64">
        <v>3</v>
      </c>
      <c r="B151" s="65"/>
      <c r="C151" s="54">
        <v>3</v>
      </c>
      <c r="D151" s="56">
        <f>(4.4*4.235+3.65*1.845+3.05*2.44+3.05*3.05+3.65*3.255+3.05*3.6+2.14*1.22+2.14*1.22+1.22*2.14+0.9*1.45+1.22*1.75+1.35*1.1+1.22*1.1)*(10.764)</f>
        <v>851.14069559999996</v>
      </c>
      <c r="E151" s="42">
        <v>0</v>
      </c>
      <c r="F151" s="42">
        <f>D151*(($F$133)+1)+(IF(E151&lt;101,E151,IF(E151&lt;201,E151/2,IF(E151&lt;=301,E151/3,E151/4))))</f>
        <v>1276.7110433999999</v>
      </c>
      <c r="G151" s="68"/>
      <c r="H151" s="69"/>
      <c r="I151" s="36"/>
      <c r="M151" s="37">
        <v>303</v>
      </c>
      <c r="N151" s="37">
        <v>803</v>
      </c>
      <c r="O151" s="37" t="str">
        <f t="shared" si="9"/>
        <v>303 to 803</v>
      </c>
    </row>
    <row r="152" spans="1:15" s="37" customFormat="1" ht="15.75" customHeight="1" x14ac:dyDescent="0.3">
      <c r="A152" s="64">
        <v>4</v>
      </c>
      <c r="B152" s="65"/>
      <c r="C152" s="54">
        <v>3</v>
      </c>
      <c r="D152" s="56">
        <f>(1.2*1.4+3.2*5.48+1.22*3.215+2.45*2.9+3.05*2.9+3.2*3.6+3.05*3.35+1.23*2.1+1.37*2.14+2.14*1.2+0.9*4.45+1.95*0.55+0.9*0.7+1.1*1.3)*(10.764)</f>
        <v>818.56022040000005</v>
      </c>
      <c r="E152" s="42">
        <v>0</v>
      </c>
      <c r="F152" s="42">
        <f>D152*(($F$133)+1)+(IF(E152&lt;101,E152,IF(E152&lt;201,E152/2,IF(E152&lt;=301,E152/3,E152/4))))</f>
        <v>1227.8403306</v>
      </c>
      <c r="G152" s="70"/>
      <c r="H152" s="71"/>
      <c r="I152" s="36"/>
      <c r="M152" s="37">
        <v>304</v>
      </c>
      <c r="N152" s="37">
        <v>804</v>
      </c>
      <c r="O152" s="37" t="str">
        <f t="shared" si="9"/>
        <v>304 to 804</v>
      </c>
    </row>
    <row r="153" spans="1:15" s="37" customFormat="1" ht="15.75" customHeight="1" x14ac:dyDescent="0.3">
      <c r="A153" s="77" t="s">
        <v>228</v>
      </c>
      <c r="B153" s="78"/>
      <c r="C153" s="78"/>
      <c r="D153" s="78"/>
      <c r="E153" s="78"/>
      <c r="F153" s="78"/>
      <c r="G153" s="78"/>
      <c r="H153" s="79"/>
      <c r="I153" s="36"/>
      <c r="J153" s="62"/>
      <c r="K153" s="62"/>
      <c r="L153" s="62"/>
      <c r="M153" s="62"/>
    </row>
    <row r="154" spans="1:15" s="37" customFormat="1" ht="15.75" customHeight="1" x14ac:dyDescent="0.3">
      <c r="A154" s="76">
        <v>1</v>
      </c>
      <c r="B154" s="76"/>
      <c r="C154" s="54">
        <v>3</v>
      </c>
      <c r="D154" s="56">
        <f>(6.02*3.05+3.05*0.92+2.855*2.52+3.175*2.75+3.6*3.2+3.97*3.2+2.14*1.22+2.14*1.37+2.14*1.37+0.9*1.7+0.9*1.22+3.05*1.55+1.45*3.05)*(10.764)</f>
        <v>878.01140699999996</v>
      </c>
      <c r="E154" s="42">
        <v>0</v>
      </c>
      <c r="F154" s="42">
        <f>D154*(($F$133)+1)+(IF(E154&lt;101,E154,IF(E154&lt;201,E154/2,IF(E154&lt;=301,E154/3,E154/4))))</f>
        <v>1317.0171104999999</v>
      </c>
      <c r="G154" s="66" t="str">
        <f>A153</f>
        <v>10th, 12th &amp; 14th Floor</v>
      </c>
      <c r="H154" s="67"/>
      <c r="I154" s="36"/>
      <c r="J154" s="62"/>
      <c r="K154" s="62"/>
      <c r="L154" s="62"/>
      <c r="M154" s="62"/>
      <c r="N154" s="37">
        <v>801</v>
      </c>
      <c r="O154" s="37" t="str">
        <f>M154&amp;""&amp;" to "&amp;""&amp;N154</f>
        <v xml:space="preserve"> to 801</v>
      </c>
    </row>
    <row r="155" spans="1:15" s="37" customFormat="1" ht="15.75" customHeight="1" x14ac:dyDescent="0.3">
      <c r="A155" s="64">
        <f>A154+1</f>
        <v>2</v>
      </c>
      <c r="B155" s="65"/>
      <c r="C155" s="54">
        <v>2</v>
      </c>
      <c r="D155" s="56">
        <f>(4.4*4.24+3.65*1.84+3.05*2.44+3.05*3.05+3.66*3.05+2.14*1.22+1.22*2.14+0.9*4+0.75*1.25)*(10.764)</f>
        <v>678.5474903999999</v>
      </c>
      <c r="E155" s="42">
        <v>0</v>
      </c>
      <c r="F155" s="42">
        <f>D155*(($F$133)+1)+(IF(E155&lt;101,E155,IF(E155&lt;201,E155/2,IF(E155&lt;=301,E155/3,E155/4))))</f>
        <v>1017.8212355999999</v>
      </c>
      <c r="G155" s="68"/>
      <c r="H155" s="69"/>
      <c r="I155" s="36"/>
      <c r="J155" s="62"/>
      <c r="K155" s="62"/>
      <c r="L155" s="62"/>
      <c r="M155" s="62"/>
      <c r="N155" s="37">
        <v>802</v>
      </c>
      <c r="O155" s="37" t="str">
        <f t="shared" ref="O155:O157" si="10">M155&amp;""&amp;" to "&amp;""&amp;N155</f>
        <v xml:space="preserve"> to 802</v>
      </c>
    </row>
    <row r="156" spans="1:15" s="37" customFormat="1" ht="15.75" customHeight="1" x14ac:dyDescent="0.3">
      <c r="A156" s="64">
        <f>A155+1</f>
        <v>3</v>
      </c>
      <c r="B156" s="65"/>
      <c r="C156" s="54">
        <v>3</v>
      </c>
      <c r="D156" s="56">
        <f>(4.4*4.235+3.65*1.845+3.05*2.44+3.05*3.05+3.65*3.255+3.05*3.6+2.14*1.22+2.14*1.22+1.22*2.14+0.9*1.45+1.22*1.75+1.35*1.1+1.22*1.1)*(10.764)</f>
        <v>851.14069559999996</v>
      </c>
      <c r="E156" s="42">
        <v>0</v>
      </c>
      <c r="F156" s="42">
        <f>D156*(($F$133)+1)+(IF(E156&lt;101,E156,IF(E156&lt;201,E156/2,IF(E156&lt;=301,E156/3,E156/4))))</f>
        <v>1276.7110433999999</v>
      </c>
      <c r="G156" s="68"/>
      <c r="H156" s="69"/>
      <c r="I156" s="36"/>
      <c r="J156" s="62"/>
      <c r="K156" s="62"/>
      <c r="L156" s="62"/>
      <c r="M156" s="62"/>
      <c r="N156" s="37">
        <v>803</v>
      </c>
      <c r="O156" s="37" t="str">
        <f t="shared" si="10"/>
        <v xml:space="preserve"> to 803</v>
      </c>
    </row>
    <row r="157" spans="1:15" s="37" customFormat="1" ht="15.75" customHeight="1" x14ac:dyDescent="0.3">
      <c r="A157" s="64">
        <f>A156+1</f>
        <v>4</v>
      </c>
      <c r="B157" s="65"/>
      <c r="C157" s="54">
        <v>3</v>
      </c>
      <c r="D157" s="56">
        <f>(1.2*1.4+3.2*5.48+1.22*3.215+2.45*2.9+3.05*2.9+3.2*3.6+3.05*3.35+1.23*2.1+1.37*2.14+2.14*1.2+0.9*4.45+1.95*0.55+0.9*0.7+1.1*1.3)*(10.764)</f>
        <v>818.56022040000005</v>
      </c>
      <c r="E157" s="42">
        <v>0</v>
      </c>
      <c r="F157" s="42">
        <f>D157*(($F$133)+1)+(IF(E157&lt;101,E157,IF(E157&lt;201,E157/2,IF(E157&lt;=301,E157/3,E157/4))))</f>
        <v>1227.8403306</v>
      </c>
      <c r="G157" s="70"/>
      <c r="H157" s="71"/>
      <c r="I157" s="36"/>
      <c r="J157" s="62"/>
      <c r="K157" s="62"/>
      <c r="L157" s="62"/>
      <c r="M157" s="62"/>
      <c r="N157" s="37">
        <v>804</v>
      </c>
      <c r="O157" s="37" t="str">
        <f t="shared" si="10"/>
        <v xml:space="preserve"> to 804</v>
      </c>
    </row>
    <row r="158" spans="1:15" s="37" customFormat="1" ht="15.75" customHeight="1" x14ac:dyDescent="0.3">
      <c r="A158" s="77" t="s">
        <v>229</v>
      </c>
      <c r="B158" s="78"/>
      <c r="C158" s="78"/>
      <c r="D158" s="78"/>
      <c r="E158" s="78"/>
      <c r="F158" s="78"/>
      <c r="G158" s="78"/>
      <c r="H158" s="79"/>
      <c r="I158" s="36"/>
      <c r="J158" s="62"/>
      <c r="K158" s="62"/>
      <c r="L158" s="62"/>
      <c r="M158" s="62"/>
    </row>
    <row r="159" spans="1:15" s="37" customFormat="1" ht="15.75" customHeight="1" x14ac:dyDescent="0.3">
      <c r="A159" s="76">
        <v>1</v>
      </c>
      <c r="B159" s="76"/>
      <c r="C159" s="54">
        <v>3</v>
      </c>
      <c r="D159" s="56">
        <f>(6.02*3.05+3.05*0.92+2.855*2.52+3.175*2.75+3.6*3.2+3.97*3.2+2.14*1.22+2.14*1.37+2.14*1.37+0.9*1.7+0.9*1.22+3.05*1.55+1.45*3.05)*(10.764)</f>
        <v>878.01140699999996</v>
      </c>
      <c r="E159" s="42">
        <v>0</v>
      </c>
      <c r="F159" s="42">
        <f>D159*(($F$133)+1)+(IF(E159&lt;101,E159,IF(E159&lt;201,E159/2,IF(E159&lt;=301,E159/3,E159/4))))</f>
        <v>1317.0171104999999</v>
      </c>
      <c r="G159" s="66" t="str">
        <f>A158</f>
        <v>11th &amp; 13th Floor (Part Refuge Area)</v>
      </c>
      <c r="H159" s="67"/>
      <c r="I159" s="36"/>
      <c r="J159" s="62"/>
      <c r="K159" s="62"/>
      <c r="L159" s="62"/>
      <c r="M159" s="62"/>
      <c r="N159" s="37">
        <v>801</v>
      </c>
      <c r="O159" s="37" t="str">
        <f>M159&amp;""&amp;" to "&amp;""&amp;N159</f>
        <v xml:space="preserve"> to 801</v>
      </c>
    </row>
    <row r="160" spans="1:15" s="37" customFormat="1" ht="15.75" customHeight="1" x14ac:dyDescent="0.3">
      <c r="A160" s="64">
        <f>A159+1</f>
        <v>2</v>
      </c>
      <c r="B160" s="65"/>
      <c r="C160" s="54">
        <v>2</v>
      </c>
      <c r="D160" s="56">
        <f>(4.4*4.24+3.65*1.84+3.05*2.44+3.05*3.05+3.66*3.05+2.14*1.22+1.22*2.14+0.9*4+0.75*1.25)*(10.764)</f>
        <v>678.5474903999999</v>
      </c>
      <c r="E160" s="42">
        <v>0</v>
      </c>
      <c r="F160" s="42">
        <f>D160*(($F$133)+1)+(IF(E160&lt;101,E160,IF(E160&lt;201,E160/2,IF(E160&lt;=301,E160/3,E160/4))))</f>
        <v>1017.8212355999999</v>
      </c>
      <c r="G160" s="68"/>
      <c r="H160" s="69"/>
      <c r="I160" s="36"/>
      <c r="J160" s="62"/>
      <c r="K160" s="62"/>
      <c r="L160" s="62"/>
      <c r="M160" s="62"/>
      <c r="N160" s="37">
        <v>802</v>
      </c>
      <c r="O160" s="37" t="str">
        <f t="shared" ref="O160:O162" si="11">M160&amp;""&amp;" to "&amp;""&amp;N160</f>
        <v xml:space="preserve"> to 802</v>
      </c>
    </row>
    <row r="161" spans="1:15" s="37" customFormat="1" ht="15.75" customHeight="1" x14ac:dyDescent="0.3">
      <c r="A161" s="64">
        <f>A160+1</f>
        <v>3</v>
      </c>
      <c r="B161" s="65"/>
      <c r="C161" s="54">
        <v>3</v>
      </c>
      <c r="D161" s="56">
        <f>(4.4*4.235+3.65*1.845+3.05*2.44+3.05*3.05+3.65*3.255+3.05*3.6+2.14*1.22+2.14*1.22+1.22*2.14+0.9*1.45+1.22*1.75+1.35*1.1+1.22*1.1)*(10.764)</f>
        <v>851.14069559999996</v>
      </c>
      <c r="E161" s="42">
        <v>0</v>
      </c>
      <c r="F161" s="42">
        <f>D161*(($F$133)+1)+(IF(E161&lt;101,E161,IF(E161&lt;201,E161/2,IF(E161&lt;=301,E161/3,E161/4))))</f>
        <v>1276.7110433999999</v>
      </c>
      <c r="G161" s="68"/>
      <c r="H161" s="69"/>
      <c r="I161" s="36"/>
      <c r="J161" s="62"/>
      <c r="K161" s="62"/>
      <c r="L161" s="62"/>
      <c r="M161" s="62"/>
      <c r="N161" s="37">
        <v>803</v>
      </c>
      <c r="O161" s="37" t="str">
        <f t="shared" si="11"/>
        <v xml:space="preserve"> to 803</v>
      </c>
    </row>
    <row r="162" spans="1:15" s="37" customFormat="1" ht="15.75" customHeight="1" x14ac:dyDescent="0.3">
      <c r="A162" s="64">
        <f>A161+1</f>
        <v>4</v>
      </c>
      <c r="B162" s="65"/>
      <c r="C162" s="54">
        <v>3</v>
      </c>
      <c r="D162" s="56">
        <f>(1.2*1.4+3.2*5.48+1.22*3.215+2.45*2.9+3.05*2.9+3.2*3.6+3.05*3.35+1.23*2.1+1.37*2.14+2.14*1.2+0.9*4.45+1.95*0.55+0.9*0.7+1.1*1.3)*(10.764)</f>
        <v>818.56022040000005</v>
      </c>
      <c r="E162" s="42">
        <v>0</v>
      </c>
      <c r="F162" s="42">
        <f>D162*(($F$133)+1)+(IF(E162&lt;101,E162,IF(E162&lt;201,E162/2,IF(E162&lt;=301,E162/3,E162/4))))</f>
        <v>1227.8403306</v>
      </c>
      <c r="G162" s="70"/>
      <c r="H162" s="71"/>
      <c r="I162" s="36"/>
      <c r="J162" s="62"/>
      <c r="K162" s="62"/>
      <c r="L162" s="62"/>
      <c r="M162" s="62"/>
      <c r="N162" s="37">
        <v>804</v>
      </c>
      <c r="O162" s="37" t="str">
        <f t="shared" si="11"/>
        <v xml:space="preserve"> to 804</v>
      </c>
    </row>
    <row r="163" spans="1:15" s="37" customFormat="1" ht="15.75" hidden="1" customHeight="1" x14ac:dyDescent="0.3">
      <c r="A163" s="80" t="s">
        <v>202</v>
      </c>
      <c r="B163" s="81"/>
      <c r="C163" s="81"/>
      <c r="D163" s="81"/>
      <c r="E163" s="81"/>
      <c r="F163" s="81"/>
      <c r="G163" s="81"/>
      <c r="H163" s="82"/>
      <c r="I163" s="36"/>
    </row>
    <row r="164" spans="1:15" s="37" customFormat="1" ht="15.75" hidden="1" customHeight="1" x14ac:dyDescent="0.3">
      <c r="A164" s="64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10^ROW(INDIRECT("1:"&amp;LEN((LEFT(A163,SUM(LEN(A163)-LEN(SUBSTITUTE(A163,{"0","1","2"},""))))))))/10))*100+1&amp;""&amp;"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",LEN(A163))),LEN(A163)))))))/10))*100+1</f>
        <v>901 ,.., 1401</v>
      </c>
      <c r="B164" s="65"/>
      <c r="C164" s="54">
        <v>3</v>
      </c>
      <c r="D164" s="56">
        <f>(79.816+4.522)*(10.764)</f>
        <v>907.81423200000006</v>
      </c>
      <c r="E164" s="42">
        <v>0</v>
      </c>
      <c r="F164" s="42">
        <f>D164*(($F$133)+1)+(IF(E164&lt;101,E164,IF(E164&lt;201,E164/2,IF(E164&lt;=301,E164/3,E164/4))))</f>
        <v>1361.721348</v>
      </c>
      <c r="G164" s="66" t="str">
        <f>A163</f>
        <v>9th to 11th, 13th &amp; 14th Floor</v>
      </c>
      <c r="H164" s="67"/>
      <c r="I164" s="36"/>
      <c r="J164" s="37">
        <f>8000*F164</f>
        <v>10893770.784</v>
      </c>
      <c r="M164" s="37">
        <v>301</v>
      </c>
      <c r="N164" s="37">
        <v>801</v>
      </c>
      <c r="O164" s="37" t="str">
        <f>M164&amp;""&amp;" to "&amp;""&amp;N164</f>
        <v>301 to 801</v>
      </c>
    </row>
    <row r="165" spans="1:15" s="37" customFormat="1" ht="15.75" hidden="1" customHeight="1" x14ac:dyDescent="0.3">
      <c r="A165" s="64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902 ,.., 1402</v>
      </c>
      <c r="B165" s="65"/>
      <c r="C165" s="54">
        <v>2</v>
      </c>
      <c r="D165" s="56">
        <f>(65.86)*(10.764)</f>
        <v>708.91703999999993</v>
      </c>
      <c r="E165" s="42">
        <v>0</v>
      </c>
      <c r="F165" s="42">
        <f>D165*(($F$133)+1)+(IF(E165&lt;101,E165,IF(E165&lt;201,E165/2,IF(E165&lt;=301,E165/3,E165/4))))</f>
        <v>1063.37556</v>
      </c>
      <c r="G165" s="68"/>
      <c r="H165" s="69"/>
      <c r="I165" s="36"/>
      <c r="J165" s="37">
        <f>F165*8000</f>
        <v>8507004.4800000004</v>
      </c>
      <c r="K165" s="37">
        <f>(4.4*4.24+3.65*1.84+3.05*2.44+3.05*3.05+3.66*3.05+1.22*2.14+2.14*1.22+0.9*3.7+0.6*1.2)</f>
        <v>62.551099999999991</v>
      </c>
      <c r="M165" s="37">
        <v>302</v>
      </c>
      <c r="N165" s="37">
        <v>802</v>
      </c>
      <c r="O165" s="37" t="str">
        <f t="shared" ref="O165:O167" si="12">M165&amp;""&amp;" to "&amp;""&amp;N165</f>
        <v>302 to 802</v>
      </c>
    </row>
    <row r="166" spans="1:15" s="37" customFormat="1" ht="15.75" hidden="1" customHeight="1" x14ac:dyDescent="0.3">
      <c r="A166" s="64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903 ,.., 1403</v>
      </c>
      <c r="B166" s="65"/>
      <c r="C166" s="54">
        <v>3</v>
      </c>
      <c r="D166" s="56">
        <f>(83.133)*(10.764)</f>
        <v>894.84361199999989</v>
      </c>
      <c r="E166" s="42">
        <v>0</v>
      </c>
      <c r="F166" s="42">
        <f>D166*(($F$133)+1)+(IF(E166&lt;101,E166,IF(E166&lt;201,E166/2,IF(E166&lt;=301,E166/3,E166/4))))</f>
        <v>1342.265418</v>
      </c>
      <c r="G166" s="68"/>
      <c r="H166" s="69"/>
      <c r="I166" s="36"/>
      <c r="M166" s="37">
        <v>303</v>
      </c>
      <c r="N166" s="37">
        <v>803</v>
      </c>
      <c r="O166" s="37" t="str">
        <f t="shared" si="12"/>
        <v>303 to 803</v>
      </c>
    </row>
    <row r="167" spans="1:15" s="37" customFormat="1" ht="15.75" hidden="1" customHeight="1" x14ac:dyDescent="0.3">
      <c r="A167" s="64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,..,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904 ,.., 1404</v>
      </c>
      <c r="B167" s="65"/>
      <c r="C167" s="54">
        <v>3</v>
      </c>
      <c r="D167" s="56">
        <f>(79.933)*(10.764)</f>
        <v>860.39881200000002</v>
      </c>
      <c r="E167" s="42">
        <v>0</v>
      </c>
      <c r="F167" s="42">
        <f>D167*(($F$133)+1)+(IF(E167&lt;101,E167,IF(E167&lt;201,E167/2,IF(E167&lt;=301,E167/3,E167/4))))</f>
        <v>1290.5982180000001</v>
      </c>
      <c r="G167" s="70"/>
      <c r="H167" s="71"/>
      <c r="I167" s="36"/>
      <c r="M167" s="37">
        <v>304</v>
      </c>
      <c r="N167" s="37">
        <v>804</v>
      </c>
      <c r="O167" s="37" t="str">
        <f t="shared" si="12"/>
        <v>304 to 804</v>
      </c>
    </row>
    <row r="168" spans="1:15" s="37" customFormat="1" ht="15.75" hidden="1" customHeight="1" x14ac:dyDescent="0.3">
      <c r="A168" s="77" t="s">
        <v>203</v>
      </c>
      <c r="B168" s="78"/>
      <c r="C168" s="78"/>
      <c r="D168" s="78"/>
      <c r="E168" s="78"/>
      <c r="F168" s="78"/>
      <c r="G168" s="78"/>
      <c r="H168" s="79"/>
      <c r="I168" s="36"/>
    </row>
    <row r="169" spans="1:15" s="37" customFormat="1" ht="15.75" hidden="1" customHeight="1" x14ac:dyDescent="0.3">
      <c r="A169" s="76">
        <f>LEFT(A168,SUM(LEN(A168)-LEN(SUBSTITUTE(A168,{"0","1","2","3","4","5","6","7","8","9"},""))))*100+1</f>
        <v>1201</v>
      </c>
      <c r="B169" s="76"/>
      <c r="C169" s="54">
        <v>3</v>
      </c>
      <c r="D169" s="56">
        <f>(79.816+4.522)*(10.764)</f>
        <v>907.81423200000006</v>
      </c>
      <c r="E169" s="42">
        <v>0</v>
      </c>
      <c r="F169" s="42">
        <f>D169*(($F$133)+1)+(IF(E169&lt;101,E169,IF(E169&lt;201,E169/2,IF(E169&lt;=301,E169/3,E169/4))))</f>
        <v>1361.721348</v>
      </c>
      <c r="G169" s="66" t="str">
        <f>A168</f>
        <v>12th Floor (Part Refuge Area)</v>
      </c>
      <c r="H169" s="67"/>
      <c r="I169" s="36"/>
      <c r="J169" s="37">
        <f>8000*F169</f>
        <v>10893770.784</v>
      </c>
      <c r="M169" s="37">
        <v>301</v>
      </c>
      <c r="N169" s="37">
        <v>801</v>
      </c>
      <c r="O169" s="37" t="str">
        <f>M169&amp;""&amp;" to "&amp;""&amp;N169</f>
        <v>301 to 801</v>
      </c>
    </row>
    <row r="170" spans="1:15" s="37" customFormat="1" ht="15.75" hidden="1" customHeight="1" x14ac:dyDescent="0.3">
      <c r="A170" s="64">
        <f>A169+1</f>
        <v>1202</v>
      </c>
      <c r="B170" s="65"/>
      <c r="C170" s="54">
        <v>2</v>
      </c>
      <c r="D170" s="56">
        <f>(65.86)*(10.764)</f>
        <v>708.91703999999993</v>
      </c>
      <c r="E170" s="42">
        <v>0</v>
      </c>
      <c r="F170" s="42">
        <f>D170*(($F$133)+1)+(IF(E170&lt;101,E170,IF(E170&lt;201,E170/2,IF(E170&lt;=301,E170/3,E170/4))))</f>
        <v>1063.37556</v>
      </c>
      <c r="G170" s="68"/>
      <c r="H170" s="69"/>
      <c r="I170" s="36"/>
      <c r="J170" s="37">
        <f>F170*8000</f>
        <v>8507004.4800000004</v>
      </c>
      <c r="K170" s="37">
        <f>(4.4*4.24+3.65*1.84+3.05*2.44+3.05*3.05+3.66*3.05+1.22*2.14+2.14*1.22+0.9*3.7+0.6*1.2)</f>
        <v>62.551099999999991</v>
      </c>
      <c r="M170" s="37">
        <v>302</v>
      </c>
      <c r="N170" s="37">
        <v>802</v>
      </c>
      <c r="O170" s="37" t="str">
        <f t="shared" ref="O170:O172" si="13">M170&amp;""&amp;" to "&amp;""&amp;N170</f>
        <v>302 to 802</v>
      </c>
    </row>
    <row r="171" spans="1:15" s="37" customFormat="1" ht="15.75" hidden="1" customHeight="1" x14ac:dyDescent="0.3">
      <c r="A171" s="64">
        <f>A170+1</f>
        <v>1203</v>
      </c>
      <c r="B171" s="65"/>
      <c r="C171" s="54">
        <v>3</v>
      </c>
      <c r="D171" s="56">
        <f>(83.133)*(10.764)</f>
        <v>894.84361199999989</v>
      </c>
      <c r="E171" s="42">
        <v>0</v>
      </c>
      <c r="F171" s="42">
        <f>D171*(($F$133)+1)+(IF(E171&lt;101,E171,IF(E171&lt;201,E171/2,IF(E171&lt;=301,E171/3,E171/4))))</f>
        <v>1342.265418</v>
      </c>
      <c r="G171" s="68"/>
      <c r="H171" s="69"/>
      <c r="I171" s="36"/>
      <c r="M171" s="37">
        <v>303</v>
      </c>
      <c r="N171" s="37">
        <v>803</v>
      </c>
      <c r="O171" s="37" t="str">
        <f t="shared" si="13"/>
        <v>303 to 803</v>
      </c>
    </row>
    <row r="172" spans="1:15" s="37" customFormat="1" ht="15.75" hidden="1" customHeight="1" x14ac:dyDescent="0.3">
      <c r="A172" s="64">
        <f>A171+1</f>
        <v>1204</v>
      </c>
      <c r="B172" s="65"/>
      <c r="C172" s="54">
        <v>3</v>
      </c>
      <c r="D172" s="56">
        <f>(79.933)*(10.764)</f>
        <v>860.39881200000002</v>
      </c>
      <c r="E172" s="42">
        <v>0</v>
      </c>
      <c r="F172" s="42">
        <f>D172*(($F$133)+1)+(IF(E172&lt;101,E172,IF(E172&lt;201,E172/2,IF(E172&lt;=301,E172/3,E172/4))))</f>
        <v>1290.5982180000001</v>
      </c>
      <c r="G172" s="70"/>
      <c r="H172" s="71"/>
      <c r="I172" s="36"/>
      <c r="M172" s="37">
        <v>304</v>
      </c>
      <c r="N172" s="37">
        <v>804</v>
      </c>
      <c r="O172" s="37" t="str">
        <f t="shared" si="13"/>
        <v>304 to 804</v>
      </c>
    </row>
    <row r="173" spans="1:15" s="37" customFormat="1" x14ac:dyDescent="0.3">
      <c r="A173" s="188" t="s">
        <v>200</v>
      </c>
      <c r="B173" s="189"/>
      <c r="C173" s="189"/>
      <c r="D173" s="189"/>
      <c r="E173" s="189"/>
      <c r="F173" s="189"/>
      <c r="G173" s="189"/>
      <c r="H173" s="190"/>
      <c r="I173" s="36"/>
    </row>
    <row r="174" spans="1:15" s="37" customFormat="1" x14ac:dyDescent="0.3">
      <c r="A174" s="141" t="s">
        <v>213</v>
      </c>
      <c r="B174" s="142"/>
      <c r="C174" s="142"/>
      <c r="D174" s="142"/>
      <c r="E174" s="142"/>
      <c r="F174" s="142"/>
      <c r="G174" s="142"/>
      <c r="H174" s="143"/>
      <c r="J174" s="36"/>
    </row>
    <row r="175" spans="1:15" s="37" customFormat="1" x14ac:dyDescent="0.3">
      <c r="A175" s="141" t="s">
        <v>214</v>
      </c>
      <c r="B175" s="142"/>
      <c r="C175" s="142"/>
      <c r="D175" s="142"/>
      <c r="E175" s="142"/>
      <c r="F175" s="142"/>
      <c r="G175" s="142"/>
      <c r="H175" s="143"/>
      <c r="J175" s="36"/>
    </row>
    <row r="176" spans="1:15" s="37" customFormat="1" x14ac:dyDescent="0.3">
      <c r="A176" s="141" t="s">
        <v>205</v>
      </c>
      <c r="B176" s="142"/>
      <c r="C176" s="142"/>
      <c r="D176" s="142"/>
      <c r="E176" s="142"/>
      <c r="F176" s="142"/>
      <c r="G176" s="142"/>
      <c r="H176" s="143"/>
      <c r="J176" s="36"/>
    </row>
    <row r="177" spans="1:16" s="37" customFormat="1" ht="15.75" customHeight="1" x14ac:dyDescent="0.3">
      <c r="A177" s="77" t="s">
        <v>206</v>
      </c>
      <c r="B177" s="78"/>
      <c r="C177" s="78"/>
      <c r="D177" s="78"/>
      <c r="E177" s="78"/>
      <c r="F177" s="78"/>
      <c r="G177" s="78"/>
      <c r="H177" s="79"/>
      <c r="I177" s="36"/>
    </row>
    <row r="178" spans="1:16" s="37" customFormat="1" ht="15.75" customHeight="1" x14ac:dyDescent="0.3">
      <c r="A178" s="64">
        <v>1</v>
      </c>
      <c r="B178" s="65"/>
      <c r="C178" s="54">
        <v>2</v>
      </c>
      <c r="D178" s="56">
        <f>(1.1*1.2+3.05*4.88+1.203*3.255+2.583*2.9+3.2*2.9+3.05*3.66+1.38*2.14+2.14*1.38+0.9*4.9+1.15*0.75+1.39*3.05)*(10.764)</f>
        <v>683.21115485999997</v>
      </c>
      <c r="E178" s="42">
        <v>0</v>
      </c>
      <c r="F178" s="42">
        <f t="shared" ref="F178:F183" si="14">D178*(($F$133)+1)+(IF(E178&lt;101,E178,IF(E178&lt;201,E178/2,IF(E178&lt;=301,E178/3,E178/4))))</f>
        <v>1024.8167322899999</v>
      </c>
      <c r="G178" s="66" t="str">
        <f>A177</f>
        <v>3rd to 6th, 8th Floor For Residential</v>
      </c>
      <c r="H178" s="67"/>
      <c r="I178" s="36"/>
      <c r="J178" s="55">
        <f>10.764</f>
        <v>10.763999999999999</v>
      </c>
      <c r="M178" s="37">
        <v>301</v>
      </c>
      <c r="N178" s="37">
        <v>801</v>
      </c>
      <c r="P178" s="37" t="str">
        <f>M178&amp;""&amp;",..,"&amp;""&amp;N178</f>
        <v>301,..,801</v>
      </c>
    </row>
    <row r="179" spans="1:16" s="37" customFormat="1" ht="15.75" customHeight="1" x14ac:dyDescent="0.3">
      <c r="A179" s="64">
        <f>A178+1</f>
        <v>2</v>
      </c>
      <c r="B179" s="65"/>
      <c r="C179" s="54">
        <v>2</v>
      </c>
      <c r="D179" s="56">
        <f>(1.1*1.2+3.05*4.88+1.203*3.255+2.583*2.9+3.2*2.9+3.05*3.66+1.38*2.14+2.14*1.38+0.9*4.9+1.15*0.75+1.39*3.05)*(10.764)</f>
        <v>683.21115485999997</v>
      </c>
      <c r="E179" s="42">
        <v>0</v>
      </c>
      <c r="F179" s="42">
        <f t="shared" si="14"/>
        <v>1024.8167322899999</v>
      </c>
      <c r="G179" s="68"/>
      <c r="H179" s="69"/>
      <c r="I179" s="36"/>
      <c r="M179" s="37">
        <v>302</v>
      </c>
      <c r="N179" s="37">
        <v>802</v>
      </c>
      <c r="P179" s="37" t="str">
        <f t="shared" ref="P179:P182" si="15">M179&amp;""&amp;",..,"&amp;""&amp;N179</f>
        <v>302,..,802</v>
      </c>
    </row>
    <row r="180" spans="1:16" s="37" customFormat="1" ht="15.75" customHeight="1" x14ac:dyDescent="0.3">
      <c r="A180" s="64">
        <f t="shared" ref="A180:A183" si="16">A179+1</f>
        <v>3</v>
      </c>
      <c r="B180" s="65"/>
      <c r="C180" s="54">
        <v>2</v>
      </c>
      <c r="D180" s="56">
        <f>(1.1*1.2+3.05*4.88+1.203*3.255+2.583*2.9+3.2*2.9+3.05*3.66+1.38*2.14+2.14*1.38+0.9*4.9+1.15*0.75+1.39*3.05)*(10.764)</f>
        <v>683.21115485999997</v>
      </c>
      <c r="E180" s="42">
        <v>0</v>
      </c>
      <c r="F180" s="42">
        <f t="shared" si="14"/>
        <v>1024.8167322899999</v>
      </c>
      <c r="G180" s="68"/>
      <c r="H180" s="69"/>
      <c r="I180" s="36"/>
      <c r="M180" s="37">
        <v>303</v>
      </c>
      <c r="N180" s="37">
        <v>803</v>
      </c>
      <c r="P180" s="37" t="str">
        <f t="shared" si="15"/>
        <v>303,..,803</v>
      </c>
    </row>
    <row r="181" spans="1:16" s="37" customFormat="1" ht="15.75" customHeight="1" x14ac:dyDescent="0.3">
      <c r="A181" s="64">
        <f t="shared" si="16"/>
        <v>4</v>
      </c>
      <c r="B181" s="65"/>
      <c r="C181" s="54">
        <v>2</v>
      </c>
      <c r="D181" s="56">
        <f>(2.99*4.88+0.92*3.225+2.14*3.05+2.9*3.05+2.9*3.415+1.22*2.14+2.14*1.22+0.9*4.4+1.15*0.75)*(10.764)</f>
        <v>569.17663919999984</v>
      </c>
      <c r="E181" s="42">
        <v>0</v>
      </c>
      <c r="F181" s="42">
        <f t="shared" si="14"/>
        <v>853.7649587999997</v>
      </c>
      <c r="G181" s="68"/>
      <c r="H181" s="69"/>
      <c r="I181" s="36"/>
      <c r="M181" s="37">
        <v>304</v>
      </c>
      <c r="N181" s="37">
        <v>804</v>
      </c>
      <c r="P181" s="37" t="str">
        <f t="shared" si="15"/>
        <v>304,..,804</v>
      </c>
    </row>
    <row r="182" spans="1:16" s="37" customFormat="1" ht="15.75" customHeight="1" x14ac:dyDescent="0.3">
      <c r="A182" s="64">
        <f t="shared" si="16"/>
        <v>5</v>
      </c>
      <c r="B182" s="65"/>
      <c r="C182" s="54">
        <v>2</v>
      </c>
      <c r="D182" s="56">
        <f>(1.35*1+3.05*4.88+0.893*3.255+2.14*3.05+2.9*3.05+2.9*3.415+1.22*2.14+2.14*1.22+0.9*4.45+1.15*0.75)*(10.764)</f>
        <v>586.69521065999993</v>
      </c>
      <c r="E182" s="42">
        <v>0</v>
      </c>
      <c r="F182" s="42">
        <f t="shared" si="14"/>
        <v>880.04281598999989</v>
      </c>
      <c r="G182" s="68"/>
      <c r="H182" s="69"/>
      <c r="I182" s="36"/>
      <c r="M182" s="37">
        <v>305</v>
      </c>
      <c r="N182" s="37">
        <v>805</v>
      </c>
      <c r="P182" s="37" t="str">
        <f t="shared" si="15"/>
        <v>305,..,805</v>
      </c>
    </row>
    <row r="183" spans="1:16" s="37" customFormat="1" ht="15.75" customHeight="1" x14ac:dyDescent="0.3">
      <c r="A183" s="64">
        <f t="shared" si="16"/>
        <v>6</v>
      </c>
      <c r="B183" s="65"/>
      <c r="C183" s="54">
        <v>2</v>
      </c>
      <c r="D183" s="56">
        <f>(2.9*4.88+0.89*3.255+2.14*3.05+2.9*3.05+3.283*3.255+1.5*1.2+1.22*2.14+1.22*2.14+0.9*2.65+1.5*2.9+1.5*1.85)*(10.764)</f>
        <v>641.95112825999979</v>
      </c>
      <c r="E183" s="42">
        <v>0</v>
      </c>
      <c r="F183" s="42">
        <f t="shared" si="14"/>
        <v>962.92669238999974</v>
      </c>
      <c r="G183" s="70"/>
      <c r="H183" s="71"/>
      <c r="I183" s="36"/>
      <c r="M183" s="37">
        <v>305</v>
      </c>
      <c r="N183" s="37">
        <v>805</v>
      </c>
      <c r="P183" s="37" t="str">
        <f t="shared" ref="P183" si="17">M183&amp;""&amp;",..,"&amp;""&amp;N183</f>
        <v>305,..,805</v>
      </c>
    </row>
    <row r="184" spans="1:16" s="37" customFormat="1" ht="15.75" customHeight="1" x14ac:dyDescent="0.3">
      <c r="A184" s="72" t="s">
        <v>201</v>
      </c>
      <c r="B184" s="72"/>
      <c r="C184" s="72"/>
      <c r="D184" s="72"/>
      <c r="E184" s="72"/>
      <c r="F184" s="72"/>
      <c r="G184" s="72"/>
      <c r="H184" s="72"/>
      <c r="I184" s="60"/>
      <c r="J184" s="61"/>
      <c r="K184" s="61"/>
      <c r="L184" s="61"/>
      <c r="M184" s="61"/>
    </row>
    <row r="185" spans="1:16" s="37" customFormat="1" ht="15.75" customHeight="1" x14ac:dyDescent="0.3">
      <c r="A185" s="64">
        <v>1</v>
      </c>
      <c r="B185" s="65"/>
      <c r="C185" s="54">
        <v>2</v>
      </c>
      <c r="D185" s="56">
        <f>(1.1*1.2+3.05*4.88+1.203*3.255+2.583*2.9+3.2*2.9+3.05*3.66+1.38*2.14+2.14*1.38+0.9*4.9+1.15*0.75+1.39*3.05)*(10.764)</f>
        <v>683.21115485999997</v>
      </c>
      <c r="E185" s="42">
        <v>0</v>
      </c>
      <c r="F185" s="42">
        <f t="shared" ref="F185:F190" si="18">D185*(($F$133)+1)+(IF(E185&lt;101,E185,IF(E185&lt;201,E185/2,IF(E185&lt;=301,E185/3,E185/4))))</f>
        <v>1024.8167322899999</v>
      </c>
      <c r="G185" s="66" t="str">
        <f>A184</f>
        <v>7th Floor (Part Refuge Area)</v>
      </c>
      <c r="H185" s="67"/>
      <c r="I185" s="60"/>
      <c r="J185" s="61"/>
      <c r="K185" s="61"/>
      <c r="L185" s="61"/>
      <c r="M185" s="61"/>
      <c r="N185" s="37">
        <v>801</v>
      </c>
      <c r="P185" s="37" t="str">
        <f>M185&amp;""&amp;",..,"&amp;""&amp;N185</f>
        <v>,..,801</v>
      </c>
    </row>
    <row r="186" spans="1:16" s="37" customFormat="1" ht="15.75" customHeight="1" x14ac:dyDescent="0.3">
      <c r="A186" s="64">
        <f>A185+1</f>
        <v>2</v>
      </c>
      <c r="B186" s="65"/>
      <c r="C186" s="54">
        <v>2</v>
      </c>
      <c r="D186" s="56">
        <f>(1.1*1.2+3.05*4.88+1.203*3.255+2.583*2.9+3.2*2.9+3.05*3.66+1.38*2.14+2.14*1.38+0.9*4.9+1.15*0.75+1.39*3.05)*(10.764)</f>
        <v>683.21115485999997</v>
      </c>
      <c r="E186" s="42">
        <v>0</v>
      </c>
      <c r="F186" s="42">
        <f t="shared" si="18"/>
        <v>1024.8167322899999</v>
      </c>
      <c r="G186" s="68"/>
      <c r="H186" s="69"/>
      <c r="I186" s="60"/>
      <c r="J186" s="61"/>
      <c r="K186" s="61"/>
      <c r="L186" s="61"/>
      <c r="M186" s="61"/>
      <c r="N186" s="37">
        <v>802</v>
      </c>
      <c r="P186" s="37" t="str">
        <f t="shared" ref="P186:P190" si="19">M186&amp;""&amp;",..,"&amp;""&amp;N186</f>
        <v>,..,802</v>
      </c>
    </row>
    <row r="187" spans="1:16" s="37" customFormat="1" ht="15.75" customHeight="1" x14ac:dyDescent="0.3">
      <c r="A187" s="64">
        <f t="shared" ref="A187:A190" si="20">A186+1</f>
        <v>3</v>
      </c>
      <c r="B187" s="65"/>
      <c r="C187" s="54">
        <v>2</v>
      </c>
      <c r="D187" s="56">
        <f>(1.1*1.2+3.05*4.88+1.203*3.255+2.583*2.9+3.2*2.9+3.05*3.66+1.38*2.14+2.14*1.38+0.9*4.9+1.15*0.75+1.39*3.05)*(10.764)</f>
        <v>683.21115485999997</v>
      </c>
      <c r="E187" s="42">
        <v>0</v>
      </c>
      <c r="F187" s="42">
        <f t="shared" si="18"/>
        <v>1024.8167322899999</v>
      </c>
      <c r="G187" s="68"/>
      <c r="H187" s="69"/>
      <c r="I187" s="60"/>
      <c r="J187" s="61"/>
      <c r="K187" s="61"/>
      <c r="L187" s="61"/>
      <c r="M187" s="61"/>
      <c r="N187" s="37">
        <v>803</v>
      </c>
      <c r="P187" s="37" t="str">
        <f t="shared" si="19"/>
        <v>,..,803</v>
      </c>
    </row>
    <row r="188" spans="1:16" s="37" customFormat="1" ht="15.75" customHeight="1" x14ac:dyDescent="0.3">
      <c r="A188" s="64">
        <f t="shared" si="20"/>
        <v>4</v>
      </c>
      <c r="B188" s="65"/>
      <c r="C188" s="54">
        <v>2</v>
      </c>
      <c r="D188" s="56">
        <f>(2.99*4.88+0.92*3.225+2.14*3.05+2.9*3.05+2.9*3.415+1.22*2.14+2.14*1.22+0.9*4.4+1.15*0.75)*(10.764)</f>
        <v>569.17663919999984</v>
      </c>
      <c r="E188" s="42">
        <v>0</v>
      </c>
      <c r="F188" s="42">
        <f t="shared" si="18"/>
        <v>853.7649587999997</v>
      </c>
      <c r="G188" s="68"/>
      <c r="H188" s="69"/>
      <c r="I188" s="60"/>
      <c r="J188" s="61"/>
      <c r="K188" s="61"/>
      <c r="L188" s="61"/>
      <c r="M188" s="61"/>
      <c r="N188" s="37">
        <v>804</v>
      </c>
      <c r="P188" s="37" t="str">
        <f t="shared" si="19"/>
        <v>,..,804</v>
      </c>
    </row>
    <row r="189" spans="1:16" s="37" customFormat="1" ht="15.75" customHeight="1" x14ac:dyDescent="0.3">
      <c r="A189" s="64">
        <f t="shared" si="20"/>
        <v>5</v>
      </c>
      <c r="B189" s="65"/>
      <c r="C189" s="54">
        <v>2</v>
      </c>
      <c r="D189" s="56">
        <f>(1.35*1+3.05*4.88+0.893*3.255+2.14*3.05+2.9*3.05+2.9*3.415+1.22*2.14+2.14*1.22+0.9*4.45+1.15*0.75)*(10.764)</f>
        <v>586.69521065999993</v>
      </c>
      <c r="E189" s="42">
        <v>0</v>
      </c>
      <c r="F189" s="42">
        <f t="shared" si="18"/>
        <v>880.04281598999989</v>
      </c>
      <c r="G189" s="68"/>
      <c r="H189" s="69"/>
      <c r="I189" s="60"/>
      <c r="J189" s="61"/>
      <c r="K189" s="61"/>
      <c r="L189" s="61"/>
      <c r="M189" s="61"/>
      <c r="N189" s="37">
        <v>805</v>
      </c>
      <c r="P189" s="37" t="str">
        <f t="shared" si="19"/>
        <v>,..,805</v>
      </c>
    </row>
    <row r="190" spans="1:16" s="37" customFormat="1" ht="15.75" customHeight="1" x14ac:dyDescent="0.3">
      <c r="A190" s="64">
        <f t="shared" si="20"/>
        <v>6</v>
      </c>
      <c r="B190" s="65"/>
      <c r="C190" s="54">
        <v>2</v>
      </c>
      <c r="D190" s="56">
        <f>(2.9*4.88+0.89*3.255+2.14*3.05+2.9*3.05+3.283*3.255+1.5*1.2+1.22*2.14+1.22*2.14+0.9*2.65+1.5*2.9+1.5*1.85)*(10.764)</f>
        <v>641.95112825999979</v>
      </c>
      <c r="E190" s="42">
        <v>0</v>
      </c>
      <c r="F190" s="42">
        <f t="shared" si="18"/>
        <v>962.92669238999974</v>
      </c>
      <c r="G190" s="70"/>
      <c r="H190" s="71"/>
      <c r="I190" s="60"/>
      <c r="J190" s="61"/>
      <c r="K190" s="61"/>
      <c r="L190" s="61"/>
      <c r="M190" s="61"/>
      <c r="N190" s="37">
        <v>805</v>
      </c>
      <c r="P190" s="37" t="str">
        <f t="shared" si="19"/>
        <v>,..,805</v>
      </c>
    </row>
    <row r="191" spans="1:16" s="37" customFormat="1" ht="15.75" customHeight="1" x14ac:dyDescent="0.3">
      <c r="A191" s="72" t="s">
        <v>226</v>
      </c>
      <c r="B191" s="72"/>
      <c r="C191" s="72"/>
      <c r="D191" s="72"/>
      <c r="E191" s="72"/>
      <c r="F191" s="72"/>
      <c r="G191" s="72"/>
      <c r="H191" s="72"/>
      <c r="I191" s="60"/>
      <c r="J191" s="61"/>
      <c r="K191" s="61"/>
      <c r="L191" s="61"/>
      <c r="M191" s="61"/>
    </row>
    <row r="192" spans="1:16" s="37" customFormat="1" ht="15.75" customHeight="1" x14ac:dyDescent="0.3">
      <c r="A192" s="64">
        <v>1</v>
      </c>
      <c r="B192" s="65"/>
      <c r="C192" s="54">
        <v>2</v>
      </c>
      <c r="D192" s="56">
        <f>(1.1*1.2+3.05*4.88+1.203*3.255+2.583*2.9+3.2*2.9+3.05*3.66+1.38*2.14+2.14*1.38+0.9*4.9+1.15*0.75+1.39*3.05)*(10.764)</f>
        <v>683.21115485999997</v>
      </c>
      <c r="E192" s="42">
        <v>0</v>
      </c>
      <c r="F192" s="42">
        <f>D192*(($F$133)+1)+(IF(E192&lt;101,E192,IF(E192&lt;201,E192/2,IF(E192&lt;=301,E192/3,E192/4))))</f>
        <v>1024.8167322899999</v>
      </c>
      <c r="G192" s="66" t="str">
        <f>A191</f>
        <v>9th Floor (Part Terrace Area)</v>
      </c>
      <c r="H192" s="67"/>
      <c r="I192" s="60"/>
      <c r="J192" s="61"/>
      <c r="K192" s="61"/>
      <c r="L192" s="61"/>
      <c r="M192" s="61"/>
      <c r="N192" s="37">
        <v>801</v>
      </c>
      <c r="P192" s="37" t="str">
        <f>M192&amp;""&amp;",..,"&amp;""&amp;N192</f>
        <v>,..,801</v>
      </c>
    </row>
    <row r="193" spans="1:16" s="37" customFormat="1" ht="15.75" customHeight="1" x14ac:dyDescent="0.3">
      <c r="A193" s="64">
        <f>A192+1</f>
        <v>2</v>
      </c>
      <c r="B193" s="65"/>
      <c r="C193" s="54">
        <v>2</v>
      </c>
      <c r="D193" s="56">
        <f>(1.1*1.2+3.05*4.88+1.203*3.255+2.583*2.9+3.2*2.9+3.05*3.66+1.38*2.14+2.14*1.38+0.9*4.9+1.15*0.75+1.39*3.05)*(10.764)</f>
        <v>683.21115485999997</v>
      </c>
      <c r="E193" s="42">
        <v>0</v>
      </c>
      <c r="F193" s="42">
        <f>D193*(($F$133)+1)+(IF(E193&lt;101,E193,IF(E193&lt;201,E193/2,IF(E193&lt;=301,E193/3,E193/4))))</f>
        <v>1024.8167322899999</v>
      </c>
      <c r="G193" s="68"/>
      <c r="H193" s="69"/>
      <c r="I193" s="60"/>
      <c r="J193" s="61"/>
      <c r="K193" s="61"/>
      <c r="L193" s="61"/>
      <c r="M193" s="61"/>
      <c r="N193" s="37">
        <v>802</v>
      </c>
      <c r="P193" s="37" t="str">
        <f t="shared" ref="P193:P197" si="21">M193&amp;""&amp;",..,"&amp;""&amp;N193</f>
        <v>,..,802</v>
      </c>
    </row>
    <row r="194" spans="1:16" s="37" customFormat="1" ht="15.75" customHeight="1" x14ac:dyDescent="0.3">
      <c r="A194" s="64">
        <f t="shared" ref="A194:A197" si="22">A193+1</f>
        <v>3</v>
      </c>
      <c r="B194" s="65"/>
      <c r="C194" s="54">
        <v>2</v>
      </c>
      <c r="D194" s="56">
        <f>(1.1*1.2+3.05*4.88+1.203*3.255+2.583*2.9+3.2*2.9+3.05*3.66+1.38*2.14+2.14*1.38+0.9*4.9+1.15*0.75+1.39*3.05)*(10.764)</f>
        <v>683.21115485999997</v>
      </c>
      <c r="E194" s="42">
        <v>0</v>
      </c>
      <c r="F194" s="42">
        <f>D194*(($F$133)+1)+(IF(E194&lt;101,E194,IF(E194&lt;201,E194/2,IF(E194&lt;=301,E194/3,E194/4))))</f>
        <v>1024.8167322899999</v>
      </c>
      <c r="G194" s="68"/>
      <c r="H194" s="69"/>
      <c r="I194" s="60"/>
      <c r="J194" s="61"/>
      <c r="K194" s="61"/>
      <c r="L194" s="61"/>
      <c r="M194" s="61"/>
      <c r="N194" s="37">
        <v>803</v>
      </c>
      <c r="P194" s="37" t="str">
        <f t="shared" si="21"/>
        <v>,..,803</v>
      </c>
    </row>
    <row r="195" spans="1:16" s="37" customFormat="1" ht="15.75" customHeight="1" x14ac:dyDescent="0.3">
      <c r="A195" s="64">
        <f t="shared" si="22"/>
        <v>4</v>
      </c>
      <c r="B195" s="65"/>
      <c r="C195" s="54">
        <v>2</v>
      </c>
      <c r="D195" s="56">
        <f>(2.99*4.88+0.92*3.225+2.14*3.05+2.9*3.05+2.9*3.415+1.22*2.14+2.14*1.22+0.9*4.4+1.15*0.75)*(10.764)</f>
        <v>569.17663919999984</v>
      </c>
      <c r="E195" s="42">
        <v>0</v>
      </c>
      <c r="F195" s="42">
        <f>D195*(($F$133)+1)+(IF(E195&lt;101,E195,IF(E195&lt;201,E195/2,IF(E195&lt;=301,E195/3,E195/4))))</f>
        <v>853.7649587999997</v>
      </c>
      <c r="G195" s="68"/>
      <c r="H195" s="69"/>
      <c r="I195" s="60"/>
      <c r="J195" s="61"/>
      <c r="K195" s="61"/>
      <c r="L195" s="61"/>
      <c r="M195" s="61"/>
      <c r="N195" s="37">
        <v>804</v>
      </c>
      <c r="P195" s="37" t="str">
        <f t="shared" si="21"/>
        <v>,..,804</v>
      </c>
    </row>
    <row r="196" spans="1:16" s="37" customFormat="1" ht="15.75" customHeight="1" x14ac:dyDescent="0.3">
      <c r="A196" s="64">
        <f t="shared" si="22"/>
        <v>5</v>
      </c>
      <c r="B196" s="65"/>
      <c r="C196" s="54">
        <v>2</v>
      </c>
      <c r="D196" s="56">
        <f>(1.35*1+3.05*4.88+0.893*3.255+2.14*3.05+2.9*3.05+2.9*3.415+1.22*2.14+2.14*1.22+0.9*4.45+1.15*0.75)*(10.764)</f>
        <v>586.69521065999993</v>
      </c>
      <c r="E196" s="42">
        <v>0</v>
      </c>
      <c r="F196" s="42">
        <f>D196*(($F$133)+1)+(IF(E196&lt;101,E196,IF(E196&lt;201,E196/2,IF(E196&lt;=301,E196/3,E196/4))))</f>
        <v>880.04281598999989</v>
      </c>
      <c r="G196" s="68"/>
      <c r="H196" s="69"/>
      <c r="I196" s="60"/>
      <c r="J196" s="61"/>
      <c r="K196" s="61"/>
      <c r="L196" s="61"/>
      <c r="M196" s="61"/>
      <c r="N196" s="37">
        <v>805</v>
      </c>
      <c r="P196" s="37" t="str">
        <f t="shared" si="21"/>
        <v>,..,805</v>
      </c>
    </row>
    <row r="197" spans="1:16" s="37" customFormat="1" ht="15.75" customHeight="1" x14ac:dyDescent="0.3">
      <c r="A197" s="64">
        <f t="shared" si="22"/>
        <v>6</v>
      </c>
      <c r="B197" s="65"/>
      <c r="C197" s="73" t="s">
        <v>227</v>
      </c>
      <c r="D197" s="74"/>
      <c r="E197" s="74"/>
      <c r="F197" s="75"/>
      <c r="G197" s="70"/>
      <c r="H197" s="71"/>
      <c r="I197" s="60"/>
      <c r="J197" s="61"/>
      <c r="K197" s="61"/>
      <c r="L197" s="61"/>
      <c r="M197" s="61"/>
      <c r="N197" s="37">
        <v>805</v>
      </c>
      <c r="P197" s="37" t="str">
        <f t="shared" si="21"/>
        <v>,..,805</v>
      </c>
    </row>
    <row r="198" spans="1:16" s="37" customFormat="1" ht="15.75" customHeight="1" x14ac:dyDescent="0.3">
      <c r="A198" s="72" t="s">
        <v>228</v>
      </c>
      <c r="B198" s="72"/>
      <c r="C198" s="72"/>
      <c r="D198" s="72"/>
      <c r="E198" s="72"/>
      <c r="F198" s="72"/>
      <c r="G198" s="72"/>
      <c r="H198" s="72"/>
      <c r="I198" s="60"/>
      <c r="J198" s="61"/>
      <c r="K198" s="61"/>
      <c r="L198" s="61"/>
      <c r="M198" s="61"/>
    </row>
    <row r="199" spans="1:16" s="37" customFormat="1" ht="15.75" customHeight="1" x14ac:dyDescent="0.3">
      <c r="A199" s="64">
        <v>1</v>
      </c>
      <c r="B199" s="65"/>
      <c r="C199" s="54">
        <v>2</v>
      </c>
      <c r="D199" s="56">
        <f>(1.1*1.2+3.05*4.88+1.203*3.255+2.583*2.9+3.2*2.9+3.05*3.66+1.38*2.14+2.14*1.38+0.9*4.9+1.15*0.75+1.39*3.05)*(10.764)</f>
        <v>683.21115485999997</v>
      </c>
      <c r="E199" s="42">
        <v>0</v>
      </c>
      <c r="F199" s="42">
        <f>D199*(($F$133)+1)+(IF(E199&lt;101,E199,IF(E199&lt;201,E199/2,IF(E199&lt;=301,E199/3,E199/4))))</f>
        <v>1024.8167322899999</v>
      </c>
      <c r="G199" s="66" t="str">
        <f>A198</f>
        <v>10th, 12th &amp; 14th Floor</v>
      </c>
      <c r="H199" s="67"/>
      <c r="I199" s="60"/>
      <c r="J199" s="61"/>
      <c r="K199" s="61"/>
      <c r="L199" s="61"/>
      <c r="M199" s="61"/>
      <c r="N199" s="37">
        <v>801</v>
      </c>
      <c r="P199" s="37" t="str">
        <f>M199&amp;""&amp;",..,"&amp;""&amp;N199</f>
        <v>,..,801</v>
      </c>
    </row>
    <row r="200" spans="1:16" s="37" customFormat="1" ht="15.75" customHeight="1" x14ac:dyDescent="0.3">
      <c r="A200" s="64">
        <f>A199+1</f>
        <v>2</v>
      </c>
      <c r="B200" s="65"/>
      <c r="C200" s="54">
        <v>2</v>
      </c>
      <c r="D200" s="56">
        <f>(1.1*1.2+3.05*4.88+1.203*3.255+2.583*2.9+3.2*2.9+3.05*3.66+1.38*2.14+2.14*1.38+0.9*4.9+1.15*0.75+1.39*3.05)*(10.764)</f>
        <v>683.21115485999997</v>
      </c>
      <c r="E200" s="42">
        <v>0</v>
      </c>
      <c r="F200" s="42">
        <f>D200*(($F$133)+1)+(IF(E200&lt;101,E200,IF(E200&lt;201,E200/2,IF(E200&lt;=301,E200/3,E200/4))))</f>
        <v>1024.8167322899999</v>
      </c>
      <c r="G200" s="68"/>
      <c r="H200" s="69"/>
      <c r="I200" s="60"/>
      <c r="J200" s="61"/>
      <c r="K200" s="61"/>
      <c r="L200" s="61"/>
      <c r="M200" s="61"/>
      <c r="N200" s="37">
        <v>802</v>
      </c>
      <c r="P200" s="37" t="str">
        <f t="shared" ref="P200:P203" si="23">M200&amp;""&amp;",..,"&amp;""&amp;N200</f>
        <v>,..,802</v>
      </c>
    </row>
    <row r="201" spans="1:16" s="37" customFormat="1" ht="15.75" customHeight="1" x14ac:dyDescent="0.3">
      <c r="A201" s="64">
        <f t="shared" ref="A201:A203" si="24">A200+1</f>
        <v>3</v>
      </c>
      <c r="B201" s="65"/>
      <c r="C201" s="54">
        <v>2</v>
      </c>
      <c r="D201" s="56">
        <f>(1.1*1.2+3.05*4.88+1.203*3.255+2.583*2.9+3.2*2.9+3.05*3.66+1.38*2.14+2.14*1.38+0.9*4.9+1.15*0.75+1.39*3.05)*(10.764)</f>
        <v>683.21115485999997</v>
      </c>
      <c r="E201" s="42">
        <v>0</v>
      </c>
      <c r="F201" s="42">
        <f>D201*(($F$133)+1)+(IF(E201&lt;101,E201,IF(E201&lt;201,E201/2,IF(E201&lt;=301,E201/3,E201/4))))</f>
        <v>1024.8167322899999</v>
      </c>
      <c r="G201" s="68"/>
      <c r="H201" s="69"/>
      <c r="I201" s="60"/>
      <c r="J201" s="61"/>
      <c r="K201" s="61"/>
      <c r="L201" s="61"/>
      <c r="M201" s="61"/>
      <c r="N201" s="37">
        <v>803</v>
      </c>
      <c r="P201" s="37" t="str">
        <f t="shared" si="23"/>
        <v>,..,803</v>
      </c>
    </row>
    <row r="202" spans="1:16" s="37" customFormat="1" ht="15.75" customHeight="1" x14ac:dyDescent="0.3">
      <c r="A202" s="64">
        <f t="shared" si="24"/>
        <v>4</v>
      </c>
      <c r="B202" s="65"/>
      <c r="C202" s="54">
        <v>2</v>
      </c>
      <c r="D202" s="56">
        <f>(2.99*4.88+0.92*3.225+2.14*3.05+2.9*3.05+2.9*3.415+1.22*2.14+2.14*1.22+0.9*4.4+1.15*0.75)*(10.764)</f>
        <v>569.17663919999984</v>
      </c>
      <c r="E202" s="42">
        <v>0</v>
      </c>
      <c r="F202" s="42">
        <f>D202*(($F$133)+1)+(IF(E202&lt;101,E202,IF(E202&lt;201,E202/2,IF(E202&lt;=301,E202/3,E202/4))))</f>
        <v>853.7649587999997</v>
      </c>
      <c r="G202" s="68"/>
      <c r="H202" s="69"/>
      <c r="I202" s="60"/>
      <c r="J202" s="61"/>
      <c r="K202" s="61"/>
      <c r="L202" s="61"/>
      <c r="M202" s="61"/>
      <c r="N202" s="37">
        <v>804</v>
      </c>
      <c r="P202" s="37" t="str">
        <f t="shared" si="23"/>
        <v>,..,804</v>
      </c>
    </row>
    <row r="203" spans="1:16" s="37" customFormat="1" ht="15.75" customHeight="1" x14ac:dyDescent="0.3">
      <c r="A203" s="64">
        <f t="shared" si="24"/>
        <v>5</v>
      </c>
      <c r="B203" s="65"/>
      <c r="C203" s="54">
        <v>2</v>
      </c>
      <c r="D203" s="56">
        <f>(1.35*1+3.05*4.88+0.893*3.255+2.14*3.05+2.9*3.05+2.9*3.415+1.22*2.14+2.14*1.22+0.9*4.45+1.15*0.75)*(10.764)</f>
        <v>586.69521065999993</v>
      </c>
      <c r="E203" s="42">
        <v>0</v>
      </c>
      <c r="F203" s="42">
        <f>D203*(($F$133)+1)+(IF(E203&lt;101,E203,IF(E203&lt;201,E203/2,IF(E203&lt;=301,E203/3,E203/4))))</f>
        <v>880.04281598999989</v>
      </c>
      <c r="G203" s="68"/>
      <c r="H203" s="69"/>
      <c r="I203" s="60"/>
      <c r="J203" s="61"/>
      <c r="K203" s="61"/>
      <c r="L203" s="61"/>
      <c r="M203" s="61"/>
      <c r="N203" s="37">
        <v>805</v>
      </c>
      <c r="P203" s="37" t="str">
        <f t="shared" si="23"/>
        <v>,..,805</v>
      </c>
    </row>
    <row r="204" spans="1:16" s="37" customFormat="1" ht="15.75" customHeight="1" x14ac:dyDescent="0.3">
      <c r="A204" s="72" t="s">
        <v>229</v>
      </c>
      <c r="B204" s="72"/>
      <c r="C204" s="72"/>
      <c r="D204" s="72"/>
      <c r="E204" s="72"/>
      <c r="F204" s="72"/>
      <c r="G204" s="72"/>
      <c r="H204" s="72"/>
      <c r="I204" s="60"/>
      <c r="J204" s="61"/>
      <c r="K204" s="61"/>
      <c r="L204" s="61"/>
      <c r="M204" s="61"/>
    </row>
    <row r="205" spans="1:16" s="37" customFormat="1" ht="15.75" customHeight="1" x14ac:dyDescent="0.3">
      <c r="A205" s="201">
        <v>1</v>
      </c>
      <c r="B205" s="202"/>
      <c r="C205" s="203">
        <v>2</v>
      </c>
      <c r="D205" s="204">
        <f>(1.1*1.2+3.05*4.88+1.203*3.255+2.583*2.9+3.2*2.9+3.05*3.66+1.38*2.14+2.14*1.38+0.9*4.9+1.15*0.75+1.39*3.05)*(10.764)</f>
        <v>683.21115485999997</v>
      </c>
      <c r="E205" s="205">
        <v>0</v>
      </c>
      <c r="F205" s="205">
        <f>D205*(($F$133)+1)+(IF(E205&lt;101,E205,IF(E205&lt;201,E205/2,IF(E205&lt;=301,E205/3,E205/4))))</f>
        <v>1024.8167322899999</v>
      </c>
      <c r="G205" s="206" t="str">
        <f>A204</f>
        <v>11th &amp; 13th Floor (Part Refuge Area)</v>
      </c>
      <c r="H205" s="207"/>
      <c r="I205" s="60"/>
      <c r="J205" s="61"/>
      <c r="K205" s="61"/>
      <c r="L205" s="61"/>
      <c r="M205" s="61"/>
      <c r="N205" s="37">
        <v>801</v>
      </c>
      <c r="P205" s="37" t="str">
        <f>M205&amp;""&amp;",..,"&amp;""&amp;N205</f>
        <v>,..,801</v>
      </c>
    </row>
    <row r="206" spans="1:16" s="37" customFormat="1" ht="15.75" customHeight="1" x14ac:dyDescent="0.3">
      <c r="A206" s="201">
        <f>A205+1</f>
        <v>2</v>
      </c>
      <c r="B206" s="202"/>
      <c r="C206" s="203">
        <v>2</v>
      </c>
      <c r="D206" s="204">
        <f>(1.1*1.2+3.05*4.88+1.203*3.255+2.583*2.9+3.2*2.9+3.05*3.66+1.38*2.14+2.14*1.38+0.9*4.9+1.15*0.75+1.39*3.05)*(10.764)</f>
        <v>683.21115485999997</v>
      </c>
      <c r="E206" s="205">
        <v>0</v>
      </c>
      <c r="F206" s="205">
        <f>D206*(($F$133)+1)+(IF(E206&lt;101,E206,IF(E206&lt;201,E206/2,IF(E206&lt;=301,E206/3,E206/4))))</f>
        <v>1024.8167322899999</v>
      </c>
      <c r="G206" s="208"/>
      <c r="H206" s="209"/>
      <c r="I206" s="60"/>
      <c r="J206" s="61"/>
      <c r="K206" s="61"/>
      <c r="L206" s="61"/>
      <c r="M206" s="61"/>
      <c r="N206" s="37">
        <v>802</v>
      </c>
      <c r="P206" s="37" t="str">
        <f t="shared" ref="P206:P209" si="25">M206&amp;""&amp;",..,"&amp;""&amp;N206</f>
        <v>,..,802</v>
      </c>
    </row>
    <row r="207" spans="1:16" s="37" customFormat="1" ht="15.75" customHeight="1" x14ac:dyDescent="0.3">
      <c r="A207" s="201">
        <f t="shared" ref="A207:A209" si="26">A206+1</f>
        <v>3</v>
      </c>
      <c r="B207" s="202"/>
      <c r="C207" s="203">
        <v>2</v>
      </c>
      <c r="D207" s="204">
        <f>(1.1*1.2+3.05*4.88+1.203*3.255+2.583*2.9+3.2*2.9+3.05*3.66+1.38*2.14+2.14*1.38+0.9*4.9+1.15*0.75+1.39*3.05)*(10.764)</f>
        <v>683.21115485999997</v>
      </c>
      <c r="E207" s="205">
        <v>0</v>
      </c>
      <c r="F207" s="205">
        <f>D207*(($F$133)+1)+(IF(E207&lt;101,E207,IF(E207&lt;201,E207/2,IF(E207&lt;=301,E207/3,E207/4))))</f>
        <v>1024.8167322899999</v>
      </c>
      <c r="G207" s="208"/>
      <c r="H207" s="209"/>
      <c r="I207" s="60"/>
      <c r="J207" s="61"/>
      <c r="K207" s="61"/>
      <c r="L207" s="61"/>
      <c r="M207" s="61"/>
      <c r="N207" s="37">
        <v>803</v>
      </c>
      <c r="P207" s="37" t="str">
        <f t="shared" si="25"/>
        <v>,..,803</v>
      </c>
    </row>
    <row r="208" spans="1:16" s="37" customFormat="1" ht="15.75" customHeight="1" x14ac:dyDescent="0.3">
      <c r="A208" s="201">
        <f t="shared" si="26"/>
        <v>4</v>
      </c>
      <c r="B208" s="202"/>
      <c r="C208" s="203">
        <v>2</v>
      </c>
      <c r="D208" s="204">
        <f>(2.99*4.88+0.92*3.225+2.14*3.05+2.9*3.05+2.9*3.415+1.22*2.14+2.14*1.22+0.9*4.4+1.15*0.75)*(10.764)</f>
        <v>569.17663919999984</v>
      </c>
      <c r="E208" s="205">
        <v>0</v>
      </c>
      <c r="F208" s="205">
        <f>D208*(($F$133)+1)+(IF(E208&lt;101,E208,IF(E208&lt;201,E208/2,IF(E208&lt;=301,E208/3,E208/4))))</f>
        <v>853.7649587999997</v>
      </c>
      <c r="G208" s="208"/>
      <c r="H208" s="209"/>
      <c r="I208" s="60"/>
      <c r="J208" s="61"/>
      <c r="K208" s="61"/>
      <c r="L208" s="61"/>
      <c r="M208" s="61"/>
      <c r="N208" s="37">
        <v>804</v>
      </c>
      <c r="P208" s="37" t="str">
        <f t="shared" si="25"/>
        <v>,..,804</v>
      </c>
    </row>
    <row r="209" spans="1:16" s="37" customFormat="1" ht="15.75" customHeight="1" x14ac:dyDescent="0.3">
      <c r="A209" s="201">
        <f t="shared" si="26"/>
        <v>5</v>
      </c>
      <c r="B209" s="202"/>
      <c r="C209" s="203">
        <v>2</v>
      </c>
      <c r="D209" s="204">
        <f>(1.35*1+3.05*4.88+0.893*3.255+2.14*3.05+2.9*3.05+2.9*3.415+1.22*2.14+2.14*1.22+0.9*4.45+1.15*0.75)*(10.764)</f>
        <v>586.69521065999993</v>
      </c>
      <c r="E209" s="205">
        <v>0</v>
      </c>
      <c r="F209" s="205">
        <f>D209*(($F$133)+1)+(IF(E209&lt;101,E209,IF(E209&lt;201,E209/2,IF(E209&lt;=301,E209/3,E209/4))))</f>
        <v>880.04281598999989</v>
      </c>
      <c r="G209" s="208"/>
      <c r="H209" s="209"/>
      <c r="I209" s="60"/>
      <c r="J209" s="61"/>
      <c r="K209" s="61"/>
      <c r="L209" s="61"/>
      <c r="M209" s="61"/>
      <c r="N209" s="37">
        <v>805</v>
      </c>
      <c r="P209" s="37" t="str">
        <f t="shared" si="25"/>
        <v>,..,805</v>
      </c>
    </row>
    <row r="210" spans="1:16" s="37" customFormat="1" hidden="1" x14ac:dyDescent="0.3">
      <c r="A210" s="141" t="s">
        <v>122</v>
      </c>
      <c r="B210" s="142"/>
      <c r="C210" s="142"/>
      <c r="D210" s="142"/>
      <c r="E210" s="142"/>
      <c r="F210" s="142"/>
      <c r="G210" s="142"/>
      <c r="H210" s="143"/>
      <c r="J210" s="36"/>
    </row>
    <row r="211" spans="1:16" s="37" customFormat="1" hidden="1" x14ac:dyDescent="0.3">
      <c r="A211" s="201">
        <v>1</v>
      </c>
      <c r="B211" s="202"/>
      <c r="C211" s="203"/>
      <c r="D211" s="205"/>
      <c r="E211" s="205">
        <v>0</v>
      </c>
      <c r="F211" s="205">
        <f>D211*(($F$133)+1)+(IF(E211&lt;101,E211,IF(E211&lt;201,E211/2,IF(E211&lt;=301,E211/3,E211/4))))</f>
        <v>0</v>
      </c>
      <c r="G211" s="201" t="str">
        <f>A210</f>
        <v>Ground Floor</v>
      </c>
      <c r="H211" s="202"/>
      <c r="I211" s="36"/>
      <c r="L211" s="184"/>
      <c r="M211" s="184"/>
      <c r="N211" s="36"/>
    </row>
    <row r="212" spans="1:16" s="37" customFormat="1" hidden="1" x14ac:dyDescent="0.3">
      <c r="A212" s="201">
        <f t="shared" ref="A212:A214" si="27">A211+1</f>
        <v>2</v>
      </c>
      <c r="B212" s="202"/>
      <c r="C212" s="203"/>
      <c r="D212" s="205"/>
      <c r="E212" s="205">
        <v>0</v>
      </c>
      <c r="F212" s="205">
        <f>D212*(($F$133)+1)+(IF(E212&lt;101,E212,IF(E212&lt;201,E212/2,IF(E212&lt;=301,E212/3,E212/4))))</f>
        <v>0</v>
      </c>
      <c r="G212" s="201" t="str">
        <f t="shared" ref="G212:G214" si="28">G211</f>
        <v>Ground Floor</v>
      </c>
      <c r="H212" s="202"/>
      <c r="I212" s="36"/>
      <c r="L212" s="184"/>
      <c r="M212" s="184"/>
      <c r="N212" s="36"/>
    </row>
    <row r="213" spans="1:16" s="37" customFormat="1" hidden="1" x14ac:dyDescent="0.3">
      <c r="A213" s="201">
        <f t="shared" si="27"/>
        <v>3</v>
      </c>
      <c r="B213" s="202"/>
      <c r="C213" s="203"/>
      <c r="D213" s="205"/>
      <c r="E213" s="205">
        <v>0</v>
      </c>
      <c r="F213" s="205">
        <f>D213*(($F$133)+1)+(IF(E213&lt;101,E213,IF(E213&lt;201,E213/2,IF(E213&lt;=301,E213/3,E213/4))))</f>
        <v>0</v>
      </c>
      <c r="G213" s="201" t="str">
        <f t="shared" si="28"/>
        <v>Ground Floor</v>
      </c>
      <c r="H213" s="202"/>
      <c r="I213" s="36"/>
      <c r="L213" s="184"/>
      <c r="M213" s="184"/>
      <c r="N213" s="36"/>
    </row>
    <row r="214" spans="1:16" s="37" customFormat="1" hidden="1" x14ac:dyDescent="0.3">
      <c r="A214" s="201">
        <f t="shared" si="27"/>
        <v>4</v>
      </c>
      <c r="B214" s="202"/>
      <c r="C214" s="203"/>
      <c r="D214" s="205"/>
      <c r="E214" s="205">
        <v>0</v>
      </c>
      <c r="F214" s="205">
        <f>D214*(($F$133)+1)+(IF(E214&lt;101,E214,IF(E214&lt;201,E214/2,IF(E214&lt;=301,E214/3,E214/4))))</f>
        <v>0</v>
      </c>
      <c r="G214" s="201" t="str">
        <f t="shared" si="28"/>
        <v>Ground Floor</v>
      </c>
      <c r="H214" s="202"/>
      <c r="I214" s="36"/>
      <c r="L214" s="184"/>
      <c r="M214" s="184"/>
      <c r="N214" s="36"/>
    </row>
    <row r="215" spans="1:16" s="37" customFormat="1" hidden="1" x14ac:dyDescent="0.3">
      <c r="A215" s="210" t="s">
        <v>123</v>
      </c>
      <c r="B215" s="210"/>
      <c r="C215" s="210"/>
      <c r="D215" s="210"/>
      <c r="E215" s="210"/>
      <c r="F215" s="210"/>
      <c r="G215" s="210"/>
      <c r="H215" s="210"/>
      <c r="I215" s="36"/>
      <c r="L215" s="184"/>
      <c r="M215" s="184"/>
    </row>
    <row r="216" spans="1:16" s="37" customFormat="1" hidden="1" x14ac:dyDescent="0.3">
      <c r="A216" s="211">
        <f>LEFT(A215,SUM(LEN(A215)-LEN(SUBSTITUTE(A215,{"0","1","2","3","4","5","6","7","8","9"},""))))*100+1</f>
        <v>201</v>
      </c>
      <c r="B216" s="211"/>
      <c r="C216" s="203"/>
      <c r="D216" s="205"/>
      <c r="E216" s="205">
        <v>0</v>
      </c>
      <c r="F216" s="205">
        <f t="shared" ref="F216:F217" si="29">D216*(($F$133)+1)+(IF(E216&lt;101,E216,IF(E216&lt;201,E216/2,IF(E216&lt;=301,E216/3,E216/4))))</f>
        <v>0</v>
      </c>
      <c r="G216" s="211" t="str">
        <f>A215</f>
        <v>2nd Floor</v>
      </c>
      <c r="H216" s="211"/>
      <c r="I216" s="36"/>
      <c r="N216" s="36"/>
    </row>
    <row r="217" spans="1:16" s="37" customFormat="1" hidden="1" x14ac:dyDescent="0.3">
      <c r="A217" s="211">
        <f>A216+1</f>
        <v>202</v>
      </c>
      <c r="B217" s="211"/>
      <c r="C217" s="203"/>
      <c r="D217" s="205"/>
      <c r="E217" s="205">
        <v>0</v>
      </c>
      <c r="F217" s="205">
        <f t="shared" si="29"/>
        <v>0</v>
      </c>
      <c r="G217" s="211" t="str">
        <f>G216</f>
        <v>2nd Floor</v>
      </c>
      <c r="H217" s="211"/>
      <c r="I217" s="36"/>
      <c r="N217" s="36"/>
    </row>
    <row r="218" spans="1:16" s="37" customFormat="1" hidden="1" x14ac:dyDescent="0.3">
      <c r="A218" s="211">
        <f>A217+1</f>
        <v>203</v>
      </c>
      <c r="B218" s="211"/>
      <c r="C218" s="203"/>
      <c r="D218" s="205"/>
      <c r="E218" s="205">
        <v>0</v>
      </c>
      <c r="F218" s="205">
        <f>D218*(($F$133)+1)+(IF(E218&lt;101,E218,IF(E218&lt;201,E218/2,IF(E218&lt;=301,E218/3,E218/4))))</f>
        <v>0</v>
      </c>
      <c r="G218" s="211" t="str">
        <f>G217</f>
        <v>2nd Floor</v>
      </c>
      <c r="H218" s="211"/>
      <c r="I218" s="36"/>
      <c r="N218" s="36"/>
    </row>
    <row r="219" spans="1:16" s="37" customFormat="1" hidden="1" x14ac:dyDescent="0.3">
      <c r="A219" s="211">
        <f>A218+1</f>
        <v>204</v>
      </c>
      <c r="B219" s="211"/>
      <c r="C219" s="203"/>
      <c r="D219" s="205"/>
      <c r="E219" s="205">
        <v>0</v>
      </c>
      <c r="F219" s="205">
        <f>D219*(($F$133)+1)+(IF(E219&lt;101,E219,IF(E219&lt;201,E219/2,IF(E219&lt;=301,E219/3,E219/4))))</f>
        <v>0</v>
      </c>
      <c r="G219" s="211" t="str">
        <f>G218</f>
        <v>2nd Floor</v>
      </c>
      <c r="H219" s="211"/>
      <c r="I219" s="36"/>
      <c r="N219" s="36"/>
    </row>
    <row r="220" spans="1:16" s="37" customFormat="1" hidden="1" x14ac:dyDescent="0.3">
      <c r="A220" s="211">
        <f>A219+1</f>
        <v>205</v>
      </c>
      <c r="B220" s="211"/>
      <c r="C220" s="203"/>
      <c r="D220" s="205"/>
      <c r="E220" s="205">
        <v>0</v>
      </c>
      <c r="F220" s="205">
        <f>D220*(($F$133)+1)+(IF(E220&lt;101,E220,IF(E220&lt;201,E220/2,IF(E220&lt;=301,E220/3,E220/4))))</f>
        <v>0</v>
      </c>
      <c r="G220" s="211" t="str">
        <f>G219</f>
        <v>2nd Floor</v>
      </c>
      <c r="H220" s="211"/>
      <c r="I220" s="36"/>
      <c r="N220" s="36"/>
    </row>
    <row r="221" spans="1:16" s="37" customFormat="1" ht="15.75" hidden="1" customHeight="1" x14ac:dyDescent="0.3">
      <c r="A221" s="141" t="s">
        <v>160</v>
      </c>
      <c r="B221" s="142"/>
      <c r="C221" s="142"/>
      <c r="D221" s="142"/>
      <c r="E221" s="142"/>
      <c r="F221" s="142"/>
      <c r="G221" s="142"/>
      <c r="H221" s="143"/>
      <c r="I221" s="36"/>
    </row>
    <row r="222" spans="1:16" s="37" customFormat="1" hidden="1" x14ac:dyDescent="0.3">
      <c r="A222" s="201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10^ROW(INDIRECT("1:"&amp;LEN((LEFT(A221,SUM(LEN(A221)-LEN(SUBSTITUTE(A221,{"0","1","2"},""))))))))/10))*100+1&amp;""&amp;" ,..,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",LEN(A221))),LEN(A221)))))))/10))*100+1</f>
        <v>301 ,.., 1501</v>
      </c>
      <c r="B222" s="202"/>
      <c r="C222" s="203"/>
      <c r="D222" s="205"/>
      <c r="E222" s="205">
        <v>0</v>
      </c>
      <c r="F222" s="205">
        <f>D222*(($F$133)+1)+(IF(E222&lt;101,E222,IF(E222&lt;201,E222/2,IF(E222&lt;=301,E222/3,E222/4))))</f>
        <v>0</v>
      </c>
      <c r="G222" s="201" t="str">
        <f>A221</f>
        <v>3rd, 5th, 7th, 9th, 11th, 13th, 15th Floor</v>
      </c>
      <c r="H222" s="202"/>
      <c r="I222" s="36"/>
    </row>
    <row r="223" spans="1:16" s="37" customFormat="1" hidden="1" x14ac:dyDescent="0.3">
      <c r="A223" s="201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10^ROW(INDIRECT("1:"&amp;LEN((LEFT(A222,SUM(LEN(A222)-LEN(SUBSTITUTE(A222,{"0","1","2"},""))))))))/10))*1+1&amp;""&amp;" ,..,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",LEN(A222))),LEN(A222)))))))/10))*1+1</f>
        <v>302 ,.., 1502</v>
      </c>
      <c r="B223" s="202"/>
      <c r="C223" s="203"/>
      <c r="D223" s="205"/>
      <c r="E223" s="205">
        <v>0</v>
      </c>
      <c r="F223" s="205">
        <f>D223*(($F$133)+1)+(IF(E223&lt;101,E223,IF(E223&lt;201,E223/2,IF(E223&lt;=301,E223/3,E223/4))))</f>
        <v>0</v>
      </c>
      <c r="G223" s="201" t="str">
        <f>G222</f>
        <v>3rd, 5th, 7th, 9th, 11th, 13th, 15th Floor</v>
      </c>
      <c r="H223" s="202"/>
      <c r="I223" s="36"/>
    </row>
    <row r="224" spans="1:16" s="37" customFormat="1" ht="15.75" hidden="1" customHeight="1" x14ac:dyDescent="0.3">
      <c r="A224" s="201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10^ROW(INDIRECT("1:"&amp;LEN((LEFT(A223,SUM(LEN(A223)-LEN(SUBSTITUTE(A223,{"0","1","2"},""))))))))/10))*1+1&amp;""&amp;" ,..,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",LEN(A223))),LEN(A223)))))))/10))*1+1</f>
        <v>303 ,.., 1503</v>
      </c>
      <c r="B224" s="202"/>
      <c r="C224" s="203"/>
      <c r="D224" s="205"/>
      <c r="E224" s="205">
        <v>0</v>
      </c>
      <c r="F224" s="205">
        <f>D224*(($F$133)+1)+(IF(E224&lt;101,E224,IF(E224&lt;201,E224/2,IF(E224&lt;=301,E224/3,E224/4))))</f>
        <v>0</v>
      </c>
      <c r="G224" s="201" t="str">
        <f>G223</f>
        <v>3rd, 5th, 7th, 9th, 11th, 13th, 15th Floor</v>
      </c>
      <c r="H224" s="202"/>
      <c r="I224" s="36"/>
    </row>
    <row r="225" spans="1:9" s="37" customFormat="1" ht="15.75" hidden="1" customHeight="1" x14ac:dyDescent="0.3">
      <c r="A225" s="201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,..,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304 ,.., 1504</v>
      </c>
      <c r="B225" s="202"/>
      <c r="C225" s="203"/>
      <c r="D225" s="205"/>
      <c r="E225" s="205">
        <v>0</v>
      </c>
      <c r="F225" s="205">
        <f>D225*(($F$133)+1)+(IF(E225&lt;101,E225,IF(E225&lt;201,E225/2,IF(E225&lt;=301,E225/3,E225/4))))</f>
        <v>0</v>
      </c>
      <c r="G225" s="201" t="str">
        <f>G224</f>
        <v>3rd, 5th, 7th, 9th, 11th, 13th, 15th Floor</v>
      </c>
      <c r="H225" s="202"/>
      <c r="I225" s="36"/>
    </row>
    <row r="226" spans="1:9" s="37" customFormat="1" ht="15.75" hidden="1" customHeight="1" x14ac:dyDescent="0.3">
      <c r="A226" s="201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,..,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305 ,.., 1505</v>
      </c>
      <c r="B226" s="202"/>
      <c r="C226" s="203"/>
      <c r="D226" s="205"/>
      <c r="E226" s="205">
        <v>0</v>
      </c>
      <c r="F226" s="205">
        <f>D226*(($F$133)+1)+(IF(E226&lt;101,E226,IF(E226&lt;201,E226/2,IF(E226&lt;=301,E226/3,E226/4))))</f>
        <v>0</v>
      </c>
      <c r="G226" s="201" t="str">
        <f>G225</f>
        <v>3rd, 5th, 7th, 9th, 11th, 13th, 15th Floor</v>
      </c>
      <c r="H226" s="202"/>
      <c r="I226" s="36"/>
    </row>
    <row r="227" spans="1:9" s="37" customFormat="1" hidden="1" x14ac:dyDescent="0.3">
      <c r="A227" s="141" t="s">
        <v>153</v>
      </c>
      <c r="B227" s="142"/>
      <c r="C227" s="142"/>
      <c r="D227" s="142"/>
      <c r="E227" s="142"/>
      <c r="F227" s="142"/>
      <c r="G227" s="142"/>
      <c r="H227" s="143"/>
      <c r="I227" s="36"/>
    </row>
    <row r="228" spans="1:9" s="37" customFormat="1" hidden="1" x14ac:dyDescent="0.3">
      <c r="A228" s="201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10^ROW(INDIRECT("1:"&amp;LEN((LEFT(A227,SUM(LEN(A227)-LEN(SUBSTITUTE(A227,{"0","1","2"},""))))))))/10))*100+1&amp;""&amp;" to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",LEN(A227))),LEN(A227)))))))/10))*100+1</f>
        <v>201 to 501</v>
      </c>
      <c r="B228" s="202"/>
      <c r="C228" s="203"/>
      <c r="D228" s="205"/>
      <c r="E228" s="205">
        <v>0</v>
      </c>
      <c r="F228" s="205">
        <f>D228*(($F$133)+1)+(IF(E228&lt;101,E228,IF(E228&lt;201,E228/2,IF(E228&lt;=301,E228/3,E228/4))))</f>
        <v>0</v>
      </c>
      <c r="G228" s="201" t="str">
        <f>A227</f>
        <v>2nd to 5th Floor</v>
      </c>
      <c r="H228" s="202"/>
      <c r="I228" s="36"/>
    </row>
    <row r="229" spans="1:9" s="37" customFormat="1" hidden="1" x14ac:dyDescent="0.3">
      <c r="A229" s="201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to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202 to 502</v>
      </c>
      <c r="B229" s="202"/>
      <c r="C229" s="203"/>
      <c r="D229" s="205"/>
      <c r="E229" s="205">
        <v>0</v>
      </c>
      <c r="F229" s="205">
        <f>D229*(($F$133)+1)+(IF(E229&lt;101,E229,IF(E229&lt;201,E229/2,IF(E229&lt;=301,E229/3,E229/4))))</f>
        <v>0</v>
      </c>
      <c r="G229" s="201" t="str">
        <f>G228</f>
        <v>2nd to 5th Floor</v>
      </c>
      <c r="H229" s="202"/>
      <c r="I229" s="36"/>
    </row>
    <row r="230" spans="1:9" s="37" customFormat="1" hidden="1" x14ac:dyDescent="0.3">
      <c r="A230" s="201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to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203 to 503</v>
      </c>
      <c r="B230" s="202"/>
      <c r="C230" s="203"/>
      <c r="D230" s="205"/>
      <c r="E230" s="205">
        <v>0</v>
      </c>
      <c r="F230" s="205">
        <f>D230*(($F$133)+1)+(IF(E230&lt;101,E230,IF(E230&lt;201,E230/2,IF(E230&lt;=301,E230/3,E230/4))))</f>
        <v>0</v>
      </c>
      <c r="G230" s="201" t="str">
        <f>G229</f>
        <v>2nd to 5th Floor</v>
      </c>
      <c r="H230" s="202"/>
      <c r="I230" s="36"/>
    </row>
    <row r="231" spans="1:9" s="37" customFormat="1" hidden="1" x14ac:dyDescent="0.3">
      <c r="A231" s="201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to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204 to 504</v>
      </c>
      <c r="B231" s="202"/>
      <c r="C231" s="203"/>
      <c r="D231" s="205"/>
      <c r="E231" s="205">
        <v>0</v>
      </c>
      <c r="F231" s="205">
        <f>D231*(($F$133)+1)+(IF(E231&lt;101,E231,IF(E231&lt;201,E231/2,IF(E231&lt;=301,E231/3,E231/4))))</f>
        <v>0</v>
      </c>
      <c r="G231" s="201" t="str">
        <f>G230</f>
        <v>2nd to 5th Floor</v>
      </c>
      <c r="H231" s="202"/>
      <c r="I231" s="36"/>
    </row>
    <row r="232" spans="1:9" s="37" customFormat="1" hidden="1" x14ac:dyDescent="0.3">
      <c r="A232" s="201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to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205 to 505</v>
      </c>
      <c r="B232" s="202"/>
      <c r="C232" s="203"/>
      <c r="D232" s="205"/>
      <c r="E232" s="205">
        <v>0</v>
      </c>
      <c r="F232" s="205">
        <f>D232*(($F$133)+1)+(IF(E232&lt;101,E232,IF(E232&lt;201,E232/2,IF(E232&lt;=301,E232/3,E232/4))))</f>
        <v>0</v>
      </c>
      <c r="G232" s="201" t="str">
        <f>G231</f>
        <v>2nd to 5th Floor</v>
      </c>
      <c r="H232" s="202"/>
      <c r="I232" s="36"/>
    </row>
    <row r="233" spans="1:9" s="37" customFormat="1" hidden="1" x14ac:dyDescent="0.3">
      <c r="A233" s="141" t="s">
        <v>154</v>
      </c>
      <c r="B233" s="142"/>
      <c r="C233" s="142"/>
      <c r="D233" s="142"/>
      <c r="E233" s="142"/>
      <c r="F233" s="142"/>
      <c r="G233" s="142"/>
      <c r="H233" s="143"/>
      <c r="I233" s="36"/>
    </row>
    <row r="234" spans="1:9" s="37" customFormat="1" hidden="1" x14ac:dyDescent="0.3">
      <c r="A234" s="201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10^ROW(INDIRECT("1:"&amp;LEN((LEFT(A233,SUM(LEN(A233)-LEN(SUBSTITUTE(A233,{"0","1","2"},""))))))))/10))*100+1&amp;""&amp;" &amp;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",LEN(A233))),LEN(A233)))))))/10))*100+1</f>
        <v>201 &amp; 501</v>
      </c>
      <c r="B234" s="202"/>
      <c r="C234" s="203"/>
      <c r="D234" s="205"/>
      <c r="E234" s="205">
        <v>0</v>
      </c>
      <c r="F234" s="205">
        <f>D234*(($F$133)+1)+(IF(E234&lt;101,E234,IF(E234&lt;201,E234/2,IF(E234&lt;=301,E234/3,E234/4))))</f>
        <v>0</v>
      </c>
      <c r="G234" s="201" t="str">
        <f>A233</f>
        <v>2nd &amp; 5th Floor</v>
      </c>
      <c r="H234" s="202"/>
      <c r="I234" s="36"/>
    </row>
    <row r="235" spans="1:9" s="37" customFormat="1" hidden="1" x14ac:dyDescent="0.3">
      <c r="A235" s="201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&amp;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202 &amp; 502</v>
      </c>
      <c r="B235" s="202"/>
      <c r="C235" s="203"/>
      <c r="D235" s="205"/>
      <c r="E235" s="205">
        <v>0</v>
      </c>
      <c r="F235" s="205">
        <f>D235*(($F$133)+1)+(IF(E235&lt;101,E235,IF(E235&lt;201,E235/2,IF(E235&lt;=301,E235/3,E235/4))))</f>
        <v>0</v>
      </c>
      <c r="G235" s="201" t="str">
        <f t="shared" ref="G235:G238" si="30">G234</f>
        <v>2nd &amp; 5th Floor</v>
      </c>
      <c r="H235" s="202"/>
      <c r="I235" s="36"/>
    </row>
    <row r="236" spans="1:9" s="37" customFormat="1" hidden="1" x14ac:dyDescent="0.3">
      <c r="A236" s="201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&amp;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203 &amp; 503</v>
      </c>
      <c r="B236" s="202"/>
      <c r="C236" s="203"/>
      <c r="D236" s="205"/>
      <c r="E236" s="205">
        <v>0</v>
      </c>
      <c r="F236" s="205">
        <f>D236*(($F$133)+1)+(IF(E236&lt;101,E236,IF(E236&lt;201,E236/2,IF(E236&lt;=301,E236/3,E236/4))))</f>
        <v>0</v>
      </c>
      <c r="G236" s="201" t="str">
        <f t="shared" si="30"/>
        <v>2nd &amp; 5th Floor</v>
      </c>
      <c r="H236" s="202"/>
      <c r="I236" s="36"/>
    </row>
    <row r="237" spans="1:9" s="37" customFormat="1" hidden="1" x14ac:dyDescent="0.3">
      <c r="A237" s="201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204 &amp; 504</v>
      </c>
      <c r="B237" s="202"/>
      <c r="C237" s="203"/>
      <c r="D237" s="205"/>
      <c r="E237" s="205">
        <v>0</v>
      </c>
      <c r="F237" s="205">
        <f>D237*(($F$133)+1)+(IF(E237&lt;101,E237,IF(E237&lt;201,E237/2,IF(E237&lt;=301,E237/3,E237/4))))</f>
        <v>0</v>
      </c>
      <c r="G237" s="201" t="str">
        <f t="shared" si="30"/>
        <v>2nd &amp; 5th Floor</v>
      </c>
      <c r="H237" s="202"/>
      <c r="I237" s="36"/>
    </row>
    <row r="238" spans="1:9" s="37" customFormat="1" hidden="1" x14ac:dyDescent="0.3">
      <c r="A238" s="201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205 &amp; 505</v>
      </c>
      <c r="B238" s="202"/>
      <c r="C238" s="203"/>
      <c r="D238" s="205"/>
      <c r="E238" s="205">
        <v>0</v>
      </c>
      <c r="F238" s="205">
        <f>D238*(($F$133)+1)+(IF(E238&lt;101,E238,IF(E238&lt;201,E238/2,IF(E238&lt;=301,E238/3,E238/4))))</f>
        <v>0</v>
      </c>
      <c r="G238" s="201" t="str">
        <f t="shared" si="30"/>
        <v>2nd &amp; 5th Floor</v>
      </c>
      <c r="H238" s="202"/>
      <c r="I238" s="36"/>
    </row>
    <row r="239" spans="1:9" s="35" customFormat="1" x14ac:dyDescent="0.3">
      <c r="A239" s="212" t="s">
        <v>71</v>
      </c>
      <c r="B239" s="212"/>
      <c r="C239" s="212"/>
      <c r="D239" s="212"/>
      <c r="E239" s="212"/>
      <c r="F239" s="212"/>
      <c r="G239" s="212"/>
      <c r="H239" s="212"/>
    </row>
    <row r="240" spans="1:9" s="35" customFormat="1" x14ac:dyDescent="0.3">
      <c r="A240" s="63" t="s">
        <v>164</v>
      </c>
      <c r="B240" s="132" t="s">
        <v>235</v>
      </c>
      <c r="C240" s="133"/>
      <c r="D240" s="133"/>
      <c r="E240" s="133"/>
      <c r="F240" s="133"/>
      <c r="G240" s="133"/>
      <c r="H240" s="134"/>
    </row>
    <row r="241" spans="1:8" s="35" customFormat="1" x14ac:dyDescent="0.3">
      <c r="A241" s="63" t="s">
        <v>164</v>
      </c>
      <c r="B241" s="132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241" s="133"/>
      <c r="D241" s="133"/>
      <c r="E241" s="133"/>
      <c r="F241" s="133"/>
      <c r="G241" s="133"/>
      <c r="H241" s="134"/>
    </row>
    <row r="242" spans="1:8" s="35" customFormat="1" x14ac:dyDescent="0.3">
      <c r="A242" s="63" t="s">
        <v>164</v>
      </c>
      <c r="B242" s="132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2" s="133"/>
      <c r="D242" s="133"/>
      <c r="E242" s="133"/>
      <c r="F242" s="133"/>
      <c r="G242" s="133"/>
      <c r="H242" s="134"/>
    </row>
    <row r="243" spans="1:8" s="35" customFormat="1" x14ac:dyDescent="0.3">
      <c r="A243" s="63" t="s">
        <v>164</v>
      </c>
      <c r="B243" s="132" t="s">
        <v>130</v>
      </c>
      <c r="C243" s="133"/>
      <c r="D243" s="133"/>
      <c r="E243" s="133"/>
      <c r="F243" s="133"/>
      <c r="G243" s="133"/>
      <c r="H243" s="134"/>
    </row>
    <row r="244" spans="1:8" s="35" customFormat="1" x14ac:dyDescent="0.3">
      <c r="A244" s="63" t="s">
        <v>164</v>
      </c>
      <c r="B244" s="132" t="s">
        <v>212</v>
      </c>
      <c r="C244" s="133"/>
      <c r="D244" s="133"/>
      <c r="E244" s="133"/>
      <c r="F244" s="133"/>
      <c r="G244" s="133"/>
      <c r="H244" s="134"/>
    </row>
    <row r="245" spans="1:8" s="35" customFormat="1" x14ac:dyDescent="0.3">
      <c r="A245" s="63" t="s">
        <v>164</v>
      </c>
      <c r="B245" s="132" t="s">
        <v>163</v>
      </c>
      <c r="C245" s="133"/>
      <c r="D245" s="133"/>
      <c r="E245" s="133"/>
      <c r="F245" s="133"/>
      <c r="G245" s="133"/>
      <c r="H245" s="134"/>
    </row>
    <row r="246" spans="1:8" s="35" customFormat="1" x14ac:dyDescent="0.3">
      <c r="A246" s="63" t="s">
        <v>164</v>
      </c>
      <c r="B246" s="132" t="s">
        <v>131</v>
      </c>
      <c r="C246" s="133"/>
      <c r="D246" s="133"/>
      <c r="E246" s="133"/>
      <c r="F246" s="133"/>
      <c r="G246" s="133"/>
      <c r="H246" s="134"/>
    </row>
    <row r="247" spans="1:8" s="35" customFormat="1" ht="34.5" customHeight="1" x14ac:dyDescent="0.3">
      <c r="A247" s="63" t="s">
        <v>164</v>
      </c>
      <c r="B247" s="132" t="s">
        <v>165</v>
      </c>
      <c r="C247" s="133"/>
      <c r="D247" s="133"/>
      <c r="E247" s="133"/>
      <c r="F247" s="133"/>
      <c r="G247" s="133"/>
      <c r="H247" s="134"/>
    </row>
    <row r="248" spans="1:8" s="35" customFormat="1" x14ac:dyDescent="0.3">
      <c r="A248" s="46" t="s">
        <v>164</v>
      </c>
      <c r="B248" s="135" t="s">
        <v>132</v>
      </c>
      <c r="C248" s="136"/>
      <c r="D248" s="136"/>
      <c r="E248" s="136"/>
      <c r="F248" s="136"/>
      <c r="G248" s="136"/>
      <c r="H248" s="137"/>
    </row>
    <row r="249" spans="1:8" s="35" customFormat="1" hidden="1" x14ac:dyDescent="0.3">
      <c r="A249" s="46" t="s">
        <v>164</v>
      </c>
      <c r="B249" s="132" t="s">
        <v>204</v>
      </c>
      <c r="C249" s="133"/>
      <c r="D249" s="133"/>
      <c r="E249" s="133"/>
      <c r="F249" s="133"/>
      <c r="G249" s="133"/>
      <c r="H249" s="134"/>
    </row>
    <row r="250" spans="1:8" s="35" customFormat="1" x14ac:dyDescent="0.3">
      <c r="A250" s="46" t="s">
        <v>164</v>
      </c>
      <c r="B250" s="135" t="s">
        <v>232</v>
      </c>
      <c r="C250" s="136"/>
      <c r="D250" s="136"/>
      <c r="E250" s="136"/>
      <c r="F250" s="136"/>
      <c r="G250" s="136"/>
      <c r="H250" s="137"/>
    </row>
    <row r="251" spans="1:8" x14ac:dyDescent="0.3">
      <c r="A251" s="115" t="s">
        <v>64</v>
      </c>
      <c r="B251" s="115"/>
      <c r="C251" s="115"/>
      <c r="D251" s="115"/>
      <c r="E251" s="115"/>
      <c r="F251" s="115"/>
      <c r="G251" s="115"/>
      <c r="H251" s="115"/>
    </row>
    <row r="252" spans="1:8" x14ac:dyDescent="0.3">
      <c r="A252" s="84" t="s">
        <v>65</v>
      </c>
      <c r="B252" s="84"/>
      <c r="C252" s="84"/>
      <c r="D252" s="84"/>
      <c r="E252" s="84"/>
      <c r="F252" s="84"/>
      <c r="G252" s="84"/>
      <c r="H252" s="84"/>
    </row>
    <row r="253" spans="1:8" ht="15.75" customHeight="1" x14ac:dyDescent="0.3">
      <c r="A253" s="85" t="s">
        <v>66</v>
      </c>
      <c r="B253" s="85"/>
      <c r="C253" s="85"/>
      <c r="D253" s="85"/>
      <c r="E253" s="85"/>
      <c r="F253" s="85"/>
      <c r="G253" s="85"/>
      <c r="H253" s="85"/>
    </row>
    <row r="254" spans="1:8" x14ac:dyDescent="0.3">
      <c r="A254" s="84" t="s">
        <v>67</v>
      </c>
      <c r="B254" s="84"/>
      <c r="C254" s="84"/>
      <c r="D254" s="84"/>
      <c r="E254" s="84"/>
      <c r="F254" s="84"/>
      <c r="G254" s="84"/>
      <c r="H254" s="84"/>
    </row>
    <row r="255" spans="1:8" x14ac:dyDescent="0.3">
      <c r="A255" s="84" t="s">
        <v>68</v>
      </c>
      <c r="B255" s="84"/>
      <c r="C255" s="84"/>
      <c r="D255" s="84"/>
      <c r="E255" s="84"/>
      <c r="F255" s="84"/>
      <c r="G255" s="84"/>
      <c r="H255" s="84"/>
    </row>
    <row r="256" spans="1:8" x14ac:dyDescent="0.3">
      <c r="A256" s="84" t="s">
        <v>133</v>
      </c>
      <c r="B256" s="84"/>
      <c r="C256" s="84"/>
      <c r="D256" s="84"/>
      <c r="E256" s="84"/>
      <c r="F256" s="84"/>
      <c r="G256" s="84"/>
      <c r="H256" s="84"/>
    </row>
    <row r="257" spans="1:8" ht="35.25" customHeight="1" x14ac:dyDescent="0.3">
      <c r="A257" s="116" t="s">
        <v>134</v>
      </c>
      <c r="B257" s="116"/>
      <c r="C257" s="116"/>
      <c r="D257" s="116"/>
      <c r="E257" s="116"/>
      <c r="F257" s="116"/>
      <c r="G257" s="116"/>
      <c r="H257" s="116"/>
    </row>
    <row r="258" spans="1:8" x14ac:dyDescent="0.3">
      <c r="A258" s="139" t="s">
        <v>80</v>
      </c>
      <c r="B258" s="139"/>
      <c r="C258" s="139" t="s">
        <v>233</v>
      </c>
      <c r="D258" s="139"/>
      <c r="E258" s="139" t="s">
        <v>109</v>
      </c>
      <c r="F258" s="139"/>
      <c r="G258" s="139" t="s">
        <v>234</v>
      </c>
      <c r="H258" s="139"/>
    </row>
    <row r="259" spans="1:8" x14ac:dyDescent="0.3">
      <c r="A259" s="138" t="s">
        <v>82</v>
      </c>
      <c r="B259" s="138"/>
      <c r="C259" s="138"/>
      <c r="D259" s="138"/>
      <c r="E259" s="138"/>
      <c r="F259" s="138"/>
      <c r="G259" s="138"/>
      <c r="H259" s="138"/>
    </row>
    <row r="260" spans="1:8" x14ac:dyDescent="0.3">
      <c r="A260" s="138"/>
      <c r="B260" s="138"/>
      <c r="C260" s="138"/>
      <c r="D260" s="138"/>
      <c r="E260" s="138"/>
      <c r="F260" s="138"/>
      <c r="G260" s="138"/>
      <c r="H260" s="138"/>
    </row>
    <row r="261" spans="1:8" x14ac:dyDescent="0.3">
      <c r="A261" s="138"/>
      <c r="B261" s="138"/>
      <c r="C261" s="138"/>
      <c r="D261" s="138"/>
      <c r="E261" s="138"/>
      <c r="F261" s="138"/>
      <c r="G261" s="138"/>
      <c r="H261" s="138"/>
    </row>
    <row r="262" spans="1:8" x14ac:dyDescent="0.3">
      <c r="A262" s="138"/>
      <c r="B262" s="138"/>
      <c r="C262" s="138"/>
      <c r="D262" s="138"/>
      <c r="E262" s="138"/>
      <c r="F262" s="138"/>
      <c r="G262" s="138"/>
      <c r="H262" s="138"/>
    </row>
    <row r="263" spans="1:8" x14ac:dyDescent="0.3">
      <c r="A263" s="38" t="s">
        <v>69</v>
      </c>
      <c r="B263" s="39"/>
      <c r="C263" s="39"/>
      <c r="D263" s="38" t="str">
        <f>E8</f>
        <v>Neelkanth Auris</v>
      </c>
      <c r="F263" s="39"/>
      <c r="G263" s="39"/>
      <c r="H263" s="39"/>
    </row>
    <row r="264" spans="1:8" x14ac:dyDescent="0.3">
      <c r="A264" s="39"/>
      <c r="B264" s="39"/>
      <c r="C264" s="39"/>
      <c r="D264" s="39"/>
      <c r="E264" s="39"/>
      <c r="F264" s="39"/>
      <c r="G264" s="39"/>
      <c r="H264" s="39"/>
    </row>
    <row r="265" spans="1:8" x14ac:dyDescent="0.3">
      <c r="A265" s="39"/>
      <c r="B265" s="39"/>
      <c r="C265" s="39"/>
      <c r="D265" s="39"/>
      <c r="E265" s="39"/>
      <c r="F265" s="39"/>
      <c r="G265" s="39"/>
      <c r="H265" s="39"/>
    </row>
    <row r="266" spans="1:8" ht="15" customHeight="1" x14ac:dyDescent="0.3"/>
    <row r="307" spans="1:1" x14ac:dyDescent="0.3">
      <c r="A307" s="41" t="s">
        <v>70</v>
      </c>
    </row>
  </sheetData>
  <mergeCells count="447">
    <mergeCell ref="L130:M130"/>
    <mergeCell ref="G109:H130"/>
    <mergeCell ref="A134:H134"/>
    <mergeCell ref="A119:B119"/>
    <mergeCell ref="L119:M119"/>
    <mergeCell ref="A120:B120"/>
    <mergeCell ref="L120:M120"/>
    <mergeCell ref="A121:B121"/>
    <mergeCell ref="L121:M121"/>
    <mergeCell ref="A116:B116"/>
    <mergeCell ref="L116:M116"/>
    <mergeCell ref="A117:B117"/>
    <mergeCell ref="L129:M129"/>
    <mergeCell ref="L128:M128"/>
    <mergeCell ref="L127:M127"/>
    <mergeCell ref="L126:M126"/>
    <mergeCell ref="L122:M122"/>
    <mergeCell ref="L123:M123"/>
    <mergeCell ref="L124:M124"/>
    <mergeCell ref="L125:M125"/>
    <mergeCell ref="L112:M112"/>
    <mergeCell ref="L117:M117"/>
    <mergeCell ref="A118:B118"/>
    <mergeCell ref="L118:M118"/>
    <mergeCell ref="A16:B16"/>
    <mergeCell ref="C16:H16"/>
    <mergeCell ref="A38:B38"/>
    <mergeCell ref="C38:H38"/>
    <mergeCell ref="G101:H101"/>
    <mergeCell ref="C99:D99"/>
    <mergeCell ref="G99:H99"/>
    <mergeCell ref="A83:E83"/>
    <mergeCell ref="A80:E80"/>
    <mergeCell ref="F83:H83"/>
    <mergeCell ref="A86:E86"/>
    <mergeCell ref="A91:E91"/>
    <mergeCell ref="C97:D97"/>
    <mergeCell ref="E97:F97"/>
    <mergeCell ref="A40:D40"/>
    <mergeCell ref="E40:H40"/>
    <mergeCell ref="F32:H32"/>
    <mergeCell ref="F82:H82"/>
    <mergeCell ref="A82:E82"/>
    <mergeCell ref="A44:D44"/>
    <mergeCell ref="A45:D45"/>
    <mergeCell ref="A46:H46"/>
    <mergeCell ref="A47:B47"/>
    <mergeCell ref="C47:H47"/>
    <mergeCell ref="L113:M113"/>
    <mergeCell ref="A114:B114"/>
    <mergeCell ref="L114:M114"/>
    <mergeCell ref="A115:B115"/>
    <mergeCell ref="L115:M115"/>
    <mergeCell ref="A92:E92"/>
    <mergeCell ref="G102:H102"/>
    <mergeCell ref="A101:B101"/>
    <mergeCell ref="C101:D101"/>
    <mergeCell ref="E101:F101"/>
    <mergeCell ref="L109:M109"/>
    <mergeCell ref="A110:B110"/>
    <mergeCell ref="L110:M110"/>
    <mergeCell ref="A111:B111"/>
    <mergeCell ref="L111:M111"/>
    <mergeCell ref="A95:H95"/>
    <mergeCell ref="A93:E93"/>
    <mergeCell ref="F93:H93"/>
    <mergeCell ref="A94:E94"/>
    <mergeCell ref="F94:H94"/>
    <mergeCell ref="A100:B100"/>
    <mergeCell ref="A97:B97"/>
    <mergeCell ref="A98:H98"/>
    <mergeCell ref="C102:D102"/>
    <mergeCell ref="A135:H135"/>
    <mergeCell ref="A123:B123"/>
    <mergeCell ref="A124:B124"/>
    <mergeCell ref="A125:B125"/>
    <mergeCell ref="A130:B130"/>
    <mergeCell ref="A210:H210"/>
    <mergeCell ref="E102:F102"/>
    <mergeCell ref="A112:B112"/>
    <mergeCell ref="A173:H173"/>
    <mergeCell ref="A129:B129"/>
    <mergeCell ref="A174:H174"/>
    <mergeCell ref="A175:H175"/>
    <mergeCell ref="A176:H176"/>
    <mergeCell ref="A143:H143"/>
    <mergeCell ref="A144:B144"/>
    <mergeCell ref="G144:H147"/>
    <mergeCell ref="A149:B149"/>
    <mergeCell ref="G149:H152"/>
    <mergeCell ref="A150:B150"/>
    <mergeCell ref="A151:B151"/>
    <mergeCell ref="A152:B152"/>
    <mergeCell ref="A153:H153"/>
    <mergeCell ref="A113:B113"/>
    <mergeCell ref="C105:C106"/>
    <mergeCell ref="B132:B133"/>
    <mergeCell ref="A227:H227"/>
    <mergeCell ref="A221:H221"/>
    <mergeCell ref="E96:F96"/>
    <mergeCell ref="A96:B96"/>
    <mergeCell ref="F89:H89"/>
    <mergeCell ref="C96:D96"/>
    <mergeCell ref="F92:H92"/>
    <mergeCell ref="G223:H223"/>
    <mergeCell ref="G219:H219"/>
    <mergeCell ref="G216:H216"/>
    <mergeCell ref="D105:D106"/>
    <mergeCell ref="A126:B126"/>
    <mergeCell ref="A127:B127"/>
    <mergeCell ref="A128:B128"/>
    <mergeCell ref="F91:H91"/>
    <mergeCell ref="A214:B214"/>
    <mergeCell ref="A122:B122"/>
    <mergeCell ref="A107:H107"/>
    <mergeCell ref="A138:H138"/>
    <mergeCell ref="A139:B139"/>
    <mergeCell ref="A137:H137"/>
    <mergeCell ref="C132:C133"/>
    <mergeCell ref="G232:H232"/>
    <mergeCell ref="A239:H239"/>
    <mergeCell ref="A231:B231"/>
    <mergeCell ref="A232:B232"/>
    <mergeCell ref="A225:B225"/>
    <mergeCell ref="A222:B222"/>
    <mergeCell ref="G214:H214"/>
    <mergeCell ref="A211:B211"/>
    <mergeCell ref="G224:H224"/>
    <mergeCell ref="G222:H222"/>
    <mergeCell ref="A215:H215"/>
    <mergeCell ref="A224:B224"/>
    <mergeCell ref="G235:H235"/>
    <mergeCell ref="A233:H233"/>
    <mergeCell ref="A234:B234"/>
    <mergeCell ref="A235:B235"/>
    <mergeCell ref="A238:B238"/>
    <mergeCell ref="G238:H238"/>
    <mergeCell ref="A237:B237"/>
    <mergeCell ref="G237:H237"/>
    <mergeCell ref="G230:H230"/>
    <mergeCell ref="L215:M215"/>
    <mergeCell ref="A131:H131"/>
    <mergeCell ref="A132:A133"/>
    <mergeCell ref="A220:B220"/>
    <mergeCell ref="A217:B217"/>
    <mergeCell ref="A218:B218"/>
    <mergeCell ref="A228:B228"/>
    <mergeCell ref="A229:B229"/>
    <mergeCell ref="A230:B230"/>
    <mergeCell ref="A219:B219"/>
    <mergeCell ref="G220:H220"/>
    <mergeCell ref="G226:H226"/>
    <mergeCell ref="G225:H225"/>
    <mergeCell ref="L214:M214"/>
    <mergeCell ref="G211:H211"/>
    <mergeCell ref="L211:M211"/>
    <mergeCell ref="A212:B212"/>
    <mergeCell ref="G212:H212"/>
    <mergeCell ref="L212:M212"/>
    <mergeCell ref="A213:B213"/>
    <mergeCell ref="G213:H213"/>
    <mergeCell ref="L213:M213"/>
    <mergeCell ref="G228:H228"/>
    <mergeCell ref="A226:B226"/>
    <mergeCell ref="A77:B77"/>
    <mergeCell ref="C100:D100"/>
    <mergeCell ref="E100:F100"/>
    <mergeCell ref="G100:H100"/>
    <mergeCell ref="F88:H88"/>
    <mergeCell ref="A81:E81"/>
    <mergeCell ref="E105:E106"/>
    <mergeCell ref="G105:H106"/>
    <mergeCell ref="F80:H80"/>
    <mergeCell ref="F86:H86"/>
    <mergeCell ref="A103:H103"/>
    <mergeCell ref="B105:B106"/>
    <mergeCell ref="A105:A106"/>
    <mergeCell ref="F90:H90"/>
    <mergeCell ref="G96:H96"/>
    <mergeCell ref="A85:E85"/>
    <mergeCell ref="F85:H85"/>
    <mergeCell ref="A87:E87"/>
    <mergeCell ref="F87:H87"/>
    <mergeCell ref="A88:E88"/>
    <mergeCell ref="A90:E90"/>
    <mergeCell ref="A89:E89"/>
    <mergeCell ref="A84:E84"/>
    <mergeCell ref="F84:H84"/>
    <mergeCell ref="A36:H36"/>
    <mergeCell ref="A35:B35"/>
    <mergeCell ref="C35:E35"/>
    <mergeCell ref="F33:H33"/>
    <mergeCell ref="A39:H39"/>
    <mergeCell ref="A59:C59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G37:H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E99:F99"/>
    <mergeCell ref="G217:H217"/>
    <mergeCell ref="A108:H108"/>
    <mergeCell ref="A109:B109"/>
    <mergeCell ref="A136:H136"/>
    <mergeCell ref="A140:B140"/>
    <mergeCell ref="A141:B141"/>
    <mergeCell ref="A142:B142"/>
    <mergeCell ref="G139:H142"/>
    <mergeCell ref="A182:B182"/>
    <mergeCell ref="A177:H177"/>
    <mergeCell ref="A178:B178"/>
    <mergeCell ref="A179:B179"/>
    <mergeCell ref="A180:B180"/>
    <mergeCell ref="A145:B145"/>
    <mergeCell ref="A146:B146"/>
    <mergeCell ref="A147:B147"/>
    <mergeCell ref="A168:H168"/>
    <mergeCell ref="A169:B169"/>
    <mergeCell ref="G169:H172"/>
    <mergeCell ref="A170:B170"/>
    <mergeCell ref="A171:B171"/>
    <mergeCell ref="A172:B172"/>
    <mergeCell ref="A148:H148"/>
    <mergeCell ref="B240:H240"/>
    <mergeCell ref="B241:H241"/>
    <mergeCell ref="B243:H243"/>
    <mergeCell ref="B244:H244"/>
    <mergeCell ref="G234:H234"/>
    <mergeCell ref="B247:H247"/>
    <mergeCell ref="B245:H245"/>
    <mergeCell ref="A259:H262"/>
    <mergeCell ref="A258:B258"/>
    <mergeCell ref="E258:F258"/>
    <mergeCell ref="C258:D258"/>
    <mergeCell ref="G258:H258"/>
    <mergeCell ref="A254:H254"/>
    <mergeCell ref="A257:H257"/>
    <mergeCell ref="A255:H255"/>
    <mergeCell ref="A251:H251"/>
    <mergeCell ref="A252:H252"/>
    <mergeCell ref="B250:H250"/>
    <mergeCell ref="B248:H248"/>
    <mergeCell ref="B249:H249"/>
    <mergeCell ref="B246:H246"/>
    <mergeCell ref="B242:H242"/>
    <mergeCell ref="A236:B236"/>
    <mergeCell ref="G236:H236"/>
    <mergeCell ref="G50:H50"/>
    <mergeCell ref="D55:H55"/>
    <mergeCell ref="C50:E50"/>
    <mergeCell ref="A58:C58"/>
    <mergeCell ref="D58:H58"/>
    <mergeCell ref="C49:E49"/>
    <mergeCell ref="C52:E52"/>
    <mergeCell ref="A49:B49"/>
    <mergeCell ref="A54:H54"/>
    <mergeCell ref="A55:C55"/>
    <mergeCell ref="A56:C56"/>
    <mergeCell ref="D56:H56"/>
    <mergeCell ref="G52:H52"/>
    <mergeCell ref="A52:B53"/>
    <mergeCell ref="C53:H53"/>
    <mergeCell ref="C51:H51"/>
    <mergeCell ref="D57:H57"/>
    <mergeCell ref="A57:C57"/>
    <mergeCell ref="G49:H49"/>
    <mergeCell ref="A50:B51"/>
    <mergeCell ref="A184:H184"/>
    <mergeCell ref="A181:B181"/>
    <mergeCell ref="A163:H163"/>
    <mergeCell ref="E41:H41"/>
    <mergeCell ref="A41:D41"/>
    <mergeCell ref="A256:H256"/>
    <mergeCell ref="A253:H253"/>
    <mergeCell ref="G231:H231"/>
    <mergeCell ref="A216:B216"/>
    <mergeCell ref="A99:B99"/>
    <mergeCell ref="D132:D133"/>
    <mergeCell ref="E132:E133"/>
    <mergeCell ref="G132:H133"/>
    <mergeCell ref="A75:B75"/>
    <mergeCell ref="F81:H81"/>
    <mergeCell ref="G97:H97"/>
    <mergeCell ref="A48:B48"/>
    <mergeCell ref="C48:E48"/>
    <mergeCell ref="G218:H218"/>
    <mergeCell ref="G229:H229"/>
    <mergeCell ref="A223:B223"/>
    <mergeCell ref="A104:H104"/>
    <mergeCell ref="A102:B102"/>
    <mergeCell ref="G48:H48"/>
    <mergeCell ref="A201:B201"/>
    <mergeCell ref="A202:B202"/>
    <mergeCell ref="A203:B203"/>
    <mergeCell ref="A154:B154"/>
    <mergeCell ref="G154:H157"/>
    <mergeCell ref="A155:B155"/>
    <mergeCell ref="A156:B156"/>
    <mergeCell ref="A157:B157"/>
    <mergeCell ref="A158:H158"/>
    <mergeCell ref="A159:B159"/>
    <mergeCell ref="G159:H162"/>
    <mergeCell ref="A198:H198"/>
    <mergeCell ref="A160:B160"/>
    <mergeCell ref="A161:B161"/>
    <mergeCell ref="A162:B162"/>
    <mergeCell ref="A185:B185"/>
    <mergeCell ref="G185:H190"/>
    <mergeCell ref="A186:B186"/>
    <mergeCell ref="A187:B187"/>
    <mergeCell ref="A188:B188"/>
    <mergeCell ref="A189:B189"/>
    <mergeCell ref="A190:B190"/>
    <mergeCell ref="A183:B183"/>
    <mergeCell ref="G178:H183"/>
    <mergeCell ref="A164:B164"/>
    <mergeCell ref="G164:H167"/>
    <mergeCell ref="A165:B165"/>
    <mergeCell ref="A166:B166"/>
    <mergeCell ref="A167:B167"/>
    <mergeCell ref="A205:B205"/>
    <mergeCell ref="G205:H209"/>
    <mergeCell ref="A206:B206"/>
    <mergeCell ref="A207:B207"/>
    <mergeCell ref="A208:B208"/>
    <mergeCell ref="A209:B209"/>
    <mergeCell ref="A199:B199"/>
    <mergeCell ref="A200:B200"/>
    <mergeCell ref="A204:H204"/>
    <mergeCell ref="G199:H203"/>
    <mergeCell ref="A191:H191"/>
    <mergeCell ref="A192:B192"/>
    <mergeCell ref="G192:H197"/>
    <mergeCell ref="A193:B193"/>
    <mergeCell ref="A194:B194"/>
    <mergeCell ref="A195:B195"/>
    <mergeCell ref="A196:B196"/>
    <mergeCell ref="A197:B197"/>
    <mergeCell ref="C197:F197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38" max="7" man="1"/>
    <brk id="262" max="16383" man="1"/>
    <brk id="30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5546875" defaultRowHeight="14.4" x14ac:dyDescent="0.3"/>
  <cols>
    <col min="1" max="1" width="8.554687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55468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0" t="s">
        <v>110</v>
      </c>
      <c r="C3" s="200"/>
      <c r="D3" s="200"/>
      <c r="E3" s="200"/>
      <c r="F3" s="200"/>
      <c r="G3" s="200"/>
      <c r="H3" s="200"/>
    </row>
    <row r="4" spans="1:9" x14ac:dyDescent="0.3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2025-07-11T10:18:59Z</cp:lastPrinted>
  <dcterms:created xsi:type="dcterms:W3CDTF">2019-07-16T09:29:46Z</dcterms:created>
  <dcterms:modified xsi:type="dcterms:W3CDTF">2025-07-11T10:27:45Z</dcterms:modified>
</cp:coreProperties>
</file>