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Update\13387 - Pratap Adinath\"/>
    </mc:Choice>
  </mc:AlternateContent>
  <xr:revisionPtr revIDLastSave="0" documentId="13_ncr:1_{2BFA2245-ECCE-4600-BE88-54C1058E7AE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1" i="1" l="1"/>
  <c r="A242" i="1" s="1"/>
  <c r="A243" i="1" s="1"/>
  <c r="G15" i="5"/>
  <c r="F11" i="5"/>
  <c r="F12" i="5"/>
  <c r="G12" i="5" s="1"/>
  <c r="F13" i="5"/>
  <c r="G13" i="5" s="1"/>
  <c r="F14" i="5"/>
  <c r="G14" i="5" s="1"/>
  <c r="F10" i="5"/>
  <c r="A228" i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E42" i="1"/>
  <c r="A240" i="1" l="1"/>
  <c r="K12" i="5"/>
  <c r="K13" i="5"/>
  <c r="D225" i="1"/>
  <c r="F225" i="1" s="1"/>
  <c r="D224" i="1"/>
  <c r="F224" i="1" s="1"/>
  <c r="D222" i="1"/>
  <c r="F222" i="1" s="1"/>
  <c r="D221" i="1"/>
  <c r="F221" i="1" s="1"/>
  <c r="D220" i="1"/>
  <c r="F220" i="1" s="1"/>
  <c r="A220" i="1"/>
  <c r="A221" i="1" s="1"/>
  <c r="A222" i="1" s="1"/>
  <c r="A223" i="1" s="1"/>
  <c r="A224" i="1" s="1"/>
  <c r="A225" i="1" s="1"/>
  <c r="G219" i="1"/>
  <c r="D219" i="1"/>
  <c r="F219" i="1" s="1"/>
  <c r="D217" i="1"/>
  <c r="D216" i="1"/>
  <c r="D215" i="1"/>
  <c r="D214" i="1"/>
  <c r="D213" i="1"/>
  <c r="D209" i="1"/>
  <c r="D208" i="1"/>
  <c r="D207" i="1"/>
  <c r="D206" i="1"/>
  <c r="D205" i="1"/>
  <c r="D201" i="1"/>
  <c r="D200" i="1"/>
  <c r="D199" i="1"/>
  <c r="D198" i="1"/>
  <c r="D197" i="1"/>
  <c r="D184" i="1"/>
  <c r="D183" i="1"/>
  <c r="D182" i="1"/>
  <c r="D192" i="1"/>
  <c r="D191" i="1"/>
  <c r="D190" i="1"/>
  <c r="D189" i="1"/>
  <c r="D193" i="1"/>
  <c r="D185" i="1"/>
  <c r="D181" i="1"/>
  <c r="J179" i="1"/>
  <c r="K179" i="1"/>
  <c r="D177" i="1"/>
  <c r="D176" i="1"/>
  <c r="D175" i="1"/>
  <c r="D174" i="1"/>
  <c r="D173" i="1"/>
  <c r="D169" i="1"/>
  <c r="D168" i="1"/>
  <c r="D167" i="1"/>
  <c r="D166" i="1"/>
  <c r="D165" i="1"/>
  <c r="D161" i="1"/>
  <c r="D160" i="1"/>
  <c r="D159" i="1"/>
  <c r="D158" i="1"/>
  <c r="D157" i="1"/>
  <c r="D153" i="1"/>
  <c r="D152" i="1"/>
  <c r="D151" i="1"/>
  <c r="D150" i="1"/>
  <c r="D149" i="1"/>
  <c r="D145" i="1"/>
  <c r="D144" i="1"/>
  <c r="D142" i="1"/>
  <c r="D141" i="1"/>
  <c r="D137" i="1"/>
  <c r="D136" i="1"/>
  <c r="D134" i="1"/>
  <c r="D133" i="1"/>
  <c r="D127" i="1"/>
  <c r="D126" i="1"/>
  <c r="D125" i="1"/>
  <c r="D124" i="1"/>
  <c r="D123" i="1"/>
  <c r="D122" i="1"/>
  <c r="D121" i="1"/>
  <c r="C50" i="1"/>
  <c r="E103" i="1" l="1"/>
  <c r="L179" i="1"/>
  <c r="C103" i="1"/>
  <c r="K98" i="1"/>
  <c r="I101" i="1"/>
  <c r="J101" i="1" s="1"/>
  <c r="I100" i="1"/>
  <c r="J100" i="1" s="1"/>
  <c r="I99" i="1"/>
  <c r="J99" i="1" s="1"/>
  <c r="I98" i="1"/>
  <c r="J98" i="1" s="1"/>
  <c r="J102" i="1" l="1"/>
  <c r="F216" i="1"/>
  <c r="F215" i="1"/>
  <c r="F214" i="1"/>
  <c r="F213" i="1"/>
  <c r="D212" i="1"/>
  <c r="F212" i="1" s="1"/>
  <c r="D211" i="1"/>
  <c r="F211" i="1" s="1"/>
  <c r="F209" i="1"/>
  <c r="F207" i="1"/>
  <c r="F206" i="1"/>
  <c r="F205" i="1"/>
  <c r="D204" i="1"/>
  <c r="F204" i="1" s="1"/>
  <c r="D203" i="1"/>
  <c r="F203" i="1" s="1"/>
  <c r="F201" i="1"/>
  <c r="F200" i="1"/>
  <c r="F198" i="1"/>
  <c r="F197" i="1"/>
  <c r="F193" i="1"/>
  <c r="F192" i="1"/>
  <c r="F191" i="1"/>
  <c r="F190" i="1"/>
  <c r="F189" i="1"/>
  <c r="D188" i="1"/>
  <c r="F188" i="1" s="1"/>
  <c r="D187" i="1"/>
  <c r="F187" i="1" s="1"/>
  <c r="F184" i="1"/>
  <c r="F183" i="1"/>
  <c r="F182" i="1"/>
  <c r="F181" i="1"/>
  <c r="D180" i="1"/>
  <c r="F180" i="1" s="1"/>
  <c r="D179" i="1"/>
  <c r="F179" i="1" s="1"/>
  <c r="O179" i="1" s="1"/>
  <c r="F177" i="1"/>
  <c r="F175" i="1"/>
  <c r="F174" i="1"/>
  <c r="F173" i="1"/>
  <c r="D172" i="1"/>
  <c r="F172" i="1" s="1"/>
  <c r="D171" i="1"/>
  <c r="F171" i="1" s="1"/>
  <c r="J171" i="1" s="1"/>
  <c r="F168" i="1"/>
  <c r="F167" i="1"/>
  <c r="J167" i="1" s="1"/>
  <c r="F166" i="1"/>
  <c r="F165" i="1"/>
  <c r="D164" i="1"/>
  <c r="F164" i="1" s="1"/>
  <c r="D163" i="1"/>
  <c r="F163" i="1" s="1"/>
  <c r="F161" i="1"/>
  <c r="F159" i="1"/>
  <c r="F158" i="1"/>
  <c r="F157" i="1"/>
  <c r="D156" i="1"/>
  <c r="F156" i="1" s="1"/>
  <c r="D155" i="1"/>
  <c r="F155" i="1" s="1"/>
  <c r="F153" i="1"/>
  <c r="F152" i="1"/>
  <c r="F150" i="1"/>
  <c r="F145" i="1"/>
  <c r="F144" i="1"/>
  <c r="D143" i="1"/>
  <c r="F143" i="1" s="1"/>
  <c r="F142" i="1"/>
  <c r="F141" i="1"/>
  <c r="D140" i="1"/>
  <c r="F140" i="1" s="1"/>
  <c r="D139" i="1"/>
  <c r="F139" i="1" s="1"/>
  <c r="F136" i="1"/>
  <c r="N136" i="1" s="1"/>
  <c r="D135" i="1"/>
  <c r="D132" i="1"/>
  <c r="D131" i="1"/>
  <c r="F127" i="1"/>
  <c r="F126" i="1"/>
  <c r="F125" i="1"/>
  <c r="F121" i="1"/>
  <c r="D115" i="1"/>
  <c r="D114" i="1"/>
  <c r="D113" i="1"/>
  <c r="D112" i="1"/>
  <c r="F217" i="1"/>
  <c r="A212" i="1"/>
  <c r="A213" i="1" s="1"/>
  <c r="A214" i="1" s="1"/>
  <c r="A215" i="1" s="1"/>
  <c r="A216" i="1" s="1"/>
  <c r="A217" i="1" s="1"/>
  <c r="G211" i="1"/>
  <c r="F208" i="1"/>
  <c r="A204" i="1"/>
  <c r="A205" i="1" s="1"/>
  <c r="A206" i="1" s="1"/>
  <c r="A207" i="1" s="1"/>
  <c r="A208" i="1" s="1"/>
  <c r="A209" i="1" s="1"/>
  <c r="G203" i="1"/>
  <c r="F199" i="1"/>
  <c r="A196" i="1"/>
  <c r="A197" i="1" s="1"/>
  <c r="A198" i="1" s="1"/>
  <c r="A199" i="1" s="1"/>
  <c r="A200" i="1" s="1"/>
  <c r="A201" i="1" s="1"/>
  <c r="G195" i="1"/>
  <c r="I190" i="1"/>
  <c r="A188" i="1"/>
  <c r="A189" i="1" s="1"/>
  <c r="A190" i="1" s="1"/>
  <c r="A191" i="1" s="1"/>
  <c r="A192" i="1" s="1"/>
  <c r="A193" i="1" s="1"/>
  <c r="G187" i="1"/>
  <c r="F185" i="1"/>
  <c r="A180" i="1"/>
  <c r="A181" i="1" s="1"/>
  <c r="A182" i="1" s="1"/>
  <c r="A183" i="1" s="1"/>
  <c r="A184" i="1" s="1"/>
  <c r="A185" i="1" s="1"/>
  <c r="G179" i="1"/>
  <c r="F176" i="1"/>
  <c r="A172" i="1"/>
  <c r="A173" i="1" s="1"/>
  <c r="A174" i="1" s="1"/>
  <c r="A175" i="1" s="1"/>
  <c r="A176" i="1" s="1"/>
  <c r="A177" i="1" s="1"/>
  <c r="G171" i="1"/>
  <c r="F169" i="1"/>
  <c r="A164" i="1"/>
  <c r="A165" i="1" s="1"/>
  <c r="A166" i="1" s="1"/>
  <c r="A167" i="1" s="1"/>
  <c r="A168" i="1" s="1"/>
  <c r="A169" i="1" s="1"/>
  <c r="G163" i="1"/>
  <c r="F151" i="1"/>
  <c r="F149" i="1"/>
  <c r="F160" i="1"/>
  <c r="A156" i="1"/>
  <c r="A157" i="1" s="1"/>
  <c r="A158" i="1" s="1"/>
  <c r="A159" i="1" s="1"/>
  <c r="A160" i="1" s="1"/>
  <c r="A161" i="1" s="1"/>
  <c r="G155" i="1"/>
  <c r="A148" i="1"/>
  <c r="A149" i="1" s="1"/>
  <c r="A150" i="1" s="1"/>
  <c r="A151" i="1" s="1"/>
  <c r="A152" i="1" s="1"/>
  <c r="A153" i="1" s="1"/>
  <c r="G147" i="1"/>
  <c r="A140" i="1"/>
  <c r="A141" i="1" s="1"/>
  <c r="A142" i="1" s="1"/>
  <c r="A143" i="1" s="1"/>
  <c r="A144" i="1" s="1"/>
  <c r="A145" i="1" s="1"/>
  <c r="G139" i="1"/>
  <c r="I131" i="1"/>
  <c r="F137" i="1"/>
  <c r="N137" i="1" s="1"/>
  <c r="I121" i="1"/>
  <c r="E99" i="1" l="1"/>
  <c r="E104" i="1"/>
  <c r="E105" i="1" s="1"/>
  <c r="E100" i="1"/>
  <c r="C99" i="1"/>
  <c r="C100" i="1" s="1"/>
  <c r="C104" i="1"/>
  <c r="C105" i="1" s="1"/>
  <c r="F112" i="1"/>
  <c r="C106" i="1" l="1"/>
  <c r="E106" i="1"/>
  <c r="E43" i="1" l="1"/>
  <c r="E44" i="1" s="1"/>
  <c r="C15" i="1" l="1"/>
  <c r="E30" i="1" l="1"/>
  <c r="F122" i="1" l="1"/>
  <c r="F123" i="1"/>
  <c r="F124" i="1"/>
  <c r="A122" i="1"/>
  <c r="A123" i="1" s="1"/>
  <c r="A124" i="1" s="1"/>
  <c r="A125" i="1" s="1"/>
  <c r="A126" i="1" s="1"/>
  <c r="A127" i="1" s="1"/>
  <c r="G121" i="1"/>
  <c r="G103" i="1" l="1"/>
  <c r="F96" i="1"/>
  <c r="F113" i="1" l="1"/>
  <c r="F114" i="1"/>
  <c r="J114" i="1" s="1"/>
  <c r="O85" i="1" s="1"/>
  <c r="F115" i="1"/>
  <c r="G99" i="1" l="1"/>
  <c r="G100" i="1"/>
  <c r="B228" i="1"/>
  <c r="F135" i="1" l="1"/>
  <c r="N135" i="1" s="1"/>
  <c r="F134" i="1"/>
  <c r="N134" i="1" s="1"/>
  <c r="F132" i="1"/>
  <c r="N132" i="1" s="1"/>
  <c r="F131" i="1"/>
  <c r="F133" i="1"/>
  <c r="N131" i="1" l="1"/>
  <c r="G104" i="1"/>
  <c r="G105" i="1" s="1"/>
  <c r="G106" i="1" s="1"/>
  <c r="J133" i="1"/>
  <c r="O84" i="1" s="1"/>
  <c r="N133" i="1"/>
  <c r="B229" i="1"/>
  <c r="G11" i="5" l="1"/>
  <c r="G10" i="5"/>
  <c r="M8" i="5" s="1"/>
  <c r="F9" i="5"/>
  <c r="G9" i="5" s="1"/>
  <c r="F8" i="5"/>
  <c r="G8" i="5" s="1"/>
  <c r="F7" i="5"/>
  <c r="G7" i="5" s="1"/>
  <c r="F6" i="5"/>
  <c r="G6" i="5" s="1"/>
  <c r="F5" i="5"/>
  <c r="G5" i="5" s="1"/>
  <c r="D256" i="1"/>
  <c r="G131" i="1"/>
  <c r="A132" i="1"/>
  <c r="A133" i="1" s="1"/>
  <c r="A134" i="1" s="1"/>
  <c r="A135" i="1" s="1"/>
  <c r="A136" i="1" s="1"/>
  <c r="A137" i="1" s="1"/>
  <c r="A113" i="1"/>
  <c r="A114" i="1" s="1"/>
  <c r="A115" i="1" s="1"/>
  <c r="G112" i="1"/>
  <c r="C69" i="1"/>
  <c r="B70" i="1" s="1"/>
  <c r="D58" i="1"/>
  <c r="G50" i="1"/>
  <c r="E27" i="1"/>
  <c r="E25" i="1"/>
  <c r="E7" i="1"/>
  <c r="E3" i="1"/>
  <c r="D63" i="1" l="1"/>
  <c r="H70" i="1"/>
  <c r="D82" i="1" l="1"/>
  <c r="D80" i="1"/>
  <c r="D79" i="1"/>
  <c r="D76" i="1"/>
  <c r="D78" i="1"/>
  <c r="J75" i="1"/>
  <c r="J76" i="1" s="1"/>
  <c r="J81" i="1" s="1"/>
  <c r="D81" i="1"/>
  <c r="J69" i="1"/>
  <c r="J71" i="1" s="1"/>
  <c r="D77" i="1"/>
  <c r="J73" i="1"/>
  <c r="J74" i="1"/>
  <c r="C73" i="1" s="1"/>
  <c r="D73" i="1" s="1"/>
  <c r="J72" i="1"/>
  <c r="J77" i="1"/>
  <c r="J78" i="1" s="1"/>
  <c r="J79" i="1" s="1"/>
  <c r="J80" i="1" s="1"/>
  <c r="D75" i="1"/>
  <c r="J82" i="1" l="1"/>
  <c r="C74" i="1" l="1"/>
  <c r="G73" i="1" s="1"/>
  <c r="D67" i="1" s="1"/>
  <c r="D74" i="1" l="1"/>
  <c r="I70" i="1" s="1"/>
  <c r="I71" i="1" s="1"/>
  <c r="D68" i="1"/>
  <c r="F68" i="1"/>
  <c r="E73" i="1"/>
  <c r="J70" i="1"/>
  <c r="I69" i="1" l="1"/>
  <c r="C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<sst xmlns="http://schemas.openxmlformats.org/spreadsheetml/2006/main" count="396" uniqueCount="263">
  <si>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</si>
  <si>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</si>
  <si>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</si>
  <si>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</si>
  <si>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</si>
  <si>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</si>
  <si>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</si>
  <si>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</si>
  <si>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</si>
  <si>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</si>
  <si>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</si>
  <si>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</si>
  <si>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</si>
  <si>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</si>
  <si>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</si>
  <si>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</si>
  <si>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</si>
  <si>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</si>
  <si>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</si>
  <si>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</si>
  <si>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</si>
  <si>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</si>
  <si>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</si>
  <si>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</si>
  <si>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</si>
  <si>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</si>
  <si>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</si>
  <si>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</si>
  <si>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</si>
  <si>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</si>
  <si>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</si>
  <si>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</si>
  <si>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</si>
  <si>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</si>
  <si>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</si>
  <si>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</si>
  <si>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</si>
  <si>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</si>
  <si>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</si>
  <si>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</si>
  <si>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</si>
  <si>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</si>
  <si>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</si>
  <si>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</si>
  <si>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</si>
  <si>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</si>
  <si>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</si>
  <si>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</si>
  <si>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</si>
  <si>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</si>
  <si>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</si>
  <si>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</si>
  <si>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</si>
  <si>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</si>
  <si>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</si>
  <si>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</si>
  <si>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</si>
  <si>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</si>
  <si>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</si>
  <si>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</si>
  <si>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</si>
  <si>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</si>
  <si>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</si>
  <si>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</si>
  <si>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</si>
  <si>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</si>
  <si>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</si>
  <si>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</si>
  <si>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</si>
  <si>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</si>
  <si>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</si>
  <si>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</si>
  <si>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</si>
  <si>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</si>
  <si>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</si>
  <si>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</si>
  <si>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</si>
  <si>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</si>
  <si>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</si>
  <si>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</si>
  <si>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</si>
  <si>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</si>
  <si>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</si>
  <si>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</si>
  <si>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</si>
  <si>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</si>
  <si>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</si>
  <si>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</si>
  <si>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</si>
  <si>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</si>
  <si>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</si>
  <si>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</si>
  <si>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</si>
  <si>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</si>
  <si>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</si>
  <si>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</si>
  <si>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</si>
  <si>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</si>
  <si>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</si>
  <si>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</si>
  <si>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</si>
  <si>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</si>
  <si>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</si>
  <si>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</si>
  <si>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</si>
  <si>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</si>
  <si>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</si>
  <si>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</si>
  <si>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</si>
  <si>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</si>
  <si>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</si>
  <si>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</si>
  <si>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</si>
  <si>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</si>
  <si>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</si>
  <si>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</si>
  <si>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</si>
  <si>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</si>
  <si>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</si>
  <si>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</si>
  <si>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</si>
  <si>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</si>
  <si>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</si>
  <si>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</si>
  <si>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</si>
  <si>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</si>
  <si>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</si>
  <si>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</si>
  <si>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</si>
  <si>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</si>
  <si>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</si>
  <si>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</si>
  <si>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</si>
  <si>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</si>
  <si>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</si>
  <si>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</si>
  <si>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</si>
  <si>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</si>
  <si>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</si>
  <si>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</si>
  <si>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</si>
  <si>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</si>
  <si>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</si>
  <si>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</si>
  <si>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</si>
  <si>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</si>
  <si>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</si>
  <si>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</si>
  <si>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</si>
  <si>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</si>
  <si>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</si>
  <si>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</si>
  <si>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</si>
  <si>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</si>
  <si>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</si>
  <si>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</si>
  <si>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</si>
  <si>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</si>
  <si>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</si>
  <si>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</si>
  <si>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</si>
  <si>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</si>
  <si>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</si>
  <si>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</si>
  <si>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</si>
  <si>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</si>
  <si>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</si>
  <si>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</si>
  <si>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</si>
  <si>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</si>
  <si>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</si>
  <si>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</si>
  <si>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</si>
  <si>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CTS No.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</si>
  <si>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</si>
  <si>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</si>
  <si>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</si>
  <si>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</si>
  <si>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</si>
  <si>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</si>
  <si>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JPV Realtors Private Limited</t>
  </si>
  <si>
    <t>Pratap Adinath</t>
  </si>
  <si>
    <t>Borivali Adinath CHSL</t>
  </si>
  <si>
    <t>P51800050861</t>
  </si>
  <si>
    <t>13/12, 13/13 &amp; 13/14 &amp; Redevelopment of Borivali Adinath CHSL</t>
  </si>
  <si>
    <t>Kandivali</t>
  </si>
  <si>
    <t>Borivali</t>
  </si>
  <si>
    <t>Borivali (West)</t>
  </si>
  <si>
    <t>https://goo.gl/maps/1eXN1UKyV6gqzanD8</t>
  </si>
  <si>
    <t>Mahavir Nagar</t>
  </si>
  <si>
    <t>Jai Punit Nagar Internal Road</t>
  </si>
  <si>
    <t>2.1 KM from Borivali Railway Station</t>
  </si>
  <si>
    <t>Dev Nagar Dersar Lane</t>
  </si>
  <si>
    <t>Internal Road</t>
  </si>
  <si>
    <t>Bahubali Tower</t>
  </si>
  <si>
    <t>Jaya International</t>
  </si>
  <si>
    <t>Happy Homes CHS</t>
  </si>
  <si>
    <t>Nalla</t>
  </si>
  <si>
    <t>Nalla is located on South side to the project.</t>
  </si>
  <si>
    <t>Municipal Corporation of Greater Mumbai</t>
  </si>
  <si>
    <t xml:space="preserve">Airport Authority of India
NOC No.
Valid Up to: </t>
  </si>
  <si>
    <t>JUHU/WEST/B/092122/699042</t>
  </si>
  <si>
    <t>As per RERA - 31/12/2027</t>
  </si>
  <si>
    <t>Shop</t>
  </si>
  <si>
    <t>MP Room</t>
  </si>
  <si>
    <t>1st to 3rd Podium Floor for Parking</t>
  </si>
  <si>
    <t>6th Floor for Residential</t>
  </si>
  <si>
    <t>2BHK</t>
  </si>
  <si>
    <t>1BHK</t>
  </si>
  <si>
    <t>3BHK</t>
  </si>
  <si>
    <t>7th Floor</t>
  </si>
  <si>
    <t>8th Floor (Part Refuge Area)</t>
  </si>
  <si>
    <t>Refuge Area</t>
  </si>
  <si>
    <t>9th Floor</t>
  </si>
  <si>
    <t>10th Floor</t>
  </si>
  <si>
    <t>11th Floor</t>
  </si>
  <si>
    <t>12th &amp; 13th Floor</t>
  </si>
  <si>
    <t>14th Floor</t>
  </si>
  <si>
    <t>15th Floor (Part Refuge Area)</t>
  </si>
  <si>
    <t>16th to 18th Floor</t>
  </si>
  <si>
    <t>Shops</t>
  </si>
  <si>
    <t>Flats</t>
  </si>
  <si>
    <t>We considered Gross carpet area = Net carpet.</t>
  </si>
  <si>
    <t>Happy Home</t>
  </si>
  <si>
    <t>Inspection</t>
  </si>
  <si>
    <t>Gymnasium, Kids' Play Areas, Power Backup, Treated Water Supply, 24*7 Water Supply, Party Lawn, CCTV/Video Surveillance, Fire Fighting Systems, 24 x 7 Security, Indoor Games, Jogging / Cycle Track.</t>
  </si>
  <si>
    <t>Approved Plans, CC, Sale Plans, Airport Noc</t>
  </si>
  <si>
    <t>We refer Civil Aviation NOC from MCGM site.</t>
  </si>
  <si>
    <t>Online</t>
  </si>
  <si>
    <t>MIS</t>
  </si>
  <si>
    <t xml:space="preserve">As the project is redevelopement project but rehab statement or rehab flats is not mentioned approved layout plan &amp; floor plan.
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</si>
  <si>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</si>
  <si>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Mr. Abhijit Panchal 9082902154</t>
  </si>
  <si>
    <t>19.215948,72.847575</t>
  </si>
  <si>
    <t>P-12221/2022/(13/12 And Other)/R/C
Ward/KANDIVALI R/C/FCC/1/New</t>
  </si>
  <si>
    <t>Construction work is in process at the time of Visit.</t>
  </si>
  <si>
    <t>This C.C. is extended further for the entire work of the building comprising of Ground Floor (Pt.) for Shops/Bank, Multipurpose Rooms, (Pt.) stilt + 1st to 3rd Podiums parking + 4th Podium as E-Deck floor + 6th to 21st + 22nd (pt.) upper floors for Residential use as per approved amended plan dated 13.12.2024.</t>
  </si>
  <si>
    <t>We have updated latest approved CC from MCGM site (on 16/01/2024 &amp; 10/07/2025 ).</t>
  </si>
  <si>
    <t>P-12221/2022/(13/12 And Other)/R/C Ward/KANDIVALI R/C/337/2/Amend</t>
  </si>
  <si>
    <t>Bank</t>
  </si>
  <si>
    <t>4th Podium E Deck Floor for Fitness Centre, DG Set, Society Office, Meter Room &amp; Sub Station</t>
  </si>
  <si>
    <t>19th to 21st Floor</t>
  </si>
  <si>
    <t>Terrace Area</t>
  </si>
  <si>
    <t>22nd Floor (Part Terrace Area)</t>
  </si>
  <si>
    <t>Ground Floor for Commercial, Bank &amp; Residential</t>
  </si>
  <si>
    <t>We have updated revised approved plans (on 23/07/2025).</t>
  </si>
  <si>
    <t>Kunal Kadam</t>
  </si>
  <si>
    <t>Site Elevation (AMSL) = 9.5 M
Permissible Top Elevation (AMSL) = 109.5 M</t>
  </si>
  <si>
    <t>Flats - 114, MP Room - 07, Shops - 04, Bank - 01</t>
  </si>
  <si>
    <t>-</t>
  </si>
  <si>
    <t>Gr/Stilt + 1st to 4th Podium Floor + 6th to 22nd Floor</t>
  </si>
  <si>
    <t>Sanket Salvi</t>
  </si>
  <si>
    <t xml:space="preserve">As per the revised approved plans dtd 13/12/2024, 5th Floor is not mentioned.
(Elevation and Built up Table attached below).
</t>
  </si>
  <si>
    <t>stage given as per 22 floors but building will be completed on 22nd Slab (as 5th Floor is ignored)</t>
  </si>
  <si>
    <t>Square yard</t>
  </si>
  <si>
    <t xml:space="preserve">MIS </t>
  </si>
  <si>
    <t>Max 21800</t>
  </si>
  <si>
    <t>Kalpataru Advay</t>
  </si>
  <si>
    <t>Lodha atlus</t>
  </si>
  <si>
    <t>19000 to 21000 During updation by market research 23/07/2025</t>
  </si>
  <si>
    <t>Recommended Rates of the Property have been revised on 23/07/2025 with reference to market inquiry.</t>
  </si>
  <si>
    <t>Validity of CC is expired on 04/04/2025.</t>
  </si>
  <si>
    <t>Remark No 16: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</si>
</sst>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8" fillId="0" borderId="0" xfId="1" applyFont="1"/>
    <xf numFmtId="0" fontId="16" fillId="0" borderId="0" xfId="1" applyFont="1"/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0" xfId="1" applyFont="1" applyProtection="1">
      <protection hidden="1"/>
    </xf>
    <xf numFmtId="0" fontId="24" fillId="0" borderId="0" xfId="1" applyFont="1"/>
    <xf numFmtId="0" fontId="8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3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 applyProtection="1">
      <alignment horizontal="center" vertical="top" wrapText="1"/>
      <protection locked="0"/>
    </xf>
    <xf numFmtId="9" fontId="13" fillId="0" borderId="1" xfId="8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9" fontId="13" fillId="0" borderId="7" xfId="8" applyFont="1" applyFill="1" applyBorder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6" fillId="0" borderId="0" xfId="4" applyAlignment="1">
      <alignment wrapText="1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1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25" xfId="1" applyFont="1" applyBorder="1" applyAlignment="1" applyProtection="1">
      <alignment horizontal="left" vertical="top" wrapText="1"/>
      <protection locked="0"/>
    </xf>
    <xf numFmtId="0" fontId="7" fillId="0" borderId="26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26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1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9" fillId="0" borderId="16" xfId="1" applyFont="1" applyBorder="1" applyAlignment="1" applyProtection="1">
      <alignment horizontal="center"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9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6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9" fontId="13" fillId="0" borderId="17" xfId="8" applyFont="1" applyFill="1" applyBorder="1" applyAlignment="1" applyProtection="1">
      <alignment horizontal="center" vertical="center" wrapText="1"/>
      <protection locked="0"/>
    </xf>
    <xf numFmtId="9" fontId="13" fillId="0" borderId="18" xfId="8" applyFont="1" applyFill="1" applyBorder="1" applyAlignment="1" applyProtection="1">
      <alignment horizontal="center" vertical="center" wrapText="1"/>
      <protection locked="0"/>
    </xf>
    <xf numFmtId="9" fontId="13" fillId="0" borderId="25" xfId="8" applyFont="1" applyFill="1" applyBorder="1" applyAlignment="1" applyProtection="1">
      <alignment horizontal="center" vertical="center" wrapText="1"/>
      <protection locked="0"/>
    </xf>
    <xf numFmtId="9" fontId="13" fillId="0" borderId="26" xfId="8" applyFont="1" applyFill="1" applyBorder="1" applyAlignment="1" applyProtection="1">
      <alignment horizontal="center" vertical="center" wrapText="1"/>
      <protection locked="0"/>
    </xf>
    <xf numFmtId="9" fontId="13" fillId="0" borderId="28" xfId="8" applyFont="1" applyFill="1" applyBorder="1" applyAlignment="1" applyProtection="1">
      <alignment horizontal="center" vertical="center" wrapText="1"/>
      <protection locked="0"/>
    </xf>
    <xf numFmtId="9" fontId="13" fillId="0" borderId="29" xfId="8" applyFont="1" applyFill="1" applyBorder="1" applyAlignment="1" applyProtection="1">
      <alignment horizontal="center" vertical="center" wrapText="1"/>
      <protection locked="0"/>
    </xf>
    <xf numFmtId="9" fontId="13" fillId="0" borderId="27" xfId="8" applyFont="1" applyFill="1" applyBorder="1" applyAlignment="1" applyProtection="1">
      <alignment horizontal="center" vertical="center" wrapText="1"/>
      <protection locked="0"/>
    </xf>
    <xf numFmtId="9" fontId="13" fillId="0" borderId="10" xfId="8" applyFont="1" applyFill="1" applyBorder="1" applyAlignment="1" applyProtection="1">
      <alignment horizontal="center" vertical="center" wrapText="1"/>
      <protection locked="0"/>
    </xf>
    <xf numFmtId="9" fontId="13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9" fillId="0" borderId="8" xfId="1" applyFont="1" applyBorder="1" applyAlignment="1" applyProtection="1">
      <alignment horizontal="left" vertical="top"/>
      <protection locked="0"/>
    </xf>
    <xf numFmtId="0" fontId="9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center" vertical="top"/>
      <protection locked="0"/>
    </xf>
    <xf numFmtId="0" fontId="14" fillId="0" borderId="21" xfId="1" applyFont="1" applyBorder="1" applyAlignment="1" applyProtection="1">
      <alignment horizontal="center" vertical="top"/>
      <protection locked="0"/>
    </xf>
    <xf numFmtId="0" fontId="14" fillId="0" borderId="9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9" fillId="0" borderId="22" xfId="1" applyFont="1" applyBorder="1" applyAlignment="1" applyProtection="1">
      <alignment horizontal="left" vertical="top" wrapText="1"/>
      <protection locked="0"/>
    </xf>
    <xf numFmtId="0" fontId="9" fillId="0" borderId="15" xfId="1" applyFont="1" applyBorder="1" applyAlignment="1" applyProtection="1">
      <alignment horizontal="left" vertical="top" wrapText="1"/>
      <protection locked="0"/>
    </xf>
    <xf numFmtId="0" fontId="14" fillId="0" borderId="13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4" fontId="13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1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1" fontId="11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1" fontId="11" fillId="0" borderId="33" xfId="0" applyNumberFormat="1" applyFont="1" applyBorder="1" applyAlignment="1" applyProtection="1">
      <alignment horizontal="center" vertical="top" wrapText="1"/>
      <protection locked="0"/>
    </xf>
    <xf numFmtId="1" fontId="9" fillId="0" borderId="33" xfId="0" applyNumberFormat="1" applyFont="1" applyBorder="1" applyAlignment="1" applyProtection="1">
      <alignment horizontal="center" vertical="top" wrapText="1"/>
      <protection locked="0"/>
    </xf>
    <xf numFmtId="1" fontId="9" fillId="0" borderId="34" xfId="0" applyNumberFormat="1" applyFont="1" applyBorder="1" applyAlignment="1" applyProtection="1">
      <alignment horizontal="center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left" vertical="top" wrapText="1"/>
      <protection locked="0"/>
    </xf>
    <xf numFmtId="0" fontId="9" fillId="0" borderId="9" xfId="1" applyFont="1" applyBorder="1" applyAlignment="1" applyProtection="1">
      <alignment horizontal="left" vertical="top" wrapText="1"/>
      <protection locked="0"/>
    </xf>
    <xf numFmtId="0" fontId="9" fillId="0" borderId="2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6" fillId="2" borderId="0" xfId="1" applyFont="1" applyFill="1" applyAlignment="1">
      <alignment horizontal="left" wrapText="1"/>
    </xf>
    <xf numFmtId="0" fontId="7" fillId="0" borderId="1" xfId="1" applyFont="1" applyBorder="1" applyAlignment="1" applyProtection="1">
      <alignment vertical="top"/>
      <protection locked="0"/>
    </xf>
    <xf numFmtId="167" fontId="14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727360</xdr:colOff>
      <xdr:row>403</xdr:row>
      <xdr:rowOff>95251</xdr:rowOff>
    </xdr:from>
    <xdr:to>
      <xdr:col>7</xdr:col>
      <xdr:colOff>17122</xdr:colOff>
      <xdr:row>424</xdr:row>
      <xdr:rowOff>44645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360" y="66129478"/>
          <a:ext cx="4961467" cy="41317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727360</xdr:colOff>
      <xdr:row>384</xdr:row>
      <xdr:rowOff>69272</xdr:rowOff>
    </xdr:from>
    <xdr:to>
      <xdr:col>7</xdr:col>
      <xdr:colOff>17122</xdr:colOff>
      <xdr:row>402</xdr:row>
      <xdr:rowOff>74277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7360" y="62319477"/>
          <a:ext cx="4961467" cy="35898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34637</xdr:colOff>
      <xdr:row>410</xdr:row>
      <xdr:rowOff>173182</xdr:rowOff>
    </xdr:from>
    <xdr:to>
      <xdr:col>5</xdr:col>
      <xdr:colOff>17319</xdr:colOff>
      <xdr:row>416</xdr:row>
      <xdr:rowOff>95250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41864" y="67601523"/>
          <a:ext cx="1705841" cy="1117022"/>
        </a:xfrm>
        <a:prstGeom prst="round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2</xdr:col>
      <xdr:colOff>79465</xdr:colOff>
      <xdr:row>364</xdr:row>
      <xdr:rowOff>125076</xdr:rowOff>
    </xdr:from>
    <xdr:to>
      <xdr:col>5</xdr:col>
      <xdr:colOff>657315</xdr:colOff>
      <xdr:row>382</xdr:row>
      <xdr:rowOff>79282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8101" y="57993781"/>
          <a:ext cx="3149600" cy="35390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562835</xdr:colOff>
      <xdr:row>342</xdr:row>
      <xdr:rowOff>103908</xdr:rowOff>
    </xdr:from>
    <xdr:to>
      <xdr:col>7</xdr:col>
      <xdr:colOff>191263</xdr:colOff>
      <xdr:row>363</xdr:row>
      <xdr:rowOff>87166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2835" y="53591113"/>
          <a:ext cx="5300133" cy="4165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666750</xdr:colOff>
      <xdr:row>417</xdr:row>
      <xdr:rowOff>129886</xdr:rowOff>
    </xdr:from>
    <xdr:to>
      <xdr:col>4</xdr:col>
      <xdr:colOff>710046</xdr:colOff>
      <xdr:row>417</xdr:row>
      <xdr:rowOff>155863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3073977" y="68952341"/>
          <a:ext cx="987137" cy="25977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736023</xdr:colOff>
      <xdr:row>416</xdr:row>
      <xdr:rowOff>138546</xdr:rowOff>
    </xdr:from>
    <xdr:to>
      <xdr:col>4</xdr:col>
      <xdr:colOff>701387</xdr:colOff>
      <xdr:row>416</xdr:row>
      <xdr:rowOff>147205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3143250" y="68761841"/>
          <a:ext cx="909205" cy="8659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204354</xdr:colOff>
      <xdr:row>416</xdr:row>
      <xdr:rowOff>138546</xdr:rowOff>
    </xdr:from>
    <xdr:to>
      <xdr:col>3</xdr:col>
      <xdr:colOff>736023</xdr:colOff>
      <xdr:row>418</xdr:row>
      <xdr:rowOff>100446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2611581" y="68761841"/>
          <a:ext cx="531669" cy="360219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166254</xdr:colOff>
      <xdr:row>417</xdr:row>
      <xdr:rowOff>143740</xdr:rowOff>
    </xdr:from>
    <xdr:to>
      <xdr:col>3</xdr:col>
      <xdr:colOff>697923</xdr:colOff>
      <xdr:row>419</xdr:row>
      <xdr:rowOff>105641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573481" y="68966195"/>
          <a:ext cx="531669" cy="360219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770659</xdr:colOff>
      <xdr:row>417</xdr:row>
      <xdr:rowOff>69272</xdr:rowOff>
    </xdr:from>
    <xdr:to>
      <xdr:col>3</xdr:col>
      <xdr:colOff>225137</xdr:colOff>
      <xdr:row>418</xdr:row>
      <xdr:rowOff>95250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2329295" y="68891727"/>
          <a:ext cx="303069" cy="225137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680604</xdr:colOff>
      <xdr:row>418</xdr:row>
      <xdr:rowOff>13854</xdr:rowOff>
    </xdr:from>
    <xdr:to>
      <xdr:col>3</xdr:col>
      <xdr:colOff>207818</xdr:colOff>
      <xdr:row>419</xdr:row>
      <xdr:rowOff>103909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239240" y="69035468"/>
          <a:ext cx="375805" cy="289214"/>
        </a:xfrm>
        <a:prstGeom prst="line">
          <a:avLst/>
        </a:prstGeom>
        <a:ln w="57150">
          <a:solidFill>
            <a:schemeClr val="accent6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147205</xdr:colOff>
      <xdr:row>420</xdr:row>
      <xdr:rowOff>69273</xdr:rowOff>
    </xdr:from>
    <xdr:ext cx="528478" cy="2958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54432" y="69489205"/>
          <a:ext cx="528478" cy="295850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3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Nalla</a:t>
          </a:r>
        </a:p>
      </xdr:txBody>
    </xdr:sp>
    <xdr:clientData/>
  </xdr:oneCellAnchor>
  <xdr:twoCellAnchor>
    <xdr:from>
      <xdr:col>3</xdr:col>
      <xdr:colOff>411444</xdr:colOff>
      <xdr:row>417</xdr:row>
      <xdr:rowOff>138545</xdr:rowOff>
    </xdr:from>
    <xdr:to>
      <xdr:col>3</xdr:col>
      <xdr:colOff>848591</xdr:colOff>
      <xdr:row>420</xdr:row>
      <xdr:rowOff>69273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24" idx="0"/>
        </xdr:cNvCxnSpPr>
      </xdr:nvCxnSpPr>
      <xdr:spPr>
        <a:xfrm flipV="1">
          <a:off x="2818671" y="68961000"/>
          <a:ext cx="437147" cy="52820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256</xdr:row>
      <xdr:rowOff>104775</xdr:rowOff>
    </xdr:from>
    <xdr:to>
      <xdr:col>7</xdr:col>
      <xdr:colOff>236230</xdr:colOff>
      <xdr:row>291</xdr:row>
      <xdr:rowOff>159291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409575" y="54313455"/>
          <a:ext cx="5655955" cy="6981096"/>
          <a:chOff x="238180" y="804862"/>
          <a:chExt cx="5503555" cy="7045866"/>
        </a:xfrm>
      </xdr:grpSpPr>
      <xdr:pic>
        <xdr:nvPicPr>
          <xdr:cNvPr id="30" name="Picture 29" descr="https://vsjcllp.vsjadon.com/upload/insp-239720-1525.jpg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79224" y="569072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9720-843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80" y="804862"/>
            <a:ext cx="3583646" cy="4783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9720-847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8381" y="804862"/>
            <a:ext cx="1753354" cy="23402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9720-931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0705" y="569072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9720-849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88381" y="3247795"/>
            <a:ext cx="1753354" cy="23402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381000</xdr:colOff>
      <xdr:row>301</xdr:row>
      <xdr:rowOff>30480</xdr:rowOff>
    </xdr:from>
    <xdr:to>
      <xdr:col>7</xdr:col>
      <xdr:colOff>311700</xdr:colOff>
      <xdr:row>330</xdr:row>
      <xdr:rowOff>136401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1E2BEFFF-E713-C07B-1E54-71BF7C1CEF78}"/>
            </a:ext>
          </a:extLst>
        </xdr:cNvPr>
        <xdr:cNvGrpSpPr/>
      </xdr:nvGrpSpPr>
      <xdr:grpSpPr>
        <a:xfrm>
          <a:off x="381000" y="62354460"/>
          <a:ext cx="5760000" cy="5851401"/>
          <a:chOff x="549000" y="308471"/>
          <a:chExt cx="5760000" cy="5851401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C33A012-334C-0AF8-6126-A9811CAC2C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909000" y="2512503"/>
            <a:ext cx="5040000" cy="364736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DCE217E-02AF-FB45-20C2-20EC960D39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549000" y="308471"/>
            <a:ext cx="5760000" cy="200770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5" name="TextBox 5">
            <a:extLst>
              <a:ext uri="{FF2B5EF4-FFF2-40B4-BE49-F238E27FC236}">
                <a16:creationId xmlns:a16="http://schemas.microsoft.com/office/drawing/2014/main" id="{CA84063D-C35D-7FD3-CF86-7D83784F7D4C}"/>
              </a:ext>
            </a:extLst>
          </xdr:cNvPr>
          <xdr:cNvSpPr txBox="1"/>
        </xdr:nvSpPr>
        <xdr:spPr>
          <a:xfrm>
            <a:off x="909000" y="475580"/>
            <a:ext cx="153734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Elevation Plan</a:t>
            </a:r>
            <a:endParaRPr lang="en-IN" b="1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5039DA4F-8261-795F-1448-A5DA4C9379CD}"/>
              </a:ext>
            </a:extLst>
          </xdr:cNvPr>
          <xdr:cNvSpPr/>
        </xdr:nvSpPr>
        <xdr:spPr>
          <a:xfrm>
            <a:off x="1050324" y="4846952"/>
            <a:ext cx="4794422" cy="66726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931CEFE0-3372-D996-ED02-E1B285F9A3AA}"/>
              </a:ext>
            </a:extLst>
          </xdr:cNvPr>
          <xdr:cNvSpPr/>
        </xdr:nvSpPr>
        <xdr:spPr>
          <a:xfrm>
            <a:off x="3550920" y="487680"/>
            <a:ext cx="1965960" cy="17526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8</xdr:col>
      <xdr:colOff>480060</xdr:colOff>
      <xdr:row>48</xdr:row>
      <xdr:rowOff>358140</xdr:rowOff>
    </xdr:from>
    <xdr:to>
      <xdr:col>15</xdr:col>
      <xdr:colOff>96480</xdr:colOff>
      <xdr:row>55</xdr:row>
      <xdr:rowOff>11398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E531D5-1C1A-B577-72EA-68CD1405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33260" y="11117580"/>
          <a:ext cx="5400000" cy="2663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313766</xdr:colOff>
      <xdr:row>70</xdr:row>
      <xdr:rowOff>125506</xdr:rowOff>
    </xdr:from>
    <xdr:to>
      <xdr:col>8</xdr:col>
      <xdr:colOff>129089</xdr:colOff>
      <xdr:row>92</xdr:row>
      <xdr:rowOff>11665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0472" y="12263718"/>
          <a:ext cx="7390499" cy="38306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312022</xdr:colOff>
      <xdr:row>70</xdr:row>
      <xdr:rowOff>125505</xdr:rowOff>
    </xdr:from>
    <xdr:to>
      <xdr:col>18</xdr:col>
      <xdr:colOff>544205</xdr:colOff>
      <xdr:row>92</xdr:row>
      <xdr:rowOff>11664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3904" y="12263717"/>
          <a:ext cx="7350160" cy="38306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313766</xdr:colOff>
      <xdr:row>93</xdr:row>
      <xdr:rowOff>58232</xdr:rowOff>
    </xdr:from>
    <xdr:to>
      <xdr:col>8</xdr:col>
      <xdr:colOff>129089</xdr:colOff>
      <xdr:row>114</xdr:row>
      <xdr:rowOff>105755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0472" y="16320208"/>
          <a:ext cx="7390499" cy="38127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311848</xdr:colOff>
      <xdr:row>96</xdr:row>
      <xdr:rowOff>10882</xdr:rowOff>
    </xdr:from>
    <xdr:to>
      <xdr:col>11</xdr:col>
      <xdr:colOff>144602</xdr:colOff>
      <xdr:row>104</xdr:row>
      <xdr:rowOff>39263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0415870" y="16388601"/>
          <a:ext cx="1462734" cy="2307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eXN1UKyV6gqzanD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84"/>
  <sheetViews>
    <sheetView tabSelected="1" view="pageBreakPreview" zoomScaleNormal="100" zoomScaleSheetLayoutView="100" workbookViewId="0">
      <selection activeCell="L289" sqref="K289:L290"/>
    </sheetView>
  </sheetViews>
  <sheetFormatPr defaultColWidth="9.109375" defaultRowHeight="15.6" x14ac:dyDescent="0.3"/>
  <cols>
    <col min="1" max="1" width="11.44140625" style="38" customWidth="1"/>
    <col min="2" max="2" width="12" style="38" customWidth="1"/>
    <col min="3" max="3" width="12.6640625" style="38" customWidth="1"/>
    <col min="4" max="4" width="14.109375" style="38" customWidth="1"/>
    <col min="5" max="6" width="11.6640625" style="38" customWidth="1"/>
    <col min="7" max="7" width="11.44140625" style="38" customWidth="1"/>
    <col min="8" max="8" width="10.5546875" style="38" customWidth="1"/>
    <col min="9" max="9" width="17.44140625" style="19" customWidth="1"/>
    <col min="10" max="10" width="11.44140625" style="19" customWidth="1"/>
    <col min="11" max="11" width="10.5546875" style="19" bestFit="1" customWidth="1"/>
    <col min="12" max="12" width="10.5546875" style="19" customWidth="1"/>
    <col min="13" max="13" width="11.88671875" style="19" customWidth="1"/>
    <col min="14" max="14" width="12.5546875" style="19" customWidth="1"/>
    <col min="15" max="15" width="9.88671875" style="19" customWidth="1"/>
    <col min="16" max="16" width="11.6640625" style="19" customWidth="1"/>
    <col min="17" max="247" width="9.109375" style="19"/>
    <col min="248" max="248" width="8.6640625" style="19" customWidth="1"/>
    <col min="249" max="249" width="9.88671875" style="19" customWidth="1"/>
    <col min="250" max="250" width="14.44140625" style="19" customWidth="1"/>
    <col min="251" max="251" width="7.33203125" style="19" customWidth="1"/>
    <col min="252" max="252" width="5.5546875" style="19" customWidth="1"/>
    <col min="253" max="253" width="9" style="19" customWidth="1"/>
    <col min="254" max="255" width="9.88671875" style="19" customWidth="1"/>
    <col min="256" max="256" width="11.109375" style="19" customWidth="1"/>
    <col min="257" max="257" width="2.88671875" style="19" customWidth="1"/>
    <col min="258" max="258" width="3.5546875" style="19" customWidth="1"/>
    <col min="259" max="503" width="9.109375" style="19"/>
    <col min="504" max="504" width="8.6640625" style="19" customWidth="1"/>
    <col min="505" max="505" width="9.88671875" style="19" customWidth="1"/>
    <col min="506" max="506" width="14.44140625" style="19" customWidth="1"/>
    <col min="507" max="507" width="7.33203125" style="19" customWidth="1"/>
    <col min="508" max="508" width="5.5546875" style="19" customWidth="1"/>
    <col min="509" max="509" width="9" style="19" customWidth="1"/>
    <col min="510" max="511" width="9.88671875" style="19" customWidth="1"/>
    <col min="512" max="512" width="11.109375" style="19" customWidth="1"/>
    <col min="513" max="513" width="2.88671875" style="19" customWidth="1"/>
    <col min="514" max="514" width="3.5546875" style="19" customWidth="1"/>
    <col min="515" max="759" width="9.109375" style="19"/>
    <col min="760" max="760" width="8.6640625" style="19" customWidth="1"/>
    <col min="761" max="761" width="9.88671875" style="19" customWidth="1"/>
    <col min="762" max="762" width="14.44140625" style="19" customWidth="1"/>
    <col min="763" max="763" width="7.33203125" style="19" customWidth="1"/>
    <col min="764" max="764" width="5.5546875" style="19" customWidth="1"/>
    <col min="765" max="765" width="9" style="19" customWidth="1"/>
    <col min="766" max="767" width="9.88671875" style="19" customWidth="1"/>
    <col min="768" max="768" width="11.109375" style="19" customWidth="1"/>
    <col min="769" max="769" width="2.88671875" style="19" customWidth="1"/>
    <col min="770" max="770" width="3.5546875" style="19" customWidth="1"/>
    <col min="771" max="1015" width="9.109375" style="19"/>
    <col min="1016" max="1016" width="8.6640625" style="19" customWidth="1"/>
    <col min="1017" max="1017" width="9.88671875" style="19" customWidth="1"/>
    <col min="1018" max="1018" width="14.44140625" style="19" customWidth="1"/>
    <col min="1019" max="1019" width="7.33203125" style="19" customWidth="1"/>
    <col min="1020" max="1020" width="5.5546875" style="19" customWidth="1"/>
    <col min="1021" max="1021" width="9" style="19" customWidth="1"/>
    <col min="1022" max="1023" width="9.88671875" style="19" customWidth="1"/>
    <col min="1024" max="1024" width="11.109375" style="19" customWidth="1"/>
    <col min="1025" max="1025" width="2.88671875" style="19" customWidth="1"/>
    <col min="1026" max="1026" width="3.5546875" style="19" customWidth="1"/>
    <col min="1027" max="1271" width="9.109375" style="19"/>
    <col min="1272" max="1272" width="8.6640625" style="19" customWidth="1"/>
    <col min="1273" max="1273" width="9.88671875" style="19" customWidth="1"/>
    <col min="1274" max="1274" width="14.44140625" style="19" customWidth="1"/>
    <col min="1275" max="1275" width="7.33203125" style="19" customWidth="1"/>
    <col min="1276" max="1276" width="5.5546875" style="19" customWidth="1"/>
    <col min="1277" max="1277" width="9" style="19" customWidth="1"/>
    <col min="1278" max="1279" width="9.88671875" style="19" customWidth="1"/>
    <col min="1280" max="1280" width="11.109375" style="19" customWidth="1"/>
    <col min="1281" max="1281" width="2.88671875" style="19" customWidth="1"/>
    <col min="1282" max="1282" width="3.5546875" style="19" customWidth="1"/>
    <col min="1283" max="1527" width="9.109375" style="19"/>
    <col min="1528" max="1528" width="8.6640625" style="19" customWidth="1"/>
    <col min="1529" max="1529" width="9.88671875" style="19" customWidth="1"/>
    <col min="1530" max="1530" width="14.44140625" style="19" customWidth="1"/>
    <col min="1531" max="1531" width="7.33203125" style="19" customWidth="1"/>
    <col min="1532" max="1532" width="5.5546875" style="19" customWidth="1"/>
    <col min="1533" max="1533" width="9" style="19" customWidth="1"/>
    <col min="1534" max="1535" width="9.88671875" style="19" customWidth="1"/>
    <col min="1536" max="1536" width="11.109375" style="19" customWidth="1"/>
    <col min="1537" max="1537" width="2.88671875" style="19" customWidth="1"/>
    <col min="1538" max="1538" width="3.5546875" style="19" customWidth="1"/>
    <col min="1539" max="1783" width="9.109375" style="19"/>
    <col min="1784" max="1784" width="8.6640625" style="19" customWidth="1"/>
    <col min="1785" max="1785" width="9.88671875" style="19" customWidth="1"/>
    <col min="1786" max="1786" width="14.44140625" style="19" customWidth="1"/>
    <col min="1787" max="1787" width="7.33203125" style="19" customWidth="1"/>
    <col min="1788" max="1788" width="5.5546875" style="19" customWidth="1"/>
    <col min="1789" max="1789" width="9" style="19" customWidth="1"/>
    <col min="1790" max="1791" width="9.88671875" style="19" customWidth="1"/>
    <col min="1792" max="1792" width="11.109375" style="19" customWidth="1"/>
    <col min="1793" max="1793" width="2.88671875" style="19" customWidth="1"/>
    <col min="1794" max="1794" width="3.5546875" style="19" customWidth="1"/>
    <col min="1795" max="2039" width="9.109375" style="19"/>
    <col min="2040" max="2040" width="8.6640625" style="19" customWidth="1"/>
    <col min="2041" max="2041" width="9.88671875" style="19" customWidth="1"/>
    <col min="2042" max="2042" width="14.44140625" style="19" customWidth="1"/>
    <col min="2043" max="2043" width="7.33203125" style="19" customWidth="1"/>
    <col min="2044" max="2044" width="5.5546875" style="19" customWidth="1"/>
    <col min="2045" max="2045" width="9" style="19" customWidth="1"/>
    <col min="2046" max="2047" width="9.88671875" style="19" customWidth="1"/>
    <col min="2048" max="2048" width="11.109375" style="19" customWidth="1"/>
    <col min="2049" max="2049" width="2.88671875" style="19" customWidth="1"/>
    <col min="2050" max="2050" width="3.5546875" style="19" customWidth="1"/>
    <col min="2051" max="2295" width="9.109375" style="19"/>
    <col min="2296" max="2296" width="8.6640625" style="19" customWidth="1"/>
    <col min="2297" max="2297" width="9.88671875" style="19" customWidth="1"/>
    <col min="2298" max="2298" width="14.44140625" style="19" customWidth="1"/>
    <col min="2299" max="2299" width="7.33203125" style="19" customWidth="1"/>
    <col min="2300" max="2300" width="5.5546875" style="19" customWidth="1"/>
    <col min="2301" max="2301" width="9" style="19" customWidth="1"/>
    <col min="2302" max="2303" width="9.88671875" style="19" customWidth="1"/>
    <col min="2304" max="2304" width="11.109375" style="19" customWidth="1"/>
    <col min="2305" max="2305" width="2.88671875" style="19" customWidth="1"/>
    <col min="2306" max="2306" width="3.5546875" style="19" customWidth="1"/>
    <col min="2307" max="2551" width="9.109375" style="19"/>
    <col min="2552" max="2552" width="8.6640625" style="19" customWidth="1"/>
    <col min="2553" max="2553" width="9.88671875" style="19" customWidth="1"/>
    <col min="2554" max="2554" width="14.44140625" style="19" customWidth="1"/>
    <col min="2555" max="2555" width="7.33203125" style="19" customWidth="1"/>
    <col min="2556" max="2556" width="5.5546875" style="19" customWidth="1"/>
    <col min="2557" max="2557" width="9" style="19" customWidth="1"/>
    <col min="2558" max="2559" width="9.88671875" style="19" customWidth="1"/>
    <col min="2560" max="2560" width="11.109375" style="19" customWidth="1"/>
    <col min="2561" max="2561" width="2.88671875" style="19" customWidth="1"/>
    <col min="2562" max="2562" width="3.5546875" style="19" customWidth="1"/>
    <col min="2563" max="2807" width="9.109375" style="19"/>
    <col min="2808" max="2808" width="8.6640625" style="19" customWidth="1"/>
    <col min="2809" max="2809" width="9.88671875" style="19" customWidth="1"/>
    <col min="2810" max="2810" width="14.44140625" style="19" customWidth="1"/>
    <col min="2811" max="2811" width="7.33203125" style="19" customWidth="1"/>
    <col min="2812" max="2812" width="5.5546875" style="19" customWidth="1"/>
    <col min="2813" max="2813" width="9" style="19" customWidth="1"/>
    <col min="2814" max="2815" width="9.88671875" style="19" customWidth="1"/>
    <col min="2816" max="2816" width="11.109375" style="19" customWidth="1"/>
    <col min="2817" max="2817" width="2.88671875" style="19" customWidth="1"/>
    <col min="2818" max="2818" width="3.5546875" style="19" customWidth="1"/>
    <col min="2819" max="3063" width="9.109375" style="19"/>
    <col min="3064" max="3064" width="8.6640625" style="19" customWidth="1"/>
    <col min="3065" max="3065" width="9.88671875" style="19" customWidth="1"/>
    <col min="3066" max="3066" width="14.44140625" style="19" customWidth="1"/>
    <col min="3067" max="3067" width="7.33203125" style="19" customWidth="1"/>
    <col min="3068" max="3068" width="5.5546875" style="19" customWidth="1"/>
    <col min="3069" max="3069" width="9" style="19" customWidth="1"/>
    <col min="3070" max="3071" width="9.88671875" style="19" customWidth="1"/>
    <col min="3072" max="3072" width="11.109375" style="19" customWidth="1"/>
    <col min="3073" max="3073" width="2.88671875" style="19" customWidth="1"/>
    <col min="3074" max="3074" width="3.5546875" style="19" customWidth="1"/>
    <col min="3075" max="3319" width="9.109375" style="19"/>
    <col min="3320" max="3320" width="8.6640625" style="19" customWidth="1"/>
    <col min="3321" max="3321" width="9.88671875" style="19" customWidth="1"/>
    <col min="3322" max="3322" width="14.44140625" style="19" customWidth="1"/>
    <col min="3323" max="3323" width="7.33203125" style="19" customWidth="1"/>
    <col min="3324" max="3324" width="5.5546875" style="19" customWidth="1"/>
    <col min="3325" max="3325" width="9" style="19" customWidth="1"/>
    <col min="3326" max="3327" width="9.88671875" style="19" customWidth="1"/>
    <col min="3328" max="3328" width="11.109375" style="19" customWidth="1"/>
    <col min="3329" max="3329" width="2.88671875" style="19" customWidth="1"/>
    <col min="3330" max="3330" width="3.5546875" style="19" customWidth="1"/>
    <col min="3331" max="3575" width="9.109375" style="19"/>
    <col min="3576" max="3576" width="8.6640625" style="19" customWidth="1"/>
    <col min="3577" max="3577" width="9.88671875" style="19" customWidth="1"/>
    <col min="3578" max="3578" width="14.44140625" style="19" customWidth="1"/>
    <col min="3579" max="3579" width="7.33203125" style="19" customWidth="1"/>
    <col min="3580" max="3580" width="5.5546875" style="19" customWidth="1"/>
    <col min="3581" max="3581" width="9" style="19" customWidth="1"/>
    <col min="3582" max="3583" width="9.88671875" style="19" customWidth="1"/>
    <col min="3584" max="3584" width="11.109375" style="19" customWidth="1"/>
    <col min="3585" max="3585" width="2.88671875" style="19" customWidth="1"/>
    <col min="3586" max="3586" width="3.5546875" style="19" customWidth="1"/>
    <col min="3587" max="3831" width="9.109375" style="19"/>
    <col min="3832" max="3832" width="8.6640625" style="19" customWidth="1"/>
    <col min="3833" max="3833" width="9.88671875" style="19" customWidth="1"/>
    <col min="3834" max="3834" width="14.44140625" style="19" customWidth="1"/>
    <col min="3835" max="3835" width="7.33203125" style="19" customWidth="1"/>
    <col min="3836" max="3836" width="5.5546875" style="19" customWidth="1"/>
    <col min="3837" max="3837" width="9" style="19" customWidth="1"/>
    <col min="3838" max="3839" width="9.88671875" style="19" customWidth="1"/>
    <col min="3840" max="3840" width="11.109375" style="19" customWidth="1"/>
    <col min="3841" max="3841" width="2.88671875" style="19" customWidth="1"/>
    <col min="3842" max="3842" width="3.5546875" style="19" customWidth="1"/>
    <col min="3843" max="4087" width="9.109375" style="19"/>
    <col min="4088" max="4088" width="8.6640625" style="19" customWidth="1"/>
    <col min="4089" max="4089" width="9.88671875" style="19" customWidth="1"/>
    <col min="4090" max="4090" width="14.44140625" style="19" customWidth="1"/>
    <col min="4091" max="4091" width="7.33203125" style="19" customWidth="1"/>
    <col min="4092" max="4092" width="5.5546875" style="19" customWidth="1"/>
    <col min="4093" max="4093" width="9" style="19" customWidth="1"/>
    <col min="4094" max="4095" width="9.88671875" style="19" customWidth="1"/>
    <col min="4096" max="4096" width="11.109375" style="19" customWidth="1"/>
    <col min="4097" max="4097" width="2.88671875" style="19" customWidth="1"/>
    <col min="4098" max="4098" width="3.5546875" style="19" customWidth="1"/>
    <col min="4099" max="4343" width="9.109375" style="19"/>
    <col min="4344" max="4344" width="8.6640625" style="19" customWidth="1"/>
    <col min="4345" max="4345" width="9.88671875" style="19" customWidth="1"/>
    <col min="4346" max="4346" width="14.44140625" style="19" customWidth="1"/>
    <col min="4347" max="4347" width="7.33203125" style="19" customWidth="1"/>
    <col min="4348" max="4348" width="5.5546875" style="19" customWidth="1"/>
    <col min="4349" max="4349" width="9" style="19" customWidth="1"/>
    <col min="4350" max="4351" width="9.88671875" style="19" customWidth="1"/>
    <col min="4352" max="4352" width="11.109375" style="19" customWidth="1"/>
    <col min="4353" max="4353" width="2.88671875" style="19" customWidth="1"/>
    <col min="4354" max="4354" width="3.5546875" style="19" customWidth="1"/>
    <col min="4355" max="4599" width="9.109375" style="19"/>
    <col min="4600" max="4600" width="8.6640625" style="19" customWidth="1"/>
    <col min="4601" max="4601" width="9.88671875" style="19" customWidth="1"/>
    <col min="4602" max="4602" width="14.44140625" style="19" customWidth="1"/>
    <col min="4603" max="4603" width="7.33203125" style="19" customWidth="1"/>
    <col min="4604" max="4604" width="5.5546875" style="19" customWidth="1"/>
    <col min="4605" max="4605" width="9" style="19" customWidth="1"/>
    <col min="4606" max="4607" width="9.88671875" style="19" customWidth="1"/>
    <col min="4608" max="4608" width="11.109375" style="19" customWidth="1"/>
    <col min="4609" max="4609" width="2.88671875" style="19" customWidth="1"/>
    <col min="4610" max="4610" width="3.5546875" style="19" customWidth="1"/>
    <col min="4611" max="4855" width="9.109375" style="19"/>
    <col min="4856" max="4856" width="8.6640625" style="19" customWidth="1"/>
    <col min="4857" max="4857" width="9.88671875" style="19" customWidth="1"/>
    <col min="4858" max="4858" width="14.44140625" style="19" customWidth="1"/>
    <col min="4859" max="4859" width="7.33203125" style="19" customWidth="1"/>
    <col min="4860" max="4860" width="5.5546875" style="19" customWidth="1"/>
    <col min="4861" max="4861" width="9" style="19" customWidth="1"/>
    <col min="4862" max="4863" width="9.88671875" style="19" customWidth="1"/>
    <col min="4864" max="4864" width="11.109375" style="19" customWidth="1"/>
    <col min="4865" max="4865" width="2.88671875" style="19" customWidth="1"/>
    <col min="4866" max="4866" width="3.5546875" style="19" customWidth="1"/>
    <col min="4867" max="5111" width="9.109375" style="19"/>
    <col min="5112" max="5112" width="8.6640625" style="19" customWidth="1"/>
    <col min="5113" max="5113" width="9.88671875" style="19" customWidth="1"/>
    <col min="5114" max="5114" width="14.44140625" style="19" customWidth="1"/>
    <col min="5115" max="5115" width="7.33203125" style="19" customWidth="1"/>
    <col min="5116" max="5116" width="5.5546875" style="19" customWidth="1"/>
    <col min="5117" max="5117" width="9" style="19" customWidth="1"/>
    <col min="5118" max="5119" width="9.88671875" style="19" customWidth="1"/>
    <col min="5120" max="5120" width="11.109375" style="19" customWidth="1"/>
    <col min="5121" max="5121" width="2.88671875" style="19" customWidth="1"/>
    <col min="5122" max="5122" width="3.5546875" style="19" customWidth="1"/>
    <col min="5123" max="5367" width="9.109375" style="19"/>
    <col min="5368" max="5368" width="8.6640625" style="19" customWidth="1"/>
    <col min="5369" max="5369" width="9.88671875" style="19" customWidth="1"/>
    <col min="5370" max="5370" width="14.44140625" style="19" customWidth="1"/>
    <col min="5371" max="5371" width="7.33203125" style="19" customWidth="1"/>
    <col min="5372" max="5372" width="5.5546875" style="19" customWidth="1"/>
    <col min="5373" max="5373" width="9" style="19" customWidth="1"/>
    <col min="5374" max="5375" width="9.88671875" style="19" customWidth="1"/>
    <col min="5376" max="5376" width="11.109375" style="19" customWidth="1"/>
    <col min="5377" max="5377" width="2.88671875" style="19" customWidth="1"/>
    <col min="5378" max="5378" width="3.5546875" style="19" customWidth="1"/>
    <col min="5379" max="5623" width="9.109375" style="19"/>
    <col min="5624" max="5624" width="8.6640625" style="19" customWidth="1"/>
    <col min="5625" max="5625" width="9.88671875" style="19" customWidth="1"/>
    <col min="5626" max="5626" width="14.44140625" style="19" customWidth="1"/>
    <col min="5627" max="5627" width="7.33203125" style="19" customWidth="1"/>
    <col min="5628" max="5628" width="5.5546875" style="19" customWidth="1"/>
    <col min="5629" max="5629" width="9" style="19" customWidth="1"/>
    <col min="5630" max="5631" width="9.88671875" style="19" customWidth="1"/>
    <col min="5632" max="5632" width="11.109375" style="19" customWidth="1"/>
    <col min="5633" max="5633" width="2.88671875" style="19" customWidth="1"/>
    <col min="5634" max="5634" width="3.5546875" style="19" customWidth="1"/>
    <col min="5635" max="5879" width="9.109375" style="19"/>
    <col min="5880" max="5880" width="8.6640625" style="19" customWidth="1"/>
    <col min="5881" max="5881" width="9.88671875" style="19" customWidth="1"/>
    <col min="5882" max="5882" width="14.44140625" style="19" customWidth="1"/>
    <col min="5883" max="5883" width="7.33203125" style="19" customWidth="1"/>
    <col min="5884" max="5884" width="5.5546875" style="19" customWidth="1"/>
    <col min="5885" max="5885" width="9" style="19" customWidth="1"/>
    <col min="5886" max="5887" width="9.88671875" style="19" customWidth="1"/>
    <col min="5888" max="5888" width="11.109375" style="19" customWidth="1"/>
    <col min="5889" max="5889" width="2.88671875" style="19" customWidth="1"/>
    <col min="5890" max="5890" width="3.5546875" style="19" customWidth="1"/>
    <col min="5891" max="6135" width="9.109375" style="19"/>
    <col min="6136" max="6136" width="8.6640625" style="19" customWidth="1"/>
    <col min="6137" max="6137" width="9.88671875" style="19" customWidth="1"/>
    <col min="6138" max="6138" width="14.44140625" style="19" customWidth="1"/>
    <col min="6139" max="6139" width="7.33203125" style="19" customWidth="1"/>
    <col min="6140" max="6140" width="5.5546875" style="19" customWidth="1"/>
    <col min="6141" max="6141" width="9" style="19" customWidth="1"/>
    <col min="6142" max="6143" width="9.88671875" style="19" customWidth="1"/>
    <col min="6144" max="6144" width="11.109375" style="19" customWidth="1"/>
    <col min="6145" max="6145" width="2.88671875" style="19" customWidth="1"/>
    <col min="6146" max="6146" width="3.5546875" style="19" customWidth="1"/>
    <col min="6147" max="6391" width="9.109375" style="19"/>
    <col min="6392" max="6392" width="8.6640625" style="19" customWidth="1"/>
    <col min="6393" max="6393" width="9.88671875" style="19" customWidth="1"/>
    <col min="6394" max="6394" width="14.44140625" style="19" customWidth="1"/>
    <col min="6395" max="6395" width="7.33203125" style="19" customWidth="1"/>
    <col min="6396" max="6396" width="5.5546875" style="19" customWidth="1"/>
    <col min="6397" max="6397" width="9" style="19" customWidth="1"/>
    <col min="6398" max="6399" width="9.88671875" style="19" customWidth="1"/>
    <col min="6400" max="6400" width="11.109375" style="19" customWidth="1"/>
    <col min="6401" max="6401" width="2.88671875" style="19" customWidth="1"/>
    <col min="6402" max="6402" width="3.5546875" style="19" customWidth="1"/>
    <col min="6403" max="6647" width="9.109375" style="19"/>
    <col min="6648" max="6648" width="8.6640625" style="19" customWidth="1"/>
    <col min="6649" max="6649" width="9.88671875" style="19" customWidth="1"/>
    <col min="6650" max="6650" width="14.44140625" style="19" customWidth="1"/>
    <col min="6651" max="6651" width="7.33203125" style="19" customWidth="1"/>
    <col min="6652" max="6652" width="5.5546875" style="19" customWidth="1"/>
    <col min="6653" max="6653" width="9" style="19" customWidth="1"/>
    <col min="6654" max="6655" width="9.88671875" style="19" customWidth="1"/>
    <col min="6656" max="6656" width="11.109375" style="19" customWidth="1"/>
    <col min="6657" max="6657" width="2.88671875" style="19" customWidth="1"/>
    <col min="6658" max="6658" width="3.5546875" style="19" customWidth="1"/>
    <col min="6659" max="6903" width="9.109375" style="19"/>
    <col min="6904" max="6904" width="8.6640625" style="19" customWidth="1"/>
    <col min="6905" max="6905" width="9.88671875" style="19" customWidth="1"/>
    <col min="6906" max="6906" width="14.44140625" style="19" customWidth="1"/>
    <col min="6907" max="6907" width="7.33203125" style="19" customWidth="1"/>
    <col min="6908" max="6908" width="5.5546875" style="19" customWidth="1"/>
    <col min="6909" max="6909" width="9" style="19" customWidth="1"/>
    <col min="6910" max="6911" width="9.88671875" style="19" customWidth="1"/>
    <col min="6912" max="6912" width="11.109375" style="19" customWidth="1"/>
    <col min="6913" max="6913" width="2.88671875" style="19" customWidth="1"/>
    <col min="6914" max="6914" width="3.5546875" style="19" customWidth="1"/>
    <col min="6915" max="7159" width="9.109375" style="19"/>
    <col min="7160" max="7160" width="8.6640625" style="19" customWidth="1"/>
    <col min="7161" max="7161" width="9.88671875" style="19" customWidth="1"/>
    <col min="7162" max="7162" width="14.44140625" style="19" customWidth="1"/>
    <col min="7163" max="7163" width="7.33203125" style="19" customWidth="1"/>
    <col min="7164" max="7164" width="5.5546875" style="19" customWidth="1"/>
    <col min="7165" max="7165" width="9" style="19" customWidth="1"/>
    <col min="7166" max="7167" width="9.88671875" style="19" customWidth="1"/>
    <col min="7168" max="7168" width="11.109375" style="19" customWidth="1"/>
    <col min="7169" max="7169" width="2.88671875" style="19" customWidth="1"/>
    <col min="7170" max="7170" width="3.5546875" style="19" customWidth="1"/>
    <col min="7171" max="7415" width="9.109375" style="19"/>
    <col min="7416" max="7416" width="8.6640625" style="19" customWidth="1"/>
    <col min="7417" max="7417" width="9.88671875" style="19" customWidth="1"/>
    <col min="7418" max="7418" width="14.44140625" style="19" customWidth="1"/>
    <col min="7419" max="7419" width="7.33203125" style="19" customWidth="1"/>
    <col min="7420" max="7420" width="5.5546875" style="19" customWidth="1"/>
    <col min="7421" max="7421" width="9" style="19" customWidth="1"/>
    <col min="7422" max="7423" width="9.88671875" style="19" customWidth="1"/>
    <col min="7424" max="7424" width="11.109375" style="19" customWidth="1"/>
    <col min="7425" max="7425" width="2.88671875" style="19" customWidth="1"/>
    <col min="7426" max="7426" width="3.5546875" style="19" customWidth="1"/>
    <col min="7427" max="7671" width="9.109375" style="19"/>
    <col min="7672" max="7672" width="8.6640625" style="19" customWidth="1"/>
    <col min="7673" max="7673" width="9.88671875" style="19" customWidth="1"/>
    <col min="7674" max="7674" width="14.44140625" style="19" customWidth="1"/>
    <col min="7675" max="7675" width="7.33203125" style="19" customWidth="1"/>
    <col min="7676" max="7676" width="5.5546875" style="19" customWidth="1"/>
    <col min="7677" max="7677" width="9" style="19" customWidth="1"/>
    <col min="7678" max="7679" width="9.88671875" style="19" customWidth="1"/>
    <col min="7680" max="7680" width="11.109375" style="19" customWidth="1"/>
    <col min="7681" max="7681" width="2.88671875" style="19" customWidth="1"/>
    <col min="7682" max="7682" width="3.5546875" style="19" customWidth="1"/>
    <col min="7683" max="7927" width="9.109375" style="19"/>
    <col min="7928" max="7928" width="8.6640625" style="19" customWidth="1"/>
    <col min="7929" max="7929" width="9.88671875" style="19" customWidth="1"/>
    <col min="7930" max="7930" width="14.44140625" style="19" customWidth="1"/>
    <col min="7931" max="7931" width="7.33203125" style="19" customWidth="1"/>
    <col min="7932" max="7932" width="5.5546875" style="19" customWidth="1"/>
    <col min="7933" max="7933" width="9" style="19" customWidth="1"/>
    <col min="7934" max="7935" width="9.88671875" style="19" customWidth="1"/>
    <col min="7936" max="7936" width="11.109375" style="19" customWidth="1"/>
    <col min="7937" max="7937" width="2.88671875" style="19" customWidth="1"/>
    <col min="7938" max="7938" width="3.5546875" style="19" customWidth="1"/>
    <col min="7939" max="8183" width="9.109375" style="19"/>
    <col min="8184" max="8184" width="8.6640625" style="19" customWidth="1"/>
    <col min="8185" max="8185" width="9.88671875" style="19" customWidth="1"/>
    <col min="8186" max="8186" width="14.44140625" style="19" customWidth="1"/>
    <col min="8187" max="8187" width="7.33203125" style="19" customWidth="1"/>
    <col min="8188" max="8188" width="5.5546875" style="19" customWidth="1"/>
    <col min="8189" max="8189" width="9" style="19" customWidth="1"/>
    <col min="8190" max="8191" width="9.88671875" style="19" customWidth="1"/>
    <col min="8192" max="8192" width="11.109375" style="19" customWidth="1"/>
    <col min="8193" max="8193" width="2.88671875" style="19" customWidth="1"/>
    <col min="8194" max="8194" width="3.5546875" style="19" customWidth="1"/>
    <col min="8195" max="8439" width="9.109375" style="19"/>
    <col min="8440" max="8440" width="8.6640625" style="19" customWidth="1"/>
    <col min="8441" max="8441" width="9.88671875" style="19" customWidth="1"/>
    <col min="8442" max="8442" width="14.44140625" style="19" customWidth="1"/>
    <col min="8443" max="8443" width="7.33203125" style="19" customWidth="1"/>
    <col min="8444" max="8444" width="5.5546875" style="19" customWidth="1"/>
    <col min="8445" max="8445" width="9" style="19" customWidth="1"/>
    <col min="8446" max="8447" width="9.88671875" style="19" customWidth="1"/>
    <col min="8448" max="8448" width="11.109375" style="19" customWidth="1"/>
    <col min="8449" max="8449" width="2.88671875" style="19" customWidth="1"/>
    <col min="8450" max="8450" width="3.5546875" style="19" customWidth="1"/>
    <col min="8451" max="8695" width="9.109375" style="19"/>
    <col min="8696" max="8696" width="8.6640625" style="19" customWidth="1"/>
    <col min="8697" max="8697" width="9.88671875" style="19" customWidth="1"/>
    <col min="8698" max="8698" width="14.44140625" style="19" customWidth="1"/>
    <col min="8699" max="8699" width="7.33203125" style="19" customWidth="1"/>
    <col min="8700" max="8700" width="5.5546875" style="19" customWidth="1"/>
    <col min="8701" max="8701" width="9" style="19" customWidth="1"/>
    <col min="8702" max="8703" width="9.88671875" style="19" customWidth="1"/>
    <col min="8704" max="8704" width="11.109375" style="19" customWidth="1"/>
    <col min="8705" max="8705" width="2.88671875" style="19" customWidth="1"/>
    <col min="8706" max="8706" width="3.5546875" style="19" customWidth="1"/>
    <col min="8707" max="8951" width="9.109375" style="19"/>
    <col min="8952" max="8952" width="8.6640625" style="19" customWidth="1"/>
    <col min="8953" max="8953" width="9.88671875" style="19" customWidth="1"/>
    <col min="8954" max="8954" width="14.44140625" style="19" customWidth="1"/>
    <col min="8955" max="8955" width="7.33203125" style="19" customWidth="1"/>
    <col min="8956" max="8956" width="5.5546875" style="19" customWidth="1"/>
    <col min="8957" max="8957" width="9" style="19" customWidth="1"/>
    <col min="8958" max="8959" width="9.88671875" style="19" customWidth="1"/>
    <col min="8960" max="8960" width="11.109375" style="19" customWidth="1"/>
    <col min="8961" max="8961" width="2.88671875" style="19" customWidth="1"/>
    <col min="8962" max="8962" width="3.5546875" style="19" customWidth="1"/>
    <col min="8963" max="9207" width="9.109375" style="19"/>
    <col min="9208" max="9208" width="8.6640625" style="19" customWidth="1"/>
    <col min="9209" max="9209" width="9.88671875" style="19" customWidth="1"/>
    <col min="9210" max="9210" width="14.44140625" style="19" customWidth="1"/>
    <col min="9211" max="9211" width="7.33203125" style="19" customWidth="1"/>
    <col min="9212" max="9212" width="5.5546875" style="19" customWidth="1"/>
    <col min="9213" max="9213" width="9" style="19" customWidth="1"/>
    <col min="9214" max="9215" width="9.88671875" style="19" customWidth="1"/>
    <col min="9216" max="9216" width="11.109375" style="19" customWidth="1"/>
    <col min="9217" max="9217" width="2.88671875" style="19" customWidth="1"/>
    <col min="9218" max="9218" width="3.5546875" style="19" customWidth="1"/>
    <col min="9219" max="9463" width="9.109375" style="19"/>
    <col min="9464" max="9464" width="8.6640625" style="19" customWidth="1"/>
    <col min="9465" max="9465" width="9.88671875" style="19" customWidth="1"/>
    <col min="9466" max="9466" width="14.44140625" style="19" customWidth="1"/>
    <col min="9467" max="9467" width="7.33203125" style="19" customWidth="1"/>
    <col min="9468" max="9468" width="5.5546875" style="19" customWidth="1"/>
    <col min="9469" max="9469" width="9" style="19" customWidth="1"/>
    <col min="9470" max="9471" width="9.88671875" style="19" customWidth="1"/>
    <col min="9472" max="9472" width="11.109375" style="19" customWidth="1"/>
    <col min="9473" max="9473" width="2.88671875" style="19" customWidth="1"/>
    <col min="9474" max="9474" width="3.5546875" style="19" customWidth="1"/>
    <col min="9475" max="9719" width="9.109375" style="19"/>
    <col min="9720" max="9720" width="8.6640625" style="19" customWidth="1"/>
    <col min="9721" max="9721" width="9.88671875" style="19" customWidth="1"/>
    <col min="9722" max="9722" width="14.44140625" style="19" customWidth="1"/>
    <col min="9723" max="9723" width="7.33203125" style="19" customWidth="1"/>
    <col min="9724" max="9724" width="5.5546875" style="19" customWidth="1"/>
    <col min="9725" max="9725" width="9" style="19" customWidth="1"/>
    <col min="9726" max="9727" width="9.88671875" style="19" customWidth="1"/>
    <col min="9728" max="9728" width="11.109375" style="19" customWidth="1"/>
    <col min="9729" max="9729" width="2.88671875" style="19" customWidth="1"/>
    <col min="9730" max="9730" width="3.5546875" style="19" customWidth="1"/>
    <col min="9731" max="9975" width="9.109375" style="19"/>
    <col min="9976" max="9976" width="8.6640625" style="19" customWidth="1"/>
    <col min="9977" max="9977" width="9.88671875" style="19" customWidth="1"/>
    <col min="9978" max="9978" width="14.44140625" style="19" customWidth="1"/>
    <col min="9979" max="9979" width="7.33203125" style="19" customWidth="1"/>
    <col min="9980" max="9980" width="5.5546875" style="19" customWidth="1"/>
    <col min="9981" max="9981" width="9" style="19" customWidth="1"/>
    <col min="9982" max="9983" width="9.88671875" style="19" customWidth="1"/>
    <col min="9984" max="9984" width="11.109375" style="19" customWidth="1"/>
    <col min="9985" max="9985" width="2.88671875" style="19" customWidth="1"/>
    <col min="9986" max="9986" width="3.5546875" style="19" customWidth="1"/>
    <col min="9987" max="10231" width="9.109375" style="19"/>
    <col min="10232" max="10232" width="8.6640625" style="19" customWidth="1"/>
    <col min="10233" max="10233" width="9.88671875" style="19" customWidth="1"/>
    <col min="10234" max="10234" width="14.44140625" style="19" customWidth="1"/>
    <col min="10235" max="10235" width="7.33203125" style="19" customWidth="1"/>
    <col min="10236" max="10236" width="5.5546875" style="19" customWidth="1"/>
    <col min="10237" max="10237" width="9" style="19" customWidth="1"/>
    <col min="10238" max="10239" width="9.88671875" style="19" customWidth="1"/>
    <col min="10240" max="10240" width="11.109375" style="19" customWidth="1"/>
    <col min="10241" max="10241" width="2.88671875" style="19" customWidth="1"/>
    <col min="10242" max="10242" width="3.5546875" style="19" customWidth="1"/>
    <col min="10243" max="10487" width="9.109375" style="19"/>
    <col min="10488" max="10488" width="8.6640625" style="19" customWidth="1"/>
    <col min="10489" max="10489" width="9.88671875" style="19" customWidth="1"/>
    <col min="10490" max="10490" width="14.44140625" style="19" customWidth="1"/>
    <col min="10491" max="10491" width="7.33203125" style="19" customWidth="1"/>
    <col min="10492" max="10492" width="5.5546875" style="19" customWidth="1"/>
    <col min="10493" max="10493" width="9" style="19" customWidth="1"/>
    <col min="10494" max="10495" width="9.88671875" style="19" customWidth="1"/>
    <col min="10496" max="10496" width="11.109375" style="19" customWidth="1"/>
    <col min="10497" max="10497" width="2.88671875" style="19" customWidth="1"/>
    <col min="10498" max="10498" width="3.5546875" style="19" customWidth="1"/>
    <col min="10499" max="10743" width="9.109375" style="19"/>
    <col min="10744" max="10744" width="8.6640625" style="19" customWidth="1"/>
    <col min="10745" max="10745" width="9.88671875" style="19" customWidth="1"/>
    <col min="10746" max="10746" width="14.44140625" style="19" customWidth="1"/>
    <col min="10747" max="10747" width="7.33203125" style="19" customWidth="1"/>
    <col min="10748" max="10748" width="5.5546875" style="19" customWidth="1"/>
    <col min="10749" max="10749" width="9" style="19" customWidth="1"/>
    <col min="10750" max="10751" width="9.88671875" style="19" customWidth="1"/>
    <col min="10752" max="10752" width="11.109375" style="19" customWidth="1"/>
    <col min="10753" max="10753" width="2.88671875" style="19" customWidth="1"/>
    <col min="10754" max="10754" width="3.5546875" style="19" customWidth="1"/>
    <col min="10755" max="10999" width="9.109375" style="19"/>
    <col min="11000" max="11000" width="8.6640625" style="19" customWidth="1"/>
    <col min="11001" max="11001" width="9.88671875" style="19" customWidth="1"/>
    <col min="11002" max="11002" width="14.44140625" style="19" customWidth="1"/>
    <col min="11003" max="11003" width="7.33203125" style="19" customWidth="1"/>
    <col min="11004" max="11004" width="5.5546875" style="19" customWidth="1"/>
    <col min="11005" max="11005" width="9" style="19" customWidth="1"/>
    <col min="11006" max="11007" width="9.88671875" style="19" customWidth="1"/>
    <col min="11008" max="11008" width="11.109375" style="19" customWidth="1"/>
    <col min="11009" max="11009" width="2.88671875" style="19" customWidth="1"/>
    <col min="11010" max="11010" width="3.5546875" style="19" customWidth="1"/>
    <col min="11011" max="11255" width="9.109375" style="19"/>
    <col min="11256" max="11256" width="8.6640625" style="19" customWidth="1"/>
    <col min="11257" max="11257" width="9.88671875" style="19" customWidth="1"/>
    <col min="11258" max="11258" width="14.44140625" style="19" customWidth="1"/>
    <col min="11259" max="11259" width="7.33203125" style="19" customWidth="1"/>
    <col min="11260" max="11260" width="5.5546875" style="19" customWidth="1"/>
    <col min="11261" max="11261" width="9" style="19" customWidth="1"/>
    <col min="11262" max="11263" width="9.88671875" style="19" customWidth="1"/>
    <col min="11264" max="11264" width="11.109375" style="19" customWidth="1"/>
    <col min="11265" max="11265" width="2.88671875" style="19" customWidth="1"/>
    <col min="11266" max="11266" width="3.5546875" style="19" customWidth="1"/>
    <col min="11267" max="11511" width="9.109375" style="19"/>
    <col min="11512" max="11512" width="8.6640625" style="19" customWidth="1"/>
    <col min="11513" max="11513" width="9.88671875" style="19" customWidth="1"/>
    <col min="11514" max="11514" width="14.44140625" style="19" customWidth="1"/>
    <col min="11515" max="11515" width="7.33203125" style="19" customWidth="1"/>
    <col min="11516" max="11516" width="5.5546875" style="19" customWidth="1"/>
    <col min="11517" max="11517" width="9" style="19" customWidth="1"/>
    <col min="11518" max="11519" width="9.88671875" style="19" customWidth="1"/>
    <col min="11520" max="11520" width="11.109375" style="19" customWidth="1"/>
    <col min="11521" max="11521" width="2.88671875" style="19" customWidth="1"/>
    <col min="11522" max="11522" width="3.5546875" style="19" customWidth="1"/>
    <col min="11523" max="11767" width="9.109375" style="19"/>
    <col min="11768" max="11768" width="8.6640625" style="19" customWidth="1"/>
    <col min="11769" max="11769" width="9.88671875" style="19" customWidth="1"/>
    <col min="11770" max="11770" width="14.44140625" style="19" customWidth="1"/>
    <col min="11771" max="11771" width="7.33203125" style="19" customWidth="1"/>
    <col min="11772" max="11772" width="5.5546875" style="19" customWidth="1"/>
    <col min="11773" max="11773" width="9" style="19" customWidth="1"/>
    <col min="11774" max="11775" width="9.88671875" style="19" customWidth="1"/>
    <col min="11776" max="11776" width="11.109375" style="19" customWidth="1"/>
    <col min="11777" max="11777" width="2.88671875" style="19" customWidth="1"/>
    <col min="11778" max="11778" width="3.5546875" style="19" customWidth="1"/>
    <col min="11779" max="12023" width="9.109375" style="19"/>
    <col min="12024" max="12024" width="8.6640625" style="19" customWidth="1"/>
    <col min="12025" max="12025" width="9.88671875" style="19" customWidth="1"/>
    <col min="12026" max="12026" width="14.44140625" style="19" customWidth="1"/>
    <col min="12027" max="12027" width="7.33203125" style="19" customWidth="1"/>
    <col min="12028" max="12028" width="5.5546875" style="19" customWidth="1"/>
    <col min="12029" max="12029" width="9" style="19" customWidth="1"/>
    <col min="12030" max="12031" width="9.88671875" style="19" customWidth="1"/>
    <col min="12032" max="12032" width="11.109375" style="19" customWidth="1"/>
    <col min="12033" max="12033" width="2.88671875" style="19" customWidth="1"/>
    <col min="12034" max="12034" width="3.5546875" style="19" customWidth="1"/>
    <col min="12035" max="12279" width="9.109375" style="19"/>
    <col min="12280" max="12280" width="8.6640625" style="19" customWidth="1"/>
    <col min="12281" max="12281" width="9.88671875" style="19" customWidth="1"/>
    <col min="12282" max="12282" width="14.44140625" style="19" customWidth="1"/>
    <col min="12283" max="12283" width="7.33203125" style="19" customWidth="1"/>
    <col min="12284" max="12284" width="5.5546875" style="19" customWidth="1"/>
    <col min="12285" max="12285" width="9" style="19" customWidth="1"/>
    <col min="12286" max="12287" width="9.88671875" style="19" customWidth="1"/>
    <col min="12288" max="12288" width="11.109375" style="19" customWidth="1"/>
    <col min="12289" max="12289" width="2.88671875" style="19" customWidth="1"/>
    <col min="12290" max="12290" width="3.5546875" style="19" customWidth="1"/>
    <col min="12291" max="12535" width="9.109375" style="19"/>
    <col min="12536" max="12536" width="8.6640625" style="19" customWidth="1"/>
    <col min="12537" max="12537" width="9.88671875" style="19" customWidth="1"/>
    <col min="12538" max="12538" width="14.44140625" style="19" customWidth="1"/>
    <col min="12539" max="12539" width="7.33203125" style="19" customWidth="1"/>
    <col min="12540" max="12540" width="5.5546875" style="19" customWidth="1"/>
    <col min="12541" max="12541" width="9" style="19" customWidth="1"/>
    <col min="12542" max="12543" width="9.88671875" style="19" customWidth="1"/>
    <col min="12544" max="12544" width="11.109375" style="19" customWidth="1"/>
    <col min="12545" max="12545" width="2.88671875" style="19" customWidth="1"/>
    <col min="12546" max="12546" width="3.5546875" style="19" customWidth="1"/>
    <col min="12547" max="12791" width="9.109375" style="19"/>
    <col min="12792" max="12792" width="8.6640625" style="19" customWidth="1"/>
    <col min="12793" max="12793" width="9.88671875" style="19" customWidth="1"/>
    <col min="12794" max="12794" width="14.44140625" style="19" customWidth="1"/>
    <col min="12795" max="12795" width="7.33203125" style="19" customWidth="1"/>
    <col min="12796" max="12796" width="5.5546875" style="19" customWidth="1"/>
    <col min="12797" max="12797" width="9" style="19" customWidth="1"/>
    <col min="12798" max="12799" width="9.88671875" style="19" customWidth="1"/>
    <col min="12800" max="12800" width="11.109375" style="19" customWidth="1"/>
    <col min="12801" max="12801" width="2.88671875" style="19" customWidth="1"/>
    <col min="12802" max="12802" width="3.5546875" style="19" customWidth="1"/>
    <col min="12803" max="13047" width="9.109375" style="19"/>
    <col min="13048" max="13048" width="8.6640625" style="19" customWidth="1"/>
    <col min="13049" max="13049" width="9.88671875" style="19" customWidth="1"/>
    <col min="13050" max="13050" width="14.44140625" style="19" customWidth="1"/>
    <col min="13051" max="13051" width="7.33203125" style="19" customWidth="1"/>
    <col min="13052" max="13052" width="5.5546875" style="19" customWidth="1"/>
    <col min="13053" max="13053" width="9" style="19" customWidth="1"/>
    <col min="13054" max="13055" width="9.88671875" style="19" customWidth="1"/>
    <col min="13056" max="13056" width="11.109375" style="19" customWidth="1"/>
    <col min="13057" max="13057" width="2.88671875" style="19" customWidth="1"/>
    <col min="13058" max="13058" width="3.5546875" style="19" customWidth="1"/>
    <col min="13059" max="13303" width="9.109375" style="19"/>
    <col min="13304" max="13304" width="8.6640625" style="19" customWidth="1"/>
    <col min="13305" max="13305" width="9.88671875" style="19" customWidth="1"/>
    <col min="13306" max="13306" width="14.44140625" style="19" customWidth="1"/>
    <col min="13307" max="13307" width="7.33203125" style="19" customWidth="1"/>
    <col min="13308" max="13308" width="5.5546875" style="19" customWidth="1"/>
    <col min="13309" max="13309" width="9" style="19" customWidth="1"/>
    <col min="13310" max="13311" width="9.88671875" style="19" customWidth="1"/>
    <col min="13312" max="13312" width="11.109375" style="19" customWidth="1"/>
    <col min="13313" max="13313" width="2.88671875" style="19" customWidth="1"/>
    <col min="13314" max="13314" width="3.5546875" style="19" customWidth="1"/>
    <col min="13315" max="13559" width="9.109375" style="19"/>
    <col min="13560" max="13560" width="8.6640625" style="19" customWidth="1"/>
    <col min="13561" max="13561" width="9.88671875" style="19" customWidth="1"/>
    <col min="13562" max="13562" width="14.44140625" style="19" customWidth="1"/>
    <col min="13563" max="13563" width="7.33203125" style="19" customWidth="1"/>
    <col min="13564" max="13564" width="5.5546875" style="19" customWidth="1"/>
    <col min="13565" max="13565" width="9" style="19" customWidth="1"/>
    <col min="13566" max="13567" width="9.88671875" style="19" customWidth="1"/>
    <col min="13568" max="13568" width="11.109375" style="19" customWidth="1"/>
    <col min="13569" max="13569" width="2.88671875" style="19" customWidth="1"/>
    <col min="13570" max="13570" width="3.5546875" style="19" customWidth="1"/>
    <col min="13571" max="13815" width="9.109375" style="19"/>
    <col min="13816" max="13816" width="8.6640625" style="19" customWidth="1"/>
    <col min="13817" max="13817" width="9.88671875" style="19" customWidth="1"/>
    <col min="13818" max="13818" width="14.44140625" style="19" customWidth="1"/>
    <col min="13819" max="13819" width="7.33203125" style="19" customWidth="1"/>
    <col min="13820" max="13820" width="5.5546875" style="19" customWidth="1"/>
    <col min="13821" max="13821" width="9" style="19" customWidth="1"/>
    <col min="13822" max="13823" width="9.88671875" style="19" customWidth="1"/>
    <col min="13824" max="13824" width="11.109375" style="19" customWidth="1"/>
    <col min="13825" max="13825" width="2.88671875" style="19" customWidth="1"/>
    <col min="13826" max="13826" width="3.5546875" style="19" customWidth="1"/>
    <col min="13827" max="14071" width="9.109375" style="19"/>
    <col min="14072" max="14072" width="8.6640625" style="19" customWidth="1"/>
    <col min="14073" max="14073" width="9.88671875" style="19" customWidth="1"/>
    <col min="14074" max="14074" width="14.44140625" style="19" customWidth="1"/>
    <col min="14075" max="14075" width="7.33203125" style="19" customWidth="1"/>
    <col min="14076" max="14076" width="5.5546875" style="19" customWidth="1"/>
    <col min="14077" max="14077" width="9" style="19" customWidth="1"/>
    <col min="14078" max="14079" width="9.88671875" style="19" customWidth="1"/>
    <col min="14080" max="14080" width="11.109375" style="19" customWidth="1"/>
    <col min="14081" max="14081" width="2.88671875" style="19" customWidth="1"/>
    <col min="14082" max="14082" width="3.5546875" style="19" customWidth="1"/>
    <col min="14083" max="14327" width="9.109375" style="19"/>
    <col min="14328" max="14328" width="8.6640625" style="19" customWidth="1"/>
    <col min="14329" max="14329" width="9.88671875" style="19" customWidth="1"/>
    <col min="14330" max="14330" width="14.44140625" style="19" customWidth="1"/>
    <col min="14331" max="14331" width="7.33203125" style="19" customWidth="1"/>
    <col min="14332" max="14332" width="5.5546875" style="19" customWidth="1"/>
    <col min="14333" max="14333" width="9" style="19" customWidth="1"/>
    <col min="14334" max="14335" width="9.88671875" style="19" customWidth="1"/>
    <col min="14336" max="14336" width="11.109375" style="19" customWidth="1"/>
    <col min="14337" max="14337" width="2.88671875" style="19" customWidth="1"/>
    <col min="14338" max="14338" width="3.5546875" style="19" customWidth="1"/>
    <col min="14339" max="14583" width="9.109375" style="19"/>
    <col min="14584" max="14584" width="8.6640625" style="19" customWidth="1"/>
    <col min="14585" max="14585" width="9.88671875" style="19" customWidth="1"/>
    <col min="14586" max="14586" width="14.44140625" style="19" customWidth="1"/>
    <col min="14587" max="14587" width="7.33203125" style="19" customWidth="1"/>
    <col min="14588" max="14588" width="5.5546875" style="19" customWidth="1"/>
    <col min="14589" max="14589" width="9" style="19" customWidth="1"/>
    <col min="14590" max="14591" width="9.88671875" style="19" customWidth="1"/>
    <col min="14592" max="14592" width="11.109375" style="19" customWidth="1"/>
    <col min="14593" max="14593" width="2.88671875" style="19" customWidth="1"/>
    <col min="14594" max="14594" width="3.5546875" style="19" customWidth="1"/>
    <col min="14595" max="14839" width="9.109375" style="19"/>
    <col min="14840" max="14840" width="8.6640625" style="19" customWidth="1"/>
    <col min="14841" max="14841" width="9.88671875" style="19" customWidth="1"/>
    <col min="14842" max="14842" width="14.44140625" style="19" customWidth="1"/>
    <col min="14843" max="14843" width="7.33203125" style="19" customWidth="1"/>
    <col min="14844" max="14844" width="5.5546875" style="19" customWidth="1"/>
    <col min="14845" max="14845" width="9" style="19" customWidth="1"/>
    <col min="14846" max="14847" width="9.88671875" style="19" customWidth="1"/>
    <col min="14848" max="14848" width="11.109375" style="19" customWidth="1"/>
    <col min="14849" max="14849" width="2.88671875" style="19" customWidth="1"/>
    <col min="14850" max="14850" width="3.5546875" style="19" customWidth="1"/>
    <col min="14851" max="15095" width="9.109375" style="19"/>
    <col min="15096" max="15096" width="8.6640625" style="19" customWidth="1"/>
    <col min="15097" max="15097" width="9.88671875" style="19" customWidth="1"/>
    <col min="15098" max="15098" width="14.44140625" style="19" customWidth="1"/>
    <col min="15099" max="15099" width="7.33203125" style="19" customWidth="1"/>
    <col min="15100" max="15100" width="5.5546875" style="19" customWidth="1"/>
    <col min="15101" max="15101" width="9" style="19" customWidth="1"/>
    <col min="15102" max="15103" width="9.88671875" style="19" customWidth="1"/>
    <col min="15104" max="15104" width="11.109375" style="19" customWidth="1"/>
    <col min="15105" max="15105" width="2.88671875" style="19" customWidth="1"/>
    <col min="15106" max="15106" width="3.5546875" style="19" customWidth="1"/>
    <col min="15107" max="15351" width="9.109375" style="19"/>
    <col min="15352" max="15352" width="8.6640625" style="19" customWidth="1"/>
    <col min="15353" max="15353" width="9.88671875" style="19" customWidth="1"/>
    <col min="15354" max="15354" width="14.44140625" style="19" customWidth="1"/>
    <col min="15355" max="15355" width="7.33203125" style="19" customWidth="1"/>
    <col min="15356" max="15356" width="5.5546875" style="19" customWidth="1"/>
    <col min="15357" max="15357" width="9" style="19" customWidth="1"/>
    <col min="15358" max="15359" width="9.88671875" style="19" customWidth="1"/>
    <col min="15360" max="15360" width="11.109375" style="19" customWidth="1"/>
    <col min="15361" max="15361" width="2.88671875" style="19" customWidth="1"/>
    <col min="15362" max="15362" width="3.5546875" style="19" customWidth="1"/>
    <col min="15363" max="15607" width="9.109375" style="19"/>
    <col min="15608" max="15608" width="8.6640625" style="19" customWidth="1"/>
    <col min="15609" max="15609" width="9.88671875" style="19" customWidth="1"/>
    <col min="15610" max="15610" width="14.44140625" style="19" customWidth="1"/>
    <col min="15611" max="15611" width="7.33203125" style="19" customWidth="1"/>
    <col min="15612" max="15612" width="5.5546875" style="19" customWidth="1"/>
    <col min="15613" max="15613" width="9" style="19" customWidth="1"/>
    <col min="15614" max="15615" width="9.88671875" style="19" customWidth="1"/>
    <col min="15616" max="15616" width="11.109375" style="19" customWidth="1"/>
    <col min="15617" max="15617" width="2.88671875" style="19" customWidth="1"/>
    <col min="15618" max="15618" width="3.5546875" style="19" customWidth="1"/>
    <col min="15619" max="15863" width="9.109375" style="19"/>
    <col min="15864" max="15864" width="8.6640625" style="19" customWidth="1"/>
    <col min="15865" max="15865" width="9.88671875" style="19" customWidth="1"/>
    <col min="15866" max="15866" width="14.44140625" style="19" customWidth="1"/>
    <col min="15867" max="15867" width="7.33203125" style="19" customWidth="1"/>
    <col min="15868" max="15868" width="5.5546875" style="19" customWidth="1"/>
    <col min="15869" max="15869" width="9" style="19" customWidth="1"/>
    <col min="15870" max="15871" width="9.88671875" style="19" customWidth="1"/>
    <col min="15872" max="15872" width="11.109375" style="19" customWidth="1"/>
    <col min="15873" max="15873" width="2.88671875" style="19" customWidth="1"/>
    <col min="15874" max="15874" width="3.5546875" style="19" customWidth="1"/>
    <col min="15875" max="16119" width="9.109375" style="19"/>
    <col min="16120" max="16120" width="8.6640625" style="19" customWidth="1"/>
    <col min="16121" max="16121" width="9.88671875" style="19" customWidth="1"/>
    <col min="16122" max="16122" width="14.44140625" style="19" customWidth="1"/>
    <col min="16123" max="16123" width="7.33203125" style="19" customWidth="1"/>
    <col min="16124" max="16124" width="5.5546875" style="19" customWidth="1"/>
    <col min="16125" max="16125" width="9" style="19" customWidth="1"/>
    <col min="16126" max="16127" width="9.88671875" style="19" customWidth="1"/>
    <col min="16128" max="16128" width="11.109375" style="19" customWidth="1"/>
    <col min="16129" max="16129" width="2.88671875" style="19" customWidth="1"/>
    <col min="16130" max="16130" width="3.5546875" style="19" customWidth="1"/>
    <col min="16131" max="16384" width="9.109375" style="19"/>
  </cols>
  <sheetData>
    <row r="1" spans="1:8" ht="46.5" customHeight="1" x14ac:dyDescent="0.3">
      <c r="A1" s="172" t="s">
        <v>231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3">
      <c r="A2" s="173" t="s">
        <v>0</v>
      </c>
      <c r="B2" s="173"/>
      <c r="C2" s="173"/>
      <c r="D2" s="173"/>
      <c r="E2" s="173"/>
      <c r="F2" s="173"/>
      <c r="G2" s="173"/>
      <c r="H2" s="173"/>
    </row>
    <row r="3" spans="1:8" x14ac:dyDescent="0.3">
      <c r="A3" s="146" t="s">
        <v>1</v>
      </c>
      <c r="B3" s="146"/>
      <c r="C3" s="146"/>
      <c r="D3" s="146"/>
      <c r="E3" s="146" t="str">
        <f ca="1">TEXT(TODAY(),"DD/MM/YYYY")</f>
        <v>23/07/2025</v>
      </c>
      <c r="F3" s="146"/>
      <c r="G3" s="146"/>
      <c r="H3" s="146"/>
    </row>
    <row r="4" spans="1:8" ht="15" customHeight="1" x14ac:dyDescent="0.3">
      <c r="A4" s="146" t="s">
        <v>2</v>
      </c>
      <c r="B4" s="146"/>
      <c r="C4" s="146"/>
      <c r="D4" s="146"/>
      <c r="E4" s="146" t="s">
        <v>174</v>
      </c>
      <c r="F4" s="146"/>
      <c r="G4" s="146"/>
      <c r="H4" s="146"/>
    </row>
    <row r="5" spans="1:8" x14ac:dyDescent="0.3">
      <c r="A5" s="146" t="s">
        <v>3</v>
      </c>
      <c r="B5" s="146"/>
      <c r="C5" s="146"/>
      <c r="D5" s="146"/>
      <c r="E5" s="174">
        <v>45847</v>
      </c>
      <c r="F5" s="146"/>
      <c r="G5" s="146"/>
      <c r="H5" s="146"/>
    </row>
    <row r="6" spans="1:8" ht="16.5" customHeight="1" x14ac:dyDescent="0.3">
      <c r="A6" s="146" t="s">
        <v>4</v>
      </c>
      <c r="B6" s="146"/>
      <c r="C6" s="146"/>
      <c r="D6" s="146"/>
      <c r="E6" s="146" t="s">
        <v>180</v>
      </c>
      <c r="F6" s="146"/>
      <c r="G6" s="146"/>
      <c r="H6" s="146"/>
    </row>
    <row r="7" spans="1:8" ht="15" customHeight="1" x14ac:dyDescent="0.3">
      <c r="A7" s="146" t="s">
        <v>5</v>
      </c>
      <c r="B7" s="146"/>
      <c r="C7" s="146"/>
      <c r="D7" s="146"/>
      <c r="E7" s="146" t="str">
        <f>E6</f>
        <v>JPV Realtors Private Limited</v>
      </c>
      <c r="F7" s="146"/>
      <c r="G7" s="146"/>
      <c r="H7" s="146"/>
    </row>
    <row r="8" spans="1:8" x14ac:dyDescent="0.3">
      <c r="A8" s="146" t="s">
        <v>6</v>
      </c>
      <c r="B8" s="146"/>
      <c r="C8" s="146"/>
      <c r="D8" s="146"/>
      <c r="E8" s="144" t="s">
        <v>181</v>
      </c>
      <c r="F8" s="144"/>
      <c r="G8" s="144"/>
      <c r="H8" s="144"/>
    </row>
    <row r="9" spans="1:8" x14ac:dyDescent="0.3">
      <c r="A9" s="146" t="s">
        <v>171</v>
      </c>
      <c r="B9" s="146"/>
      <c r="C9" s="146"/>
      <c r="D9" s="146"/>
      <c r="E9" s="146">
        <v>7506166126</v>
      </c>
      <c r="F9" s="146"/>
      <c r="G9" s="146"/>
      <c r="H9" s="146"/>
    </row>
    <row r="10" spans="1:8" x14ac:dyDescent="0.3">
      <c r="A10" s="146" t="s">
        <v>172</v>
      </c>
      <c r="B10" s="146"/>
      <c r="C10" s="146"/>
      <c r="D10" s="146"/>
      <c r="E10" s="146" t="s">
        <v>232</v>
      </c>
      <c r="F10" s="146"/>
      <c r="G10" s="146"/>
      <c r="H10" s="146"/>
    </row>
    <row r="11" spans="1:8" x14ac:dyDescent="0.3">
      <c r="A11" s="146" t="s">
        <v>7</v>
      </c>
      <c r="B11" s="146"/>
      <c r="C11" s="146"/>
      <c r="D11" s="146"/>
      <c r="E11" s="146" t="s">
        <v>124</v>
      </c>
      <c r="F11" s="146"/>
      <c r="G11" s="146"/>
      <c r="H11" s="146"/>
    </row>
    <row r="12" spans="1:8" x14ac:dyDescent="0.3">
      <c r="A12" s="146" t="s">
        <v>175</v>
      </c>
      <c r="B12" s="146"/>
      <c r="C12" s="146"/>
      <c r="D12" s="146"/>
      <c r="E12" s="146" t="s">
        <v>182</v>
      </c>
      <c r="F12" s="146"/>
      <c r="G12" s="146"/>
      <c r="H12" s="146"/>
    </row>
    <row r="13" spans="1:8" s="21" customFormat="1" x14ac:dyDescent="0.3">
      <c r="A13" s="146" t="s">
        <v>8</v>
      </c>
      <c r="B13" s="146"/>
      <c r="C13" s="146"/>
      <c r="D13" s="146"/>
      <c r="E13" s="121" t="s">
        <v>226</v>
      </c>
      <c r="F13" s="121"/>
      <c r="G13" s="121"/>
      <c r="H13" s="121"/>
    </row>
    <row r="14" spans="1:8" x14ac:dyDescent="0.3">
      <c r="A14" s="96" t="s">
        <v>9</v>
      </c>
      <c r="B14" s="96"/>
      <c r="C14" s="96"/>
      <c r="D14" s="96"/>
      <c r="E14" s="121" t="s">
        <v>183</v>
      </c>
      <c r="F14" s="146"/>
      <c r="G14" s="146"/>
      <c r="H14" s="146"/>
    </row>
    <row r="15" spans="1:8" ht="48.75" customHeight="1" x14ac:dyDescent="0.3">
      <c r="A15" s="121" t="s">
        <v>10</v>
      </c>
      <c r="B15" s="121"/>
      <c r="C15" s="121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Pratap Adinath, CTS No..13/12, 13/13 &amp; 13/14 &amp; Redevelopment of Borivali Adinath CHSL, near Happy Home, Jai Punit Nagar Internal Road, Mahavir Nagar, Kandivali, Borivali (West), Borivali, Mumbai - 400092.</v>
      </c>
      <c r="D15" s="121"/>
      <c r="E15" s="121"/>
      <c r="F15" s="121"/>
      <c r="G15" s="121"/>
      <c r="H15" s="121"/>
    </row>
    <row r="16" spans="1:8" x14ac:dyDescent="0.3">
      <c r="A16" s="121" t="s">
        <v>173</v>
      </c>
      <c r="B16" s="121"/>
      <c r="C16" s="121" t="s">
        <v>184</v>
      </c>
      <c r="D16" s="121"/>
      <c r="E16" s="121"/>
      <c r="F16" s="121"/>
      <c r="G16" s="121"/>
      <c r="H16" s="121"/>
    </row>
    <row r="17" spans="1:8" ht="15.75" customHeight="1" x14ac:dyDescent="0.3">
      <c r="A17" s="121" t="s">
        <v>167</v>
      </c>
      <c r="B17" s="121"/>
      <c r="C17" s="121" t="s">
        <v>189</v>
      </c>
      <c r="D17" s="121"/>
      <c r="E17" s="121"/>
      <c r="F17" s="121"/>
      <c r="G17" s="121"/>
      <c r="H17" s="121"/>
    </row>
    <row r="18" spans="1:8" ht="15.75" customHeight="1" x14ac:dyDescent="0.3">
      <c r="A18" s="121" t="s">
        <v>11</v>
      </c>
      <c r="B18" s="121"/>
      <c r="C18" s="146" t="s">
        <v>190</v>
      </c>
      <c r="D18" s="146"/>
      <c r="E18" s="121" t="s">
        <v>73</v>
      </c>
      <c r="F18" s="121"/>
      <c r="G18" s="121" t="s">
        <v>185</v>
      </c>
      <c r="H18" s="121"/>
    </row>
    <row r="19" spans="1:8" x14ac:dyDescent="0.3">
      <c r="A19" s="96" t="s">
        <v>13</v>
      </c>
      <c r="B19" s="96"/>
      <c r="C19" s="121" t="s">
        <v>187</v>
      </c>
      <c r="D19" s="121"/>
      <c r="E19" s="97" t="s">
        <v>12</v>
      </c>
      <c r="F19" s="97"/>
      <c r="G19" s="163" t="s">
        <v>176</v>
      </c>
      <c r="H19" s="163"/>
    </row>
    <row r="20" spans="1:8" x14ac:dyDescent="0.3">
      <c r="A20" s="96" t="s">
        <v>74</v>
      </c>
      <c r="B20" s="96"/>
      <c r="C20" s="121" t="s">
        <v>186</v>
      </c>
      <c r="D20" s="121"/>
      <c r="E20" s="97" t="s">
        <v>14</v>
      </c>
      <c r="F20" s="97"/>
      <c r="G20" s="121">
        <v>400092</v>
      </c>
      <c r="H20" s="121"/>
    </row>
    <row r="21" spans="1:8" ht="32.25" customHeight="1" x14ac:dyDescent="0.3">
      <c r="A21" s="96" t="s">
        <v>126</v>
      </c>
      <c r="B21" s="96"/>
      <c r="C21" s="121" t="s">
        <v>223</v>
      </c>
      <c r="D21" s="121"/>
      <c r="E21" s="97" t="s">
        <v>15</v>
      </c>
      <c r="F21" s="97"/>
      <c r="G21" s="121" t="s">
        <v>191</v>
      </c>
      <c r="H21" s="121"/>
    </row>
    <row r="22" spans="1:8" ht="15" customHeight="1" x14ac:dyDescent="0.3">
      <c r="A22" s="97" t="s">
        <v>77</v>
      </c>
      <c r="B22" s="97"/>
      <c r="C22" s="97"/>
      <c r="D22" s="97"/>
      <c r="E22" s="146" t="s">
        <v>16</v>
      </c>
      <c r="F22" s="146"/>
      <c r="G22" s="146"/>
      <c r="H22" s="146"/>
    </row>
    <row r="23" spans="1:8" ht="18.75" customHeight="1" x14ac:dyDescent="0.3">
      <c r="A23" s="97"/>
      <c r="B23" s="97"/>
      <c r="C23" s="97"/>
      <c r="D23" s="97"/>
      <c r="E23" s="146"/>
      <c r="F23" s="146"/>
      <c r="G23" s="146"/>
      <c r="H23" s="146"/>
    </row>
    <row r="24" spans="1:8" ht="15" customHeight="1" x14ac:dyDescent="0.3">
      <c r="A24" s="97" t="s">
        <v>17</v>
      </c>
      <c r="B24" s="97"/>
      <c r="C24" s="97"/>
      <c r="D24" s="97"/>
      <c r="E24" s="121" t="s">
        <v>18</v>
      </c>
      <c r="F24" s="121"/>
      <c r="G24" s="121"/>
      <c r="H24" s="121"/>
    </row>
    <row r="25" spans="1:8" ht="15" customHeight="1" x14ac:dyDescent="0.3">
      <c r="A25" s="96" t="s">
        <v>19</v>
      </c>
      <c r="B25" s="96"/>
      <c r="C25" s="96"/>
      <c r="D25" s="96"/>
      <c r="E25" s="121" t="str">
        <f>IF(AND(G19="Mumbai"),"Upper Class","Middle Class")</f>
        <v>Upper Class</v>
      </c>
      <c r="F25" s="121"/>
      <c r="G25" s="121"/>
      <c r="H25" s="121"/>
    </row>
    <row r="26" spans="1:8" x14ac:dyDescent="0.3">
      <c r="A26" s="96" t="s">
        <v>20</v>
      </c>
      <c r="B26" s="96"/>
      <c r="C26" s="96"/>
      <c r="D26" s="96"/>
      <c r="E26" s="121" t="s">
        <v>21</v>
      </c>
      <c r="F26" s="121"/>
      <c r="G26" s="121"/>
      <c r="H26" s="121"/>
    </row>
    <row r="27" spans="1:8" ht="15.75" customHeight="1" x14ac:dyDescent="0.3">
      <c r="A27" s="96" t="s">
        <v>22</v>
      </c>
      <c r="B27" s="96"/>
      <c r="C27" s="96"/>
      <c r="D27" s="96"/>
      <c r="E27" s="121" t="str">
        <f>IF(AND(G19="Mumbai"),"Developed","Developing")</f>
        <v>Developed</v>
      </c>
      <c r="F27" s="121"/>
      <c r="G27" s="121"/>
      <c r="H27" s="121"/>
    </row>
    <row r="28" spans="1:8" x14ac:dyDescent="0.3">
      <c r="A28" s="96" t="s">
        <v>23</v>
      </c>
      <c r="B28" s="96"/>
      <c r="C28" s="96"/>
      <c r="D28" s="96"/>
      <c r="E28" s="121" t="s">
        <v>24</v>
      </c>
      <c r="F28" s="121"/>
      <c r="G28" s="121"/>
      <c r="H28" s="121"/>
    </row>
    <row r="29" spans="1:8" ht="15.75" customHeight="1" x14ac:dyDescent="0.3">
      <c r="A29" s="96" t="s">
        <v>82</v>
      </c>
      <c r="B29" s="96"/>
      <c r="C29" s="96"/>
      <c r="D29" s="96"/>
      <c r="E29" s="121" t="s">
        <v>83</v>
      </c>
      <c r="F29" s="121"/>
      <c r="G29" s="121"/>
      <c r="H29" s="121"/>
    </row>
    <row r="30" spans="1:8" ht="15" customHeight="1" x14ac:dyDescent="0.3">
      <c r="A30" s="96" t="s">
        <v>32</v>
      </c>
      <c r="B30" s="96"/>
      <c r="C30" s="96"/>
      <c r="D30" s="96"/>
      <c r="E30" s="12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0" s="121"/>
      <c r="G30" s="121"/>
      <c r="H30" s="121"/>
    </row>
    <row r="31" spans="1:8" ht="15.75" customHeight="1" x14ac:dyDescent="0.3">
      <c r="A31" s="96" t="s">
        <v>94</v>
      </c>
      <c r="B31" s="96"/>
      <c r="C31" s="96"/>
      <c r="D31" s="96"/>
      <c r="E31" s="121" t="s">
        <v>33</v>
      </c>
      <c r="F31" s="121"/>
      <c r="G31" s="121"/>
      <c r="H31" s="121"/>
    </row>
    <row r="32" spans="1:8" s="20" customFormat="1" x14ac:dyDescent="0.3">
      <c r="A32" s="162" t="s">
        <v>95</v>
      </c>
      <c r="B32" s="162"/>
      <c r="C32" s="159" t="s">
        <v>177</v>
      </c>
      <c r="D32" s="160"/>
      <c r="E32" s="161"/>
      <c r="F32" s="159" t="s">
        <v>30</v>
      </c>
      <c r="G32" s="160"/>
      <c r="H32" s="161"/>
    </row>
    <row r="33" spans="1:8" s="20" customFormat="1" x14ac:dyDescent="0.3">
      <c r="A33" s="154" t="s">
        <v>25</v>
      </c>
      <c r="B33" s="154" t="s">
        <v>29</v>
      </c>
      <c r="C33" s="155" t="s">
        <v>194</v>
      </c>
      <c r="D33" s="156"/>
      <c r="E33" s="157"/>
      <c r="F33" s="155" t="s">
        <v>192</v>
      </c>
      <c r="G33" s="156"/>
      <c r="H33" s="157"/>
    </row>
    <row r="34" spans="1:8" x14ac:dyDescent="0.3">
      <c r="A34" s="154" t="s">
        <v>26</v>
      </c>
      <c r="B34" s="154" t="s">
        <v>29</v>
      </c>
      <c r="C34" s="155" t="s">
        <v>195</v>
      </c>
      <c r="D34" s="156"/>
      <c r="E34" s="157"/>
      <c r="F34" s="155" t="s">
        <v>193</v>
      </c>
      <c r="G34" s="156"/>
      <c r="H34" s="157"/>
    </row>
    <row r="35" spans="1:8" s="20" customFormat="1" x14ac:dyDescent="0.3">
      <c r="A35" s="154" t="s">
        <v>28</v>
      </c>
      <c r="B35" s="154" t="s">
        <v>29</v>
      </c>
      <c r="C35" s="155" t="s">
        <v>196</v>
      </c>
      <c r="D35" s="156"/>
      <c r="E35" s="157"/>
      <c r="F35" s="155" t="s">
        <v>193</v>
      </c>
      <c r="G35" s="156"/>
      <c r="H35" s="157"/>
    </row>
    <row r="36" spans="1:8" x14ac:dyDescent="0.3">
      <c r="A36" s="154" t="s">
        <v>27</v>
      </c>
      <c r="B36" s="154" t="s">
        <v>29</v>
      </c>
      <c r="C36" s="155" t="s">
        <v>197</v>
      </c>
      <c r="D36" s="156"/>
      <c r="E36" s="157"/>
      <c r="F36" s="155" t="s">
        <v>197</v>
      </c>
      <c r="G36" s="156"/>
      <c r="H36" s="157"/>
    </row>
    <row r="37" spans="1:8" x14ac:dyDescent="0.3">
      <c r="A37" s="96" t="s">
        <v>31</v>
      </c>
      <c r="B37" s="96"/>
      <c r="C37" s="96"/>
      <c r="D37" s="96"/>
      <c r="E37" s="96"/>
      <c r="F37" s="96"/>
      <c r="G37" s="96"/>
      <c r="H37" s="96"/>
    </row>
    <row r="38" spans="1:8" ht="15.75" customHeight="1" x14ac:dyDescent="0.3">
      <c r="A38" s="96" t="s">
        <v>169</v>
      </c>
      <c r="B38" s="96"/>
      <c r="C38" s="127" t="s">
        <v>233</v>
      </c>
      <c r="D38" s="127"/>
      <c r="E38" s="127"/>
      <c r="F38" s="127"/>
      <c r="G38" s="127"/>
      <c r="H38" s="127"/>
    </row>
    <row r="39" spans="1:8" x14ac:dyDescent="0.3">
      <c r="A39" s="96" t="s">
        <v>166</v>
      </c>
      <c r="B39" s="96"/>
      <c r="C39" s="120" t="s">
        <v>188</v>
      </c>
      <c r="D39" s="121"/>
      <c r="E39" s="121"/>
      <c r="F39" s="121"/>
      <c r="G39" s="121"/>
      <c r="H39" s="121"/>
    </row>
    <row r="40" spans="1:8" x14ac:dyDescent="0.3">
      <c r="A40" s="127" t="s">
        <v>34</v>
      </c>
      <c r="B40" s="127"/>
      <c r="C40" s="127"/>
      <c r="D40" s="127"/>
      <c r="E40" s="127"/>
      <c r="F40" s="127"/>
      <c r="G40" s="127"/>
      <c r="H40" s="127"/>
    </row>
    <row r="41" spans="1:8" x14ac:dyDescent="0.3">
      <c r="A41" s="96" t="s">
        <v>35</v>
      </c>
      <c r="B41" s="96"/>
      <c r="C41" s="96"/>
      <c r="D41" s="96"/>
      <c r="E41" s="158">
        <v>2750.2</v>
      </c>
      <c r="F41" s="158"/>
      <c r="G41" s="158"/>
      <c r="H41" s="158"/>
    </row>
    <row r="42" spans="1:8" x14ac:dyDescent="0.3">
      <c r="A42" s="96" t="s">
        <v>36</v>
      </c>
      <c r="B42" s="96"/>
      <c r="C42" s="96"/>
      <c r="D42" s="96"/>
      <c r="E42" s="186">
        <f>2750.2/E41</f>
        <v>1</v>
      </c>
      <c r="F42" s="186"/>
      <c r="G42" s="186"/>
      <c r="H42" s="186"/>
    </row>
    <row r="43" spans="1:8" x14ac:dyDescent="0.3">
      <c r="A43" s="96" t="s">
        <v>37</v>
      </c>
      <c r="B43" s="96"/>
      <c r="C43" s="96"/>
      <c r="D43" s="96"/>
      <c r="E43" s="186">
        <f>E45/E41-E42</f>
        <v>1.9484255690495238</v>
      </c>
      <c r="F43" s="186"/>
      <c r="G43" s="186"/>
      <c r="H43" s="186"/>
    </row>
    <row r="44" spans="1:8" x14ac:dyDescent="0.3">
      <c r="A44" s="96" t="s">
        <v>38</v>
      </c>
      <c r="B44" s="96"/>
      <c r="C44" s="96"/>
      <c r="D44" s="96"/>
      <c r="E44" s="186">
        <f>E42+E43</f>
        <v>2.9484255690495238</v>
      </c>
      <c r="F44" s="186"/>
      <c r="G44" s="186"/>
      <c r="H44" s="186"/>
    </row>
    <row r="45" spans="1:8" x14ac:dyDescent="0.3">
      <c r="A45" s="96" t="s">
        <v>93</v>
      </c>
      <c r="B45" s="96"/>
      <c r="C45" s="96"/>
      <c r="D45" s="96"/>
      <c r="E45" s="145">
        <v>8108.76</v>
      </c>
      <c r="F45" s="145"/>
      <c r="G45" s="145"/>
      <c r="H45" s="145"/>
    </row>
    <row r="46" spans="1:8" x14ac:dyDescent="0.3">
      <c r="A46" s="146" t="s">
        <v>39</v>
      </c>
      <c r="B46" s="146"/>
      <c r="C46" s="146"/>
      <c r="D46" s="146"/>
      <c r="E46" s="146" t="s">
        <v>124</v>
      </c>
      <c r="F46" s="146"/>
      <c r="G46" s="146"/>
      <c r="H46" s="146"/>
    </row>
    <row r="47" spans="1:8" x14ac:dyDescent="0.3">
      <c r="A47" s="127" t="s">
        <v>40</v>
      </c>
      <c r="B47" s="127"/>
      <c r="C47" s="127"/>
      <c r="D47" s="127"/>
      <c r="E47" s="127"/>
      <c r="F47" s="127"/>
      <c r="G47" s="127"/>
      <c r="H47" s="127"/>
    </row>
    <row r="48" spans="1:8" ht="33.75" customHeight="1" x14ac:dyDescent="0.3">
      <c r="A48" s="71" t="s">
        <v>155</v>
      </c>
      <c r="B48" s="73"/>
      <c r="C48" s="122" t="s">
        <v>199</v>
      </c>
      <c r="D48" s="123"/>
      <c r="E48" s="123"/>
      <c r="F48" s="123"/>
      <c r="G48" s="123"/>
      <c r="H48" s="124"/>
    </row>
    <row r="49" spans="1:14" ht="31.5" customHeight="1" x14ac:dyDescent="0.3">
      <c r="A49" s="71" t="s">
        <v>41</v>
      </c>
      <c r="B49" s="73"/>
      <c r="C49" s="71" t="s">
        <v>238</v>
      </c>
      <c r="D49" s="72"/>
      <c r="E49" s="73"/>
      <c r="F49" s="18" t="s">
        <v>42</v>
      </c>
      <c r="G49" s="150">
        <v>45639</v>
      </c>
      <c r="H49" s="151"/>
    </row>
    <row r="50" spans="1:14" ht="31.5" customHeight="1" x14ac:dyDescent="0.3">
      <c r="A50" s="71" t="s">
        <v>43</v>
      </c>
      <c r="B50" s="73"/>
      <c r="C50" s="71" t="str">
        <f>C49</f>
        <v>P-12221/2022/(13/12 And Other)/R/C Ward/KANDIVALI R/C/337/2/Amend</v>
      </c>
      <c r="D50" s="72"/>
      <c r="E50" s="73"/>
      <c r="F50" s="18" t="s">
        <v>42</v>
      </c>
      <c r="G50" s="150">
        <f>G49</f>
        <v>45639</v>
      </c>
      <c r="H50" s="151"/>
    </row>
    <row r="51" spans="1:14" s="21" customFormat="1" x14ac:dyDescent="0.3">
      <c r="A51" s="65" t="s">
        <v>158</v>
      </c>
      <c r="B51" s="66"/>
      <c r="C51" s="65" t="s">
        <v>234</v>
      </c>
      <c r="D51" s="74"/>
      <c r="E51" s="66"/>
      <c r="F51" s="18" t="s">
        <v>42</v>
      </c>
      <c r="G51" s="150">
        <v>45701</v>
      </c>
      <c r="H51" s="151"/>
    </row>
    <row r="52" spans="1:14" s="21" customFormat="1" ht="31.2" x14ac:dyDescent="0.3">
      <c r="A52" s="67"/>
      <c r="B52" s="68"/>
      <c r="C52" s="69"/>
      <c r="D52" s="75"/>
      <c r="E52" s="70"/>
      <c r="F52" s="18" t="s">
        <v>125</v>
      </c>
      <c r="G52" s="150">
        <v>45751</v>
      </c>
      <c r="H52" s="151"/>
    </row>
    <row r="53" spans="1:14" s="21" customFormat="1" ht="64.2" customHeight="1" x14ac:dyDescent="0.3">
      <c r="A53" s="69"/>
      <c r="B53" s="70"/>
      <c r="C53" s="71" t="s">
        <v>236</v>
      </c>
      <c r="D53" s="72"/>
      <c r="E53" s="72"/>
      <c r="F53" s="72"/>
      <c r="G53" s="72"/>
      <c r="H53" s="73"/>
    </row>
    <row r="54" spans="1:14" s="21" customFormat="1" x14ac:dyDescent="0.3">
      <c r="A54" s="65" t="s">
        <v>200</v>
      </c>
      <c r="B54" s="66"/>
      <c r="C54" s="71" t="s">
        <v>201</v>
      </c>
      <c r="D54" s="72"/>
      <c r="E54" s="73"/>
      <c r="F54" s="18" t="s">
        <v>42</v>
      </c>
      <c r="G54" s="150">
        <v>44872</v>
      </c>
      <c r="H54" s="151"/>
    </row>
    <row r="55" spans="1:14" s="21" customFormat="1" ht="48" customHeight="1" x14ac:dyDescent="0.3">
      <c r="A55" s="69"/>
      <c r="B55" s="70"/>
      <c r="C55" s="71" t="s">
        <v>247</v>
      </c>
      <c r="D55" s="72"/>
      <c r="E55" s="73"/>
      <c r="F55" s="18" t="s">
        <v>125</v>
      </c>
      <c r="G55" s="150">
        <v>47793</v>
      </c>
      <c r="H55" s="151"/>
    </row>
    <row r="56" spans="1:14" x14ac:dyDescent="0.3">
      <c r="A56" s="189" t="s">
        <v>44</v>
      </c>
      <c r="B56" s="190"/>
      <c r="C56" s="189" t="s">
        <v>107</v>
      </c>
      <c r="D56" s="191"/>
      <c r="E56" s="190"/>
      <c r="F56" s="42" t="s">
        <v>42</v>
      </c>
      <c r="G56" s="152" t="s">
        <v>29</v>
      </c>
      <c r="H56" s="153"/>
    </row>
    <row r="57" spans="1:14" x14ac:dyDescent="0.3">
      <c r="A57" s="178" t="s">
        <v>46</v>
      </c>
      <c r="B57" s="178"/>
      <c r="C57" s="178"/>
      <c r="D57" s="178"/>
      <c r="E57" s="178"/>
      <c r="F57" s="178"/>
      <c r="G57" s="178"/>
      <c r="H57" s="178"/>
    </row>
    <row r="58" spans="1:14" x14ac:dyDescent="0.3">
      <c r="A58" s="97" t="s">
        <v>92</v>
      </c>
      <c r="B58" s="97"/>
      <c r="C58" s="97"/>
      <c r="D58" s="96">
        <f>E45</f>
        <v>8108.76</v>
      </c>
      <c r="E58" s="96"/>
      <c r="F58" s="96"/>
      <c r="G58" s="96"/>
      <c r="H58" s="96"/>
    </row>
    <row r="59" spans="1:14" x14ac:dyDescent="0.3">
      <c r="A59" s="121" t="s">
        <v>47</v>
      </c>
      <c r="B59" s="146"/>
      <c r="C59" s="146"/>
      <c r="D59" s="146" t="s">
        <v>248</v>
      </c>
      <c r="E59" s="146"/>
      <c r="F59" s="146"/>
      <c r="G59" s="146"/>
      <c r="H59" s="146"/>
      <c r="I59" s="22"/>
    </row>
    <row r="60" spans="1:14" ht="15.6" customHeight="1" x14ac:dyDescent="0.3">
      <c r="A60" s="147" t="s">
        <v>48</v>
      </c>
      <c r="B60" s="148"/>
      <c r="C60" s="149"/>
      <c r="D60" s="121" t="s">
        <v>250</v>
      </c>
      <c r="E60" s="146"/>
      <c r="F60" s="146"/>
      <c r="G60" s="146"/>
      <c r="H60" s="146"/>
    </row>
    <row r="61" spans="1:14" ht="15.75" customHeight="1" x14ac:dyDescent="0.3">
      <c r="A61" s="147" t="s">
        <v>90</v>
      </c>
      <c r="B61" s="148"/>
      <c r="C61" s="148"/>
      <c r="D61" s="121" t="s">
        <v>250</v>
      </c>
      <c r="E61" s="146"/>
      <c r="F61" s="146"/>
      <c r="G61" s="146"/>
      <c r="H61" s="146"/>
    </row>
    <row r="62" spans="1:14" ht="15.75" customHeight="1" x14ac:dyDescent="0.3">
      <c r="A62" s="96" t="s">
        <v>45</v>
      </c>
      <c r="B62" s="96"/>
      <c r="C62" s="96"/>
      <c r="D62" s="194" t="s">
        <v>202</v>
      </c>
      <c r="E62" s="194"/>
      <c r="F62" s="194"/>
      <c r="G62" s="194"/>
      <c r="H62" s="194"/>
      <c r="J62" s="23"/>
      <c r="K62" s="22"/>
      <c r="N62" s="22"/>
    </row>
    <row r="63" spans="1:14" ht="15.75" customHeight="1" x14ac:dyDescent="0.3">
      <c r="A63" s="96" t="s">
        <v>88</v>
      </c>
      <c r="B63" s="96"/>
      <c r="C63" s="96"/>
      <c r="D63" s="195" t="str">
        <f>(IF(G56="NA","60 Years After Completion",IF(G56&lt;&gt;"NA",""&amp;60-ROUNDDOWN((E3-G56)/360,0)&amp;" Years"," ")))</f>
        <v>60 Years After Completion</v>
      </c>
      <c r="E63" s="195"/>
      <c r="F63" s="195"/>
      <c r="G63" s="195"/>
      <c r="H63" s="195"/>
      <c r="N63" s="22"/>
    </row>
    <row r="64" spans="1:14" ht="15.75" customHeight="1" x14ac:dyDescent="0.3">
      <c r="A64" s="96" t="s">
        <v>89</v>
      </c>
      <c r="B64" s="96"/>
      <c r="C64" s="96"/>
      <c r="D64" s="97" t="s">
        <v>24</v>
      </c>
      <c r="E64" s="97"/>
      <c r="F64" s="97"/>
      <c r="G64" s="97"/>
      <c r="H64" s="97"/>
      <c r="J64" s="24"/>
      <c r="K64" s="24"/>
    </row>
    <row r="65" spans="1:17" ht="66.75" customHeight="1" x14ac:dyDescent="0.3">
      <c r="A65" s="96" t="s">
        <v>75</v>
      </c>
      <c r="B65" s="96"/>
      <c r="C65" s="96"/>
      <c r="D65" s="121" t="s">
        <v>225</v>
      </c>
      <c r="E65" s="97"/>
      <c r="F65" s="97"/>
      <c r="G65" s="97"/>
      <c r="H65" s="97"/>
    </row>
    <row r="66" spans="1:17" x14ac:dyDescent="0.3">
      <c r="A66" s="97" t="s">
        <v>152</v>
      </c>
      <c r="B66" s="97"/>
      <c r="C66" s="97"/>
      <c r="D66" s="97" t="s">
        <v>29</v>
      </c>
      <c r="E66" s="97"/>
      <c r="F66" s="97"/>
      <c r="G66" s="97"/>
      <c r="H66" s="97"/>
      <c r="I66" s="25"/>
      <c r="J66" s="25"/>
      <c r="K66" s="25"/>
      <c r="L66" s="25"/>
      <c r="M66" s="25"/>
      <c r="N66" s="25"/>
    </row>
    <row r="67" spans="1:17" ht="15.75" customHeight="1" x14ac:dyDescent="0.3">
      <c r="A67" s="171" t="s">
        <v>87</v>
      </c>
      <c r="B67" s="171"/>
      <c r="C67" s="171"/>
      <c r="D67" s="193" t="str">
        <f ca="1">(IF(G73&gt;95%,"Nothing",IF(G73&gt;0%,"Cement, Aggregate, Steel, etc",IF(G73=0%,"Work not yet Started"))))</f>
        <v>Cement, Aggregate, Steel, etc</v>
      </c>
      <c r="E67" s="193"/>
      <c r="F67" s="193"/>
      <c r="G67" s="193"/>
      <c r="H67" s="193"/>
      <c r="J67" s="24"/>
    </row>
    <row r="68" spans="1:17" ht="33.75" customHeight="1" thickBot="1" x14ac:dyDescent="0.35">
      <c r="A68" s="192" t="s">
        <v>119</v>
      </c>
      <c r="B68" s="192"/>
      <c r="C68" s="192"/>
      <c r="D68" s="193" t="str">
        <f ca="1">(IF(D67="Nothing","Yes",IF(D67="Cement, Aggregate, Steel, etc","Under Construction",IF(D67="Work not yet Started","Work not yet Started"))))</f>
        <v>Under Construction</v>
      </c>
      <c r="E68" s="193"/>
      <c r="F68" s="193" t="str">
        <f ca="1">(IF(D67="Nothing","Yes",IF(D67="Cement, Aggregate, Steel, etc","Under Construction",IF(D67="Work not yet Started","Work not yet Started"))))</f>
        <v>Under Construction</v>
      </c>
      <c r="G68" s="193"/>
      <c r="H68" s="193"/>
    </row>
    <row r="69" spans="1:17" ht="15.75" customHeight="1" x14ac:dyDescent="0.3">
      <c r="A69" s="166" t="s">
        <v>144</v>
      </c>
      <c r="B69" s="167"/>
      <c r="C69" s="168" t="str">
        <f>D61</f>
        <v>Gr/Stilt + 1st to 4th Podium Floor + 6th to 22nd Floor</v>
      </c>
      <c r="D69" s="169"/>
      <c r="E69" s="169"/>
      <c r="F69" s="169"/>
      <c r="G69" s="169"/>
      <c r="H69" s="170"/>
      <c r="I69" s="44" t="str">
        <f ca="1">IF(D82=100%,"All work Completed. Possession granted to the Building.",IF(D81=100%,"All work Completed, Waiting for OC",I70&amp;""&amp;I71&amp;""&amp;J70&amp;""&amp;J69&amp;" "&amp;J71))</f>
        <v>Excavation, Plinth, RCC Slab, Brickwork Completed, Internal Plaster upto 15 Floor, External Plaster upto 12 Floor Completed</v>
      </c>
      <c r="J69" s="45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Internal Plaster upto 15 Floor, External Plaster upto 12 Floor</v>
      </c>
    </row>
    <row r="70" spans="1:17" x14ac:dyDescent="0.3">
      <c r="A70" s="16" t="s">
        <v>146</v>
      </c>
      <c r="B70" s="48">
        <f>IF(AND(ISNUMBER(SEARCH("1B",C69))),1,IF(AND(ISNUMBER(SEARCH("2B",C69))),2,IF(AND(ISNUMBER(SEARCH("3B",C69))),3,IF(AND(ISNUMBER(SEARCH("4B",C69))),4,IF(ISNUMBER(SEARCH("5B",C69)),5,0)))))</f>
        <v>0</v>
      </c>
      <c r="C70" s="48" t="s">
        <v>72</v>
      </c>
      <c r="D70" s="48">
        <v>1</v>
      </c>
      <c r="E70" s="48" t="s">
        <v>71</v>
      </c>
      <c r="F70" s="48">
        <v>0</v>
      </c>
      <c r="G70" s="48" t="s">
        <v>81</v>
      </c>
      <c r="H70" s="17">
        <f ca="1">--TRIM(RIGHT(SUBSTITUTE(LEFT(C69,_xlfn.AGGREGATE(16,6,FIND({0,1,2,3,4,5,6,7,8,9},C69,ROW(INDIRECT("1:"&amp;LEN(C69)))),1))," ",REPT(" ",LEN(C69))),LEN(C69)))</f>
        <v>22</v>
      </c>
      <c r="I70" s="46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</v>
      </c>
      <c r="J70" s="47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7" ht="33.75" customHeight="1" x14ac:dyDescent="0.3">
      <c r="A71" s="143" t="s">
        <v>91</v>
      </c>
      <c r="B71" s="144"/>
      <c r="C71" s="98" t="str">
        <f ca="1">I69</f>
        <v>Excavation, Plinth, RCC Slab, Brickwork Completed, Internal Plaster upto 15 Floor, External Plaster upto 12 Floor Completed</v>
      </c>
      <c r="D71" s="98"/>
      <c r="E71" s="98"/>
      <c r="F71" s="98"/>
      <c r="G71" s="98"/>
      <c r="H71" s="99"/>
      <c r="I71" s="46" t="str">
        <f ca="1">IF(I70&lt;&gt;""," Completed","")</f>
        <v xml:space="preserve"> Completed</v>
      </c>
      <c r="J71" s="47" t="str">
        <f ca="1">IF(J69&lt;&gt;"","Completed","")</f>
        <v>Completed</v>
      </c>
    </row>
    <row r="72" spans="1:17" ht="15.75" customHeight="1" x14ac:dyDescent="0.3">
      <c r="A72" s="94" t="s">
        <v>49</v>
      </c>
      <c r="B72" s="95"/>
      <c r="C72" s="50" t="s">
        <v>143</v>
      </c>
      <c r="D72" s="50" t="s">
        <v>84</v>
      </c>
      <c r="E72" s="164" t="s">
        <v>86</v>
      </c>
      <c r="F72" s="164"/>
      <c r="G72" s="164" t="s">
        <v>85</v>
      </c>
      <c r="H72" s="165"/>
      <c r="I72" s="14" t="s">
        <v>145</v>
      </c>
      <c r="J72" s="26">
        <f ca="1">H70*25%</f>
        <v>5.5</v>
      </c>
      <c r="L72" s="196" t="s">
        <v>253</v>
      </c>
      <c r="M72" s="196"/>
      <c r="N72" s="196"/>
      <c r="O72" s="196"/>
      <c r="P72" s="196"/>
      <c r="Q72" s="196"/>
    </row>
    <row r="73" spans="1:17" x14ac:dyDescent="0.3">
      <c r="A73" s="94" t="s">
        <v>132</v>
      </c>
      <c r="B73" s="95"/>
      <c r="C73" s="50">
        <f ca="1">J74</f>
        <v>22</v>
      </c>
      <c r="D73" s="51">
        <f ca="1">((100/H70)*C73)/100</f>
        <v>1.0000000000000002</v>
      </c>
      <c r="E73" s="132">
        <f ca="1">(((C74/H70*10)+(40/(D70+F70+H70)*C75)+(7.5/(H70)*C76)+(7.5/(H70)*C77)+(10/H70*C78)+(10/H70*C79)+(5/H70*C80)+(5/H70*C81)+(5/H70*C82))/100)</f>
        <v>0.68068181818181817</v>
      </c>
      <c r="F73" s="133"/>
      <c r="G73" s="132">
        <f ca="1">((((C73/H70)*20)+((C74/H70)*25)+(30/(H70+F70+D70)*C75)+(5/H70*C76)+(5/H70*C77)+(5/H70*C78)+(5/H70*C79)+(0/H70*C80)+(0/H70*C81)+(5/H70*C82))/100)</f>
        <v>0.86136363636363644</v>
      </c>
      <c r="H73" s="138"/>
      <c r="I73" s="14" t="s">
        <v>102</v>
      </c>
      <c r="J73" s="27">
        <f ca="1">H70*50%</f>
        <v>11</v>
      </c>
      <c r="L73" s="196"/>
      <c r="M73" s="196"/>
      <c r="N73" s="196"/>
      <c r="O73" s="196"/>
      <c r="P73" s="196"/>
      <c r="Q73" s="196"/>
    </row>
    <row r="74" spans="1:17" x14ac:dyDescent="0.3">
      <c r="A74" s="94" t="s">
        <v>50</v>
      </c>
      <c r="B74" s="95"/>
      <c r="C74" s="52">
        <f ca="1">J82</f>
        <v>22</v>
      </c>
      <c r="D74" s="51">
        <f ca="1">((100/H70)*C74)/100</f>
        <v>1.0000000000000002</v>
      </c>
      <c r="E74" s="134"/>
      <c r="F74" s="135"/>
      <c r="G74" s="134"/>
      <c r="H74" s="139"/>
      <c r="I74" s="14" t="s">
        <v>103</v>
      </c>
      <c r="J74" s="27">
        <f ca="1">H70</f>
        <v>22</v>
      </c>
    </row>
    <row r="75" spans="1:17" ht="15.75" customHeight="1" x14ac:dyDescent="0.3">
      <c r="A75" s="94" t="s">
        <v>133</v>
      </c>
      <c r="B75" s="95"/>
      <c r="C75" s="50">
        <v>23</v>
      </c>
      <c r="D75" s="51">
        <f ca="1">((100/(D70+F70+H70))*C75)/100</f>
        <v>1</v>
      </c>
      <c r="E75" s="134"/>
      <c r="F75" s="135"/>
      <c r="G75" s="134"/>
      <c r="H75" s="139"/>
      <c r="I75" s="14" t="s">
        <v>104</v>
      </c>
      <c r="J75" s="28">
        <f ca="1">(IF(B70&gt;1,(H70/(B70+2)),H70/4))</f>
        <v>5.5</v>
      </c>
    </row>
    <row r="76" spans="1:17" ht="15.75" customHeight="1" x14ac:dyDescent="0.3">
      <c r="A76" s="94" t="s">
        <v>140</v>
      </c>
      <c r="B76" s="95" t="s">
        <v>134</v>
      </c>
      <c r="C76" s="50">
        <v>22</v>
      </c>
      <c r="D76" s="51">
        <f ca="1">((100/H70)*C76)/100</f>
        <v>1.0000000000000002</v>
      </c>
      <c r="E76" s="134"/>
      <c r="F76" s="135"/>
      <c r="G76" s="134"/>
      <c r="H76" s="139"/>
      <c r="I76" s="14" t="s">
        <v>105</v>
      </c>
      <c r="J76" s="28">
        <f ca="1">(IF(B70&gt;1,(H70/(B70+2)+J75),H70/4+J75))</f>
        <v>11</v>
      </c>
    </row>
    <row r="77" spans="1:17" ht="15.75" customHeight="1" x14ac:dyDescent="0.3">
      <c r="A77" s="94" t="s">
        <v>141</v>
      </c>
      <c r="B77" s="95" t="s">
        <v>134</v>
      </c>
      <c r="C77" s="50">
        <v>15</v>
      </c>
      <c r="D77" s="51">
        <f ca="1">((100/H70)*C77)/100</f>
        <v>0.68181818181818188</v>
      </c>
      <c r="E77" s="134"/>
      <c r="F77" s="135"/>
      <c r="G77" s="134"/>
      <c r="H77" s="139"/>
      <c r="I77" s="14" t="s">
        <v>150</v>
      </c>
      <c r="J77" s="28">
        <f>(IF(B70&gt;1,(H70/(B70+2)+J76),0))</f>
        <v>0</v>
      </c>
    </row>
    <row r="78" spans="1:17" ht="15" customHeight="1" x14ac:dyDescent="0.3">
      <c r="A78" s="94" t="s">
        <v>139</v>
      </c>
      <c r="B78" s="95" t="s">
        <v>136</v>
      </c>
      <c r="C78" s="50">
        <v>12</v>
      </c>
      <c r="D78" s="51">
        <f ca="1">((100/(H70))*C78)/100</f>
        <v>0.54545454545454541</v>
      </c>
      <c r="E78" s="134"/>
      <c r="F78" s="135"/>
      <c r="G78" s="134"/>
      <c r="H78" s="139"/>
      <c r="I78" s="14" t="s">
        <v>147</v>
      </c>
      <c r="J78" s="28">
        <f>(IF(B70&gt;2,(H70/(B70+2)+J77),0))</f>
        <v>0</v>
      </c>
    </row>
    <row r="79" spans="1:17" ht="15.75" customHeight="1" x14ac:dyDescent="0.3">
      <c r="A79" s="94" t="s">
        <v>135</v>
      </c>
      <c r="B79" s="95" t="s">
        <v>135</v>
      </c>
      <c r="C79" s="50">
        <v>0</v>
      </c>
      <c r="D79" s="51">
        <f ca="1">((100/H70)*C79)/100</f>
        <v>0</v>
      </c>
      <c r="E79" s="134"/>
      <c r="F79" s="135"/>
      <c r="G79" s="134"/>
      <c r="H79" s="139"/>
      <c r="I79" s="14" t="s">
        <v>148</v>
      </c>
      <c r="J79" s="29">
        <f>(IF(B70&gt;3,(H70/(B70+2)+J78),0))</f>
        <v>0</v>
      </c>
    </row>
    <row r="80" spans="1:17" ht="15.75" customHeight="1" x14ac:dyDescent="0.3">
      <c r="A80" s="94" t="s">
        <v>142</v>
      </c>
      <c r="B80" s="95"/>
      <c r="C80" s="50">
        <v>0</v>
      </c>
      <c r="D80" s="51">
        <f ca="1">((100/H70)*C80)/100</f>
        <v>0</v>
      </c>
      <c r="E80" s="134"/>
      <c r="F80" s="135"/>
      <c r="G80" s="134"/>
      <c r="H80" s="139"/>
      <c r="I80" s="14" t="s">
        <v>149</v>
      </c>
      <c r="J80" s="28">
        <f>(IF(B70&gt;4,(H70/(B70+2)+J79),0))</f>
        <v>0</v>
      </c>
    </row>
    <row r="81" spans="1:16" ht="15.75" customHeight="1" x14ac:dyDescent="0.3">
      <c r="A81" s="94" t="s">
        <v>137</v>
      </c>
      <c r="B81" s="95" t="s">
        <v>137</v>
      </c>
      <c r="C81" s="50">
        <v>0</v>
      </c>
      <c r="D81" s="51">
        <f ca="1">((100/(H70))*C81)/100</f>
        <v>0</v>
      </c>
      <c r="E81" s="134"/>
      <c r="F81" s="135"/>
      <c r="G81" s="134"/>
      <c r="H81" s="139"/>
      <c r="I81" s="14" t="s">
        <v>151</v>
      </c>
      <c r="J81" s="28">
        <f ca="1">(IF(B70=1,(H70/(B70+3)+J76),IF(B70=0,(H70/4+J76),IF(B70&gt;1,0))))</f>
        <v>16.5</v>
      </c>
    </row>
    <row r="82" spans="1:16" ht="16.2" thickBot="1" x14ac:dyDescent="0.35">
      <c r="A82" s="141" t="s">
        <v>138</v>
      </c>
      <c r="B82" s="142"/>
      <c r="C82" s="53">
        <v>0</v>
      </c>
      <c r="D82" s="54">
        <f ca="1">((100/(H70))*C82)/100</f>
        <v>0</v>
      </c>
      <c r="E82" s="136"/>
      <c r="F82" s="137"/>
      <c r="G82" s="136"/>
      <c r="H82" s="140"/>
      <c r="I82" s="15" t="s">
        <v>106</v>
      </c>
      <c r="J82" s="30">
        <f ca="1">(IF(B70&gt;1.5,(H70/(B70+2)+J76+MAX(0,J77-J76)+MAX(0,J78-J77)+MAX(0,J79-J78)+MAX(0,J80-J79)+MAX(0,J81-J80)),IF(B70=1,(H70/(B70+3)+J81),IF(B70=0,H70/4+J81))))</f>
        <v>22</v>
      </c>
    </row>
    <row r="83" spans="1:16" x14ac:dyDescent="0.3">
      <c r="A83" s="126" t="s">
        <v>160</v>
      </c>
      <c r="B83" s="126"/>
      <c r="C83" s="126"/>
      <c r="D83" s="126"/>
      <c r="E83" s="126"/>
      <c r="F83" s="105" t="s">
        <v>164</v>
      </c>
      <c r="G83" s="105"/>
      <c r="H83" s="105"/>
      <c r="M83" s="55"/>
      <c r="N83" s="55" t="s">
        <v>224</v>
      </c>
      <c r="O83" s="55" t="s">
        <v>228</v>
      </c>
      <c r="P83" s="55" t="s">
        <v>229</v>
      </c>
    </row>
    <row r="84" spans="1:16" x14ac:dyDescent="0.3">
      <c r="A84" s="96" t="s">
        <v>162</v>
      </c>
      <c r="B84" s="96"/>
      <c r="C84" s="96"/>
      <c r="D84" s="96"/>
      <c r="E84" s="96"/>
      <c r="F84" s="198">
        <v>21000</v>
      </c>
      <c r="G84" s="198"/>
      <c r="H84" s="198"/>
      <c r="I84" s="20" t="s">
        <v>259</v>
      </c>
      <c r="M84" s="57"/>
      <c r="N84" s="55">
        <v>30000</v>
      </c>
      <c r="O84" s="57">
        <f>AVERAGE(J133,J167,J171)</f>
        <v>23723.998030044942</v>
      </c>
      <c r="P84" s="55">
        <v>24000</v>
      </c>
    </row>
    <row r="85" spans="1:16" x14ac:dyDescent="0.3">
      <c r="A85" s="96" t="s">
        <v>161</v>
      </c>
      <c r="B85" s="96"/>
      <c r="C85" s="96"/>
      <c r="D85" s="96"/>
      <c r="E85" s="96"/>
      <c r="F85" s="106">
        <v>35000</v>
      </c>
      <c r="G85" s="106"/>
      <c r="H85" s="106"/>
      <c r="M85" s="55"/>
      <c r="N85" s="55"/>
      <c r="O85" s="57">
        <f>J114</f>
        <v>33355.955787294355</v>
      </c>
      <c r="P85" s="55"/>
    </row>
    <row r="86" spans="1:16" hidden="1" x14ac:dyDescent="0.3">
      <c r="A86" s="96" t="s">
        <v>163</v>
      </c>
      <c r="B86" s="96"/>
      <c r="C86" s="96"/>
      <c r="D86" s="96"/>
      <c r="E86" s="96"/>
      <c r="F86" s="106"/>
      <c r="G86" s="106"/>
      <c r="H86" s="106"/>
      <c r="M86" s="55"/>
      <c r="N86" s="55"/>
      <c r="O86" s="55"/>
      <c r="P86" s="55"/>
    </row>
    <row r="87" spans="1:16" s="31" customFormat="1" hidden="1" x14ac:dyDescent="0.25">
      <c r="A87" s="96" t="s">
        <v>179</v>
      </c>
      <c r="B87" s="96"/>
      <c r="C87" s="96"/>
      <c r="D87" s="96"/>
      <c r="E87" s="96"/>
      <c r="F87" s="106"/>
      <c r="G87" s="106"/>
      <c r="H87" s="106"/>
      <c r="M87" s="56"/>
      <c r="N87" s="56"/>
      <c r="O87" s="56"/>
      <c r="P87" s="56"/>
    </row>
    <row r="88" spans="1:16" s="31" customFormat="1" hidden="1" x14ac:dyDescent="0.25">
      <c r="A88" s="96" t="s">
        <v>96</v>
      </c>
      <c r="B88" s="96"/>
      <c r="C88" s="96"/>
      <c r="D88" s="96"/>
      <c r="E88" s="96"/>
      <c r="F88" s="106"/>
      <c r="G88" s="106"/>
      <c r="H88" s="106"/>
      <c r="M88" s="56"/>
      <c r="N88" s="56"/>
      <c r="O88" s="56"/>
      <c r="P88" s="56"/>
    </row>
    <row r="89" spans="1:16" s="31" customFormat="1" hidden="1" x14ac:dyDescent="0.25">
      <c r="A89" s="96" t="s">
        <v>97</v>
      </c>
      <c r="B89" s="96"/>
      <c r="C89" s="96"/>
      <c r="D89" s="96"/>
      <c r="E89" s="96"/>
      <c r="F89" s="106"/>
      <c r="G89" s="106"/>
      <c r="H89" s="106"/>
      <c r="M89" s="56"/>
      <c r="N89" s="56"/>
      <c r="O89" s="56"/>
      <c r="P89" s="56"/>
    </row>
    <row r="90" spans="1:16" s="31" customFormat="1" hidden="1" x14ac:dyDescent="0.25">
      <c r="A90" s="96" t="s">
        <v>165</v>
      </c>
      <c r="B90" s="96"/>
      <c r="C90" s="96"/>
      <c r="D90" s="96"/>
      <c r="E90" s="96"/>
      <c r="F90" s="106"/>
      <c r="G90" s="106"/>
      <c r="H90" s="106"/>
      <c r="M90" s="56"/>
      <c r="N90" s="56"/>
      <c r="O90" s="56"/>
      <c r="P90" s="56"/>
    </row>
    <row r="91" spans="1:16" s="31" customFormat="1" hidden="1" x14ac:dyDescent="0.25">
      <c r="A91" s="96" t="s">
        <v>98</v>
      </c>
      <c r="B91" s="96"/>
      <c r="C91" s="96"/>
      <c r="D91" s="96"/>
      <c r="E91" s="96"/>
      <c r="F91" s="106"/>
      <c r="G91" s="106"/>
      <c r="H91" s="106"/>
      <c r="M91" s="56"/>
      <c r="N91" s="56"/>
      <c r="O91" s="56"/>
      <c r="P91" s="56"/>
    </row>
    <row r="92" spans="1:16" s="31" customFormat="1" hidden="1" x14ac:dyDescent="0.25">
      <c r="A92" s="96" t="s">
        <v>99</v>
      </c>
      <c r="B92" s="96"/>
      <c r="C92" s="96"/>
      <c r="D92" s="96"/>
      <c r="E92" s="96"/>
      <c r="F92" s="106"/>
      <c r="G92" s="106"/>
      <c r="H92" s="106"/>
      <c r="M92" s="56"/>
      <c r="N92" s="56"/>
      <c r="O92" s="56"/>
      <c r="P92" s="56"/>
    </row>
    <row r="93" spans="1:16" s="31" customFormat="1" hidden="1" x14ac:dyDescent="0.25">
      <c r="A93" s="96" t="s">
        <v>100</v>
      </c>
      <c r="B93" s="96"/>
      <c r="C93" s="96"/>
      <c r="D93" s="96"/>
      <c r="E93" s="96"/>
      <c r="F93" s="106"/>
      <c r="G93" s="106"/>
      <c r="H93" s="106"/>
      <c r="M93" s="56"/>
      <c r="N93" s="56"/>
      <c r="O93" s="56"/>
      <c r="P93" s="56"/>
    </row>
    <row r="94" spans="1:16" s="31" customFormat="1" hidden="1" x14ac:dyDescent="0.25">
      <c r="A94" s="96" t="s">
        <v>101</v>
      </c>
      <c r="B94" s="96"/>
      <c r="C94" s="96"/>
      <c r="D94" s="96"/>
      <c r="E94" s="96"/>
      <c r="F94" s="106"/>
      <c r="G94" s="106"/>
      <c r="H94" s="106"/>
      <c r="M94" s="56"/>
      <c r="N94" s="56"/>
      <c r="O94" s="56"/>
      <c r="P94" s="56"/>
    </row>
    <row r="95" spans="1:16" x14ac:dyDescent="0.3">
      <c r="A95" s="146" t="s">
        <v>51</v>
      </c>
      <c r="B95" s="146"/>
      <c r="C95" s="146"/>
      <c r="D95" s="146"/>
      <c r="E95" s="146"/>
      <c r="F95" s="106">
        <v>900000</v>
      </c>
      <c r="G95" s="106"/>
      <c r="H95" s="106"/>
      <c r="M95" s="55"/>
      <c r="N95" s="55"/>
      <c r="O95" s="55"/>
      <c r="P95" s="55"/>
    </row>
    <row r="96" spans="1:16" s="32" customFormat="1" x14ac:dyDescent="0.3">
      <c r="A96" s="144" t="s">
        <v>52</v>
      </c>
      <c r="B96" s="144"/>
      <c r="C96" s="144"/>
      <c r="D96" s="144"/>
      <c r="E96" s="144"/>
      <c r="F96" s="106">
        <f>F84*0.8</f>
        <v>16800</v>
      </c>
      <c r="G96" s="106"/>
      <c r="H96" s="106"/>
    </row>
    <row r="97" spans="1:14" s="33" customFormat="1" ht="15.75" customHeight="1" x14ac:dyDescent="0.3">
      <c r="A97" s="177" t="s">
        <v>76</v>
      </c>
      <c r="B97" s="177"/>
      <c r="C97" s="177"/>
      <c r="D97" s="177"/>
      <c r="E97" s="177"/>
      <c r="F97" s="177"/>
      <c r="G97" s="177"/>
      <c r="H97" s="177"/>
    </row>
    <row r="98" spans="1:14" s="33" customFormat="1" ht="15.75" customHeight="1" x14ac:dyDescent="0.3">
      <c r="A98" s="113" t="s">
        <v>53</v>
      </c>
      <c r="B98" s="113"/>
      <c r="C98" s="110" t="s">
        <v>79</v>
      </c>
      <c r="D98" s="110"/>
      <c r="E98" s="112" t="s">
        <v>54</v>
      </c>
      <c r="F98" s="112"/>
      <c r="G98" s="113" t="s">
        <v>55</v>
      </c>
      <c r="H98" s="113"/>
      <c r="I98" s="58">
        <f>15700000/449.18</f>
        <v>34952.580257357855</v>
      </c>
      <c r="J98" s="58">
        <f>I98/1.55</f>
        <v>22550.051778940549</v>
      </c>
      <c r="K98" s="58">
        <f>30000/1.55</f>
        <v>19354.83870967742</v>
      </c>
    </row>
    <row r="99" spans="1:14" s="33" customFormat="1" x14ac:dyDescent="0.3">
      <c r="A99" s="125" t="s">
        <v>220</v>
      </c>
      <c r="B99" s="125"/>
      <c r="C99" s="103">
        <f>COUNT(D112:D115)</f>
        <v>4</v>
      </c>
      <c r="D99" s="104"/>
      <c r="E99" s="103">
        <f>SUM(D112:D115)</f>
        <v>1740.7540799999999</v>
      </c>
      <c r="F99" s="104"/>
      <c r="G99" s="103">
        <f>SUM(F112:F115)</f>
        <v>2698.1688240000003</v>
      </c>
      <c r="H99" s="104"/>
      <c r="I99" s="58">
        <f>26300000/746.26</f>
        <v>35242.408811942216</v>
      </c>
      <c r="J99" s="58">
        <f t="shared" ref="J99:J101" si="0">I99/1.55</f>
        <v>22737.037943188527</v>
      </c>
    </row>
    <row r="100" spans="1:14" s="33" customFormat="1" x14ac:dyDescent="0.3">
      <c r="A100" s="108" t="s">
        <v>154</v>
      </c>
      <c r="B100" s="108"/>
      <c r="C100" s="109">
        <f>SUM(C99)</f>
        <v>4</v>
      </c>
      <c r="D100" s="110"/>
      <c r="E100" s="111">
        <f>SUM(E99)</f>
        <v>1740.7540799999999</v>
      </c>
      <c r="F100" s="112"/>
      <c r="G100" s="113">
        <f>SUM(G99)</f>
        <v>2698.1688240000003</v>
      </c>
      <c r="H100" s="113"/>
      <c r="I100" s="58">
        <f>23600000/521.19</f>
        <v>45280.991576968088</v>
      </c>
      <c r="J100" s="58">
        <f t="shared" si="0"/>
        <v>29213.542952882635</v>
      </c>
    </row>
    <row r="101" spans="1:14" s="33" customFormat="1" x14ac:dyDescent="0.3">
      <c r="A101" s="108" t="s">
        <v>70</v>
      </c>
      <c r="B101" s="108"/>
      <c r="C101" s="108"/>
      <c r="D101" s="108"/>
      <c r="E101" s="108"/>
      <c r="F101" s="108"/>
      <c r="G101" s="108"/>
      <c r="H101" s="108"/>
      <c r="I101" s="58">
        <f>35600000/1009.34</f>
        <v>35270.572849584874</v>
      </c>
      <c r="J101" s="58">
        <f t="shared" si="0"/>
        <v>22755.208290054758</v>
      </c>
    </row>
    <row r="102" spans="1:14" s="33" customFormat="1" ht="15.75" customHeight="1" x14ac:dyDescent="0.3">
      <c r="A102" s="113" t="s">
        <v>53</v>
      </c>
      <c r="B102" s="113"/>
      <c r="C102" s="110" t="s">
        <v>79</v>
      </c>
      <c r="D102" s="110"/>
      <c r="E102" s="112" t="s">
        <v>54</v>
      </c>
      <c r="F102" s="112"/>
      <c r="G102" s="113" t="s">
        <v>55</v>
      </c>
      <c r="H102" s="113"/>
      <c r="J102" s="59">
        <f>AVERAGE(J98:J101)</f>
        <v>24313.960241266617</v>
      </c>
    </row>
    <row r="103" spans="1:14" s="33" customFormat="1" x14ac:dyDescent="0.3">
      <c r="A103" s="125" t="s">
        <v>204</v>
      </c>
      <c r="B103" s="125"/>
      <c r="C103" s="103">
        <f>COUNT(D121:D127)</f>
        <v>7</v>
      </c>
      <c r="D103" s="104"/>
      <c r="E103" s="103">
        <f>SUM(D121:D127)</f>
        <v>2658.1698000000001</v>
      </c>
      <c r="F103" s="103"/>
      <c r="G103" s="103">
        <f>SUM(F121:F127)</f>
        <v>3987.2546999999995</v>
      </c>
      <c r="H103" s="104"/>
    </row>
    <row r="104" spans="1:14" s="33" customFormat="1" x14ac:dyDescent="0.3">
      <c r="A104" s="125" t="s">
        <v>221</v>
      </c>
      <c r="B104" s="125"/>
      <c r="C104" s="103">
        <f>COUNT(D131:D137)+COUNT(D139:D145)+COUNT(D149:D153)+COUNT(D155:D161)+COUNT(D163:D169)+COUNT(D171:D177)+COUNT(D179:D185)*2+COUNT(D187:D193)+COUNT(D197:D201)+COUNT(D203:D209)*3+COUNT(D211:D217)*3+COUNT(D219:D222,D224:D225)</f>
        <v>114</v>
      </c>
      <c r="D104" s="103"/>
      <c r="E104" s="103">
        <f>SUM(D131:D137)+SUM(D139:D145)+SUM(D149:D153)+SUM(D155:D161)+SUM(D163:D169)+SUM(D171:D177)+SUM(D179:D185)*2+SUM(D187:D193)+SUM(D197:D201)+SUM(D203:D209)*3+SUM(D211:D217)*3+SUM(D219:D222,D224:D225)</f>
        <v>74355.451559999987</v>
      </c>
      <c r="F104" s="103"/>
      <c r="G104" s="103">
        <f>SUM(F131:F137)+SUM(F139:F145)+SUM(F149:F153)+SUM(F155:F161)+SUM(F163:F169)+SUM(F171:F177)+SUM(F179:F185)*2+SUM(F187:F193)+SUM(F197:F201)+SUM(F203:F209)*3+SUM(F211:F217)*3+SUM(F219:F222,F224:F225)</f>
        <v>111533.17733999999</v>
      </c>
      <c r="H104" s="103"/>
    </row>
    <row r="105" spans="1:14" s="33" customFormat="1" ht="16.2" thickBot="1" x14ac:dyDescent="0.35">
      <c r="A105" s="114" t="s">
        <v>154</v>
      </c>
      <c r="B105" s="114"/>
      <c r="C105" s="187">
        <f>SUM(C103:C104)</f>
        <v>121</v>
      </c>
      <c r="D105" s="188"/>
      <c r="E105" s="115">
        <f>SUM(E103:E104)</f>
        <v>77013.62135999999</v>
      </c>
      <c r="F105" s="115"/>
      <c r="G105" s="107">
        <f>SUM(G103:G104)</f>
        <v>115520.43204</v>
      </c>
      <c r="H105" s="107"/>
    </row>
    <row r="106" spans="1:14" s="33" customFormat="1" ht="16.2" thickBot="1" x14ac:dyDescent="0.35">
      <c r="A106" s="179" t="s">
        <v>170</v>
      </c>
      <c r="B106" s="180"/>
      <c r="C106" s="181">
        <f>C100+C105</f>
        <v>125</v>
      </c>
      <c r="D106" s="182"/>
      <c r="E106" s="183">
        <f>E100+E105</f>
        <v>78754.375439999989</v>
      </c>
      <c r="F106" s="183"/>
      <c r="G106" s="184">
        <f>G100+G105</f>
        <v>118218.60086400001</v>
      </c>
      <c r="H106" s="185"/>
    </row>
    <row r="107" spans="1:14" s="32" customFormat="1" x14ac:dyDescent="0.3">
      <c r="A107" s="105" t="s">
        <v>56</v>
      </c>
      <c r="B107" s="105"/>
      <c r="C107" s="105"/>
      <c r="D107" s="105"/>
      <c r="E107" s="105"/>
      <c r="F107" s="105"/>
      <c r="G107" s="105"/>
      <c r="H107" s="105"/>
    </row>
    <row r="108" spans="1:14" x14ac:dyDescent="0.3">
      <c r="A108" s="173" t="s">
        <v>178</v>
      </c>
      <c r="B108" s="173"/>
      <c r="C108" s="173"/>
      <c r="D108" s="173"/>
      <c r="E108" s="173"/>
      <c r="F108" s="173"/>
      <c r="G108" s="173"/>
      <c r="H108" s="173"/>
    </row>
    <row r="109" spans="1:14" ht="47.25" customHeight="1" x14ac:dyDescent="0.3">
      <c r="A109" s="116" t="s">
        <v>121</v>
      </c>
      <c r="B109" s="116" t="s">
        <v>120</v>
      </c>
      <c r="C109" s="116" t="s">
        <v>57</v>
      </c>
      <c r="D109" s="116" t="s">
        <v>58</v>
      </c>
      <c r="E109" s="128" t="s">
        <v>159</v>
      </c>
      <c r="F109" s="41" t="s">
        <v>153</v>
      </c>
      <c r="G109" s="118" t="s">
        <v>60</v>
      </c>
      <c r="H109" s="130"/>
    </row>
    <row r="110" spans="1:14" s="35" customFormat="1" x14ac:dyDescent="0.3">
      <c r="A110" s="117"/>
      <c r="B110" s="117"/>
      <c r="C110" s="117"/>
      <c r="D110" s="117"/>
      <c r="E110" s="129"/>
      <c r="F110" s="13">
        <v>0.55000000000000004</v>
      </c>
      <c r="G110" s="119"/>
      <c r="H110" s="131"/>
      <c r="J110" s="19"/>
    </row>
    <row r="111" spans="1:14" s="35" customFormat="1" x14ac:dyDescent="0.3">
      <c r="A111" s="100" t="s">
        <v>244</v>
      </c>
      <c r="B111" s="101"/>
      <c r="C111" s="101"/>
      <c r="D111" s="101"/>
      <c r="E111" s="101"/>
      <c r="F111" s="101"/>
      <c r="G111" s="101"/>
      <c r="H111" s="102"/>
      <c r="J111" s="19"/>
    </row>
    <row r="112" spans="1:14" s="35" customFormat="1" ht="15.75" customHeight="1" x14ac:dyDescent="0.3">
      <c r="A112" s="87">
        <v>1</v>
      </c>
      <c r="B112" s="89"/>
      <c r="C112" s="40" t="s">
        <v>203</v>
      </c>
      <c r="D112" s="49">
        <f>(47.04)*10.764</f>
        <v>506.33855999999997</v>
      </c>
      <c r="E112" s="40">
        <v>0</v>
      </c>
      <c r="F112" s="40">
        <f>(D112+E112)*(($F$110)+1)</f>
        <v>784.82476799999995</v>
      </c>
      <c r="G112" s="79" t="str">
        <f>A111</f>
        <v>Ground Floor for Commercial, Bank &amp; Residential</v>
      </c>
      <c r="H112" s="80"/>
      <c r="I112" s="34"/>
      <c r="J112" s="19"/>
      <c r="L112" s="77"/>
      <c r="M112" s="77"/>
      <c r="N112" s="34"/>
    </row>
    <row r="113" spans="1:14" s="35" customFormat="1" x14ac:dyDescent="0.3">
      <c r="A113" s="87">
        <f t="shared" ref="A113:A115" si="1">A112+1</f>
        <v>2</v>
      </c>
      <c r="B113" s="89"/>
      <c r="C113" s="40" t="s">
        <v>203</v>
      </c>
      <c r="D113" s="49">
        <f>(37.47)*10.764</f>
        <v>403.32707999999997</v>
      </c>
      <c r="E113" s="40">
        <v>0</v>
      </c>
      <c r="F113" s="40">
        <f t="shared" ref="F113:F115" si="2">(D113+E113)*(($F$110)+1)</f>
        <v>625.15697399999999</v>
      </c>
      <c r="G113" s="81"/>
      <c r="H113" s="82"/>
      <c r="I113" s="34"/>
      <c r="J113" s="19"/>
      <c r="L113" s="77"/>
      <c r="M113" s="77"/>
      <c r="N113" s="34"/>
    </row>
    <row r="114" spans="1:14" s="35" customFormat="1" x14ac:dyDescent="0.3">
      <c r="A114" s="87">
        <f t="shared" si="1"/>
        <v>3</v>
      </c>
      <c r="B114" s="89"/>
      <c r="C114" s="40" t="s">
        <v>203</v>
      </c>
      <c r="D114" s="49">
        <f>(40.43)*10.764</f>
        <v>435.18851999999998</v>
      </c>
      <c r="E114" s="40">
        <v>0</v>
      </c>
      <c r="F114" s="40">
        <f t="shared" si="2"/>
        <v>674.54220599999996</v>
      </c>
      <c r="G114" s="81"/>
      <c r="H114" s="82"/>
      <c r="I114" s="34"/>
      <c r="J114" s="22">
        <f>22500000/F114</f>
        <v>33355.955787294355</v>
      </c>
      <c r="L114" s="77"/>
      <c r="M114" s="77"/>
      <c r="N114" s="34"/>
    </row>
    <row r="115" spans="1:14" s="35" customFormat="1" x14ac:dyDescent="0.3">
      <c r="A115" s="87">
        <f t="shared" si="1"/>
        <v>4</v>
      </c>
      <c r="B115" s="89"/>
      <c r="C115" s="40" t="s">
        <v>203</v>
      </c>
      <c r="D115" s="49">
        <f>(36.78)*10.764</f>
        <v>395.89992000000001</v>
      </c>
      <c r="E115" s="40">
        <v>0</v>
      </c>
      <c r="F115" s="40">
        <f t="shared" si="2"/>
        <v>613.64487600000007</v>
      </c>
      <c r="G115" s="81"/>
      <c r="H115" s="82"/>
      <c r="I115" s="34"/>
      <c r="L115" s="77"/>
      <c r="M115" s="77"/>
      <c r="N115" s="34"/>
    </row>
    <row r="116" spans="1:14" s="35" customFormat="1" x14ac:dyDescent="0.3">
      <c r="A116" s="87" t="s">
        <v>249</v>
      </c>
      <c r="B116" s="89"/>
      <c r="C116" s="79" t="s">
        <v>239</v>
      </c>
      <c r="D116" s="85"/>
      <c r="E116" s="85"/>
      <c r="F116" s="80"/>
      <c r="G116" s="81"/>
      <c r="H116" s="82"/>
      <c r="I116" s="34"/>
      <c r="L116" s="77"/>
      <c r="M116" s="77"/>
      <c r="N116" s="34"/>
    </row>
    <row r="117" spans="1:14" s="35" customFormat="1" x14ac:dyDescent="0.3">
      <c r="A117" s="87"/>
      <c r="B117" s="88"/>
      <c r="C117" s="88"/>
      <c r="D117" s="88"/>
      <c r="E117" s="88"/>
      <c r="F117" s="88"/>
      <c r="G117" s="88"/>
      <c r="H117" s="89"/>
      <c r="I117" s="34"/>
      <c r="N117" s="34"/>
    </row>
    <row r="118" spans="1:14" ht="47.25" customHeight="1" x14ac:dyDescent="0.3">
      <c r="A118" s="118" t="s">
        <v>122</v>
      </c>
      <c r="B118" s="118" t="s">
        <v>123</v>
      </c>
      <c r="C118" s="116" t="s">
        <v>57</v>
      </c>
      <c r="D118" s="116" t="s">
        <v>58</v>
      </c>
      <c r="E118" s="128" t="s">
        <v>59</v>
      </c>
      <c r="F118" s="41" t="s">
        <v>153</v>
      </c>
      <c r="G118" s="118" t="s">
        <v>60</v>
      </c>
      <c r="H118" s="130"/>
      <c r="I118" s="34"/>
    </row>
    <row r="119" spans="1:14" s="35" customFormat="1" x14ac:dyDescent="0.3">
      <c r="A119" s="119"/>
      <c r="B119" s="119"/>
      <c r="C119" s="117"/>
      <c r="D119" s="117"/>
      <c r="E119" s="129"/>
      <c r="F119" s="13">
        <v>0.5</v>
      </c>
      <c r="G119" s="119"/>
      <c r="H119" s="131"/>
      <c r="I119" s="34"/>
    </row>
    <row r="120" spans="1:14" s="35" customFormat="1" ht="15.75" customHeight="1" x14ac:dyDescent="0.3">
      <c r="A120" s="100" t="s">
        <v>244</v>
      </c>
      <c r="B120" s="101"/>
      <c r="C120" s="101"/>
      <c r="D120" s="101"/>
      <c r="E120" s="101"/>
      <c r="F120" s="101"/>
      <c r="G120" s="101"/>
      <c r="H120" s="102"/>
      <c r="J120" s="34"/>
    </row>
    <row r="121" spans="1:14" s="35" customFormat="1" ht="15.75" customHeight="1" x14ac:dyDescent="0.3">
      <c r="A121" s="87">
        <v>1</v>
      </c>
      <c r="B121" s="89"/>
      <c r="C121" s="40" t="s">
        <v>204</v>
      </c>
      <c r="D121" s="49">
        <f>(49.6)*10.764</f>
        <v>533.89440000000002</v>
      </c>
      <c r="E121" s="40">
        <v>0</v>
      </c>
      <c r="F121" s="40">
        <f>D121*(($F$119)+1)+(IF(E121&lt;101,E121,IF(E121&lt;201,E121/2,IF(E121&lt;=301,E121/3,E121/4))))</f>
        <v>800.84159999999997</v>
      </c>
      <c r="G121" s="79" t="str">
        <f>A120</f>
        <v>Ground Floor for Commercial, Bank &amp; Residential</v>
      </c>
      <c r="H121" s="80"/>
      <c r="I121" s="34">
        <f>1.09*1.73+4.86*1.73+5.37*4.7+4.17*2.27+0.6*0.6+1.2*1.55</f>
        <v>47.218399999999995</v>
      </c>
      <c r="L121" s="77"/>
      <c r="M121" s="77"/>
      <c r="N121" s="34"/>
    </row>
    <row r="122" spans="1:14" s="35" customFormat="1" x14ac:dyDescent="0.3">
      <c r="A122" s="87">
        <f t="shared" ref="A122:A127" si="3">A121+1</f>
        <v>2</v>
      </c>
      <c r="B122" s="89"/>
      <c r="C122" s="40" t="s">
        <v>204</v>
      </c>
      <c r="D122" s="49">
        <f>(52.42)*10.764</f>
        <v>564.24887999999999</v>
      </c>
      <c r="E122" s="40">
        <v>0</v>
      </c>
      <c r="F122" s="40">
        <f t="shared" ref="F122:F127" si="4">D122*(($F$119)+1)+(IF(E122&lt;101,E122,IF(E122&lt;201,E122/2,IF(E122&lt;=301,E122/3,E122/4))))</f>
        <v>846.37331999999992</v>
      </c>
      <c r="G122" s="81"/>
      <c r="H122" s="82"/>
      <c r="I122" s="34"/>
      <c r="L122" s="77"/>
      <c r="M122" s="77"/>
      <c r="N122" s="34"/>
    </row>
    <row r="123" spans="1:14" s="35" customFormat="1" x14ac:dyDescent="0.3">
      <c r="A123" s="87">
        <f t="shared" si="3"/>
        <v>3</v>
      </c>
      <c r="B123" s="89"/>
      <c r="C123" s="40" t="s">
        <v>204</v>
      </c>
      <c r="D123" s="49">
        <f>(37.31)*10.764</f>
        <v>401.60484000000002</v>
      </c>
      <c r="E123" s="40">
        <v>0</v>
      </c>
      <c r="F123" s="40">
        <f t="shared" si="4"/>
        <v>602.40726000000006</v>
      </c>
      <c r="G123" s="81"/>
      <c r="H123" s="82"/>
      <c r="I123" s="34"/>
      <c r="L123" s="77"/>
      <c r="M123" s="77"/>
      <c r="N123" s="34"/>
    </row>
    <row r="124" spans="1:14" s="35" customFormat="1" x14ac:dyDescent="0.3">
      <c r="A124" s="87">
        <f t="shared" si="3"/>
        <v>4</v>
      </c>
      <c r="B124" s="89"/>
      <c r="C124" s="40" t="s">
        <v>204</v>
      </c>
      <c r="D124" s="49">
        <f>(34.99)*10.764</f>
        <v>376.63236000000001</v>
      </c>
      <c r="E124" s="40">
        <v>0</v>
      </c>
      <c r="F124" s="40">
        <f t="shared" si="4"/>
        <v>564.94853999999998</v>
      </c>
      <c r="G124" s="81"/>
      <c r="H124" s="82"/>
      <c r="I124" s="34"/>
      <c r="L124" s="77"/>
      <c r="M124" s="77"/>
      <c r="N124" s="34"/>
    </row>
    <row r="125" spans="1:14" s="35" customFormat="1" x14ac:dyDescent="0.3">
      <c r="A125" s="87">
        <f t="shared" si="3"/>
        <v>5</v>
      </c>
      <c r="B125" s="89"/>
      <c r="C125" s="40" t="s">
        <v>204</v>
      </c>
      <c r="D125" s="49">
        <f>(34.03)*10.764</f>
        <v>366.29892000000001</v>
      </c>
      <c r="E125" s="40">
        <v>0</v>
      </c>
      <c r="F125" s="40">
        <f t="shared" si="4"/>
        <v>549.44838000000004</v>
      </c>
      <c r="G125" s="81"/>
      <c r="H125" s="82"/>
      <c r="I125" s="34"/>
      <c r="L125" s="77"/>
      <c r="M125" s="77"/>
      <c r="N125" s="34"/>
    </row>
    <row r="126" spans="1:14" s="35" customFormat="1" x14ac:dyDescent="0.3">
      <c r="A126" s="87">
        <f t="shared" si="3"/>
        <v>6</v>
      </c>
      <c r="B126" s="89"/>
      <c r="C126" s="40" t="s">
        <v>204</v>
      </c>
      <c r="D126" s="49">
        <f>(19.81)*10.764</f>
        <v>213.23483999999996</v>
      </c>
      <c r="E126" s="40">
        <v>0</v>
      </c>
      <c r="F126" s="40">
        <f t="shared" si="4"/>
        <v>319.85225999999994</v>
      </c>
      <c r="G126" s="81"/>
      <c r="H126" s="82"/>
      <c r="I126" s="34"/>
      <c r="L126" s="77"/>
      <c r="M126" s="77"/>
      <c r="N126" s="34"/>
    </row>
    <row r="127" spans="1:14" s="35" customFormat="1" x14ac:dyDescent="0.3">
      <c r="A127" s="87">
        <f t="shared" si="3"/>
        <v>7</v>
      </c>
      <c r="B127" s="89"/>
      <c r="C127" s="40" t="s">
        <v>204</v>
      </c>
      <c r="D127" s="49">
        <f>(18.79)*10.764</f>
        <v>202.25555999999997</v>
      </c>
      <c r="E127" s="40">
        <v>0</v>
      </c>
      <c r="F127" s="40">
        <f t="shared" si="4"/>
        <v>303.38333999999998</v>
      </c>
      <c r="G127" s="83"/>
      <c r="H127" s="84"/>
      <c r="I127" s="34"/>
      <c r="L127" s="77"/>
      <c r="M127" s="77"/>
      <c r="N127" s="34"/>
    </row>
    <row r="128" spans="1:14" s="35" customFormat="1" ht="15.75" customHeight="1" x14ac:dyDescent="0.3">
      <c r="A128" s="100" t="s">
        <v>205</v>
      </c>
      <c r="B128" s="101"/>
      <c r="C128" s="101"/>
      <c r="D128" s="101"/>
      <c r="E128" s="101"/>
      <c r="F128" s="101"/>
      <c r="G128" s="101"/>
      <c r="H128" s="102"/>
      <c r="J128" s="34"/>
    </row>
    <row r="129" spans="1:14" s="35" customFormat="1" ht="15.75" customHeight="1" x14ac:dyDescent="0.3">
      <c r="A129" s="100" t="s">
        <v>240</v>
      </c>
      <c r="B129" s="101"/>
      <c r="C129" s="101"/>
      <c r="D129" s="101"/>
      <c r="E129" s="101"/>
      <c r="F129" s="101"/>
      <c r="G129" s="101"/>
      <c r="H129" s="102"/>
      <c r="J129" s="34"/>
    </row>
    <row r="130" spans="1:14" s="35" customFormat="1" x14ac:dyDescent="0.3">
      <c r="A130" s="76" t="s">
        <v>206</v>
      </c>
      <c r="B130" s="76"/>
      <c r="C130" s="76"/>
      <c r="D130" s="76"/>
      <c r="E130" s="76"/>
      <c r="F130" s="76"/>
      <c r="G130" s="76"/>
      <c r="H130" s="76"/>
      <c r="I130" s="34"/>
      <c r="L130" s="77"/>
      <c r="M130" s="77"/>
      <c r="N130" s="35">
        <v>21000</v>
      </c>
    </row>
    <row r="131" spans="1:14" s="35" customFormat="1" ht="15.75" customHeight="1" x14ac:dyDescent="0.3">
      <c r="A131" s="78">
        <v>1</v>
      </c>
      <c r="B131" s="78"/>
      <c r="C131" s="40" t="s">
        <v>207</v>
      </c>
      <c r="D131" s="49">
        <f>(59.65)*10.764</f>
        <v>642.07259999999997</v>
      </c>
      <c r="E131" s="40">
        <v>0</v>
      </c>
      <c r="F131" s="40">
        <f t="shared" ref="F131:F132" si="5">D131*(($F$119)+1)+(IF(E131&lt;101,E131,IF(E131&lt;201,E131/2,IF(E131&lt;=301,E131/3,E131/4))))</f>
        <v>963.10889999999995</v>
      </c>
      <c r="G131" s="79" t="str">
        <f>A130</f>
        <v>6th Floor for Residential</v>
      </c>
      <c r="H131" s="80"/>
      <c r="I131" s="34">
        <f>1.05*1.2+5.65*3.05+2.15*2.65+3.05*3.35+3.95*3.35+1.35*2.3+1.35*2.3+2.85*0.9</f>
        <v>56.414999999999999</v>
      </c>
      <c r="N131" s="34">
        <f>$N$130*F131</f>
        <v>20225286.899999999</v>
      </c>
    </row>
    <row r="132" spans="1:14" s="35" customFormat="1" x14ac:dyDescent="0.3">
      <c r="A132" s="78">
        <f t="shared" ref="A132:A137" si="6">A131+1</f>
        <v>2</v>
      </c>
      <c r="B132" s="78"/>
      <c r="C132" s="40" t="s">
        <v>207</v>
      </c>
      <c r="D132" s="49">
        <f>(59.65)*10.764</f>
        <v>642.07259999999997</v>
      </c>
      <c r="E132" s="40">
        <v>0</v>
      </c>
      <c r="F132" s="40">
        <f t="shared" si="5"/>
        <v>963.10889999999995</v>
      </c>
      <c r="G132" s="81"/>
      <c r="H132" s="82"/>
      <c r="I132" s="34"/>
      <c r="N132" s="34">
        <f t="shared" ref="N132:N136" si="7">$N$130*F132</f>
        <v>20225286.899999999</v>
      </c>
    </row>
    <row r="133" spans="1:14" s="35" customFormat="1" x14ac:dyDescent="0.3">
      <c r="A133" s="78">
        <f t="shared" si="6"/>
        <v>3</v>
      </c>
      <c r="B133" s="78"/>
      <c r="C133" s="40" t="s">
        <v>208</v>
      </c>
      <c r="D133" s="49">
        <f>(41.92)*10.764</f>
        <v>451.22687999999999</v>
      </c>
      <c r="E133" s="40">
        <v>0</v>
      </c>
      <c r="F133" s="40">
        <f>D133*(($F$119)+1)+(IF(E133&lt;101,E133,IF(E133&lt;201,E133/2,IF(E133&lt;=301,E133/3,E133/4))))</f>
        <v>676.84032000000002</v>
      </c>
      <c r="G133" s="81"/>
      <c r="H133" s="82"/>
      <c r="I133" s="34"/>
      <c r="J133" s="34">
        <f>15700000/F133</f>
        <v>23196.017636774355</v>
      </c>
      <c r="N133" s="34">
        <f t="shared" si="7"/>
        <v>14213646.720000001</v>
      </c>
    </row>
    <row r="134" spans="1:14" s="35" customFormat="1" x14ac:dyDescent="0.3">
      <c r="A134" s="78">
        <f t="shared" si="6"/>
        <v>4</v>
      </c>
      <c r="B134" s="78"/>
      <c r="C134" s="40" t="s">
        <v>207</v>
      </c>
      <c r="D134" s="49">
        <f>(50.46)*10.764</f>
        <v>543.15143999999998</v>
      </c>
      <c r="E134" s="40">
        <v>0</v>
      </c>
      <c r="F134" s="40">
        <f>D134*(($F$119)+1)+(IF(E134&lt;101,E134,IF(E134&lt;201,E134/2,IF(E134&lt;=301,E134/3,E134/4))))</f>
        <v>814.72715999999991</v>
      </c>
      <c r="G134" s="81"/>
      <c r="H134" s="82"/>
      <c r="I134" s="34"/>
      <c r="N134" s="34">
        <f t="shared" si="7"/>
        <v>17109270.359999999</v>
      </c>
    </row>
    <row r="135" spans="1:14" s="35" customFormat="1" x14ac:dyDescent="0.3">
      <c r="A135" s="78">
        <f t="shared" si="6"/>
        <v>5</v>
      </c>
      <c r="B135" s="78"/>
      <c r="C135" s="40" t="s">
        <v>209</v>
      </c>
      <c r="D135" s="49">
        <f>(79.12)*10.764</f>
        <v>851.64768000000004</v>
      </c>
      <c r="E135" s="40">
        <v>0</v>
      </c>
      <c r="F135" s="40">
        <f>D135*(($F$119)+1)+(IF(E135&lt;101,E135,IF(E135&lt;201,E135/2,IF(E135&lt;=301,E135/3,E135/4))))</f>
        <v>1277.4715200000001</v>
      </c>
      <c r="G135" s="81"/>
      <c r="H135" s="82"/>
      <c r="I135" s="34"/>
      <c r="N135" s="34">
        <f t="shared" si="7"/>
        <v>26826901.920000002</v>
      </c>
    </row>
    <row r="136" spans="1:14" s="35" customFormat="1" x14ac:dyDescent="0.3">
      <c r="A136" s="78">
        <f t="shared" si="6"/>
        <v>6</v>
      </c>
      <c r="B136" s="78"/>
      <c r="C136" s="40" t="s">
        <v>207</v>
      </c>
      <c r="D136" s="49">
        <f>(50.46)*10.764</f>
        <v>543.15143999999998</v>
      </c>
      <c r="E136" s="40">
        <v>0</v>
      </c>
      <c r="F136" s="40">
        <f>D136*(($F$119)+1)+(IF(E136&lt;101,E136,IF(E136&lt;201,E136/2,IF(E136&lt;=301,E136/3,E136/4))))</f>
        <v>814.72715999999991</v>
      </c>
      <c r="G136" s="81"/>
      <c r="H136" s="82"/>
      <c r="I136" s="34"/>
      <c r="N136" s="34">
        <f t="shared" si="7"/>
        <v>17109270.359999999</v>
      </c>
    </row>
    <row r="137" spans="1:14" s="35" customFormat="1" x14ac:dyDescent="0.3">
      <c r="A137" s="78">
        <f t="shared" si="6"/>
        <v>7</v>
      </c>
      <c r="B137" s="78"/>
      <c r="C137" s="40" t="s">
        <v>208</v>
      </c>
      <c r="D137" s="49">
        <f>(43.65)*10.764</f>
        <v>469.84859999999998</v>
      </c>
      <c r="E137" s="40">
        <v>0</v>
      </c>
      <c r="F137" s="40">
        <f>D137*(($F$119)+1)+(IF(E137&lt;101,E137,IF(E137&lt;201,E137/2,IF(E137&lt;=301,E137/3,E137/4))))</f>
        <v>704.77289999999994</v>
      </c>
      <c r="G137" s="83"/>
      <c r="H137" s="84"/>
      <c r="I137" s="34"/>
      <c r="N137" s="34">
        <f>$N$130*F137</f>
        <v>14800230.899999999</v>
      </c>
    </row>
    <row r="138" spans="1:14" s="35" customFormat="1" x14ac:dyDescent="0.3">
      <c r="A138" s="76" t="s">
        <v>210</v>
      </c>
      <c r="B138" s="76"/>
      <c r="C138" s="76"/>
      <c r="D138" s="76"/>
      <c r="E138" s="76"/>
      <c r="F138" s="76"/>
      <c r="G138" s="76"/>
      <c r="H138" s="76"/>
      <c r="I138" s="34"/>
      <c r="L138" s="77"/>
      <c r="M138" s="77"/>
    </row>
    <row r="139" spans="1:14" s="35" customFormat="1" ht="15.75" customHeight="1" x14ac:dyDescent="0.3">
      <c r="A139" s="78">
        <v>1</v>
      </c>
      <c r="B139" s="78"/>
      <c r="C139" s="40" t="s">
        <v>207</v>
      </c>
      <c r="D139" s="49">
        <f>(60.54)*10.764</f>
        <v>651.65255999999999</v>
      </c>
      <c r="E139" s="40">
        <v>0</v>
      </c>
      <c r="F139" s="40">
        <f t="shared" ref="F139:F140" si="8">D139*(($F$119)+1)+(IF(E139&lt;101,E139,IF(E139&lt;201,E139/2,IF(E139&lt;=301,E139/3,E139/4))))</f>
        <v>977.47883999999999</v>
      </c>
      <c r="G139" s="79" t="str">
        <f>A138</f>
        <v>7th Floor</v>
      </c>
      <c r="H139" s="80"/>
      <c r="I139" s="34"/>
      <c r="N139" s="34"/>
    </row>
    <row r="140" spans="1:14" s="35" customFormat="1" x14ac:dyDescent="0.3">
      <c r="A140" s="78">
        <f t="shared" ref="A140:A145" si="9">A139+1</f>
        <v>2</v>
      </c>
      <c r="B140" s="78"/>
      <c r="C140" s="40" t="s">
        <v>207</v>
      </c>
      <c r="D140" s="49">
        <f>(60.54)*10.764</f>
        <v>651.65255999999999</v>
      </c>
      <c r="E140" s="40">
        <v>0</v>
      </c>
      <c r="F140" s="40">
        <f t="shared" si="8"/>
        <v>977.47883999999999</v>
      </c>
      <c r="G140" s="81"/>
      <c r="H140" s="82"/>
      <c r="I140" s="34"/>
      <c r="N140" s="34"/>
    </row>
    <row r="141" spans="1:14" s="35" customFormat="1" x14ac:dyDescent="0.3">
      <c r="A141" s="78">
        <f t="shared" si="9"/>
        <v>3</v>
      </c>
      <c r="B141" s="78"/>
      <c r="C141" s="40" t="s">
        <v>208</v>
      </c>
      <c r="D141" s="49">
        <f>(41.92)*10.764</f>
        <v>451.22687999999999</v>
      </c>
      <c r="E141" s="40">
        <v>0</v>
      </c>
      <c r="F141" s="40">
        <f>D141*(($F$119)+1)+(IF(E141&lt;101,E141,IF(E141&lt;201,E141/2,IF(E141&lt;=301,E141/3,E141/4))))</f>
        <v>676.84032000000002</v>
      </c>
      <c r="G141" s="81"/>
      <c r="H141" s="82"/>
      <c r="I141" s="34"/>
      <c r="N141" s="34"/>
    </row>
    <row r="142" spans="1:14" s="35" customFormat="1" x14ac:dyDescent="0.3">
      <c r="A142" s="78">
        <f t="shared" si="9"/>
        <v>4</v>
      </c>
      <c r="B142" s="78"/>
      <c r="C142" s="40" t="s">
        <v>207</v>
      </c>
      <c r="D142" s="49">
        <f>(53.93)*10.764</f>
        <v>580.50252</v>
      </c>
      <c r="E142" s="40">
        <v>0</v>
      </c>
      <c r="F142" s="40">
        <f>D142*(($F$119)+1)+(IF(E142&lt;101,E142,IF(E142&lt;201,E142/2,IF(E142&lt;=301,E142/3,E142/4))))</f>
        <v>870.75378000000001</v>
      </c>
      <c r="G142" s="81"/>
      <c r="H142" s="82"/>
      <c r="I142" s="34"/>
      <c r="N142" s="34"/>
    </row>
    <row r="143" spans="1:14" s="35" customFormat="1" x14ac:dyDescent="0.3">
      <c r="A143" s="78">
        <f t="shared" si="9"/>
        <v>5</v>
      </c>
      <c r="B143" s="78"/>
      <c r="C143" s="40" t="s">
        <v>209</v>
      </c>
      <c r="D143" s="49">
        <f>(79.12)*10.764</f>
        <v>851.64768000000004</v>
      </c>
      <c r="E143" s="40">
        <v>0</v>
      </c>
      <c r="F143" s="40">
        <f>D143*(($F$119)+1)+(IF(E143&lt;101,E143,IF(E143&lt;201,E143/2,IF(E143&lt;=301,E143/3,E143/4))))</f>
        <v>1277.4715200000001</v>
      </c>
      <c r="G143" s="81"/>
      <c r="H143" s="82"/>
      <c r="I143" s="34"/>
      <c r="N143" s="34"/>
    </row>
    <row r="144" spans="1:14" s="35" customFormat="1" x14ac:dyDescent="0.3">
      <c r="A144" s="78">
        <f t="shared" si="9"/>
        <v>6</v>
      </c>
      <c r="B144" s="78"/>
      <c r="C144" s="40" t="s">
        <v>207</v>
      </c>
      <c r="D144" s="49">
        <f>(53.93)*10.764</f>
        <v>580.50252</v>
      </c>
      <c r="E144" s="40">
        <v>0</v>
      </c>
      <c r="F144" s="40">
        <f>D144*(($F$119)+1)+(IF(E144&lt;101,E144,IF(E144&lt;201,E144/2,IF(E144&lt;=301,E144/3,E144/4))))</f>
        <v>870.75378000000001</v>
      </c>
      <c r="G144" s="81"/>
      <c r="H144" s="82"/>
      <c r="I144" s="34"/>
      <c r="N144" s="34"/>
    </row>
    <row r="145" spans="1:14" s="35" customFormat="1" x14ac:dyDescent="0.3">
      <c r="A145" s="78">
        <f t="shared" si="9"/>
        <v>7</v>
      </c>
      <c r="B145" s="78"/>
      <c r="C145" s="40" t="s">
        <v>208</v>
      </c>
      <c r="D145" s="49">
        <f>(43.65)*10.764</f>
        <v>469.84859999999998</v>
      </c>
      <c r="E145" s="40">
        <v>0</v>
      </c>
      <c r="F145" s="40">
        <f>D145*(($F$119)+1)+(IF(E145&lt;101,E145,IF(E145&lt;201,E145/2,IF(E145&lt;=301,E145/3,E145/4))))</f>
        <v>704.77289999999994</v>
      </c>
      <c r="G145" s="83"/>
      <c r="H145" s="84"/>
      <c r="I145" s="34"/>
      <c r="N145" s="34"/>
    </row>
    <row r="146" spans="1:14" s="35" customFormat="1" x14ac:dyDescent="0.3">
      <c r="A146" s="76" t="s">
        <v>211</v>
      </c>
      <c r="B146" s="76"/>
      <c r="C146" s="76"/>
      <c r="D146" s="76"/>
      <c r="E146" s="76"/>
      <c r="F146" s="76"/>
      <c r="G146" s="76"/>
      <c r="H146" s="76"/>
      <c r="I146" s="34"/>
      <c r="L146" s="77"/>
      <c r="M146" s="77"/>
    </row>
    <row r="147" spans="1:14" s="35" customFormat="1" ht="15.75" customHeight="1" x14ac:dyDescent="0.3">
      <c r="A147" s="78">
        <v>1</v>
      </c>
      <c r="B147" s="78"/>
      <c r="C147" s="79" t="s">
        <v>212</v>
      </c>
      <c r="D147" s="85"/>
      <c r="E147" s="85"/>
      <c r="F147" s="80"/>
      <c r="G147" s="79" t="str">
        <f>A146</f>
        <v>8th Floor (Part Refuge Area)</v>
      </c>
      <c r="H147" s="80"/>
      <c r="I147" s="34"/>
      <c r="N147" s="34"/>
    </row>
    <row r="148" spans="1:14" s="35" customFormat="1" x14ac:dyDescent="0.3">
      <c r="A148" s="78">
        <f t="shared" ref="A148:A153" si="10">A147+1</f>
        <v>2</v>
      </c>
      <c r="B148" s="78"/>
      <c r="C148" s="83"/>
      <c r="D148" s="86"/>
      <c r="E148" s="86"/>
      <c r="F148" s="84"/>
      <c r="G148" s="81"/>
      <c r="H148" s="82"/>
      <c r="I148" s="34"/>
      <c r="N148" s="34"/>
    </row>
    <row r="149" spans="1:14" s="35" customFormat="1" x14ac:dyDescent="0.3">
      <c r="A149" s="78">
        <f t="shared" si="10"/>
        <v>3</v>
      </c>
      <c r="B149" s="78"/>
      <c r="C149" s="40" t="s">
        <v>208</v>
      </c>
      <c r="D149" s="49">
        <f>(41.92)*10.764</f>
        <v>451.22687999999999</v>
      </c>
      <c r="E149" s="40">
        <v>0</v>
      </c>
      <c r="F149" s="40">
        <f>D149*(($F$119)+1)+(IF(E149&lt;101,E149,IF(E149&lt;201,E149/2,IF(E149&lt;=301,E149/3,E149/4))))</f>
        <v>676.84032000000002</v>
      </c>
      <c r="G149" s="81"/>
      <c r="H149" s="82"/>
      <c r="I149" s="34"/>
      <c r="N149" s="34"/>
    </row>
    <row r="150" spans="1:14" s="35" customFormat="1" x14ac:dyDescent="0.3">
      <c r="A150" s="78">
        <f t="shared" si="10"/>
        <v>4</v>
      </c>
      <c r="B150" s="78"/>
      <c r="C150" s="40" t="s">
        <v>207</v>
      </c>
      <c r="D150" s="49">
        <f>(53.93)*10.764</f>
        <v>580.50252</v>
      </c>
      <c r="E150" s="40">
        <v>0</v>
      </c>
      <c r="F150" s="40">
        <f>D150*(($F$119)+1)+(IF(E150&lt;101,E150,IF(E150&lt;201,E150/2,IF(E150&lt;=301,E150/3,E150/4))))</f>
        <v>870.75378000000001</v>
      </c>
      <c r="G150" s="81"/>
      <c r="H150" s="82"/>
      <c r="I150" s="34"/>
      <c r="N150" s="34"/>
    </row>
    <row r="151" spans="1:14" s="35" customFormat="1" x14ac:dyDescent="0.3">
      <c r="A151" s="78">
        <f t="shared" si="10"/>
        <v>5</v>
      </c>
      <c r="B151" s="78"/>
      <c r="C151" s="40" t="s">
        <v>209</v>
      </c>
      <c r="D151" s="49">
        <f>(87.8)*10.764</f>
        <v>945.0791999999999</v>
      </c>
      <c r="E151" s="40">
        <v>0</v>
      </c>
      <c r="F151" s="40">
        <f>D151*(($F$119)+1)+(IF(E151&lt;101,E151,IF(E151&lt;201,E151/2,IF(E151&lt;=301,E151/3,E151/4))))</f>
        <v>1417.6187999999997</v>
      </c>
      <c r="G151" s="81"/>
      <c r="H151" s="82"/>
      <c r="I151" s="34"/>
      <c r="N151" s="34"/>
    </row>
    <row r="152" spans="1:14" s="35" customFormat="1" x14ac:dyDescent="0.3">
      <c r="A152" s="78">
        <f t="shared" si="10"/>
        <v>6</v>
      </c>
      <c r="B152" s="78"/>
      <c r="C152" s="40" t="s">
        <v>207</v>
      </c>
      <c r="D152" s="49">
        <f>(53.93)*10.764</f>
        <v>580.50252</v>
      </c>
      <c r="E152" s="40">
        <v>0</v>
      </c>
      <c r="F152" s="40">
        <f>D152*(($F$119)+1)+(IF(E152&lt;101,E152,IF(E152&lt;201,E152/2,IF(E152&lt;=301,E152/3,E152/4))))</f>
        <v>870.75378000000001</v>
      </c>
      <c r="G152" s="81"/>
      <c r="H152" s="82"/>
      <c r="I152" s="34"/>
      <c r="N152" s="34"/>
    </row>
    <row r="153" spans="1:14" s="35" customFormat="1" x14ac:dyDescent="0.3">
      <c r="A153" s="78">
        <f t="shared" si="10"/>
        <v>7</v>
      </c>
      <c r="B153" s="78"/>
      <c r="C153" s="40" t="s">
        <v>208</v>
      </c>
      <c r="D153" s="49">
        <f>(43.65)*10.764</f>
        <v>469.84859999999998</v>
      </c>
      <c r="E153" s="40">
        <v>0</v>
      </c>
      <c r="F153" s="40">
        <f>D153*(($F$119)+1)+(IF(E153&lt;101,E153,IF(E153&lt;201,E153/2,IF(E153&lt;=301,E153/3,E153/4))))</f>
        <v>704.77289999999994</v>
      </c>
      <c r="G153" s="83"/>
      <c r="H153" s="84"/>
      <c r="I153" s="34"/>
      <c r="N153" s="34"/>
    </row>
    <row r="154" spans="1:14" s="35" customFormat="1" x14ac:dyDescent="0.3">
      <c r="A154" s="76" t="s">
        <v>213</v>
      </c>
      <c r="B154" s="76"/>
      <c r="C154" s="76"/>
      <c r="D154" s="76"/>
      <c r="E154" s="76"/>
      <c r="F154" s="76"/>
      <c r="G154" s="76"/>
      <c r="H154" s="76"/>
      <c r="I154" s="34"/>
      <c r="L154" s="77"/>
      <c r="M154" s="77"/>
    </row>
    <row r="155" spans="1:14" s="35" customFormat="1" ht="15.75" customHeight="1" x14ac:dyDescent="0.3">
      <c r="A155" s="78">
        <v>1</v>
      </c>
      <c r="B155" s="78"/>
      <c r="C155" s="40" t="s">
        <v>207</v>
      </c>
      <c r="D155" s="49">
        <f>(60.54)*10.764</f>
        <v>651.65255999999999</v>
      </c>
      <c r="E155" s="40">
        <v>0</v>
      </c>
      <c r="F155" s="40">
        <f t="shared" ref="F155:F156" si="11">D155*(($F$119)+1)+(IF(E155&lt;101,E155,IF(E155&lt;201,E155/2,IF(E155&lt;=301,E155/3,E155/4))))</f>
        <v>977.47883999999999</v>
      </c>
      <c r="G155" s="79" t="str">
        <f>A154</f>
        <v>9th Floor</v>
      </c>
      <c r="H155" s="80"/>
      <c r="I155" s="34"/>
      <c r="N155" s="34"/>
    </row>
    <row r="156" spans="1:14" s="35" customFormat="1" x14ac:dyDescent="0.3">
      <c r="A156" s="78">
        <f t="shared" ref="A156:A161" si="12">A155+1</f>
        <v>2</v>
      </c>
      <c r="B156" s="78"/>
      <c r="C156" s="40" t="s">
        <v>207</v>
      </c>
      <c r="D156" s="49">
        <f>(60.54)*10.764</f>
        <v>651.65255999999999</v>
      </c>
      <c r="E156" s="40">
        <v>0</v>
      </c>
      <c r="F156" s="40">
        <f t="shared" si="11"/>
        <v>977.47883999999999</v>
      </c>
      <c r="G156" s="81"/>
      <c r="H156" s="82"/>
      <c r="I156" s="34"/>
      <c r="N156" s="34"/>
    </row>
    <row r="157" spans="1:14" s="35" customFormat="1" x14ac:dyDescent="0.3">
      <c r="A157" s="78">
        <f t="shared" si="12"/>
        <v>3</v>
      </c>
      <c r="B157" s="78"/>
      <c r="C157" s="40" t="s">
        <v>208</v>
      </c>
      <c r="D157" s="49">
        <f>(41.92)*10.764</f>
        <v>451.22687999999999</v>
      </c>
      <c r="E157" s="40">
        <v>0</v>
      </c>
      <c r="F157" s="40">
        <f>D157*(($F$119)+1)+(IF(E157&lt;101,E157,IF(E157&lt;201,E157/2,IF(E157&lt;=301,E157/3,E157/4))))</f>
        <v>676.84032000000002</v>
      </c>
      <c r="G157" s="81"/>
      <c r="H157" s="82"/>
      <c r="I157" s="34"/>
      <c r="N157" s="34"/>
    </row>
    <row r="158" spans="1:14" s="35" customFormat="1" x14ac:dyDescent="0.3">
      <c r="A158" s="78">
        <f t="shared" si="12"/>
        <v>4</v>
      </c>
      <c r="B158" s="78"/>
      <c r="C158" s="40" t="s">
        <v>207</v>
      </c>
      <c r="D158" s="49">
        <f>(53.93)*10.764</f>
        <v>580.50252</v>
      </c>
      <c r="E158" s="40">
        <v>0</v>
      </c>
      <c r="F158" s="40">
        <f>D158*(($F$119)+1)+(IF(E158&lt;101,E158,IF(E158&lt;201,E158/2,IF(E158&lt;=301,E158/3,E158/4))))</f>
        <v>870.75378000000001</v>
      </c>
      <c r="G158" s="81"/>
      <c r="H158" s="82"/>
      <c r="I158" s="34"/>
      <c r="N158" s="34"/>
    </row>
    <row r="159" spans="1:14" s="35" customFormat="1" x14ac:dyDescent="0.3">
      <c r="A159" s="78">
        <f t="shared" si="12"/>
        <v>5</v>
      </c>
      <c r="B159" s="78"/>
      <c r="C159" s="40" t="s">
        <v>209</v>
      </c>
      <c r="D159" s="49">
        <f>(87.8)*10.764</f>
        <v>945.0791999999999</v>
      </c>
      <c r="E159" s="40">
        <v>0</v>
      </c>
      <c r="F159" s="40">
        <f>D159*(($F$119)+1)+(IF(E159&lt;101,E159,IF(E159&lt;201,E159/2,IF(E159&lt;=301,E159/3,E159/4))))</f>
        <v>1417.6187999999997</v>
      </c>
      <c r="G159" s="81"/>
      <c r="H159" s="82"/>
      <c r="I159" s="34"/>
      <c r="N159" s="34"/>
    </row>
    <row r="160" spans="1:14" s="35" customFormat="1" x14ac:dyDescent="0.3">
      <c r="A160" s="78">
        <f t="shared" si="12"/>
        <v>6</v>
      </c>
      <c r="B160" s="78"/>
      <c r="C160" s="40" t="s">
        <v>207</v>
      </c>
      <c r="D160" s="49">
        <f>(53.93)*10.764</f>
        <v>580.50252</v>
      </c>
      <c r="E160" s="40">
        <v>0</v>
      </c>
      <c r="F160" s="40">
        <f>D160*(($F$119)+1)+(IF(E160&lt;101,E160,IF(E160&lt;201,E160/2,IF(E160&lt;=301,E160/3,E160/4))))</f>
        <v>870.75378000000001</v>
      </c>
      <c r="G160" s="81"/>
      <c r="H160" s="82"/>
      <c r="I160" s="34"/>
      <c r="N160" s="34"/>
    </row>
    <row r="161" spans="1:14" s="35" customFormat="1" x14ac:dyDescent="0.3">
      <c r="A161" s="78">
        <f t="shared" si="12"/>
        <v>7</v>
      </c>
      <c r="B161" s="78"/>
      <c r="C161" s="40" t="s">
        <v>208</v>
      </c>
      <c r="D161" s="49">
        <f>(43.65)*10.764</f>
        <v>469.84859999999998</v>
      </c>
      <c r="E161" s="40">
        <v>0</v>
      </c>
      <c r="F161" s="40">
        <f>D161*(($F$119)+1)+(IF(E161&lt;101,E161,IF(E161&lt;201,E161/2,IF(E161&lt;=301,E161/3,E161/4))))</f>
        <v>704.77289999999994</v>
      </c>
      <c r="G161" s="83"/>
      <c r="H161" s="84"/>
      <c r="I161" s="34"/>
      <c r="N161" s="34"/>
    </row>
    <row r="162" spans="1:14" s="35" customFormat="1" x14ac:dyDescent="0.3">
      <c r="A162" s="76" t="s">
        <v>214</v>
      </c>
      <c r="B162" s="76"/>
      <c r="C162" s="76"/>
      <c r="D162" s="76"/>
      <c r="E162" s="76"/>
      <c r="F162" s="76"/>
      <c r="G162" s="76"/>
      <c r="H162" s="76"/>
      <c r="I162" s="34"/>
      <c r="L162" s="77"/>
      <c r="M162" s="77"/>
    </row>
    <row r="163" spans="1:14" s="35" customFormat="1" ht="15.75" customHeight="1" x14ac:dyDescent="0.3">
      <c r="A163" s="78">
        <v>1</v>
      </c>
      <c r="B163" s="78"/>
      <c r="C163" s="40" t="s">
        <v>207</v>
      </c>
      <c r="D163" s="49">
        <f>(64.85)*10.764</f>
        <v>698.04539999999986</v>
      </c>
      <c r="E163" s="40">
        <v>0</v>
      </c>
      <c r="F163" s="40">
        <f t="shared" ref="F163:F164" si="13">D163*(($F$119)+1)+(IF(E163&lt;101,E163,IF(E163&lt;201,E163/2,IF(E163&lt;=301,E163/3,E163/4))))</f>
        <v>1047.0680999999997</v>
      </c>
      <c r="G163" s="79" t="str">
        <f>A162</f>
        <v>10th Floor</v>
      </c>
      <c r="H163" s="80"/>
      <c r="I163" s="34"/>
      <c r="N163" s="34"/>
    </row>
    <row r="164" spans="1:14" s="35" customFormat="1" x14ac:dyDescent="0.3">
      <c r="A164" s="78">
        <f t="shared" ref="A164:A169" si="14">A163+1</f>
        <v>2</v>
      </c>
      <c r="B164" s="78"/>
      <c r="C164" s="40" t="s">
        <v>207</v>
      </c>
      <c r="D164" s="49">
        <f>(64.85)*10.764</f>
        <v>698.04539999999986</v>
      </c>
      <c r="E164" s="40">
        <v>0</v>
      </c>
      <c r="F164" s="40">
        <f t="shared" si="13"/>
        <v>1047.0680999999997</v>
      </c>
      <c r="G164" s="81"/>
      <c r="H164" s="82"/>
      <c r="I164" s="34"/>
      <c r="N164" s="34"/>
    </row>
    <row r="165" spans="1:14" s="35" customFormat="1" x14ac:dyDescent="0.3">
      <c r="A165" s="78">
        <f t="shared" si="14"/>
        <v>3</v>
      </c>
      <c r="B165" s="78"/>
      <c r="C165" s="40" t="s">
        <v>208</v>
      </c>
      <c r="D165" s="49">
        <f>(41.92)*10.764</f>
        <v>451.22687999999999</v>
      </c>
      <c r="E165" s="40">
        <v>0</v>
      </c>
      <c r="F165" s="40">
        <f>D165*(($F$119)+1)+(IF(E165&lt;101,E165,IF(E165&lt;201,E165/2,IF(E165&lt;=301,E165/3,E165/4))))</f>
        <v>676.84032000000002</v>
      </c>
      <c r="G165" s="81"/>
      <c r="H165" s="82"/>
      <c r="I165" s="34"/>
      <c r="N165" s="34"/>
    </row>
    <row r="166" spans="1:14" s="35" customFormat="1" x14ac:dyDescent="0.3">
      <c r="A166" s="78">
        <f t="shared" si="14"/>
        <v>4</v>
      </c>
      <c r="B166" s="78"/>
      <c r="C166" s="40" t="s">
        <v>207</v>
      </c>
      <c r="D166" s="49">
        <f>(54.74)*10.764</f>
        <v>589.22136</v>
      </c>
      <c r="E166" s="40">
        <v>0</v>
      </c>
      <c r="F166" s="40">
        <f>D166*(($F$119)+1)+(IF(E166&lt;101,E166,IF(E166&lt;201,E166/2,IF(E166&lt;=301,E166/3,E166/4))))</f>
        <v>883.83204000000001</v>
      </c>
      <c r="G166" s="81"/>
      <c r="H166" s="82"/>
      <c r="I166" s="34"/>
      <c r="N166" s="34"/>
    </row>
    <row r="167" spans="1:14" s="35" customFormat="1" x14ac:dyDescent="0.3">
      <c r="A167" s="78">
        <f t="shared" si="14"/>
        <v>5</v>
      </c>
      <c r="B167" s="78"/>
      <c r="C167" s="40" t="s">
        <v>209</v>
      </c>
      <c r="D167" s="49">
        <f>(93.84)*10.764</f>
        <v>1010.09376</v>
      </c>
      <c r="E167" s="40">
        <v>0</v>
      </c>
      <c r="F167" s="40">
        <f>D167*(($F$119)+1)+(IF(E167&lt;101,E167,IF(E167&lt;201,E167/2,IF(E167&lt;=301,E167/3,E167/4))))</f>
        <v>1515.1406400000001</v>
      </c>
      <c r="G167" s="81"/>
      <c r="H167" s="82"/>
      <c r="I167" s="34"/>
      <c r="J167" s="34">
        <f>35600000/F167</f>
        <v>23496.168646100072</v>
      </c>
      <c r="N167" s="34"/>
    </row>
    <row r="168" spans="1:14" s="35" customFormat="1" x14ac:dyDescent="0.3">
      <c r="A168" s="78">
        <f t="shared" si="14"/>
        <v>6</v>
      </c>
      <c r="B168" s="78"/>
      <c r="C168" s="40" t="s">
        <v>207</v>
      </c>
      <c r="D168" s="49">
        <f>(54.74)*10.764</f>
        <v>589.22136</v>
      </c>
      <c r="E168" s="40">
        <v>0</v>
      </c>
      <c r="F168" s="40">
        <f>D168*(($F$119)+1)+(IF(E168&lt;101,E168,IF(E168&lt;201,E168/2,IF(E168&lt;=301,E168/3,E168/4))))</f>
        <v>883.83204000000001</v>
      </c>
      <c r="G168" s="81"/>
      <c r="H168" s="82"/>
      <c r="I168" s="34"/>
      <c r="N168" s="34"/>
    </row>
    <row r="169" spans="1:14" s="35" customFormat="1" x14ac:dyDescent="0.3">
      <c r="A169" s="78">
        <f t="shared" si="14"/>
        <v>7</v>
      </c>
      <c r="B169" s="78"/>
      <c r="C169" s="40" t="s">
        <v>208</v>
      </c>
      <c r="D169" s="49">
        <f>(43.65)*10.764</f>
        <v>469.84859999999998</v>
      </c>
      <c r="E169" s="40">
        <v>0</v>
      </c>
      <c r="F169" s="40">
        <f>D169*(($F$119)+1)+(IF(E169&lt;101,E169,IF(E169&lt;201,E169/2,IF(E169&lt;=301,E169/3,E169/4))))</f>
        <v>704.77289999999994</v>
      </c>
      <c r="G169" s="83"/>
      <c r="H169" s="84"/>
      <c r="I169" s="34"/>
      <c r="N169" s="34"/>
    </row>
    <row r="170" spans="1:14" s="35" customFormat="1" x14ac:dyDescent="0.3">
      <c r="A170" s="76" t="s">
        <v>215</v>
      </c>
      <c r="B170" s="76"/>
      <c r="C170" s="76"/>
      <c r="D170" s="76"/>
      <c r="E170" s="76"/>
      <c r="F170" s="76"/>
      <c r="G170" s="76"/>
      <c r="H170" s="76"/>
      <c r="I170" s="34"/>
      <c r="L170" s="77"/>
      <c r="M170" s="77"/>
    </row>
    <row r="171" spans="1:14" s="35" customFormat="1" ht="15.75" customHeight="1" x14ac:dyDescent="0.3">
      <c r="A171" s="78">
        <v>1</v>
      </c>
      <c r="B171" s="78"/>
      <c r="C171" s="40" t="s">
        <v>207</v>
      </c>
      <c r="D171" s="49">
        <f>(66.54)*10.764</f>
        <v>716.23656000000005</v>
      </c>
      <c r="E171" s="40">
        <v>0</v>
      </c>
      <c r="F171" s="40">
        <f t="shared" ref="F171:F172" si="15">D171*(($F$119)+1)+(IF(E171&lt;101,E171,IF(E171&lt;201,E171/2,IF(E171&lt;=301,E171/3,E171/4))))</f>
        <v>1074.35484</v>
      </c>
      <c r="G171" s="79" t="str">
        <f>A170</f>
        <v>11th Floor</v>
      </c>
      <c r="H171" s="80"/>
      <c r="I171" s="34"/>
      <c r="J171" s="34">
        <f>26300000/F171</f>
        <v>24479.807807260404</v>
      </c>
      <c r="N171" s="34"/>
    </row>
    <row r="172" spans="1:14" s="35" customFormat="1" x14ac:dyDescent="0.3">
      <c r="A172" s="78">
        <f t="shared" ref="A172:A177" si="16">A171+1</f>
        <v>2</v>
      </c>
      <c r="B172" s="78"/>
      <c r="C172" s="40" t="s">
        <v>207</v>
      </c>
      <c r="D172" s="49">
        <f>(66.54)*10.764</f>
        <v>716.23656000000005</v>
      </c>
      <c r="E172" s="40">
        <v>0</v>
      </c>
      <c r="F172" s="40">
        <f t="shared" si="15"/>
        <v>1074.35484</v>
      </c>
      <c r="G172" s="81"/>
      <c r="H172" s="82"/>
      <c r="I172" s="34"/>
      <c r="N172" s="34"/>
    </row>
    <row r="173" spans="1:14" s="35" customFormat="1" x14ac:dyDescent="0.3">
      <c r="A173" s="78">
        <f t="shared" si="16"/>
        <v>3</v>
      </c>
      <c r="B173" s="78"/>
      <c r="C173" s="40" t="s">
        <v>208</v>
      </c>
      <c r="D173" s="49">
        <f>(41.92)*10.764</f>
        <v>451.22687999999999</v>
      </c>
      <c r="E173" s="40">
        <v>0</v>
      </c>
      <c r="F173" s="40">
        <f>D173*(($F$119)+1)+(IF(E173&lt;101,E173,IF(E173&lt;201,E173/2,IF(E173&lt;=301,E173/3,E173/4))))</f>
        <v>676.84032000000002</v>
      </c>
      <c r="G173" s="81"/>
      <c r="H173" s="82"/>
      <c r="I173" s="34"/>
      <c r="N173" s="34"/>
    </row>
    <row r="174" spans="1:14" s="35" customFormat="1" x14ac:dyDescent="0.3">
      <c r="A174" s="78">
        <f t="shared" si="16"/>
        <v>4</v>
      </c>
      <c r="B174" s="78"/>
      <c r="C174" s="40" t="s">
        <v>207</v>
      </c>
      <c r="D174" s="49">
        <f>(56.5)*10.764</f>
        <v>608.16599999999994</v>
      </c>
      <c r="E174" s="40">
        <v>0</v>
      </c>
      <c r="F174" s="40">
        <f>D174*(($F$119)+1)+(IF(E174&lt;101,E174,IF(E174&lt;201,E174/2,IF(E174&lt;=301,E174/3,E174/4))))</f>
        <v>912.24899999999991</v>
      </c>
      <c r="G174" s="81"/>
      <c r="H174" s="82"/>
      <c r="I174" s="34"/>
      <c r="N174" s="34"/>
    </row>
    <row r="175" spans="1:14" s="35" customFormat="1" x14ac:dyDescent="0.3">
      <c r="A175" s="78">
        <f t="shared" si="16"/>
        <v>5</v>
      </c>
      <c r="B175" s="78"/>
      <c r="C175" s="40" t="s">
        <v>209</v>
      </c>
      <c r="D175" s="49">
        <f>(93.84)*10.764</f>
        <v>1010.09376</v>
      </c>
      <c r="E175" s="40">
        <v>0</v>
      </c>
      <c r="F175" s="40">
        <f>D175*(($F$119)+1)+(IF(E175&lt;101,E175,IF(E175&lt;201,E175/2,IF(E175&lt;=301,E175/3,E175/4))))</f>
        <v>1515.1406400000001</v>
      </c>
      <c r="G175" s="81"/>
      <c r="H175" s="82"/>
      <c r="I175" s="34"/>
      <c r="N175" s="34"/>
    </row>
    <row r="176" spans="1:14" s="35" customFormat="1" x14ac:dyDescent="0.3">
      <c r="A176" s="78">
        <f t="shared" si="16"/>
        <v>6</v>
      </c>
      <c r="B176" s="78"/>
      <c r="C176" s="40" t="s">
        <v>207</v>
      </c>
      <c r="D176" s="49">
        <f>(56.5)*10.764</f>
        <v>608.16599999999994</v>
      </c>
      <c r="E176" s="40">
        <v>0</v>
      </c>
      <c r="F176" s="40">
        <f>D176*(($F$119)+1)+(IF(E176&lt;101,E176,IF(E176&lt;201,E176/2,IF(E176&lt;=301,E176/3,E176/4))))</f>
        <v>912.24899999999991</v>
      </c>
      <c r="G176" s="81"/>
      <c r="H176" s="82"/>
      <c r="I176" s="34"/>
      <c r="N176" s="34"/>
    </row>
    <row r="177" spans="1:15" s="35" customFormat="1" x14ac:dyDescent="0.3">
      <c r="A177" s="78">
        <f t="shared" si="16"/>
        <v>7</v>
      </c>
      <c r="B177" s="78"/>
      <c r="C177" s="40" t="s">
        <v>208</v>
      </c>
      <c r="D177" s="49">
        <f>(43.65)*10.764</f>
        <v>469.84859999999998</v>
      </c>
      <c r="E177" s="40">
        <v>0</v>
      </c>
      <c r="F177" s="40">
        <f>D177*(($F$119)+1)+(IF(E177&lt;101,E177,IF(E177&lt;201,E177/2,IF(E177&lt;=301,E177/3,E177/4))))</f>
        <v>704.77289999999994</v>
      </c>
      <c r="G177" s="83"/>
      <c r="H177" s="84"/>
      <c r="I177" s="34"/>
      <c r="N177" s="34"/>
    </row>
    <row r="178" spans="1:15" s="35" customFormat="1" x14ac:dyDescent="0.3">
      <c r="A178" s="76" t="s">
        <v>216</v>
      </c>
      <c r="B178" s="76"/>
      <c r="C178" s="76"/>
      <c r="D178" s="76"/>
      <c r="E178" s="76"/>
      <c r="F178" s="76"/>
      <c r="G178" s="76"/>
      <c r="H178" s="76"/>
      <c r="I178" s="34"/>
      <c r="L178" s="77"/>
      <c r="M178" s="77"/>
    </row>
    <row r="179" spans="1:15" s="35" customFormat="1" ht="15.75" customHeight="1" x14ac:dyDescent="0.3">
      <c r="A179" s="78">
        <v>1</v>
      </c>
      <c r="B179" s="78"/>
      <c r="C179" s="40" t="s">
        <v>207</v>
      </c>
      <c r="D179" s="49">
        <f>(69.38)*10.764</f>
        <v>746.80631999999991</v>
      </c>
      <c r="E179" s="40">
        <v>0</v>
      </c>
      <c r="F179" s="40">
        <f t="shared" ref="F179:F180" si="17">D179*(($F$119)+1)+(IF(E179&lt;101,E179,IF(E179&lt;201,E179/2,IF(E179&lt;=301,E179/3,E179/4))))</f>
        <v>1120.20948</v>
      </c>
      <c r="G179" s="79" t="str">
        <f>A178</f>
        <v>12th &amp; 13th Floor</v>
      </c>
      <c r="H179" s="80"/>
      <c r="I179" s="34"/>
      <c r="J179" s="35">
        <f>6.15*3.05+2.15*3.2+3.1*3.35+4.05*3.35+1.35*2.27+1.35*2.27+1*1.05+1.35*0.98+1.5*0.98</f>
        <v>59.562000000000005</v>
      </c>
      <c r="K179" s="35">
        <f>2.15*0.75+1.35*3.05</f>
        <v>5.7299999999999995</v>
      </c>
      <c r="L179" s="35">
        <f>J179+K179</f>
        <v>65.292000000000002</v>
      </c>
      <c r="N179" s="34">
        <v>22400000</v>
      </c>
      <c r="O179" s="35">
        <f>N179/F179</f>
        <v>19996.259985230619</v>
      </c>
    </row>
    <row r="180" spans="1:15" s="35" customFormat="1" x14ac:dyDescent="0.3">
      <c r="A180" s="78">
        <f t="shared" ref="A180:A185" si="18">A179+1</f>
        <v>2</v>
      </c>
      <c r="B180" s="78"/>
      <c r="C180" s="40" t="s">
        <v>207</v>
      </c>
      <c r="D180" s="49">
        <f>(69.38)*10.764</f>
        <v>746.80631999999991</v>
      </c>
      <c r="E180" s="40">
        <v>0</v>
      </c>
      <c r="F180" s="40">
        <f t="shared" si="17"/>
        <v>1120.20948</v>
      </c>
      <c r="G180" s="81"/>
      <c r="H180" s="82"/>
      <c r="I180" s="34"/>
      <c r="N180" s="34"/>
    </row>
    <row r="181" spans="1:15" s="35" customFormat="1" x14ac:dyDescent="0.3">
      <c r="A181" s="78">
        <f t="shared" si="18"/>
        <v>3</v>
      </c>
      <c r="B181" s="78"/>
      <c r="C181" s="40" t="s">
        <v>208</v>
      </c>
      <c r="D181" s="49">
        <f>(41.92)*10.764</f>
        <v>451.22687999999999</v>
      </c>
      <c r="E181" s="40">
        <v>0</v>
      </c>
      <c r="F181" s="40">
        <f>D181*(($F$119)+1)+(IF(E181&lt;101,E181,IF(E181&lt;201,E181/2,IF(E181&lt;=301,E181/3,E181/4))))</f>
        <v>676.84032000000002</v>
      </c>
      <c r="G181" s="81"/>
      <c r="H181" s="82"/>
      <c r="I181" s="34"/>
      <c r="N181" s="34"/>
    </row>
    <row r="182" spans="1:15" s="35" customFormat="1" x14ac:dyDescent="0.3">
      <c r="A182" s="78">
        <f t="shared" si="18"/>
        <v>4</v>
      </c>
      <c r="B182" s="78"/>
      <c r="C182" s="40" t="s">
        <v>207</v>
      </c>
      <c r="D182" s="49">
        <f>(56.5)*10.764</f>
        <v>608.16599999999994</v>
      </c>
      <c r="E182" s="40">
        <v>0</v>
      </c>
      <c r="F182" s="40">
        <f>D182*(($F$119)+1)+(IF(E182&lt;101,E182,IF(E182&lt;201,E182/2,IF(E182&lt;=301,E182/3,E182/4))))</f>
        <v>912.24899999999991</v>
      </c>
      <c r="G182" s="81"/>
      <c r="H182" s="82"/>
      <c r="I182" s="34"/>
      <c r="N182" s="34"/>
    </row>
    <row r="183" spans="1:15" s="35" customFormat="1" x14ac:dyDescent="0.3">
      <c r="A183" s="78">
        <f t="shared" si="18"/>
        <v>5</v>
      </c>
      <c r="B183" s="78"/>
      <c r="C183" s="40" t="s">
        <v>209</v>
      </c>
      <c r="D183" s="49">
        <f>(93.84)*10.764</f>
        <v>1010.09376</v>
      </c>
      <c r="E183" s="40">
        <v>0</v>
      </c>
      <c r="F183" s="40">
        <f>D183*(($F$119)+1)+(IF(E183&lt;101,E183,IF(E183&lt;201,E183/2,IF(E183&lt;=301,E183/3,E183/4))))</f>
        <v>1515.1406400000001</v>
      </c>
      <c r="G183" s="81"/>
      <c r="H183" s="82"/>
      <c r="I183" s="34"/>
      <c r="N183" s="34"/>
    </row>
    <row r="184" spans="1:15" s="35" customFormat="1" x14ac:dyDescent="0.3">
      <c r="A184" s="78">
        <f t="shared" si="18"/>
        <v>6</v>
      </c>
      <c r="B184" s="78"/>
      <c r="C184" s="40" t="s">
        <v>207</v>
      </c>
      <c r="D184" s="49">
        <f>(56.5)*10.764</f>
        <v>608.16599999999994</v>
      </c>
      <c r="E184" s="40">
        <v>0</v>
      </c>
      <c r="F184" s="40">
        <f>D184*(($F$119)+1)+(IF(E184&lt;101,E184,IF(E184&lt;201,E184/2,IF(E184&lt;=301,E184/3,E184/4))))</f>
        <v>912.24899999999991</v>
      </c>
      <c r="G184" s="81"/>
      <c r="H184" s="82"/>
      <c r="I184" s="34"/>
      <c r="N184" s="34"/>
    </row>
    <row r="185" spans="1:15" s="35" customFormat="1" x14ac:dyDescent="0.3">
      <c r="A185" s="78">
        <f t="shared" si="18"/>
        <v>7</v>
      </c>
      <c r="B185" s="78"/>
      <c r="C185" s="40" t="s">
        <v>208</v>
      </c>
      <c r="D185" s="49">
        <f>(43.65)*10.764</f>
        <v>469.84859999999998</v>
      </c>
      <c r="E185" s="40">
        <v>0</v>
      </c>
      <c r="F185" s="40">
        <f>D185*(($F$119)+1)+(IF(E185&lt;101,E185,IF(E185&lt;201,E185/2,IF(E185&lt;=301,E185/3,E185/4))))</f>
        <v>704.77289999999994</v>
      </c>
      <c r="G185" s="83"/>
      <c r="H185" s="84"/>
      <c r="I185" s="34"/>
      <c r="N185" s="34"/>
    </row>
    <row r="186" spans="1:15" s="35" customFormat="1" x14ac:dyDescent="0.3">
      <c r="A186" s="76" t="s">
        <v>217</v>
      </c>
      <c r="B186" s="76"/>
      <c r="C186" s="76"/>
      <c r="D186" s="76"/>
      <c r="E186" s="76"/>
      <c r="F186" s="76"/>
      <c r="G186" s="76"/>
      <c r="H186" s="76"/>
      <c r="I186" s="34"/>
      <c r="L186" s="77"/>
      <c r="M186" s="77"/>
    </row>
    <row r="187" spans="1:15" s="35" customFormat="1" ht="15.75" customHeight="1" x14ac:dyDescent="0.3">
      <c r="A187" s="78">
        <v>1</v>
      </c>
      <c r="B187" s="78"/>
      <c r="C187" s="40" t="s">
        <v>207</v>
      </c>
      <c r="D187" s="49">
        <f>(69.38)*10.764</f>
        <v>746.80631999999991</v>
      </c>
      <c r="E187" s="40">
        <v>0</v>
      </c>
      <c r="F187" s="40">
        <f t="shared" ref="F187:F188" si="19">D187*(($F$119)+1)+(IF(E187&lt;101,E187,IF(E187&lt;201,E187/2,IF(E187&lt;=301,E187/3,E187/4))))</f>
        <v>1120.20948</v>
      </c>
      <c r="G187" s="79" t="str">
        <f>A186</f>
        <v>14th Floor</v>
      </c>
      <c r="H187" s="80"/>
      <c r="I187" s="34"/>
      <c r="N187" s="34"/>
    </row>
    <row r="188" spans="1:15" s="35" customFormat="1" x14ac:dyDescent="0.3">
      <c r="A188" s="78">
        <f t="shared" ref="A188:A193" si="20">A187+1</f>
        <v>2</v>
      </c>
      <c r="B188" s="78"/>
      <c r="C188" s="40" t="s">
        <v>207</v>
      </c>
      <c r="D188" s="49">
        <f>(69.38)*10.764</f>
        <v>746.80631999999991</v>
      </c>
      <c r="E188" s="40">
        <v>0</v>
      </c>
      <c r="F188" s="40">
        <f t="shared" si="19"/>
        <v>1120.20948</v>
      </c>
      <c r="G188" s="81"/>
      <c r="H188" s="82"/>
      <c r="I188" s="34"/>
      <c r="N188" s="34"/>
    </row>
    <row r="189" spans="1:15" s="35" customFormat="1" x14ac:dyDescent="0.3">
      <c r="A189" s="78">
        <f t="shared" si="20"/>
        <v>3</v>
      </c>
      <c r="B189" s="78"/>
      <c r="C189" s="40" t="s">
        <v>208</v>
      </c>
      <c r="D189" s="49">
        <f>(41.92)*10.764</f>
        <v>451.22687999999999</v>
      </c>
      <c r="E189" s="40">
        <v>0</v>
      </c>
      <c r="F189" s="40">
        <f>D189*(($F$119)+1)+(IF(E189&lt;101,E189,IF(E189&lt;201,E189/2,IF(E189&lt;=301,E189/3,E189/4))))</f>
        <v>676.84032000000002</v>
      </c>
      <c r="G189" s="81"/>
      <c r="H189" s="82"/>
      <c r="I189" s="34"/>
      <c r="N189" s="34"/>
    </row>
    <row r="190" spans="1:15" s="35" customFormat="1" x14ac:dyDescent="0.3">
      <c r="A190" s="78">
        <f t="shared" si="20"/>
        <v>4</v>
      </c>
      <c r="B190" s="78"/>
      <c r="C190" s="40" t="s">
        <v>207</v>
      </c>
      <c r="D190" s="49">
        <f>(60.5)*10.764</f>
        <v>651.22199999999998</v>
      </c>
      <c r="E190" s="40">
        <v>0</v>
      </c>
      <c r="F190" s="40">
        <f>D190*(($F$119)+1)+(IF(E190&lt;101,E190,IF(E190&lt;201,E190/2,IF(E190&lt;=301,E190/3,E190/4))))</f>
        <v>976.83299999999997</v>
      </c>
      <c r="G190" s="81"/>
      <c r="H190" s="82"/>
      <c r="I190" s="34">
        <f>5.2*3.05+2.6*1.5+3.1*2.15+3.65*3.05+2.9*3.05+2.45*1.35+1.25*2+1.25*2+1.05*3.05</f>
        <v>57.912499999999994</v>
      </c>
      <c r="N190" s="34"/>
    </row>
    <row r="191" spans="1:15" s="35" customFormat="1" x14ac:dyDescent="0.3">
      <c r="A191" s="78">
        <f t="shared" si="20"/>
        <v>5</v>
      </c>
      <c r="B191" s="78"/>
      <c r="C191" s="40" t="s">
        <v>209</v>
      </c>
      <c r="D191" s="49">
        <f>(93.84)*10.764</f>
        <v>1010.09376</v>
      </c>
      <c r="E191" s="40">
        <v>0</v>
      </c>
      <c r="F191" s="40">
        <f>D191*(($F$119)+1)+(IF(E191&lt;101,E191,IF(E191&lt;201,E191/2,IF(E191&lt;=301,E191/3,E191/4))))</f>
        <v>1515.1406400000001</v>
      </c>
      <c r="G191" s="81"/>
      <c r="H191" s="82"/>
      <c r="I191" s="34"/>
      <c r="N191" s="34"/>
    </row>
    <row r="192" spans="1:15" s="35" customFormat="1" x14ac:dyDescent="0.3">
      <c r="A192" s="78">
        <f t="shared" si="20"/>
        <v>6</v>
      </c>
      <c r="B192" s="78"/>
      <c r="C192" s="40" t="s">
        <v>207</v>
      </c>
      <c r="D192" s="49">
        <f>(60.5)*10.764</f>
        <v>651.22199999999998</v>
      </c>
      <c r="E192" s="40">
        <v>0</v>
      </c>
      <c r="F192" s="40">
        <f>D192*(($F$119)+1)+(IF(E192&lt;101,E192,IF(E192&lt;201,E192/2,IF(E192&lt;=301,E192/3,E192/4))))</f>
        <v>976.83299999999997</v>
      </c>
      <c r="G192" s="81"/>
      <c r="H192" s="82"/>
      <c r="I192" s="34"/>
      <c r="N192" s="34"/>
    </row>
    <row r="193" spans="1:14" s="35" customFormat="1" x14ac:dyDescent="0.3">
      <c r="A193" s="78">
        <f t="shared" si="20"/>
        <v>7</v>
      </c>
      <c r="B193" s="78"/>
      <c r="C193" s="40" t="s">
        <v>208</v>
      </c>
      <c r="D193" s="49">
        <f>(43.65)*10.764</f>
        <v>469.84859999999998</v>
      </c>
      <c r="E193" s="40">
        <v>0</v>
      </c>
      <c r="F193" s="40">
        <f>D193*(($F$119)+1)+(IF(E193&lt;101,E193,IF(E193&lt;201,E193/2,IF(E193&lt;=301,E193/3,E193/4))))</f>
        <v>704.77289999999994</v>
      </c>
      <c r="G193" s="83"/>
      <c r="H193" s="84"/>
      <c r="I193" s="34"/>
      <c r="N193" s="34"/>
    </row>
    <row r="194" spans="1:14" s="35" customFormat="1" x14ac:dyDescent="0.3">
      <c r="A194" s="76" t="s">
        <v>218</v>
      </c>
      <c r="B194" s="76"/>
      <c r="C194" s="76"/>
      <c r="D194" s="76"/>
      <c r="E194" s="76"/>
      <c r="F194" s="76"/>
      <c r="G194" s="76"/>
      <c r="H194" s="76"/>
      <c r="I194" s="34"/>
      <c r="L194" s="77"/>
      <c r="M194" s="77"/>
    </row>
    <row r="195" spans="1:14" s="35" customFormat="1" ht="15.75" customHeight="1" x14ac:dyDescent="0.3">
      <c r="A195" s="78">
        <v>1</v>
      </c>
      <c r="B195" s="78"/>
      <c r="C195" s="79" t="s">
        <v>212</v>
      </c>
      <c r="D195" s="85"/>
      <c r="E195" s="85"/>
      <c r="F195" s="80"/>
      <c r="G195" s="79" t="str">
        <f>A194</f>
        <v>15th Floor (Part Refuge Area)</v>
      </c>
      <c r="H195" s="80"/>
      <c r="I195" s="34"/>
      <c r="N195" s="34"/>
    </row>
    <row r="196" spans="1:14" s="35" customFormat="1" x14ac:dyDescent="0.3">
      <c r="A196" s="78">
        <f t="shared" ref="A196:A201" si="21">A195+1</f>
        <v>2</v>
      </c>
      <c r="B196" s="78"/>
      <c r="C196" s="83"/>
      <c r="D196" s="86"/>
      <c r="E196" s="86"/>
      <c r="F196" s="84"/>
      <c r="G196" s="81"/>
      <c r="H196" s="82"/>
      <c r="I196" s="34"/>
      <c r="N196" s="34"/>
    </row>
    <row r="197" spans="1:14" s="35" customFormat="1" x14ac:dyDescent="0.3">
      <c r="A197" s="78">
        <f t="shared" si="21"/>
        <v>3</v>
      </c>
      <c r="B197" s="78"/>
      <c r="C197" s="40" t="s">
        <v>208</v>
      </c>
      <c r="D197" s="49">
        <f>(41.92)*10.764</f>
        <v>451.22687999999999</v>
      </c>
      <c r="E197" s="40">
        <v>0</v>
      </c>
      <c r="F197" s="40">
        <f>D197*(($F$119)+1)+(IF(E197&lt;101,E197,IF(E197&lt;201,E197/2,IF(E197&lt;=301,E197/3,E197/4))))</f>
        <v>676.84032000000002</v>
      </c>
      <c r="G197" s="81"/>
      <c r="H197" s="82"/>
      <c r="I197" s="34"/>
      <c r="N197" s="34"/>
    </row>
    <row r="198" spans="1:14" s="35" customFormat="1" x14ac:dyDescent="0.3">
      <c r="A198" s="78">
        <f t="shared" si="21"/>
        <v>4</v>
      </c>
      <c r="B198" s="78"/>
      <c r="C198" s="40" t="s">
        <v>207</v>
      </c>
      <c r="D198" s="49">
        <f>(60.5)*10.764</f>
        <v>651.22199999999998</v>
      </c>
      <c r="E198" s="40">
        <v>0</v>
      </c>
      <c r="F198" s="40">
        <f>D198*(($F$119)+1)+(IF(E198&lt;101,E198,IF(E198&lt;201,E198/2,IF(E198&lt;=301,E198/3,E198/4))))</f>
        <v>976.83299999999997</v>
      </c>
      <c r="G198" s="81"/>
      <c r="H198" s="82"/>
      <c r="I198" s="34"/>
      <c r="N198" s="34"/>
    </row>
    <row r="199" spans="1:14" s="35" customFormat="1" x14ac:dyDescent="0.3">
      <c r="A199" s="78">
        <f t="shared" si="21"/>
        <v>5</v>
      </c>
      <c r="B199" s="78"/>
      <c r="C199" s="40" t="s">
        <v>209</v>
      </c>
      <c r="D199" s="49">
        <f>(93.84)*10.764</f>
        <v>1010.09376</v>
      </c>
      <c r="E199" s="40">
        <v>0</v>
      </c>
      <c r="F199" s="40">
        <f>D199*(($F$119)+1)+(IF(E199&lt;101,E199,IF(E199&lt;201,E199/2,IF(E199&lt;=301,E199/3,E199/4))))</f>
        <v>1515.1406400000001</v>
      </c>
      <c r="G199" s="81"/>
      <c r="H199" s="82"/>
      <c r="I199" s="34"/>
      <c r="N199" s="34"/>
    </row>
    <row r="200" spans="1:14" s="35" customFormat="1" x14ac:dyDescent="0.3">
      <c r="A200" s="78">
        <f t="shared" si="21"/>
        <v>6</v>
      </c>
      <c r="B200" s="78"/>
      <c r="C200" s="40" t="s">
        <v>207</v>
      </c>
      <c r="D200" s="49">
        <f>(60.5)*10.764</f>
        <v>651.22199999999998</v>
      </c>
      <c r="E200" s="40">
        <v>0</v>
      </c>
      <c r="F200" s="40">
        <f>D200*(($F$119)+1)+(IF(E200&lt;101,E200,IF(E200&lt;201,E200/2,IF(E200&lt;=301,E200/3,E200/4))))</f>
        <v>976.83299999999997</v>
      </c>
      <c r="G200" s="81"/>
      <c r="H200" s="82"/>
      <c r="I200" s="34"/>
      <c r="N200" s="34"/>
    </row>
    <row r="201" spans="1:14" s="35" customFormat="1" x14ac:dyDescent="0.3">
      <c r="A201" s="78">
        <f t="shared" si="21"/>
        <v>7</v>
      </c>
      <c r="B201" s="78"/>
      <c r="C201" s="40" t="s">
        <v>208</v>
      </c>
      <c r="D201" s="49">
        <f>(43.65)*10.764</f>
        <v>469.84859999999998</v>
      </c>
      <c r="E201" s="40">
        <v>0</v>
      </c>
      <c r="F201" s="40">
        <f>D201*(($F$119)+1)+(IF(E201&lt;101,E201,IF(E201&lt;201,E201/2,IF(E201&lt;=301,E201/3,E201/4))))</f>
        <v>704.77289999999994</v>
      </c>
      <c r="G201" s="83"/>
      <c r="H201" s="84"/>
      <c r="I201" s="34"/>
      <c r="N201" s="34"/>
    </row>
    <row r="202" spans="1:14" s="35" customFormat="1" x14ac:dyDescent="0.3">
      <c r="A202" s="76" t="s">
        <v>219</v>
      </c>
      <c r="B202" s="76"/>
      <c r="C202" s="76"/>
      <c r="D202" s="76"/>
      <c r="E202" s="76"/>
      <c r="F202" s="76"/>
      <c r="G202" s="76"/>
      <c r="H202" s="76"/>
      <c r="I202" s="34"/>
      <c r="L202" s="77"/>
      <c r="M202" s="77"/>
    </row>
    <row r="203" spans="1:14" s="35" customFormat="1" ht="15.75" customHeight="1" x14ac:dyDescent="0.3">
      <c r="A203" s="78">
        <v>1</v>
      </c>
      <c r="B203" s="78"/>
      <c r="C203" s="40" t="s">
        <v>207</v>
      </c>
      <c r="D203" s="49">
        <f>(69.38)*10.764</f>
        <v>746.80631999999991</v>
      </c>
      <c r="E203" s="40">
        <v>0</v>
      </c>
      <c r="F203" s="40">
        <f t="shared" ref="F203:F204" si="22">D203*(($F$119)+1)+(IF(E203&lt;101,E203,IF(E203&lt;201,E203/2,IF(E203&lt;=301,E203/3,E203/4))))</f>
        <v>1120.20948</v>
      </c>
      <c r="G203" s="79" t="str">
        <f>A202</f>
        <v>16th to 18th Floor</v>
      </c>
      <c r="H203" s="80"/>
      <c r="I203" s="34"/>
      <c r="N203" s="34"/>
    </row>
    <row r="204" spans="1:14" s="35" customFormat="1" x14ac:dyDescent="0.3">
      <c r="A204" s="78">
        <f t="shared" ref="A204:A209" si="23">A203+1</f>
        <v>2</v>
      </c>
      <c r="B204" s="78"/>
      <c r="C204" s="40" t="s">
        <v>207</v>
      </c>
      <c r="D204" s="49">
        <f>(69.38)*10.764</f>
        <v>746.80631999999991</v>
      </c>
      <c r="E204" s="40">
        <v>0</v>
      </c>
      <c r="F204" s="40">
        <f t="shared" si="22"/>
        <v>1120.20948</v>
      </c>
      <c r="G204" s="81"/>
      <c r="H204" s="82"/>
      <c r="I204" s="34"/>
      <c r="N204" s="34"/>
    </row>
    <row r="205" spans="1:14" s="35" customFormat="1" x14ac:dyDescent="0.3">
      <c r="A205" s="78">
        <f t="shared" si="23"/>
        <v>3</v>
      </c>
      <c r="B205" s="78"/>
      <c r="C205" s="40" t="s">
        <v>208</v>
      </c>
      <c r="D205" s="49">
        <f>(41.92)*10.764</f>
        <v>451.22687999999999</v>
      </c>
      <c r="E205" s="40">
        <v>0</v>
      </c>
      <c r="F205" s="40">
        <f>D205*(($F$119)+1)+(IF(E205&lt;101,E205,IF(E205&lt;201,E205/2,IF(E205&lt;=301,E205/3,E205/4))))</f>
        <v>676.84032000000002</v>
      </c>
      <c r="G205" s="81"/>
      <c r="H205" s="82"/>
      <c r="I205" s="34"/>
      <c r="N205" s="34"/>
    </row>
    <row r="206" spans="1:14" s="35" customFormat="1" x14ac:dyDescent="0.3">
      <c r="A206" s="78">
        <f t="shared" si="23"/>
        <v>4</v>
      </c>
      <c r="B206" s="78"/>
      <c r="C206" s="40" t="s">
        <v>207</v>
      </c>
      <c r="D206" s="49">
        <f>(60.5)*10.764</f>
        <v>651.22199999999998</v>
      </c>
      <c r="E206" s="40">
        <v>0</v>
      </c>
      <c r="F206" s="40">
        <f>D206*(($F$119)+1)+(IF(E206&lt;101,E206,IF(E206&lt;201,E206/2,IF(E206&lt;=301,E206/3,E206/4))))</f>
        <v>976.83299999999997</v>
      </c>
      <c r="G206" s="81"/>
      <c r="H206" s="82"/>
      <c r="I206" s="34"/>
      <c r="N206" s="34"/>
    </row>
    <row r="207" spans="1:14" s="35" customFormat="1" x14ac:dyDescent="0.3">
      <c r="A207" s="78">
        <f t="shared" si="23"/>
        <v>5</v>
      </c>
      <c r="B207" s="78"/>
      <c r="C207" s="40" t="s">
        <v>209</v>
      </c>
      <c r="D207" s="49">
        <f>(93.84)*10.764</f>
        <v>1010.09376</v>
      </c>
      <c r="E207" s="40">
        <v>0</v>
      </c>
      <c r="F207" s="40">
        <f>D207*(($F$119)+1)+(IF(E207&lt;101,E207,IF(E207&lt;201,E207/2,IF(E207&lt;=301,E207/3,E207/4))))</f>
        <v>1515.1406400000001</v>
      </c>
      <c r="G207" s="81"/>
      <c r="H207" s="82"/>
      <c r="I207" s="34"/>
      <c r="N207" s="34"/>
    </row>
    <row r="208" spans="1:14" s="35" customFormat="1" x14ac:dyDescent="0.3">
      <c r="A208" s="78">
        <f t="shared" si="23"/>
        <v>6</v>
      </c>
      <c r="B208" s="78"/>
      <c r="C208" s="40" t="s">
        <v>207</v>
      </c>
      <c r="D208" s="49">
        <f>(60.5)*10.764</f>
        <v>651.22199999999998</v>
      </c>
      <c r="E208" s="40">
        <v>0</v>
      </c>
      <c r="F208" s="40">
        <f>D208*(($F$119)+1)+(IF(E208&lt;101,E208,IF(E208&lt;201,E208/2,IF(E208&lt;=301,E208/3,E208/4))))</f>
        <v>976.83299999999997</v>
      </c>
      <c r="G208" s="81"/>
      <c r="H208" s="82"/>
      <c r="I208" s="34"/>
      <c r="N208" s="34"/>
    </row>
    <row r="209" spans="1:14" s="35" customFormat="1" x14ac:dyDescent="0.3">
      <c r="A209" s="78">
        <f t="shared" si="23"/>
        <v>7</v>
      </c>
      <c r="B209" s="78"/>
      <c r="C209" s="40" t="s">
        <v>208</v>
      </c>
      <c r="D209" s="49">
        <f>(43.65)*10.764</f>
        <v>469.84859999999998</v>
      </c>
      <c r="E209" s="40">
        <v>0</v>
      </c>
      <c r="F209" s="40">
        <f>D209*(($F$119)+1)+(IF(E209&lt;101,E209,IF(E209&lt;201,E209/2,IF(E209&lt;=301,E209/3,E209/4))))</f>
        <v>704.77289999999994</v>
      </c>
      <c r="G209" s="83"/>
      <c r="H209" s="84"/>
      <c r="I209" s="34"/>
      <c r="N209" s="34"/>
    </row>
    <row r="210" spans="1:14" s="35" customFormat="1" x14ac:dyDescent="0.3">
      <c r="A210" s="76" t="s">
        <v>241</v>
      </c>
      <c r="B210" s="76"/>
      <c r="C210" s="76"/>
      <c r="D210" s="76"/>
      <c r="E210" s="76"/>
      <c r="F210" s="76"/>
      <c r="G210" s="76"/>
      <c r="H210" s="76"/>
      <c r="I210" s="34"/>
      <c r="L210" s="77"/>
      <c r="M210" s="77"/>
    </row>
    <row r="211" spans="1:14" s="35" customFormat="1" ht="15.75" customHeight="1" x14ac:dyDescent="0.3">
      <c r="A211" s="78">
        <v>1</v>
      </c>
      <c r="B211" s="78"/>
      <c r="C211" s="40" t="s">
        <v>207</v>
      </c>
      <c r="D211" s="49">
        <f>(69.38)*10.764</f>
        <v>746.80631999999991</v>
      </c>
      <c r="E211" s="40">
        <v>0</v>
      </c>
      <c r="F211" s="40">
        <f t="shared" ref="F211:F212" si="24">D211*(($F$119)+1)+(IF(E211&lt;101,E211,IF(E211&lt;201,E211/2,IF(E211&lt;=301,E211/3,E211/4))))</f>
        <v>1120.20948</v>
      </c>
      <c r="G211" s="79" t="str">
        <f>A210</f>
        <v>19th to 21st Floor</v>
      </c>
      <c r="H211" s="80"/>
      <c r="I211" s="34"/>
      <c r="N211" s="34"/>
    </row>
    <row r="212" spans="1:14" s="35" customFormat="1" x14ac:dyDescent="0.3">
      <c r="A212" s="78">
        <f t="shared" ref="A212:A217" si="25">A211+1</f>
        <v>2</v>
      </c>
      <c r="B212" s="78"/>
      <c r="C212" s="40" t="s">
        <v>207</v>
      </c>
      <c r="D212" s="49">
        <f>(69.38)*10.764</f>
        <v>746.80631999999991</v>
      </c>
      <c r="E212" s="40">
        <v>0</v>
      </c>
      <c r="F212" s="40">
        <f t="shared" si="24"/>
        <v>1120.20948</v>
      </c>
      <c r="G212" s="81"/>
      <c r="H212" s="82"/>
      <c r="I212" s="34"/>
      <c r="N212" s="34"/>
    </row>
    <row r="213" spans="1:14" s="35" customFormat="1" x14ac:dyDescent="0.3">
      <c r="A213" s="78">
        <f t="shared" si="25"/>
        <v>3</v>
      </c>
      <c r="B213" s="78"/>
      <c r="C213" s="40" t="s">
        <v>208</v>
      </c>
      <c r="D213" s="49">
        <f>(41.92)*10.764</f>
        <v>451.22687999999999</v>
      </c>
      <c r="E213" s="40">
        <v>0</v>
      </c>
      <c r="F213" s="40">
        <f>D213*(($F$119)+1)+(IF(E213&lt;101,E213,IF(E213&lt;201,E213/2,IF(E213&lt;=301,E213/3,E213/4))))</f>
        <v>676.84032000000002</v>
      </c>
      <c r="G213" s="81"/>
      <c r="H213" s="82"/>
      <c r="I213" s="34"/>
      <c r="N213" s="34"/>
    </row>
    <row r="214" spans="1:14" s="35" customFormat="1" x14ac:dyDescent="0.3">
      <c r="A214" s="78">
        <f t="shared" si="25"/>
        <v>4</v>
      </c>
      <c r="B214" s="78"/>
      <c r="C214" s="40" t="s">
        <v>207</v>
      </c>
      <c r="D214" s="49">
        <f>(62.92)*10.764</f>
        <v>677.27088000000003</v>
      </c>
      <c r="E214" s="40">
        <v>0</v>
      </c>
      <c r="F214" s="40">
        <f>D214*(($F$119)+1)+(IF(E214&lt;101,E214,IF(E214&lt;201,E214/2,IF(E214&lt;=301,E214/3,E214/4))))</f>
        <v>1015.9063200000001</v>
      </c>
      <c r="G214" s="81"/>
      <c r="H214" s="82"/>
      <c r="I214" s="34"/>
      <c r="N214" s="34"/>
    </row>
    <row r="215" spans="1:14" s="35" customFormat="1" x14ac:dyDescent="0.3">
      <c r="A215" s="78">
        <f t="shared" si="25"/>
        <v>5</v>
      </c>
      <c r="B215" s="78"/>
      <c r="C215" s="40" t="s">
        <v>209</v>
      </c>
      <c r="D215" s="49">
        <f>(93.84)*10.764</f>
        <v>1010.09376</v>
      </c>
      <c r="E215" s="40">
        <v>0</v>
      </c>
      <c r="F215" s="40">
        <f>D215*(($F$119)+1)+(IF(E215&lt;101,E215,IF(E215&lt;201,E215/2,IF(E215&lt;=301,E215/3,E215/4))))</f>
        <v>1515.1406400000001</v>
      </c>
      <c r="G215" s="81"/>
      <c r="H215" s="82"/>
      <c r="I215" s="34"/>
      <c r="N215" s="34"/>
    </row>
    <row r="216" spans="1:14" s="35" customFormat="1" x14ac:dyDescent="0.3">
      <c r="A216" s="78">
        <f t="shared" si="25"/>
        <v>6</v>
      </c>
      <c r="B216" s="78"/>
      <c r="C216" s="40" t="s">
        <v>207</v>
      </c>
      <c r="D216" s="49">
        <f>(62.92)*10.764</f>
        <v>677.27088000000003</v>
      </c>
      <c r="E216" s="40">
        <v>0</v>
      </c>
      <c r="F216" s="40">
        <f>D216*(($F$119)+1)+(IF(E216&lt;101,E216,IF(E216&lt;201,E216/2,IF(E216&lt;=301,E216/3,E216/4))))</f>
        <v>1015.9063200000001</v>
      </c>
      <c r="G216" s="81"/>
      <c r="H216" s="82"/>
      <c r="I216" s="34"/>
      <c r="N216" s="34"/>
    </row>
    <row r="217" spans="1:14" s="35" customFormat="1" x14ac:dyDescent="0.3">
      <c r="A217" s="78">
        <f t="shared" si="25"/>
        <v>7</v>
      </c>
      <c r="B217" s="78"/>
      <c r="C217" s="40" t="s">
        <v>208</v>
      </c>
      <c r="D217" s="49">
        <f>(43.65)*10.764</f>
        <v>469.84859999999998</v>
      </c>
      <c r="E217" s="40">
        <v>0</v>
      </c>
      <c r="F217" s="40">
        <f>D217*(($F$119)+1)+(IF(E217&lt;101,E217,IF(E217&lt;201,E217/2,IF(E217&lt;=301,E217/3,E217/4))))</f>
        <v>704.77289999999994</v>
      </c>
      <c r="G217" s="83"/>
      <c r="H217" s="84"/>
      <c r="I217" s="34"/>
      <c r="N217" s="34"/>
    </row>
    <row r="218" spans="1:14" s="35" customFormat="1" x14ac:dyDescent="0.3">
      <c r="A218" s="76" t="s">
        <v>243</v>
      </c>
      <c r="B218" s="76"/>
      <c r="C218" s="76"/>
      <c r="D218" s="76"/>
      <c r="E218" s="76"/>
      <c r="F218" s="76"/>
      <c r="G218" s="76"/>
      <c r="H218" s="76"/>
      <c r="I218" s="34"/>
      <c r="L218" s="77"/>
      <c r="M218" s="77"/>
    </row>
    <row r="219" spans="1:14" s="35" customFormat="1" ht="15.75" customHeight="1" x14ac:dyDescent="0.3">
      <c r="A219" s="78">
        <v>1</v>
      </c>
      <c r="B219" s="78"/>
      <c r="C219" s="40" t="s">
        <v>207</v>
      </c>
      <c r="D219" s="49">
        <f>(69.38)*10.764</f>
        <v>746.80631999999991</v>
      </c>
      <c r="E219" s="40">
        <v>0</v>
      </c>
      <c r="F219" s="40">
        <f t="shared" ref="F219:F220" si="26">D219*(($F$119)+1)+(IF(E219&lt;101,E219,IF(E219&lt;201,E219/2,IF(E219&lt;=301,E219/3,E219/4))))</f>
        <v>1120.20948</v>
      </c>
      <c r="G219" s="79" t="str">
        <f>A218</f>
        <v>22nd Floor (Part Terrace Area)</v>
      </c>
      <c r="H219" s="80"/>
      <c r="I219" s="34"/>
      <c r="N219" s="34"/>
    </row>
    <row r="220" spans="1:14" s="35" customFormat="1" x14ac:dyDescent="0.3">
      <c r="A220" s="78">
        <f t="shared" ref="A220:A225" si="27">A219+1</f>
        <v>2</v>
      </c>
      <c r="B220" s="78"/>
      <c r="C220" s="40" t="s">
        <v>207</v>
      </c>
      <c r="D220" s="49">
        <f>(69.38)*10.764</f>
        <v>746.80631999999991</v>
      </c>
      <c r="E220" s="40">
        <v>0</v>
      </c>
      <c r="F220" s="40">
        <f t="shared" si="26"/>
        <v>1120.20948</v>
      </c>
      <c r="G220" s="81"/>
      <c r="H220" s="82"/>
      <c r="I220" s="34"/>
      <c r="N220" s="34"/>
    </row>
    <row r="221" spans="1:14" s="35" customFormat="1" x14ac:dyDescent="0.3">
      <c r="A221" s="78">
        <f t="shared" si="27"/>
        <v>3</v>
      </c>
      <c r="B221" s="78"/>
      <c r="C221" s="40" t="s">
        <v>208</v>
      </c>
      <c r="D221" s="49">
        <f>(41.92)*10.764</f>
        <v>451.22687999999999</v>
      </c>
      <c r="E221" s="40">
        <v>0</v>
      </c>
      <c r="F221" s="40">
        <f>D221*(($F$119)+1)+(IF(E221&lt;101,E221,IF(E221&lt;201,E221/2,IF(E221&lt;=301,E221/3,E221/4))))</f>
        <v>676.84032000000002</v>
      </c>
      <c r="G221" s="81"/>
      <c r="H221" s="82"/>
      <c r="I221" s="34"/>
      <c r="N221" s="34"/>
    </row>
    <row r="222" spans="1:14" s="35" customFormat="1" x14ac:dyDescent="0.3">
      <c r="A222" s="78">
        <f t="shared" si="27"/>
        <v>4</v>
      </c>
      <c r="B222" s="78"/>
      <c r="C222" s="40" t="s">
        <v>207</v>
      </c>
      <c r="D222" s="49">
        <f>(62.92)*10.764</f>
        <v>677.27088000000003</v>
      </c>
      <c r="E222" s="40">
        <v>0</v>
      </c>
      <c r="F222" s="40">
        <f>D222*(($F$119)+1)+(IF(E222&lt;101,E222,IF(E222&lt;201,E222/2,IF(E222&lt;=301,E222/3,E222/4))))</f>
        <v>1015.9063200000001</v>
      </c>
      <c r="G222" s="81"/>
      <c r="H222" s="82"/>
      <c r="I222" s="34"/>
      <c r="N222" s="34"/>
    </row>
    <row r="223" spans="1:14" s="35" customFormat="1" x14ac:dyDescent="0.3">
      <c r="A223" s="78">
        <f t="shared" si="27"/>
        <v>5</v>
      </c>
      <c r="B223" s="78"/>
      <c r="C223" s="87" t="s">
        <v>242</v>
      </c>
      <c r="D223" s="88"/>
      <c r="E223" s="88"/>
      <c r="F223" s="89"/>
      <c r="G223" s="81"/>
      <c r="H223" s="82"/>
      <c r="I223" s="34"/>
      <c r="N223" s="34"/>
    </row>
    <row r="224" spans="1:14" s="35" customFormat="1" x14ac:dyDescent="0.3">
      <c r="A224" s="78">
        <f t="shared" si="27"/>
        <v>6</v>
      </c>
      <c r="B224" s="78"/>
      <c r="C224" s="40" t="s">
        <v>207</v>
      </c>
      <c r="D224" s="49">
        <f>(62.92)*10.764</f>
        <v>677.27088000000003</v>
      </c>
      <c r="E224" s="40">
        <v>0</v>
      </c>
      <c r="F224" s="40">
        <f>D224*(($F$119)+1)+(IF(E224&lt;101,E224,IF(E224&lt;201,E224/2,IF(E224&lt;=301,E224/3,E224/4))))</f>
        <v>1015.9063200000001</v>
      </c>
      <c r="G224" s="81"/>
      <c r="H224" s="82"/>
      <c r="I224" s="34"/>
      <c r="N224" s="34"/>
    </row>
    <row r="225" spans="1:14" s="35" customFormat="1" x14ac:dyDescent="0.3">
      <c r="A225" s="78">
        <f t="shared" si="27"/>
        <v>7</v>
      </c>
      <c r="B225" s="78"/>
      <c r="C225" s="40" t="s">
        <v>208</v>
      </c>
      <c r="D225" s="49">
        <f>(43.65)*10.764</f>
        <v>469.84859999999998</v>
      </c>
      <c r="E225" s="40">
        <v>0</v>
      </c>
      <c r="F225" s="40">
        <f>D225*(($F$119)+1)+(IF(E225&lt;101,E225,IF(E225&lt;201,E225/2,IF(E225&lt;=301,E225/3,E225/4))))</f>
        <v>704.77289999999994</v>
      </c>
      <c r="G225" s="83"/>
      <c r="H225" s="84"/>
      <c r="I225" s="34"/>
      <c r="N225" s="34"/>
    </row>
    <row r="226" spans="1:14" s="33" customFormat="1" x14ac:dyDescent="0.3">
      <c r="A226" s="93" t="s">
        <v>68</v>
      </c>
      <c r="B226" s="93"/>
      <c r="C226" s="93"/>
      <c r="D226" s="93"/>
      <c r="E226" s="93"/>
      <c r="F226" s="93"/>
      <c r="G226" s="93"/>
      <c r="H226" s="93"/>
    </row>
    <row r="227" spans="1:14" s="33" customFormat="1" x14ac:dyDescent="0.3">
      <c r="A227" s="43">
        <v>1</v>
      </c>
      <c r="B227" s="90" t="s">
        <v>235</v>
      </c>
      <c r="C227" s="91"/>
      <c r="D227" s="91"/>
      <c r="E227" s="91"/>
      <c r="F227" s="91"/>
      <c r="G227" s="91"/>
      <c r="H227" s="92"/>
    </row>
    <row r="228" spans="1:14" s="33" customFormat="1" x14ac:dyDescent="0.3">
      <c r="A228" s="43">
        <f>A227+1</f>
        <v>2</v>
      </c>
      <c r="B228" s="90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228" s="91"/>
      <c r="D228" s="91"/>
      <c r="E228" s="91"/>
      <c r="F228" s="91"/>
      <c r="G228" s="91"/>
      <c r="H228" s="92"/>
    </row>
    <row r="229" spans="1:14" s="33" customFormat="1" x14ac:dyDescent="0.3">
      <c r="A229" s="43">
        <f t="shared" ref="A229:A243" si="28">A228+1</f>
        <v>3</v>
      </c>
      <c r="B229" s="90" t="str">
        <f>(IF(F109="Saleable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9" s="91"/>
      <c r="D229" s="91"/>
      <c r="E229" s="91"/>
      <c r="F229" s="91"/>
      <c r="G229" s="91"/>
      <c r="H229" s="92"/>
    </row>
    <row r="230" spans="1:14" s="33" customFormat="1" x14ac:dyDescent="0.3">
      <c r="A230" s="43">
        <f t="shared" si="28"/>
        <v>4</v>
      </c>
      <c r="B230" s="62" t="s">
        <v>127</v>
      </c>
      <c r="C230" s="63"/>
      <c r="D230" s="63"/>
      <c r="E230" s="63"/>
      <c r="F230" s="63"/>
      <c r="G230" s="63"/>
      <c r="H230" s="64"/>
    </row>
    <row r="231" spans="1:14" s="33" customFormat="1" x14ac:dyDescent="0.3">
      <c r="A231" s="43">
        <f t="shared" si="28"/>
        <v>5</v>
      </c>
      <c r="B231" s="90" t="s">
        <v>222</v>
      </c>
      <c r="C231" s="91"/>
      <c r="D231" s="91"/>
      <c r="E231" s="91"/>
      <c r="F231" s="91"/>
      <c r="G231" s="91"/>
      <c r="H231" s="92"/>
    </row>
    <row r="232" spans="1:14" s="33" customFormat="1" x14ac:dyDescent="0.3">
      <c r="A232" s="43">
        <f t="shared" si="28"/>
        <v>6</v>
      </c>
      <c r="B232" s="62" t="s">
        <v>156</v>
      </c>
      <c r="C232" s="63"/>
      <c r="D232" s="63"/>
      <c r="E232" s="63"/>
      <c r="F232" s="63"/>
      <c r="G232" s="63"/>
      <c r="H232" s="64"/>
    </row>
    <row r="233" spans="1:14" s="33" customFormat="1" x14ac:dyDescent="0.3">
      <c r="A233" s="43">
        <f t="shared" si="28"/>
        <v>7</v>
      </c>
      <c r="B233" s="62" t="s">
        <v>128</v>
      </c>
      <c r="C233" s="63"/>
      <c r="D233" s="63"/>
      <c r="E233" s="63"/>
      <c r="F233" s="63"/>
      <c r="G233" s="63"/>
      <c r="H233" s="64"/>
    </row>
    <row r="234" spans="1:14" s="33" customFormat="1" ht="34.5" customHeight="1" x14ac:dyDescent="0.3">
      <c r="A234" s="43">
        <f t="shared" si="28"/>
        <v>8</v>
      </c>
      <c r="B234" s="62" t="s">
        <v>157</v>
      </c>
      <c r="C234" s="63"/>
      <c r="D234" s="63"/>
      <c r="E234" s="63"/>
      <c r="F234" s="63"/>
      <c r="G234" s="63"/>
      <c r="H234" s="64"/>
    </row>
    <row r="235" spans="1:14" s="33" customFormat="1" x14ac:dyDescent="0.3">
      <c r="A235" s="43">
        <f t="shared" si="28"/>
        <v>9</v>
      </c>
      <c r="B235" s="62" t="s">
        <v>129</v>
      </c>
      <c r="C235" s="63"/>
      <c r="D235" s="63"/>
      <c r="E235" s="63"/>
      <c r="F235" s="63"/>
      <c r="G235" s="63"/>
      <c r="H235" s="64"/>
    </row>
    <row r="236" spans="1:14" s="33" customFormat="1" x14ac:dyDescent="0.3">
      <c r="A236" s="43">
        <f t="shared" si="28"/>
        <v>10</v>
      </c>
      <c r="B236" s="62" t="s">
        <v>198</v>
      </c>
      <c r="C236" s="63"/>
      <c r="D236" s="63"/>
      <c r="E236" s="63"/>
      <c r="F236" s="63"/>
      <c r="G236" s="63"/>
      <c r="H236" s="64"/>
    </row>
    <row r="237" spans="1:14" s="33" customFormat="1" x14ac:dyDescent="0.3">
      <c r="A237" s="43">
        <f t="shared" si="28"/>
        <v>11</v>
      </c>
      <c r="B237" s="62" t="s">
        <v>227</v>
      </c>
      <c r="C237" s="63"/>
      <c r="D237" s="63"/>
      <c r="E237" s="63"/>
      <c r="F237" s="63"/>
      <c r="G237" s="63"/>
      <c r="H237" s="64"/>
    </row>
    <row r="238" spans="1:14" s="33" customFormat="1" ht="33" customHeight="1" x14ac:dyDescent="0.3">
      <c r="A238" s="43">
        <f t="shared" si="28"/>
        <v>12</v>
      </c>
      <c r="B238" s="62" t="s">
        <v>230</v>
      </c>
      <c r="C238" s="63"/>
      <c r="D238" s="63"/>
      <c r="E238" s="63"/>
      <c r="F238" s="63"/>
      <c r="G238" s="63"/>
      <c r="H238" s="64"/>
    </row>
    <row r="239" spans="1:14" s="33" customFormat="1" x14ac:dyDescent="0.3">
      <c r="A239" s="43">
        <f t="shared" si="28"/>
        <v>13</v>
      </c>
      <c r="B239" s="62" t="s">
        <v>237</v>
      </c>
      <c r="C239" s="63"/>
      <c r="D239" s="63"/>
      <c r="E239" s="63"/>
      <c r="F239" s="63"/>
      <c r="G239" s="63"/>
      <c r="H239" s="64"/>
    </row>
    <row r="240" spans="1:14" x14ac:dyDescent="0.3">
      <c r="A240" s="43">
        <f>A239+1</f>
        <v>14</v>
      </c>
      <c r="B240" s="62" t="s">
        <v>261</v>
      </c>
      <c r="C240" s="63"/>
      <c r="D240" s="63"/>
      <c r="E240" s="63"/>
      <c r="F240" s="63"/>
      <c r="G240" s="63"/>
      <c r="H240" s="64"/>
    </row>
    <row r="241" spans="1:8" x14ac:dyDescent="0.3">
      <c r="A241" s="43">
        <f t="shared" ref="A241:A243" si="29">A240+1</f>
        <v>15</v>
      </c>
      <c r="B241" s="62" t="s">
        <v>245</v>
      </c>
      <c r="C241" s="63"/>
      <c r="D241" s="63"/>
      <c r="E241" s="63"/>
      <c r="F241" s="63"/>
      <c r="G241" s="63"/>
      <c r="H241" s="64"/>
    </row>
    <row r="242" spans="1:8" ht="32.4" customHeight="1" x14ac:dyDescent="0.3">
      <c r="A242" s="43">
        <f t="shared" si="29"/>
        <v>16</v>
      </c>
      <c r="B242" s="62" t="s">
        <v>252</v>
      </c>
      <c r="C242" s="63"/>
      <c r="D242" s="63"/>
      <c r="E242" s="63"/>
      <c r="F242" s="63"/>
      <c r="G242" s="63"/>
      <c r="H242" s="64"/>
    </row>
    <row r="243" spans="1:8" ht="32.4" customHeight="1" x14ac:dyDescent="0.3">
      <c r="A243" s="43">
        <f t="shared" si="29"/>
        <v>17</v>
      </c>
      <c r="B243" s="62" t="s">
        <v>260</v>
      </c>
      <c r="C243" s="63"/>
      <c r="D243" s="63"/>
      <c r="E243" s="63"/>
      <c r="F243" s="63"/>
      <c r="G243" s="63"/>
      <c r="H243" s="64"/>
    </row>
    <row r="244" spans="1:8" ht="15.75" customHeight="1" x14ac:dyDescent="0.3">
      <c r="A244" s="178" t="s">
        <v>61</v>
      </c>
      <c r="B244" s="178"/>
      <c r="C244" s="178"/>
      <c r="D244" s="178"/>
      <c r="E244" s="178"/>
      <c r="F244" s="178"/>
      <c r="G244" s="178"/>
      <c r="H244" s="178"/>
    </row>
    <row r="245" spans="1:8" x14ac:dyDescent="0.3">
      <c r="A245" s="96" t="s">
        <v>62</v>
      </c>
      <c r="B245" s="96"/>
      <c r="C245" s="96"/>
      <c r="D245" s="96"/>
      <c r="E245" s="96"/>
      <c r="F245" s="96"/>
      <c r="G245" s="96"/>
      <c r="H245" s="96"/>
    </row>
    <row r="246" spans="1:8" x14ac:dyDescent="0.3">
      <c r="A246" s="197" t="s">
        <v>63</v>
      </c>
      <c r="B246" s="197"/>
      <c r="C246" s="197"/>
      <c r="D246" s="197"/>
      <c r="E246" s="197"/>
      <c r="F246" s="197"/>
      <c r="G246" s="197"/>
      <c r="H246" s="197"/>
    </row>
    <row r="247" spans="1:8" ht="12.75" hidden="1" customHeight="1" x14ac:dyDescent="0.3">
      <c r="A247" s="96" t="s">
        <v>64</v>
      </c>
      <c r="B247" s="96"/>
      <c r="C247" s="96"/>
      <c r="D247" s="96"/>
      <c r="E247" s="96"/>
      <c r="F247" s="96"/>
      <c r="G247" s="96"/>
      <c r="H247" s="96"/>
    </row>
    <row r="248" spans="1:8" hidden="1" x14ac:dyDescent="0.3">
      <c r="A248" s="96" t="s">
        <v>65</v>
      </c>
      <c r="B248" s="96"/>
      <c r="C248" s="96"/>
      <c r="D248" s="96"/>
      <c r="E248" s="96"/>
      <c r="F248" s="96"/>
      <c r="G248" s="96"/>
      <c r="H248" s="96"/>
    </row>
    <row r="249" spans="1:8" ht="15.75" customHeight="1" x14ac:dyDescent="0.3">
      <c r="A249" s="96" t="s">
        <v>130</v>
      </c>
      <c r="B249" s="96"/>
      <c r="C249" s="96"/>
      <c r="D249" s="96"/>
      <c r="E249" s="96"/>
      <c r="F249" s="96"/>
      <c r="G249" s="96"/>
      <c r="H249" s="96"/>
    </row>
    <row r="250" spans="1:8" x14ac:dyDescent="0.3">
      <c r="A250" s="97" t="s">
        <v>131</v>
      </c>
      <c r="B250" s="97"/>
      <c r="C250" s="97"/>
      <c r="D250" s="97"/>
      <c r="E250" s="97"/>
      <c r="F250" s="97"/>
      <c r="G250" s="97"/>
      <c r="H250" s="97"/>
    </row>
    <row r="251" spans="1:8" x14ac:dyDescent="0.3">
      <c r="A251" s="176" t="s">
        <v>78</v>
      </c>
      <c r="B251" s="176"/>
      <c r="C251" s="176" t="s">
        <v>251</v>
      </c>
      <c r="D251" s="176"/>
      <c r="E251" s="176" t="s">
        <v>108</v>
      </c>
      <c r="F251" s="176"/>
      <c r="G251" s="176" t="s">
        <v>246</v>
      </c>
      <c r="H251" s="176"/>
    </row>
    <row r="252" spans="1:8" x14ac:dyDescent="0.3">
      <c r="A252" s="175" t="s">
        <v>80</v>
      </c>
      <c r="B252" s="175"/>
      <c r="C252" s="175"/>
      <c r="D252" s="175"/>
      <c r="E252" s="175"/>
      <c r="F252" s="175"/>
      <c r="G252" s="175"/>
      <c r="H252" s="175"/>
    </row>
    <row r="253" spans="1:8" x14ac:dyDescent="0.3">
      <c r="A253" s="175"/>
      <c r="B253" s="175"/>
      <c r="C253" s="175"/>
      <c r="D253" s="175"/>
      <c r="E253" s="175"/>
      <c r="F253" s="175"/>
      <c r="G253" s="175"/>
      <c r="H253" s="175"/>
    </row>
    <row r="254" spans="1:8" x14ac:dyDescent="0.3">
      <c r="A254" s="175"/>
      <c r="B254" s="175"/>
      <c r="C254" s="175"/>
      <c r="D254" s="175"/>
      <c r="E254" s="175"/>
      <c r="F254" s="175"/>
      <c r="G254" s="175"/>
      <c r="H254" s="175"/>
    </row>
    <row r="255" spans="1:8" x14ac:dyDescent="0.3">
      <c r="A255" s="175"/>
      <c r="B255" s="175"/>
      <c r="C255" s="175"/>
      <c r="D255" s="175"/>
      <c r="E255" s="175"/>
      <c r="F255" s="175"/>
      <c r="G255" s="175"/>
      <c r="H255" s="175"/>
    </row>
    <row r="256" spans="1:8" x14ac:dyDescent="0.3">
      <c r="A256" s="36" t="s">
        <v>66</v>
      </c>
      <c r="B256" s="37"/>
      <c r="C256" s="37"/>
      <c r="D256" s="36" t="str">
        <f>E8</f>
        <v>Pratap Adinath</v>
      </c>
      <c r="F256" s="37"/>
      <c r="G256" s="37"/>
      <c r="H256" s="37"/>
    </row>
    <row r="257" spans="1:8" ht="15" customHeight="1" x14ac:dyDescent="0.3">
      <c r="A257" s="37"/>
      <c r="B257" s="37"/>
      <c r="C257" s="37"/>
      <c r="D257" s="37"/>
      <c r="E257" s="37"/>
      <c r="F257" s="37"/>
      <c r="G257" s="37"/>
      <c r="H257" s="37"/>
    </row>
    <row r="258" spans="1:8" x14ac:dyDescent="0.3">
      <c r="A258" s="37"/>
      <c r="B258" s="37"/>
      <c r="C258" s="37"/>
      <c r="D258" s="37"/>
      <c r="E258" s="37"/>
      <c r="F258" s="37"/>
      <c r="G258" s="37"/>
      <c r="H258" s="37"/>
    </row>
    <row r="294" spans="1:1" hidden="1" x14ac:dyDescent="0.3"/>
    <row r="295" spans="1:1" hidden="1" x14ac:dyDescent="0.3"/>
    <row r="296" spans="1:1" hidden="1" x14ac:dyDescent="0.3"/>
    <row r="297" spans="1:1" hidden="1" x14ac:dyDescent="0.3"/>
    <row r="300" spans="1:1" x14ac:dyDescent="0.3">
      <c r="A300" s="39" t="s">
        <v>262</v>
      </c>
    </row>
    <row r="342" spans="1:1" x14ac:dyDescent="0.3">
      <c r="A342" s="39" t="s">
        <v>168</v>
      </c>
    </row>
    <row r="384" spans="1:1" x14ac:dyDescent="0.3">
      <c r="A384" s="39" t="s">
        <v>67</v>
      </c>
    </row>
  </sheetData>
  <mergeCells count="425">
    <mergeCell ref="B240:H240"/>
    <mergeCell ref="L72:Q73"/>
    <mergeCell ref="A129:H129"/>
    <mergeCell ref="B238:H238"/>
    <mergeCell ref="A61:C61"/>
    <mergeCell ref="A249:H249"/>
    <mergeCell ref="A246:H246"/>
    <mergeCell ref="A131:B131"/>
    <mergeCell ref="A102:B102"/>
    <mergeCell ref="D118:D119"/>
    <mergeCell ref="E118:E119"/>
    <mergeCell ref="G118:H119"/>
    <mergeCell ref="A78:B78"/>
    <mergeCell ref="F84:H84"/>
    <mergeCell ref="B237:H237"/>
    <mergeCell ref="C118:C119"/>
    <mergeCell ref="A120:H120"/>
    <mergeCell ref="C98:D98"/>
    <mergeCell ref="F94:H94"/>
    <mergeCell ref="F92:H92"/>
    <mergeCell ref="A108:H108"/>
    <mergeCell ref="G98:H98"/>
    <mergeCell ref="A93:E93"/>
    <mergeCell ref="C99:D99"/>
    <mergeCell ref="E99:F99"/>
    <mergeCell ref="F91:H91"/>
    <mergeCell ref="F34:H34"/>
    <mergeCell ref="C54:E54"/>
    <mergeCell ref="G54:H54"/>
    <mergeCell ref="C55:E55"/>
    <mergeCell ref="G55:H55"/>
    <mergeCell ref="G51:H51"/>
    <mergeCell ref="D58:H58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D67:H67"/>
    <mergeCell ref="D62:H62"/>
    <mergeCell ref="D63:H63"/>
    <mergeCell ref="A43:D43"/>
    <mergeCell ref="E43:H43"/>
    <mergeCell ref="E44:H44"/>
    <mergeCell ref="B229:H229"/>
    <mergeCell ref="A107:H107"/>
    <mergeCell ref="F33:H33"/>
    <mergeCell ref="A106:B106"/>
    <mergeCell ref="C106:D106"/>
    <mergeCell ref="E106:F106"/>
    <mergeCell ref="G106:H106"/>
    <mergeCell ref="E42:H42"/>
    <mergeCell ref="A42:D42"/>
    <mergeCell ref="C105:D105"/>
    <mergeCell ref="F93:H93"/>
    <mergeCell ref="E98:F98"/>
    <mergeCell ref="A98:B98"/>
    <mergeCell ref="C102:D102"/>
    <mergeCell ref="G99:H99"/>
    <mergeCell ref="A49:B49"/>
    <mergeCell ref="C49:E49"/>
    <mergeCell ref="G52:H52"/>
    <mergeCell ref="G49:H49"/>
    <mergeCell ref="A56:B56"/>
    <mergeCell ref="C56:E56"/>
    <mergeCell ref="A50:B50"/>
    <mergeCell ref="A57:H57"/>
    <mergeCell ref="A58:C58"/>
    <mergeCell ref="A10:D10"/>
    <mergeCell ref="E10:H10"/>
    <mergeCell ref="A252:H255"/>
    <mergeCell ref="A251:B251"/>
    <mergeCell ref="E251:F251"/>
    <mergeCell ref="C251:D251"/>
    <mergeCell ref="G251:H251"/>
    <mergeCell ref="A97:H97"/>
    <mergeCell ref="A95:E95"/>
    <mergeCell ref="F95:H95"/>
    <mergeCell ref="A96:E96"/>
    <mergeCell ref="F96:H96"/>
    <mergeCell ref="A130:H130"/>
    <mergeCell ref="A104:B104"/>
    <mergeCell ref="A99:B99"/>
    <mergeCell ref="A247:H247"/>
    <mergeCell ref="A101:H101"/>
    <mergeCell ref="A250:H250"/>
    <mergeCell ref="A248:H248"/>
    <mergeCell ref="A244:H244"/>
    <mergeCell ref="A245:H245"/>
    <mergeCell ref="E102:F102"/>
    <mergeCell ref="B235:H235"/>
    <mergeCell ref="B233:H23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4:H14"/>
    <mergeCell ref="A15:B15"/>
    <mergeCell ref="C15:H15"/>
    <mergeCell ref="C16:H16"/>
    <mergeCell ref="A17:B17"/>
    <mergeCell ref="C17:H17"/>
    <mergeCell ref="A12:D12"/>
    <mergeCell ref="E12:H12"/>
    <mergeCell ref="A73:B73"/>
    <mergeCell ref="G72:H72"/>
    <mergeCell ref="A69:B69"/>
    <mergeCell ref="C69:H69"/>
    <mergeCell ref="E13:H13"/>
    <mergeCell ref="A14:D14"/>
    <mergeCell ref="A54:B55"/>
    <mergeCell ref="A67:C67"/>
    <mergeCell ref="E25:H25"/>
    <mergeCell ref="A29:D29"/>
    <mergeCell ref="E29:H29"/>
    <mergeCell ref="A26:D26"/>
    <mergeCell ref="A35:B35"/>
    <mergeCell ref="C35:E35"/>
    <mergeCell ref="A30:D30"/>
    <mergeCell ref="E30:H30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D23"/>
    <mergeCell ref="E22:H23"/>
    <mergeCell ref="E26:H26"/>
    <mergeCell ref="A28:D28"/>
    <mergeCell ref="E28:H28"/>
    <mergeCell ref="A25:D25"/>
    <mergeCell ref="A37:H37"/>
    <mergeCell ref="A36:B36"/>
    <mergeCell ref="C36:E36"/>
    <mergeCell ref="A41:D41"/>
    <mergeCell ref="E41:H41"/>
    <mergeCell ref="A40:H40"/>
    <mergeCell ref="F36:H36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8:B38"/>
    <mergeCell ref="E45:H45"/>
    <mergeCell ref="E46:H46"/>
    <mergeCell ref="A44:D44"/>
    <mergeCell ref="A46:D46"/>
    <mergeCell ref="A47:H47"/>
    <mergeCell ref="D60:H60"/>
    <mergeCell ref="A60:C60"/>
    <mergeCell ref="G50:H50"/>
    <mergeCell ref="D61:H61"/>
    <mergeCell ref="C50:E50"/>
    <mergeCell ref="D59:H59"/>
    <mergeCell ref="G56:H56"/>
    <mergeCell ref="A59:C59"/>
    <mergeCell ref="C38:H38"/>
    <mergeCell ref="A45:D45"/>
    <mergeCell ref="L115:M115"/>
    <mergeCell ref="L114:M114"/>
    <mergeCell ref="L113:M113"/>
    <mergeCell ref="L112:M112"/>
    <mergeCell ref="A80:B80"/>
    <mergeCell ref="E104:F104"/>
    <mergeCell ref="F90:H90"/>
    <mergeCell ref="A84:E84"/>
    <mergeCell ref="A111:H111"/>
    <mergeCell ref="E109:E110"/>
    <mergeCell ref="G109:H110"/>
    <mergeCell ref="E73:F82"/>
    <mergeCell ref="G73:H82"/>
    <mergeCell ref="A81:B81"/>
    <mergeCell ref="A82:B82"/>
    <mergeCell ref="A79:B79"/>
    <mergeCell ref="A72:B72"/>
    <mergeCell ref="A75:B75"/>
    <mergeCell ref="A71:B71"/>
    <mergeCell ref="A62:C62"/>
    <mergeCell ref="A63:C63"/>
    <mergeCell ref="A39:B39"/>
    <mergeCell ref="C39:H39"/>
    <mergeCell ref="B234:H234"/>
    <mergeCell ref="A48:B48"/>
    <mergeCell ref="C48:H48"/>
    <mergeCell ref="B232:H232"/>
    <mergeCell ref="A103:B103"/>
    <mergeCell ref="F85:H85"/>
    <mergeCell ref="A85:E85"/>
    <mergeCell ref="D109:D110"/>
    <mergeCell ref="A87:E87"/>
    <mergeCell ref="A112:B112"/>
    <mergeCell ref="A113:B113"/>
    <mergeCell ref="A89:E89"/>
    <mergeCell ref="F89:H89"/>
    <mergeCell ref="A90:E90"/>
    <mergeCell ref="A92:E92"/>
    <mergeCell ref="F86:H86"/>
    <mergeCell ref="A91:E91"/>
    <mergeCell ref="A86:E86"/>
    <mergeCell ref="A83:E83"/>
    <mergeCell ref="F87:H87"/>
    <mergeCell ref="A88:E88"/>
    <mergeCell ref="B230:H230"/>
    <mergeCell ref="G112:H116"/>
    <mergeCell ref="A125:B125"/>
    <mergeCell ref="L125:M125"/>
    <mergeCell ref="A126:B126"/>
    <mergeCell ref="A105:B105"/>
    <mergeCell ref="E105:F105"/>
    <mergeCell ref="C109:C110"/>
    <mergeCell ref="B118:B119"/>
    <mergeCell ref="A124:B124"/>
    <mergeCell ref="A121:B121"/>
    <mergeCell ref="A115:B115"/>
    <mergeCell ref="A114:B114"/>
    <mergeCell ref="L124:M124"/>
    <mergeCell ref="L121:M121"/>
    <mergeCell ref="A122:B122"/>
    <mergeCell ref="L122:M122"/>
    <mergeCell ref="A123:B123"/>
    <mergeCell ref="L123:M123"/>
    <mergeCell ref="A117:H117"/>
    <mergeCell ref="A118:A119"/>
    <mergeCell ref="A116:B116"/>
    <mergeCell ref="A109:A110"/>
    <mergeCell ref="C116:F116"/>
    <mergeCell ref="B109:B110"/>
    <mergeCell ref="A77:B77"/>
    <mergeCell ref="A64:C64"/>
    <mergeCell ref="D64:H64"/>
    <mergeCell ref="C71:H71"/>
    <mergeCell ref="L126:M126"/>
    <mergeCell ref="A127:B127"/>
    <mergeCell ref="L127:M127"/>
    <mergeCell ref="G121:H127"/>
    <mergeCell ref="A128:H128"/>
    <mergeCell ref="C103:D103"/>
    <mergeCell ref="E103:F103"/>
    <mergeCell ref="G103:H103"/>
    <mergeCell ref="L116:M116"/>
    <mergeCell ref="F83:H83"/>
    <mergeCell ref="F88:H88"/>
    <mergeCell ref="A94:E94"/>
    <mergeCell ref="G105:H105"/>
    <mergeCell ref="A100:B100"/>
    <mergeCell ref="C100:D100"/>
    <mergeCell ref="E100:F100"/>
    <mergeCell ref="G100:H100"/>
    <mergeCell ref="C104:D104"/>
    <mergeCell ref="G104:H104"/>
    <mergeCell ref="G102:H102"/>
    <mergeCell ref="A136:B136"/>
    <mergeCell ref="B236:H236"/>
    <mergeCell ref="B231:H231"/>
    <mergeCell ref="A226:H226"/>
    <mergeCell ref="A134:B134"/>
    <mergeCell ref="L130:M130"/>
    <mergeCell ref="A135:B135"/>
    <mergeCell ref="A132:B132"/>
    <mergeCell ref="A133:B133"/>
    <mergeCell ref="B227:H227"/>
    <mergeCell ref="B228:H228"/>
    <mergeCell ref="A137:B137"/>
    <mergeCell ref="G131:H137"/>
    <mergeCell ref="A138:H138"/>
    <mergeCell ref="L138:M138"/>
    <mergeCell ref="A139:B139"/>
    <mergeCell ref="G139:H145"/>
    <mergeCell ref="A140:B140"/>
    <mergeCell ref="A141:B141"/>
    <mergeCell ref="A142:B142"/>
    <mergeCell ref="A143:B143"/>
    <mergeCell ref="A144:B144"/>
    <mergeCell ref="A145:B145"/>
    <mergeCell ref="A146:H146"/>
    <mergeCell ref="L146:M146"/>
    <mergeCell ref="A147:B147"/>
    <mergeCell ref="G147:H153"/>
    <mergeCell ref="A148:B148"/>
    <mergeCell ref="A149:B149"/>
    <mergeCell ref="A150:B150"/>
    <mergeCell ref="A151:B151"/>
    <mergeCell ref="A152:B152"/>
    <mergeCell ref="A153:B153"/>
    <mergeCell ref="C147:F148"/>
    <mergeCell ref="A154:H154"/>
    <mergeCell ref="L154:M154"/>
    <mergeCell ref="A155:B155"/>
    <mergeCell ref="G155:H161"/>
    <mergeCell ref="A156:B156"/>
    <mergeCell ref="A157:B157"/>
    <mergeCell ref="A158:B158"/>
    <mergeCell ref="A159:B159"/>
    <mergeCell ref="A160:B160"/>
    <mergeCell ref="A161:B161"/>
    <mergeCell ref="A162:H162"/>
    <mergeCell ref="L162:M162"/>
    <mergeCell ref="A163:B163"/>
    <mergeCell ref="G163:H169"/>
    <mergeCell ref="A164:B164"/>
    <mergeCell ref="A165:B165"/>
    <mergeCell ref="A166:B166"/>
    <mergeCell ref="A167:B167"/>
    <mergeCell ref="A168:B168"/>
    <mergeCell ref="A169:B169"/>
    <mergeCell ref="A170:H170"/>
    <mergeCell ref="L170:M170"/>
    <mergeCell ref="A171:B171"/>
    <mergeCell ref="G171:H177"/>
    <mergeCell ref="A172:B172"/>
    <mergeCell ref="A173:B173"/>
    <mergeCell ref="A174:B174"/>
    <mergeCell ref="A175:B175"/>
    <mergeCell ref="A176:B176"/>
    <mergeCell ref="A177:B177"/>
    <mergeCell ref="A178:H178"/>
    <mergeCell ref="L178:M178"/>
    <mergeCell ref="A179:B179"/>
    <mergeCell ref="G179:H185"/>
    <mergeCell ref="A180:B180"/>
    <mergeCell ref="A181:B181"/>
    <mergeCell ref="A182:B182"/>
    <mergeCell ref="A183:B183"/>
    <mergeCell ref="A184:B184"/>
    <mergeCell ref="A185:B185"/>
    <mergeCell ref="A186:H186"/>
    <mergeCell ref="L186:M186"/>
    <mergeCell ref="A187:B187"/>
    <mergeCell ref="G187:H193"/>
    <mergeCell ref="A188:B188"/>
    <mergeCell ref="A189:B189"/>
    <mergeCell ref="A190:B190"/>
    <mergeCell ref="A191:B191"/>
    <mergeCell ref="A192:B192"/>
    <mergeCell ref="A193:B193"/>
    <mergeCell ref="A218:H218"/>
    <mergeCell ref="L218:M218"/>
    <mergeCell ref="A219:B219"/>
    <mergeCell ref="G219:H225"/>
    <mergeCell ref="A220:B220"/>
    <mergeCell ref="A221:B221"/>
    <mergeCell ref="A222:B222"/>
    <mergeCell ref="A223:B223"/>
    <mergeCell ref="A224:B224"/>
    <mergeCell ref="A225:B225"/>
    <mergeCell ref="C223:F223"/>
    <mergeCell ref="A215:B215"/>
    <mergeCell ref="A216:B216"/>
    <mergeCell ref="A217:B217"/>
    <mergeCell ref="L194:M194"/>
    <mergeCell ref="A195:B195"/>
    <mergeCell ref="C195:F196"/>
    <mergeCell ref="G195:H201"/>
    <mergeCell ref="A196:B196"/>
    <mergeCell ref="A197:B197"/>
    <mergeCell ref="A198:B198"/>
    <mergeCell ref="A199:B199"/>
    <mergeCell ref="A200:B200"/>
    <mergeCell ref="A201:B201"/>
    <mergeCell ref="A194:H194"/>
    <mergeCell ref="B243:H243"/>
    <mergeCell ref="B239:H239"/>
    <mergeCell ref="A51:B53"/>
    <mergeCell ref="C53:H53"/>
    <mergeCell ref="C51:E52"/>
    <mergeCell ref="B242:H242"/>
    <mergeCell ref="B241:H241"/>
    <mergeCell ref="A202:H202"/>
    <mergeCell ref="L202:M202"/>
    <mergeCell ref="A203:B203"/>
    <mergeCell ref="G203:H209"/>
    <mergeCell ref="A204:B204"/>
    <mergeCell ref="A205:B205"/>
    <mergeCell ref="A206:B206"/>
    <mergeCell ref="A207:B207"/>
    <mergeCell ref="A208:B208"/>
    <mergeCell ref="A209:B209"/>
    <mergeCell ref="A210:H210"/>
    <mergeCell ref="L210:M210"/>
    <mergeCell ref="A211:B211"/>
    <mergeCell ref="G211:H217"/>
    <mergeCell ref="A212:B212"/>
    <mergeCell ref="A213:B213"/>
    <mergeCell ref="A214:B214"/>
  </mergeCells>
  <dataValidations count="7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No.,Survey No.,Plot No.,Gut No.,FP No.,"</formula1>
    </dataValidation>
    <dataValidation type="list" allowBlank="1" showInputMessage="1" showErrorMessage="1" sqref="G19:H19" xr:uid="{00000000-0002-0000-0000-000002000000}">
      <formula1>"Mumbai,Thane,Palghar,Raigad,Pune"</formula1>
    </dataValidation>
    <dataValidation type="list" allowBlank="1" showInputMessage="1" showErrorMessage="1" sqref="E109:E110" xr:uid="{00000000-0002-0000-0000-000003000000}">
      <formula1>"Attached Loft area,Attached Terrace area,Attached Mezzanine area"</formula1>
    </dataValidation>
    <dataValidation type="list" allowBlank="1" showInputMessage="1" showErrorMessage="1" sqref="F110 F119" xr:uid="{00000000-0002-0000-0000-000004000000}">
      <formula1>"45%,50%,55%,60%"</formula1>
    </dataValidation>
    <dataValidation type="list" allowBlank="1" showInputMessage="1" showErrorMessage="1" sqref="F83:H83" xr:uid="{00000000-0002-0000-0000-000005000000}">
      <formula1>"On Saleable Area,On Builtup Area,On Carpet Area,On Plot Area"</formula1>
    </dataValidation>
    <dataValidation type="list" allowBlank="1" showInputMessage="1" showErrorMessage="1" sqref="F95:H95" xr:uid="{00000000-0002-0000-0000-000006000000}">
      <formula1>"100000,150000,200000,250000,300000,350000,400000,500000,600000,700000,800000,900000,1000000,1200000,1400000,1500000"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255" max="7" man="1"/>
    <brk id="299" max="16383" man="1"/>
    <brk id="341" max="16383" man="1"/>
    <brk id="383" max="7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M19"/>
  <sheetViews>
    <sheetView zoomScale="85" zoomScaleNormal="85" workbookViewId="0">
      <selection activeCell="L10" sqref="L1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9" width="8.6640625" style="1"/>
    <col min="10" max="10" width="9.21875" style="1" bestFit="1" customWidth="1"/>
    <col min="11" max="11" width="18.21875" style="1" customWidth="1"/>
    <col min="12" max="12" width="16" style="1" customWidth="1"/>
    <col min="13" max="16384" width="8.6640625" style="1"/>
  </cols>
  <sheetData>
    <row r="1" spans="1:13" ht="15" customHeight="1" x14ac:dyDescent="0.3"/>
    <row r="2" spans="1:13" ht="15" customHeight="1" x14ac:dyDescent="0.3">
      <c r="A2" s="2"/>
      <c r="B2" s="2"/>
      <c r="C2" s="2"/>
      <c r="D2" s="2"/>
      <c r="E2" s="2"/>
      <c r="F2" s="2"/>
      <c r="G2" s="2"/>
      <c r="H2" s="2"/>
    </row>
    <row r="3" spans="1:13" ht="15.75" customHeight="1" x14ac:dyDescent="0.3">
      <c r="A3" s="2"/>
      <c r="B3" s="199" t="s">
        <v>109</v>
      </c>
      <c r="C3" s="199"/>
      <c r="D3" s="199"/>
      <c r="E3" s="199"/>
      <c r="F3" s="199"/>
      <c r="G3" s="199"/>
      <c r="H3" s="199"/>
    </row>
    <row r="4" spans="1:13" ht="14.4" customHeight="1" x14ac:dyDescent="0.3">
      <c r="A4" s="2"/>
      <c r="B4" s="3" t="s">
        <v>110</v>
      </c>
      <c r="C4" s="3" t="s">
        <v>111</v>
      </c>
      <c r="D4" s="3" t="s">
        <v>69</v>
      </c>
      <c r="E4" s="3" t="s">
        <v>112</v>
      </c>
      <c r="F4" s="3" t="s">
        <v>117</v>
      </c>
      <c r="G4" s="3" t="s">
        <v>118</v>
      </c>
      <c r="H4" s="3" t="s">
        <v>113</v>
      </c>
      <c r="K4" s="1" t="s">
        <v>255</v>
      </c>
      <c r="L4" s="61" t="s">
        <v>256</v>
      </c>
      <c r="M4" s="61"/>
    </row>
    <row r="5" spans="1:13" ht="15" customHeight="1" x14ac:dyDescent="0.3">
      <c r="A5" s="2"/>
      <c r="B5" s="60" t="s">
        <v>254</v>
      </c>
      <c r="C5" s="6"/>
      <c r="D5" s="60" t="s">
        <v>208</v>
      </c>
      <c r="E5" s="5">
        <v>449</v>
      </c>
      <c r="F5" s="7">
        <f>E5*1.6</f>
        <v>718.40000000000009</v>
      </c>
      <c r="G5" s="7">
        <f>H5/F5</f>
        <v>23524.498886414251</v>
      </c>
      <c r="H5" s="8">
        <v>16900000</v>
      </c>
    </row>
    <row r="6" spans="1:13" x14ac:dyDescent="0.3">
      <c r="A6" s="2"/>
      <c r="B6" s="60" t="s">
        <v>254</v>
      </c>
      <c r="C6" s="9"/>
      <c r="D6" s="60" t="s">
        <v>207</v>
      </c>
      <c r="E6" s="5">
        <v>642</v>
      </c>
      <c r="F6" s="7">
        <f t="shared" ref="F6:F9" si="0">E6*1.6</f>
        <v>1027.2</v>
      </c>
      <c r="G6" s="7">
        <f t="shared" ref="G6:G11" si="1">H6/F6</f>
        <v>23559.190031152648</v>
      </c>
      <c r="H6" s="8">
        <v>24200000</v>
      </c>
      <c r="K6" s="1" t="s">
        <v>257</v>
      </c>
      <c r="L6" s="1">
        <v>25000</v>
      </c>
    </row>
    <row r="7" spans="1:13" ht="15" customHeight="1" x14ac:dyDescent="0.3">
      <c r="A7" s="2"/>
      <c r="B7" s="60" t="s">
        <v>254</v>
      </c>
      <c r="C7" s="6"/>
      <c r="D7" s="60" t="s">
        <v>207</v>
      </c>
      <c r="E7" s="5">
        <v>746</v>
      </c>
      <c r="F7" s="7">
        <f t="shared" si="0"/>
        <v>1193.6000000000001</v>
      </c>
      <c r="G7" s="7">
        <f t="shared" si="1"/>
        <v>23542.225201072382</v>
      </c>
      <c r="H7" s="8">
        <v>28100000</v>
      </c>
      <c r="K7" s="1" t="s">
        <v>258</v>
      </c>
      <c r="L7" s="1">
        <v>28000</v>
      </c>
    </row>
    <row r="8" spans="1:13" x14ac:dyDescent="0.3">
      <c r="A8" s="2"/>
      <c r="B8" s="60" t="s">
        <v>254</v>
      </c>
      <c r="C8" s="9"/>
      <c r="D8" s="60" t="s">
        <v>209</v>
      </c>
      <c r="E8" s="5">
        <v>812</v>
      </c>
      <c r="F8" s="7">
        <f t="shared" si="0"/>
        <v>1299.2</v>
      </c>
      <c r="G8" s="7">
        <f t="shared" si="1"/>
        <v>23552.95566502463</v>
      </c>
      <c r="H8" s="8">
        <v>30600000</v>
      </c>
      <c r="M8" s="1">
        <f>G10*1.5</f>
        <v>30066.815144766151</v>
      </c>
    </row>
    <row r="9" spans="1:13" ht="15" customHeight="1" x14ac:dyDescent="0.3">
      <c r="A9" s="2"/>
      <c r="B9" s="60" t="s">
        <v>254</v>
      </c>
      <c r="C9" s="9"/>
      <c r="D9" s="60" t="s">
        <v>209</v>
      </c>
      <c r="E9" s="5">
        <v>1009</v>
      </c>
      <c r="F9" s="7">
        <f t="shared" si="0"/>
        <v>1614.4</v>
      </c>
      <c r="G9" s="7">
        <f t="shared" si="1"/>
        <v>23538.156590683844</v>
      </c>
      <c r="H9" s="8">
        <v>38000000</v>
      </c>
    </row>
    <row r="10" spans="1:13" ht="15" customHeight="1" x14ac:dyDescent="0.3">
      <c r="A10" s="2"/>
      <c r="B10" s="5" t="s">
        <v>114</v>
      </c>
      <c r="C10" s="6"/>
      <c r="D10" s="60" t="s">
        <v>208</v>
      </c>
      <c r="E10" s="5">
        <v>449</v>
      </c>
      <c r="F10" s="7">
        <f>E10*1.5</f>
        <v>673.5</v>
      </c>
      <c r="G10" s="7">
        <f t="shared" si="1"/>
        <v>20044.5434298441</v>
      </c>
      <c r="H10" s="8">
        <v>13500000</v>
      </c>
    </row>
    <row r="11" spans="1:13" ht="16.2" customHeight="1" x14ac:dyDescent="0.3">
      <c r="A11" s="2"/>
      <c r="B11" s="5" t="s">
        <v>114</v>
      </c>
      <c r="C11" s="6"/>
      <c r="D11" s="60" t="s">
        <v>208</v>
      </c>
      <c r="E11" s="5">
        <v>467</v>
      </c>
      <c r="F11" s="7">
        <f t="shared" ref="F11:F14" si="2">E11*1.5</f>
        <v>700.5</v>
      </c>
      <c r="G11" s="7">
        <f t="shared" si="1"/>
        <v>19985.724482512491</v>
      </c>
      <c r="H11" s="8">
        <v>14000000</v>
      </c>
    </row>
    <row r="12" spans="1:13" ht="16.2" customHeight="1" x14ac:dyDescent="0.3">
      <c r="A12" s="2"/>
      <c r="B12" s="5" t="s">
        <v>114</v>
      </c>
      <c r="C12" s="6"/>
      <c r="D12" s="60" t="s">
        <v>207</v>
      </c>
      <c r="E12" s="5">
        <v>675</v>
      </c>
      <c r="F12" s="7">
        <f t="shared" si="2"/>
        <v>1012.5</v>
      </c>
      <c r="G12" s="7">
        <f t="shared" ref="G12:G14" si="3">H12/F12</f>
        <v>20049.382716049382</v>
      </c>
      <c r="H12" s="8">
        <v>20300000</v>
      </c>
      <c r="J12" s="1">
        <v>23500000</v>
      </c>
      <c r="K12" s="1">
        <f>J12/F12</f>
        <v>23209.876543209877</v>
      </c>
    </row>
    <row r="13" spans="1:13" ht="16.2" customHeight="1" x14ac:dyDescent="0.3">
      <c r="A13" s="2"/>
      <c r="B13" s="5" t="s">
        <v>114</v>
      </c>
      <c r="C13" s="6"/>
      <c r="D13" s="60" t="s">
        <v>207</v>
      </c>
      <c r="E13" s="5">
        <v>746</v>
      </c>
      <c r="F13" s="7">
        <f t="shared" si="2"/>
        <v>1119</v>
      </c>
      <c r="G13" s="7">
        <f t="shared" si="3"/>
        <v>20017.873100983019</v>
      </c>
      <c r="H13" s="8">
        <v>22400000</v>
      </c>
      <c r="J13" s="1">
        <v>23500000</v>
      </c>
      <c r="K13" s="1">
        <f>J13/F13</f>
        <v>21000.893655049153</v>
      </c>
    </row>
    <row r="14" spans="1:13" x14ac:dyDescent="0.3">
      <c r="A14" s="2"/>
      <c r="B14" s="5" t="s">
        <v>114</v>
      </c>
      <c r="C14" s="6"/>
      <c r="D14" s="60" t="s">
        <v>209</v>
      </c>
      <c r="E14" s="5">
        <v>1009</v>
      </c>
      <c r="F14" s="7">
        <f t="shared" si="2"/>
        <v>1513.5</v>
      </c>
      <c r="G14" s="7">
        <f t="shared" si="3"/>
        <v>20019.821605550049</v>
      </c>
      <c r="H14" s="8">
        <v>30300000</v>
      </c>
    </row>
    <row r="15" spans="1:13" ht="15" customHeight="1" x14ac:dyDescent="0.3">
      <c r="A15" s="2"/>
      <c r="B15" s="10" t="s">
        <v>115</v>
      </c>
      <c r="C15" s="5"/>
      <c r="D15" s="5"/>
      <c r="E15" s="5"/>
      <c r="F15" s="5"/>
      <c r="G15" s="11">
        <f>AVERAGE(G5:G9)</f>
        <v>23543.405274869554</v>
      </c>
      <c r="H15" s="5"/>
    </row>
    <row r="16" spans="1:13" ht="15" customHeight="1" x14ac:dyDescent="0.3">
      <c r="B16" s="10" t="s">
        <v>116</v>
      </c>
      <c r="C16" s="5"/>
      <c r="D16" s="5"/>
      <c r="E16" s="5"/>
      <c r="F16" s="12"/>
      <c r="G16" s="10"/>
      <c r="H16" s="10"/>
      <c r="I16" s="4"/>
    </row>
    <row r="17" ht="15" customHeight="1" x14ac:dyDescent="0.3"/>
    <row r="18" ht="15" customHeight="1" x14ac:dyDescent="0.3"/>
    <row r="1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2025-07-23T09:35:51Z</cp:lastPrinted>
  <dcterms:created xsi:type="dcterms:W3CDTF">2019-07-16T09:29:46Z</dcterms:created>
  <dcterms:modified xsi:type="dcterms:W3CDTF">2025-07-23T09:54:37Z</dcterms:modified>
</cp:coreProperties>
</file>