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VSJC-06\Downloads\APF Dump\"/>
    </mc:Choice>
  </mc:AlternateContent>
  <bookViews>
    <workbookView xWindow="0" yWindow="0" windowWidth="20490" windowHeight="7020"/>
  </bookViews>
  <sheets>
    <sheet name="Sheet1" sheetId="1" r:id="rId1"/>
    <sheet name="VALUATION" sheetId="16" r:id="rId2"/>
    <sheet name="Construction %" sheetId="14" r:id="rId3"/>
    <sheet name="Note" sheetId="15" r:id="rId4"/>
    <sheet name="Wing A" sheetId="11" r:id="rId5"/>
    <sheet name="Wing B" sheetId="12" r:id="rId6"/>
    <sheet name="Wing C" sheetId="13" r:id="rId7"/>
  </sheets>
  <definedNames>
    <definedName name="_xlnm.Print_Area" localSheetId="0">Sheet1!$A$1:$J$351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5" i="1" l="1"/>
  <c r="O97" i="1" l="1"/>
  <c r="E207" i="1" l="1"/>
  <c r="D207" i="1"/>
  <c r="E206" i="1"/>
  <c r="D206" i="1"/>
  <c r="E205" i="1"/>
  <c r="D205" i="1"/>
  <c r="E204" i="1"/>
  <c r="D204" i="1"/>
  <c r="E203" i="1"/>
  <c r="D203" i="1"/>
  <c r="E202" i="1"/>
  <c r="D202" i="1"/>
  <c r="A201" i="1"/>
  <c r="A202" i="1" s="1"/>
  <c r="A203" i="1" s="1"/>
  <c r="A204" i="1" s="1"/>
  <c r="A205" i="1" s="1"/>
  <c r="A206" i="1" s="1"/>
  <c r="A207" i="1" s="1"/>
  <c r="E200" i="1"/>
  <c r="D200" i="1"/>
  <c r="E198" i="1"/>
  <c r="D198" i="1"/>
  <c r="E197" i="1"/>
  <c r="D197" i="1"/>
  <c r="E196" i="1"/>
  <c r="D196" i="1"/>
  <c r="E195" i="1"/>
  <c r="D195" i="1"/>
  <c r="E194" i="1"/>
  <c r="D194" i="1"/>
  <c r="E193" i="1"/>
  <c r="D193" i="1"/>
  <c r="E192" i="1"/>
  <c r="D192" i="1"/>
  <c r="A192" i="1"/>
  <c r="A193" i="1" s="1"/>
  <c r="A194" i="1" s="1"/>
  <c r="A195" i="1" s="1"/>
  <c r="A196" i="1" s="1"/>
  <c r="A197" i="1" s="1"/>
  <c r="A198" i="1" s="1"/>
  <c r="L191" i="1"/>
  <c r="E191" i="1"/>
  <c r="D191" i="1"/>
  <c r="E176" i="1"/>
  <c r="E180" i="1"/>
  <c r="D180" i="1"/>
  <c r="E179" i="1"/>
  <c r="D179" i="1"/>
  <c r="E178" i="1"/>
  <c r="D178" i="1"/>
  <c r="E177" i="1"/>
  <c r="D177" i="1"/>
  <c r="D176" i="1"/>
  <c r="E175" i="1"/>
  <c r="D175" i="1"/>
  <c r="E174" i="1"/>
  <c r="D174" i="1"/>
  <c r="A174" i="1"/>
  <c r="A175" i="1" s="1"/>
  <c r="A176" i="1" s="1"/>
  <c r="A177" i="1" s="1"/>
  <c r="A178" i="1" s="1"/>
  <c r="A179" i="1" s="1"/>
  <c r="A180" i="1" s="1"/>
  <c r="E173" i="1"/>
  <c r="D173" i="1"/>
  <c r="E189" i="1"/>
  <c r="D189" i="1"/>
  <c r="E188" i="1"/>
  <c r="D188" i="1"/>
  <c r="E187" i="1"/>
  <c r="D187" i="1"/>
  <c r="E186" i="1"/>
  <c r="D186" i="1"/>
  <c r="E185" i="1"/>
  <c r="D185" i="1"/>
  <c r="E184" i="1"/>
  <c r="D184" i="1"/>
  <c r="E183" i="1"/>
  <c r="D183" i="1"/>
  <c r="A183" i="1"/>
  <c r="A184" i="1" s="1"/>
  <c r="A185" i="1" s="1"/>
  <c r="A186" i="1" s="1"/>
  <c r="A187" i="1" s="1"/>
  <c r="A188" i="1" s="1"/>
  <c r="A189" i="1" s="1"/>
  <c r="E182" i="1"/>
  <c r="D182" i="1"/>
  <c r="E153" i="1"/>
  <c r="D153" i="1"/>
  <c r="E152" i="1"/>
  <c r="D152" i="1"/>
  <c r="E151" i="1"/>
  <c r="D151" i="1"/>
  <c r="E150" i="1"/>
  <c r="D150" i="1"/>
  <c r="E149" i="1"/>
  <c r="D149" i="1"/>
  <c r="E148" i="1"/>
  <c r="D148" i="1"/>
  <c r="E147" i="1"/>
  <c r="D147" i="1"/>
  <c r="A147" i="1"/>
  <c r="A148" i="1" s="1"/>
  <c r="A149" i="1" s="1"/>
  <c r="A150" i="1" s="1"/>
  <c r="A151" i="1" s="1"/>
  <c r="A152" i="1" s="1"/>
  <c r="A153" i="1" s="1"/>
  <c r="L146" i="1"/>
  <c r="E146" i="1"/>
  <c r="D146" i="1"/>
  <c r="E171" i="1"/>
  <c r="D171" i="1"/>
  <c r="E170" i="1"/>
  <c r="D170" i="1"/>
  <c r="E169" i="1"/>
  <c r="D169" i="1"/>
  <c r="E168" i="1"/>
  <c r="D168" i="1"/>
  <c r="E167" i="1"/>
  <c r="D167" i="1"/>
  <c r="E166" i="1"/>
  <c r="D166" i="1"/>
  <c r="E165" i="1"/>
  <c r="D165" i="1"/>
  <c r="A165" i="1"/>
  <c r="A166" i="1" s="1"/>
  <c r="A167" i="1" s="1"/>
  <c r="A168" i="1" s="1"/>
  <c r="A169" i="1" s="1"/>
  <c r="A170" i="1" s="1"/>
  <c r="A171" i="1" s="1"/>
  <c r="L164" i="1"/>
  <c r="E164" i="1"/>
  <c r="D164" i="1"/>
  <c r="E162" i="1"/>
  <c r="D162" i="1"/>
  <c r="E161" i="1"/>
  <c r="D161" i="1"/>
  <c r="E160" i="1"/>
  <c r="D160" i="1"/>
  <c r="E159" i="1"/>
  <c r="D159" i="1"/>
  <c r="E158" i="1"/>
  <c r="D158" i="1"/>
  <c r="E157" i="1"/>
  <c r="D157" i="1"/>
  <c r="E156" i="1"/>
  <c r="D156" i="1"/>
  <c r="A156" i="1"/>
  <c r="A157" i="1" s="1"/>
  <c r="A158" i="1" s="1"/>
  <c r="A159" i="1" s="1"/>
  <c r="A160" i="1" s="1"/>
  <c r="A161" i="1" s="1"/>
  <c r="A162" i="1" s="1"/>
  <c r="E155" i="1"/>
  <c r="D155" i="1"/>
  <c r="E144" i="1"/>
  <c r="D144" i="1"/>
  <c r="E143" i="1"/>
  <c r="D143" i="1"/>
  <c r="E142" i="1"/>
  <c r="D142" i="1"/>
  <c r="E141" i="1"/>
  <c r="D141" i="1"/>
  <c r="E140" i="1"/>
  <c r="D140" i="1"/>
  <c r="E139" i="1"/>
  <c r="D139" i="1"/>
  <c r="E138" i="1"/>
  <c r="D138" i="1"/>
  <c r="A138" i="1"/>
  <c r="A139" i="1" s="1"/>
  <c r="A140" i="1" s="1"/>
  <c r="A141" i="1" s="1"/>
  <c r="A142" i="1" s="1"/>
  <c r="A143" i="1" s="1"/>
  <c r="A144" i="1" s="1"/>
  <c r="L137" i="1"/>
  <c r="E137" i="1"/>
  <c r="D137" i="1"/>
  <c r="E131" i="1"/>
  <c r="E135" i="1"/>
  <c r="D135" i="1"/>
  <c r="E134" i="1"/>
  <c r="D134" i="1"/>
  <c r="E133" i="1"/>
  <c r="D133" i="1"/>
  <c r="E132" i="1"/>
  <c r="D132" i="1"/>
  <c r="D131" i="1"/>
  <c r="E130" i="1"/>
  <c r="D130" i="1"/>
  <c r="E129" i="1"/>
  <c r="D129" i="1"/>
  <c r="A129" i="1"/>
  <c r="A130" i="1" s="1"/>
  <c r="A131" i="1" s="1"/>
  <c r="A132" i="1" s="1"/>
  <c r="A133" i="1" s="1"/>
  <c r="A134" i="1" s="1"/>
  <c r="A135" i="1" s="1"/>
  <c r="E128" i="1"/>
  <c r="D128" i="1"/>
  <c r="E119" i="1"/>
  <c r="E126" i="1"/>
  <c r="D126" i="1"/>
  <c r="E125" i="1"/>
  <c r="D125" i="1"/>
  <c r="E124" i="1"/>
  <c r="D124" i="1"/>
  <c r="E123" i="1"/>
  <c r="D123" i="1"/>
  <c r="E122" i="1"/>
  <c r="D122" i="1"/>
  <c r="E121" i="1"/>
  <c r="D121" i="1"/>
  <c r="E120" i="1"/>
  <c r="D120" i="1"/>
  <c r="A120" i="1"/>
  <c r="A121" i="1" s="1"/>
  <c r="A122" i="1" s="1"/>
  <c r="A123" i="1" s="1"/>
  <c r="A124" i="1" s="1"/>
  <c r="A125" i="1" s="1"/>
  <c r="A126" i="1" s="1"/>
  <c r="L119" i="1"/>
  <c r="D119" i="1"/>
  <c r="E116" i="1"/>
  <c r="E115" i="1"/>
  <c r="E114" i="1"/>
  <c r="E113" i="1"/>
  <c r="E112" i="1"/>
  <c r="E111" i="1"/>
  <c r="E110" i="1"/>
  <c r="E117" i="1"/>
  <c r="D117" i="1"/>
  <c r="D116" i="1"/>
  <c r="D115" i="1"/>
  <c r="D114" i="1"/>
  <c r="D113" i="1"/>
  <c r="D112" i="1"/>
  <c r="D111" i="1"/>
  <c r="A111" i="1"/>
  <c r="A112" i="1" s="1"/>
  <c r="A113" i="1" s="1"/>
  <c r="A114" i="1" s="1"/>
  <c r="A115" i="1" s="1"/>
  <c r="A116" i="1" s="1"/>
  <c r="A117" i="1" s="1"/>
  <c r="L110" i="1"/>
  <c r="D110" i="1"/>
  <c r="E108" i="1"/>
  <c r="E107" i="1"/>
  <c r="E106" i="1"/>
  <c r="E105" i="1"/>
  <c r="E104" i="1"/>
  <c r="E103" i="1"/>
  <c r="D103" i="1"/>
  <c r="E102" i="1"/>
  <c r="D102" i="1"/>
  <c r="E101" i="1"/>
  <c r="D108" i="1"/>
  <c r="D107" i="1"/>
  <c r="D106" i="1"/>
  <c r="D105" i="1"/>
  <c r="D104" i="1"/>
  <c r="A102" i="1"/>
  <c r="A103" i="1" s="1"/>
  <c r="A104" i="1" s="1"/>
  <c r="A105" i="1" s="1"/>
  <c r="A106" i="1" s="1"/>
  <c r="A107" i="1" s="1"/>
  <c r="A108" i="1" s="1"/>
  <c r="D101" i="1"/>
  <c r="E99" i="1"/>
  <c r="E98" i="1"/>
  <c r="D99" i="1"/>
  <c r="D98" i="1"/>
  <c r="E97" i="1"/>
  <c r="D97" i="1"/>
  <c r="F97" i="1" s="1"/>
  <c r="I97" i="1" s="1"/>
  <c r="E96" i="1"/>
  <c r="D96" i="1"/>
  <c r="H95" i="1"/>
  <c r="E95" i="1"/>
  <c r="D95" i="1"/>
  <c r="H94" i="1"/>
  <c r="E94" i="1"/>
  <c r="D94" i="1"/>
  <c r="H93" i="1"/>
  <c r="E93" i="1"/>
  <c r="D93" i="1"/>
  <c r="H92" i="1"/>
  <c r="E92" i="1"/>
  <c r="D92" i="1"/>
  <c r="L92" i="1"/>
  <c r="D49" i="1"/>
  <c r="F38" i="1"/>
  <c r="F39" i="1" s="1"/>
  <c r="F129" i="1" l="1"/>
  <c r="I129" i="1" s="1"/>
  <c r="F206" i="1"/>
  <c r="I206" i="1" s="1"/>
  <c r="F203" i="1"/>
  <c r="F117" i="1"/>
  <c r="I117" i="1" s="1"/>
  <c r="F122" i="1"/>
  <c r="I122" i="1" s="1"/>
  <c r="F124" i="1"/>
  <c r="I124" i="1" s="1"/>
  <c r="F126" i="1"/>
  <c r="I126" i="1" s="1"/>
  <c r="F130" i="1"/>
  <c r="I130" i="1" s="1"/>
  <c r="F188" i="1"/>
  <c r="I188" i="1" s="1"/>
  <c r="F119" i="1"/>
  <c r="I119" i="1" s="1"/>
  <c r="F138" i="1"/>
  <c r="I138" i="1" s="1"/>
  <c r="F160" i="1"/>
  <c r="I160" i="1" s="1"/>
  <c r="F162" i="1"/>
  <c r="I162" i="1" s="1"/>
  <c r="F147" i="1"/>
  <c r="I147" i="1" s="1"/>
  <c r="F149" i="1"/>
  <c r="I149" i="1" s="1"/>
  <c r="F153" i="1"/>
  <c r="I153" i="1" s="1"/>
  <c r="F175" i="1"/>
  <c r="I175" i="1" s="1"/>
  <c r="F191" i="1"/>
  <c r="I191" i="1" s="1"/>
  <c r="F194" i="1"/>
  <c r="I194" i="1" s="1"/>
  <c r="F196" i="1"/>
  <c r="I196" i="1" s="1"/>
  <c r="F198" i="1"/>
  <c r="I198" i="1" s="1"/>
  <c r="F178" i="1"/>
  <c r="I178" i="1" s="1"/>
  <c r="F131" i="1"/>
  <c r="I131" i="1" s="1"/>
  <c r="F139" i="1"/>
  <c r="I139" i="1" s="1"/>
  <c r="F143" i="1"/>
  <c r="I143" i="1" s="1"/>
  <c r="F157" i="1"/>
  <c r="I157" i="1" s="1"/>
  <c r="F167" i="1"/>
  <c r="I167" i="1" s="1"/>
  <c r="F169" i="1"/>
  <c r="I169" i="1" s="1"/>
  <c r="F171" i="1"/>
  <c r="I171" i="1" s="1"/>
  <c r="F152" i="1"/>
  <c r="I152" i="1" s="1"/>
  <c r="F183" i="1"/>
  <c r="I183" i="1" s="1"/>
  <c r="F185" i="1"/>
  <c r="I185" i="1" s="1"/>
  <c r="F189" i="1"/>
  <c r="I189" i="1" s="1"/>
  <c r="F200" i="1"/>
  <c r="I200" i="1" s="1"/>
  <c r="F102" i="1"/>
  <c r="I102" i="1" s="1"/>
  <c r="F108" i="1"/>
  <c r="I108" i="1" s="1"/>
  <c r="F111" i="1"/>
  <c r="I111" i="1" s="1"/>
  <c r="F135" i="1"/>
  <c r="I135" i="1" s="1"/>
  <c r="F205" i="1"/>
  <c r="I205" i="1" s="1"/>
  <c r="F207" i="1"/>
  <c r="F110" i="1"/>
  <c r="I110" i="1" s="1"/>
  <c r="F112" i="1"/>
  <c r="I112" i="1" s="1"/>
  <c r="F116" i="1"/>
  <c r="I116" i="1" s="1"/>
  <c r="F140" i="1"/>
  <c r="I140" i="1" s="1"/>
  <c r="F142" i="1"/>
  <c r="I142" i="1" s="1"/>
  <c r="F144" i="1"/>
  <c r="I144" i="1" s="1"/>
  <c r="F158" i="1"/>
  <c r="I158" i="1" s="1"/>
  <c r="F166" i="1"/>
  <c r="I166" i="1" s="1"/>
  <c r="F170" i="1"/>
  <c r="I170" i="1" s="1"/>
  <c r="F146" i="1"/>
  <c r="I146" i="1" s="1"/>
  <c r="F195" i="1"/>
  <c r="I195" i="1" s="1"/>
  <c r="F202" i="1"/>
  <c r="I202" i="1" s="1"/>
  <c r="F101" i="1"/>
  <c r="I101" i="1" s="1"/>
  <c r="O101" i="1" s="1"/>
  <c r="F103" i="1"/>
  <c r="I103" i="1" s="1"/>
  <c r="F114" i="1"/>
  <c r="I114" i="1" s="1"/>
  <c r="F123" i="1"/>
  <c r="I123" i="1" s="1"/>
  <c r="F128" i="1"/>
  <c r="I128" i="1" s="1"/>
  <c r="F134" i="1"/>
  <c r="I134" i="1" s="1"/>
  <c r="F159" i="1"/>
  <c r="I159" i="1" s="1"/>
  <c r="F165" i="1"/>
  <c r="I165" i="1" s="1"/>
  <c r="F173" i="1"/>
  <c r="I173" i="1" s="1"/>
  <c r="F177" i="1"/>
  <c r="I177" i="1" s="1"/>
  <c r="F179" i="1"/>
  <c r="I179" i="1" s="1"/>
  <c r="F204" i="1"/>
  <c r="I204" i="1" s="1"/>
  <c r="F132" i="1"/>
  <c r="I132" i="1" s="1"/>
  <c r="F98" i="1"/>
  <c r="I98" i="1" s="1"/>
  <c r="F107" i="1"/>
  <c r="I107" i="1" s="1"/>
  <c r="F121" i="1"/>
  <c r="I121" i="1" s="1"/>
  <c r="F133" i="1"/>
  <c r="I133" i="1" s="1"/>
  <c r="F141" i="1"/>
  <c r="I141" i="1" s="1"/>
  <c r="F156" i="1"/>
  <c r="I156" i="1" s="1"/>
  <c r="F161" i="1"/>
  <c r="I161" i="1" s="1"/>
  <c r="F168" i="1"/>
  <c r="I168" i="1" s="1"/>
  <c r="F151" i="1"/>
  <c r="I151" i="1" s="1"/>
  <c r="F182" i="1"/>
  <c r="I182" i="1" s="1"/>
  <c r="F187" i="1"/>
  <c r="I187" i="1" s="1"/>
  <c r="F174" i="1"/>
  <c r="I174" i="1" s="1"/>
  <c r="F193" i="1"/>
  <c r="I193" i="1" s="1"/>
  <c r="F105" i="1"/>
  <c r="I105" i="1" s="1"/>
  <c r="F150" i="1"/>
  <c r="I150" i="1" s="1"/>
  <c r="F186" i="1"/>
  <c r="I186" i="1" s="1"/>
  <c r="F96" i="1"/>
  <c r="I96" i="1" s="1"/>
  <c r="F115" i="1"/>
  <c r="I115" i="1" s="1"/>
  <c r="F113" i="1"/>
  <c r="I113" i="1" s="1"/>
  <c r="F120" i="1"/>
  <c r="I120" i="1" s="1"/>
  <c r="F125" i="1"/>
  <c r="I125" i="1" s="1"/>
  <c r="F137" i="1"/>
  <c r="I137" i="1" s="1"/>
  <c r="F155" i="1"/>
  <c r="I155" i="1" s="1"/>
  <c r="F164" i="1"/>
  <c r="I164" i="1" s="1"/>
  <c r="F148" i="1"/>
  <c r="I148" i="1" s="1"/>
  <c r="F184" i="1"/>
  <c r="I184" i="1" s="1"/>
  <c r="F176" i="1"/>
  <c r="I176" i="1" s="1"/>
  <c r="F180" i="1"/>
  <c r="I180" i="1" s="1"/>
  <c r="F192" i="1"/>
  <c r="I192" i="1" s="1"/>
  <c r="F197" i="1"/>
  <c r="I197" i="1" s="1"/>
  <c r="F106" i="1"/>
  <c r="I106" i="1" s="1"/>
  <c r="F104" i="1"/>
  <c r="I104" i="1" s="1"/>
  <c r="F99" i="1"/>
  <c r="I99" i="1" s="1"/>
  <c r="H83" i="1"/>
  <c r="F95" i="1"/>
  <c r="I95" i="1" s="1"/>
  <c r="F94" i="1"/>
  <c r="I94" i="1" s="1"/>
  <c r="F93" i="1"/>
  <c r="I93" i="1" s="1"/>
  <c r="A93" i="1"/>
  <c r="A94" i="1" s="1"/>
  <c r="A95" i="1" s="1"/>
  <c r="A96" i="1" s="1"/>
  <c r="A97" i="1" s="1"/>
  <c r="A98" i="1" s="1"/>
  <c r="A99" i="1" s="1"/>
  <c r="F92" i="1"/>
  <c r="G83" i="1"/>
  <c r="E83" i="1"/>
  <c r="C83" i="1"/>
  <c r="I207" i="1" l="1"/>
  <c r="I92" i="1"/>
  <c r="H80" i="1" s="1"/>
  <c r="E80" i="1"/>
  <c r="C80" i="1"/>
  <c r="I203" i="1"/>
  <c r="F3" i="1"/>
  <c r="P72" i="1" l="1"/>
  <c r="L64" i="1" l="1"/>
  <c r="L63" i="1"/>
  <c r="L62" i="1"/>
  <c r="L61" i="1"/>
  <c r="I54" i="1"/>
  <c r="D66" i="1" l="1"/>
  <c r="L59" i="1"/>
  <c r="L60" i="1" s="1"/>
  <c r="L65" i="1" s="1"/>
  <c r="L66" i="1" s="1"/>
  <c r="C58" i="1" s="1"/>
  <c r="D65" i="1"/>
  <c r="D59" i="1"/>
  <c r="D64" i="1"/>
  <c r="L58" i="1"/>
  <c r="C57" i="1" s="1"/>
  <c r="D63" i="1"/>
  <c r="L57" i="1"/>
  <c r="D62" i="1"/>
  <c r="D61" i="1"/>
  <c r="D60" i="1"/>
  <c r="L56" i="1"/>
  <c r="L74" i="1"/>
  <c r="L73" i="1"/>
  <c r="F57" i="1" l="1"/>
  <c r="D58" i="1"/>
  <c r="H57" i="1"/>
  <c r="D57" i="1"/>
  <c r="F5" i="16"/>
  <c r="G5" i="16" s="1"/>
  <c r="G15" i="14"/>
  <c r="G16" i="14" s="1"/>
  <c r="C15" i="14" s="1"/>
  <c r="B7" i="14"/>
  <c r="H15" i="14" s="1"/>
  <c r="B16" i="14" s="1"/>
  <c r="D6" i="14"/>
  <c r="C5" i="14"/>
  <c r="B12" i="14" s="1"/>
  <c r="B8" i="14"/>
  <c r="D8" i="14" s="1"/>
  <c r="B10" i="14"/>
  <c r="K15" i="14" s="1"/>
  <c r="B19" i="14" s="1"/>
  <c r="H44" i="1"/>
  <c r="H45" i="1" s="1"/>
  <c r="D47" i="1" s="1"/>
  <c r="C44" i="1"/>
  <c r="G77" i="1"/>
  <c r="N34" i="13"/>
  <c r="K34" i="13"/>
  <c r="G34" i="13"/>
  <c r="N33" i="13"/>
  <c r="K33" i="13"/>
  <c r="G33" i="13"/>
  <c r="N32" i="13"/>
  <c r="K32" i="13"/>
  <c r="G32" i="13"/>
  <c r="N31" i="13"/>
  <c r="K31" i="13"/>
  <c r="G31" i="13"/>
  <c r="N30" i="13"/>
  <c r="K30" i="13"/>
  <c r="G30" i="13"/>
  <c r="N29" i="13"/>
  <c r="K29" i="13"/>
  <c r="G29" i="13"/>
  <c r="N28" i="13"/>
  <c r="K28" i="13"/>
  <c r="G28" i="13"/>
  <c r="N27" i="13"/>
  <c r="K27" i="13"/>
  <c r="G27" i="13"/>
  <c r="N26" i="13"/>
  <c r="K26" i="13"/>
  <c r="G26" i="13"/>
  <c r="N25" i="13"/>
  <c r="K25" i="13"/>
  <c r="G25" i="13"/>
  <c r="N24" i="13"/>
  <c r="K24" i="13"/>
  <c r="G24" i="13"/>
  <c r="N23" i="13"/>
  <c r="K23" i="13"/>
  <c r="G23" i="13"/>
  <c r="N22" i="13"/>
  <c r="K22" i="13"/>
  <c r="G22" i="13"/>
  <c r="N21" i="13"/>
  <c r="K21" i="13"/>
  <c r="G21" i="13"/>
  <c r="N20" i="13"/>
  <c r="K20" i="13"/>
  <c r="G20" i="13"/>
  <c r="N19" i="13"/>
  <c r="K19" i="13"/>
  <c r="G19" i="13"/>
  <c r="N18" i="13"/>
  <c r="K18" i="13"/>
  <c r="G18" i="13"/>
  <c r="N17" i="13"/>
  <c r="K17" i="13"/>
  <c r="G17" i="13"/>
  <c r="N16" i="13"/>
  <c r="K16" i="13"/>
  <c r="G16" i="13"/>
  <c r="N15" i="13"/>
  <c r="K15" i="13"/>
  <c r="G15" i="13"/>
  <c r="N14" i="13"/>
  <c r="K14" i="13"/>
  <c r="G14" i="13"/>
  <c r="N13" i="13"/>
  <c r="K13" i="13"/>
  <c r="G13" i="13"/>
  <c r="N12" i="13"/>
  <c r="K12" i="13"/>
  <c r="G12" i="13"/>
  <c r="N11" i="13"/>
  <c r="K11" i="13"/>
  <c r="G11" i="13"/>
  <c r="N10" i="13"/>
  <c r="K10" i="13"/>
  <c r="G10" i="13"/>
  <c r="N9" i="13"/>
  <c r="K9" i="13"/>
  <c r="G9" i="13"/>
  <c r="N8" i="13"/>
  <c r="K8" i="13"/>
  <c r="G8" i="13"/>
  <c r="N7" i="13"/>
  <c r="K7" i="13"/>
  <c r="G7" i="13"/>
  <c r="M34" i="12"/>
  <c r="J34" i="12"/>
  <c r="F34" i="12"/>
  <c r="M33" i="12"/>
  <c r="J33" i="12"/>
  <c r="F33" i="12"/>
  <c r="M32" i="12"/>
  <c r="J32" i="12"/>
  <c r="F32" i="12"/>
  <c r="M31" i="12"/>
  <c r="J31" i="12"/>
  <c r="F31" i="12"/>
  <c r="M30" i="12"/>
  <c r="J30" i="12"/>
  <c r="F30" i="12"/>
  <c r="M29" i="12"/>
  <c r="J29" i="12"/>
  <c r="F29" i="12"/>
  <c r="M28" i="12"/>
  <c r="J28" i="12"/>
  <c r="F28" i="12"/>
  <c r="M27" i="12"/>
  <c r="J27" i="12"/>
  <c r="F27" i="12"/>
  <c r="M26" i="12"/>
  <c r="J26" i="12"/>
  <c r="F26" i="12"/>
  <c r="M25" i="12"/>
  <c r="J25" i="12"/>
  <c r="F25" i="12"/>
  <c r="M24" i="12"/>
  <c r="J24" i="12"/>
  <c r="F24" i="12"/>
  <c r="M23" i="12"/>
  <c r="J23" i="12"/>
  <c r="F23" i="12"/>
  <c r="M22" i="12"/>
  <c r="J22" i="12"/>
  <c r="F22" i="12"/>
  <c r="M21" i="12"/>
  <c r="J21" i="12"/>
  <c r="F21" i="12"/>
  <c r="M20" i="12"/>
  <c r="J20" i="12"/>
  <c r="F20" i="12"/>
  <c r="M19" i="12"/>
  <c r="J19" i="12"/>
  <c r="F19" i="12"/>
  <c r="M18" i="12"/>
  <c r="J18" i="12"/>
  <c r="F18" i="12"/>
  <c r="M17" i="12"/>
  <c r="J17" i="12"/>
  <c r="F17" i="12"/>
  <c r="M16" i="12"/>
  <c r="J16" i="12"/>
  <c r="F16" i="12"/>
  <c r="M15" i="12"/>
  <c r="J15" i="12"/>
  <c r="F15" i="12"/>
  <c r="M14" i="12"/>
  <c r="J14" i="12"/>
  <c r="F14" i="12"/>
  <c r="M13" i="12"/>
  <c r="J13" i="12"/>
  <c r="F13" i="12"/>
  <c r="M12" i="12"/>
  <c r="J12" i="12"/>
  <c r="F12" i="12"/>
  <c r="M11" i="12"/>
  <c r="J11" i="12"/>
  <c r="F11" i="12"/>
  <c r="M10" i="12"/>
  <c r="J10" i="12"/>
  <c r="F10" i="12"/>
  <c r="M9" i="12"/>
  <c r="J9" i="12"/>
  <c r="F9" i="12"/>
  <c r="M8" i="12"/>
  <c r="J8" i="12"/>
  <c r="F8" i="12"/>
  <c r="M7" i="12"/>
  <c r="J7" i="12"/>
  <c r="F7" i="12"/>
  <c r="M21" i="11"/>
  <c r="M22" i="11"/>
  <c r="M23" i="11"/>
  <c r="M24" i="11"/>
  <c r="M25" i="11"/>
  <c r="M26" i="11"/>
  <c r="M27" i="11"/>
  <c r="M28" i="11"/>
  <c r="M29" i="11"/>
  <c r="J21" i="11"/>
  <c r="J22" i="11"/>
  <c r="J23" i="11"/>
  <c r="J24" i="11"/>
  <c r="J25" i="11"/>
  <c r="J26" i="11"/>
  <c r="J27" i="11"/>
  <c r="J28" i="11"/>
  <c r="J29" i="11"/>
  <c r="F21" i="11"/>
  <c r="F22" i="11"/>
  <c r="F23" i="11"/>
  <c r="F24" i="11"/>
  <c r="F25" i="11"/>
  <c r="F26" i="11"/>
  <c r="F27" i="11"/>
  <c r="F28" i="11"/>
  <c r="F29" i="11"/>
  <c r="F30" i="11"/>
  <c r="F31" i="11"/>
  <c r="F32" i="11"/>
  <c r="F33" i="11"/>
  <c r="M7" i="11"/>
  <c r="M8" i="11"/>
  <c r="M9" i="11"/>
  <c r="M10" i="11"/>
  <c r="M11" i="11"/>
  <c r="M12" i="11"/>
  <c r="M13" i="11"/>
  <c r="M14" i="11"/>
  <c r="M15" i="11"/>
  <c r="M16" i="11"/>
  <c r="M17" i="11"/>
  <c r="M18" i="11"/>
  <c r="M19" i="11"/>
  <c r="M20" i="11"/>
  <c r="J7" i="11"/>
  <c r="J8" i="11"/>
  <c r="J9" i="11"/>
  <c r="J10" i="11"/>
  <c r="J11" i="11"/>
  <c r="J12" i="11"/>
  <c r="J13" i="11"/>
  <c r="J14" i="11"/>
  <c r="J15" i="11"/>
  <c r="J16" i="11"/>
  <c r="J17" i="11"/>
  <c r="J18" i="11"/>
  <c r="J19" i="11"/>
  <c r="J20" i="11"/>
  <c r="F7" i="11"/>
  <c r="F8" i="11"/>
  <c r="F9" i="11"/>
  <c r="F10" i="11"/>
  <c r="F11" i="11"/>
  <c r="F12" i="11"/>
  <c r="F13" i="11"/>
  <c r="F14" i="11"/>
  <c r="F15" i="11"/>
  <c r="F16" i="11"/>
  <c r="F17" i="11"/>
  <c r="F18" i="11"/>
  <c r="F19" i="11"/>
  <c r="F20" i="11"/>
  <c r="M33" i="11"/>
  <c r="J33" i="11"/>
  <c r="M32" i="11"/>
  <c r="J32" i="11"/>
  <c r="M31" i="11"/>
  <c r="J31" i="11"/>
  <c r="M30" i="11"/>
  <c r="J30" i="11"/>
  <c r="M6" i="11"/>
  <c r="J6" i="11"/>
  <c r="F6" i="11"/>
  <c r="M35" i="12" l="1"/>
  <c r="L35" i="12" s="1"/>
  <c r="D7" i="14"/>
  <c r="D10" i="14"/>
  <c r="B11" i="14"/>
  <c r="L16" i="14" s="1"/>
  <c r="C20" i="14" s="1"/>
  <c r="I15" i="14"/>
  <c r="B17" i="14" s="1"/>
  <c r="K53" i="1"/>
  <c r="N35" i="13"/>
  <c r="M35" i="13" s="1"/>
  <c r="M34" i="11"/>
  <c r="L34" i="11" s="1"/>
  <c r="K35" i="13"/>
  <c r="J35" i="13" s="1"/>
  <c r="H16" i="14"/>
  <c r="C16" i="14" s="1"/>
  <c r="J34" i="11"/>
  <c r="I34" i="11" s="1"/>
  <c r="F34" i="11"/>
  <c r="E34" i="11" s="1"/>
  <c r="F35" i="12"/>
  <c r="E35" i="12" s="1"/>
  <c r="J35" i="12"/>
  <c r="I35" i="12" s="1"/>
  <c r="G35" i="13"/>
  <c r="F35" i="13" s="1"/>
  <c r="L15" i="14"/>
  <c r="B20" i="14" s="1"/>
  <c r="B15" i="14"/>
  <c r="I16" i="14"/>
  <c r="C17" i="14" s="1"/>
  <c r="M15" i="14"/>
  <c r="B21" i="14" s="1"/>
  <c r="D12" i="14"/>
  <c r="M16" i="14"/>
  <c r="C21" i="14" s="1"/>
  <c r="K16" i="14"/>
  <c r="C19" i="14" s="1"/>
  <c r="D11" i="14"/>
  <c r="B9" i="14"/>
  <c r="J15" i="14" l="1"/>
  <c r="B18" i="14" s="1"/>
  <c r="B22" i="14" s="1"/>
  <c r="J16" i="14"/>
  <c r="C18" i="14" s="1"/>
  <c r="C22" i="14" s="1"/>
  <c r="D9" i="14"/>
</calcChain>
</file>

<file path=xl/comments1.xml><?xml version="1.0" encoding="utf-8"?>
<comments xmlns="http://schemas.openxmlformats.org/spreadsheetml/2006/main">
  <authors>
    <author>SACHIN</author>
  </authors>
  <commentList>
    <comment ref="I87" authorId="0" shapeId="0">
      <text>
        <r>
          <rPr>
            <b/>
            <sz val="9"/>
            <color indexed="81"/>
            <rFont val="Tahoma"/>
            <family val="2"/>
          </rPr>
          <t>SACHIN:</t>
        </r>
        <r>
          <rPr>
            <sz val="9"/>
            <color indexed="81"/>
            <rFont val="Tahoma"/>
            <family val="2"/>
          </rPr>
          <t xml:space="preserve">
Give loading of 50% for A Category</t>
        </r>
      </text>
    </comment>
  </commentList>
</comments>
</file>

<file path=xl/sharedStrings.xml><?xml version="1.0" encoding="utf-8"?>
<sst xmlns="http://schemas.openxmlformats.org/spreadsheetml/2006/main" count="510" uniqueCount="273">
  <si>
    <t>Date:</t>
  </si>
  <si>
    <t>CPC Name:</t>
  </si>
  <si>
    <t>Date Of Property Visit</t>
  </si>
  <si>
    <t>Name of the builder group</t>
  </si>
  <si>
    <t>Name of the builder company</t>
  </si>
  <si>
    <t>Name of the Project</t>
  </si>
  <si>
    <t>Docouments Provided</t>
  </si>
  <si>
    <t>Road</t>
  </si>
  <si>
    <t>City</t>
  </si>
  <si>
    <t>Class of locality</t>
  </si>
  <si>
    <t>Nature of land with topographical condtion</t>
  </si>
  <si>
    <t xml:space="preserve">Nature of the locality </t>
  </si>
  <si>
    <t>Boundaries</t>
  </si>
  <si>
    <t>East</t>
  </si>
  <si>
    <t>West</t>
  </si>
  <si>
    <t>North</t>
  </si>
  <si>
    <t>As per deed</t>
  </si>
  <si>
    <t>At site</t>
  </si>
  <si>
    <t>Approval details:</t>
  </si>
  <si>
    <t>Permissible FSI</t>
  </si>
  <si>
    <t>Permissible TDR/Paid FSI</t>
  </si>
  <si>
    <t>Total FSI availaible for the project</t>
  </si>
  <si>
    <t>Total number of Buildings</t>
  </si>
  <si>
    <t>Building wise Construction details</t>
  </si>
  <si>
    <t>Recommended Rates of the Property :</t>
  </si>
  <si>
    <t>Undertaking :</t>
  </si>
  <si>
    <t>Authorized Signatory
                                                                                                                                                                                                                                                                                     Name &amp; Seal of the agency</t>
  </si>
  <si>
    <t>2) I/We have no direct or Indirect Interest in the property being valued</t>
  </si>
  <si>
    <t>Quality of infrastructure in vicinity</t>
  </si>
  <si>
    <t>Description</t>
  </si>
  <si>
    <t>1) We have personally visited the property &amp; identified the same based on the documents provided</t>
  </si>
  <si>
    <t>Type of Work</t>
  </si>
  <si>
    <t>Plinth</t>
  </si>
  <si>
    <t>RCC</t>
  </si>
  <si>
    <t>Plaster</t>
  </si>
  <si>
    <t>3) The information furnished above is true and correct to my/our knowledge.</t>
  </si>
  <si>
    <t>5) Legal title of the property is not verified by us.</t>
  </si>
  <si>
    <t>6) Gross carpet area =  Net Carpet area + Fungible area.</t>
  </si>
  <si>
    <t>7) Fungible Area= Enclosed Balcony + Flower Bed + Covered Balcony + Service Slab + Duct + Chajja + Wheather Shed area.</t>
  </si>
  <si>
    <t xml:space="preserve">Latitude &amp; Longitude </t>
  </si>
  <si>
    <t>Flooring</t>
  </si>
  <si>
    <t>Finishing</t>
  </si>
  <si>
    <t xml:space="preserve">Valuation Report </t>
  </si>
  <si>
    <t>Yes</t>
  </si>
  <si>
    <t>Expiry date:NA</t>
  </si>
  <si>
    <t>Violations Observed if any : NA</t>
  </si>
  <si>
    <t>NA</t>
  </si>
  <si>
    <t>South</t>
  </si>
  <si>
    <t xml:space="preserve">Distance from city centre: </t>
  </si>
  <si>
    <t>Plane</t>
  </si>
  <si>
    <t>No of floors at site : See Construction details</t>
  </si>
  <si>
    <t xml:space="preserve">4)  The saleable area is as per Our Calculation.  </t>
  </si>
  <si>
    <t>Does the boundaries at site match, as mentioned in the Docoumentation: NA</t>
  </si>
  <si>
    <t>all available at  1 to 2 km.</t>
  </si>
  <si>
    <t>Dated</t>
  </si>
  <si>
    <t xml:space="preserve">Project location details       </t>
  </si>
  <si>
    <t>Locality</t>
  </si>
  <si>
    <t>District</t>
  </si>
  <si>
    <t>Pin Code</t>
  </si>
  <si>
    <t>Near by Landmark</t>
  </si>
  <si>
    <t>Good</t>
  </si>
  <si>
    <t>Total land area of the project in Sq. Mt.</t>
  </si>
  <si>
    <t>Total Approved Builtup area of the project in Sq. Mt.</t>
  </si>
  <si>
    <t xml:space="preserve">Layout Approval No     </t>
  </si>
  <si>
    <t xml:space="preserve">Approval Detail : Plan approval </t>
  </si>
  <si>
    <t xml:space="preserve">Building plan approval No    </t>
  </si>
  <si>
    <t>Expected Completion</t>
  </si>
  <si>
    <t>Approved no of units residential</t>
  </si>
  <si>
    <t>Approved no of Floors</t>
  </si>
  <si>
    <r>
      <t xml:space="preserve">Proposed Amenities                                                                                                                                                                                                                                   </t>
    </r>
    <r>
      <rPr>
        <sz val="11"/>
        <rFont val="Times New Roman"/>
        <family val="1"/>
      </rPr>
      <t xml:space="preserve">1.  Vitrified tiles flooring 2. Granite Kitchen Platform  3. Decorative Enternace  etc.   </t>
    </r>
    <r>
      <rPr>
        <b/>
        <sz val="11"/>
        <rFont val="Times New Roman"/>
        <family val="1"/>
      </rPr>
      <t xml:space="preserve">                                               </t>
    </r>
  </si>
  <si>
    <t xml:space="preserve">Commencement date of construction </t>
  </si>
  <si>
    <t>Discription</t>
  </si>
  <si>
    <t>Carpet</t>
  </si>
  <si>
    <t>Fungible</t>
  </si>
  <si>
    <t>Terrace</t>
  </si>
  <si>
    <t>L</t>
  </si>
  <si>
    <t>W</t>
  </si>
  <si>
    <t>A</t>
  </si>
  <si>
    <t>Hall</t>
  </si>
  <si>
    <t>Bed1</t>
  </si>
  <si>
    <t>Bed2</t>
  </si>
  <si>
    <t>kitch</t>
  </si>
  <si>
    <t>passage1</t>
  </si>
  <si>
    <t>passage2</t>
  </si>
  <si>
    <t>passage3</t>
  </si>
  <si>
    <t>passage4</t>
  </si>
  <si>
    <t>toilet1</t>
  </si>
  <si>
    <t>toilet2</t>
  </si>
  <si>
    <t>toilet3</t>
  </si>
  <si>
    <t>Total</t>
  </si>
  <si>
    <t xml:space="preserve">Floor No </t>
  </si>
  <si>
    <t>Flat</t>
  </si>
  <si>
    <t>CB</t>
  </si>
  <si>
    <t>FB</t>
  </si>
  <si>
    <t>DB</t>
  </si>
  <si>
    <t>Approved area of the building in Sq.Mt</t>
  </si>
  <si>
    <t>Name / no of the Building</t>
  </si>
  <si>
    <t>Plot No</t>
  </si>
  <si>
    <t>Accessibility to the Project from the City:
(Proximity to civic amenities like school, hospital, market, etc.)</t>
  </si>
  <si>
    <t>Does property have Electricity / Water / Drainage Connection</t>
  </si>
  <si>
    <t>Distressed valuation of the Property</t>
  </si>
  <si>
    <t>Building details Floor Wise</t>
  </si>
  <si>
    <t>Particulars</t>
  </si>
  <si>
    <t>plinth</t>
  </si>
  <si>
    <t>slab</t>
  </si>
  <si>
    <t>rcc</t>
  </si>
  <si>
    <t>Bricks</t>
  </si>
  <si>
    <t>Wood &amp; painting</t>
  </si>
  <si>
    <t>Progress</t>
  </si>
  <si>
    <t xml:space="preserve">Bricks </t>
  </si>
  <si>
    <t xml:space="preserve">Recommended </t>
  </si>
  <si>
    <t>plaster</t>
  </si>
  <si>
    <t>Recommended</t>
  </si>
  <si>
    <t>total</t>
  </si>
  <si>
    <t>Axis Sanpada</t>
  </si>
  <si>
    <t>M/s. Parth World LLP</t>
  </si>
  <si>
    <t>Parth Lakefront</t>
  </si>
  <si>
    <t>Digha</t>
  </si>
  <si>
    <t>Thane</t>
  </si>
  <si>
    <t>Navi Mumbai</t>
  </si>
  <si>
    <t>400 605</t>
  </si>
  <si>
    <t>Middle Class</t>
  </si>
  <si>
    <t>Garden</t>
  </si>
  <si>
    <t>Chawl</t>
  </si>
  <si>
    <t>Near Digha Visarjan Talav.</t>
  </si>
  <si>
    <t>Developing.</t>
  </si>
  <si>
    <t xml:space="preserve">Parth Lakefront Project, Plot No.02, Digha, Airoli, Navi Mumbai, Pin Code-400 605
</t>
  </si>
  <si>
    <t>1BHK</t>
  </si>
  <si>
    <t>4th, 6th &amp; 8th Floor</t>
  </si>
  <si>
    <t xml:space="preserve">
</t>
  </si>
  <si>
    <t>Google Map-</t>
  </si>
  <si>
    <t>P51700018725</t>
  </si>
  <si>
    <t>RERA Number</t>
  </si>
  <si>
    <t>Approved Layout, Approved Building Plan, CC</t>
  </si>
  <si>
    <t>Thane-Belapur Road</t>
  </si>
  <si>
    <t>About 2.1Km from Airoli Railway Station</t>
  </si>
  <si>
    <t>Type of Structure : RCC Frame Structure.</t>
  </si>
  <si>
    <t xml:space="preserve">Approved usage of the Property: Residential
(Restrictive Covenants in regard to Land Use, if any)                                                                                                                                                </t>
  </si>
  <si>
    <t>1 Building</t>
  </si>
  <si>
    <t>Commencement of Construction</t>
  </si>
  <si>
    <t>PHOTOGRAPHS OF PROPERTY : Parth Lakefront</t>
  </si>
  <si>
    <t>Quality of construction: Good</t>
  </si>
  <si>
    <t>Basement</t>
  </si>
  <si>
    <t>Podium</t>
  </si>
  <si>
    <t>Ground</t>
  </si>
  <si>
    <t>Upper Floor</t>
  </si>
  <si>
    <t xml:space="preserve">total floor </t>
  </si>
  <si>
    <t>Parking</t>
  </si>
  <si>
    <t>Rate</t>
  </si>
  <si>
    <t>Palghar</t>
  </si>
  <si>
    <t>100000/-</t>
  </si>
  <si>
    <t>Ulwe, karanjade</t>
  </si>
  <si>
    <t>200000/-</t>
  </si>
  <si>
    <t>Panvel</t>
  </si>
  <si>
    <t>300000/-</t>
  </si>
  <si>
    <t>Mumbai - G + 15</t>
  </si>
  <si>
    <t>500000/-</t>
  </si>
  <si>
    <t>Mumbai - G + 25</t>
  </si>
  <si>
    <t>800000/-</t>
  </si>
  <si>
    <t>Mumbai - G + 35</t>
  </si>
  <si>
    <t>1000000/-</t>
  </si>
  <si>
    <t>Thane - G + 7</t>
  </si>
  <si>
    <t>Thane - G + 15</t>
  </si>
  <si>
    <t>400000/-</t>
  </si>
  <si>
    <t>Excavation in process</t>
  </si>
  <si>
    <t>Thane - G + 25</t>
  </si>
  <si>
    <t>600000/-</t>
  </si>
  <si>
    <t>Excavation Completed</t>
  </si>
  <si>
    <t>Footing in Process</t>
  </si>
  <si>
    <t>Footing Completed</t>
  </si>
  <si>
    <t>Plinth in process</t>
  </si>
  <si>
    <t>Plinth completed</t>
  </si>
  <si>
    <t>18/03/2020.</t>
  </si>
  <si>
    <t>Pratiksha</t>
  </si>
  <si>
    <t>1.We adopted recommonded rate as per site details.</t>
  </si>
  <si>
    <t>Market Research Data</t>
  </si>
  <si>
    <t>Source</t>
  </si>
  <si>
    <t>Distance from proposed property</t>
  </si>
  <si>
    <t>Net Carpet</t>
  </si>
  <si>
    <t>Saleable Area</t>
  </si>
  <si>
    <t>Rate on Saleable</t>
  </si>
  <si>
    <t>Market Value</t>
  </si>
  <si>
    <t>99 Acres</t>
  </si>
  <si>
    <t>3BHK</t>
  </si>
  <si>
    <t>Average</t>
  </si>
  <si>
    <t xml:space="preserve">Valuation Adopted </t>
  </si>
  <si>
    <t xml:space="preserve">Recommended rate of Parking </t>
  </si>
  <si>
    <t>2,00,000/-</t>
  </si>
  <si>
    <t>5,00,000/-</t>
  </si>
  <si>
    <t>Club Membership</t>
  </si>
  <si>
    <t>Recommended rate of the flat Per Sq. Ft. (on Saleable area)</t>
  </si>
  <si>
    <t>Floor rise Per Sq. Ft. (on Saleable area) per floor</t>
  </si>
  <si>
    <t>65/- per Sq.ft per floor</t>
  </si>
  <si>
    <t>18/06/2021.</t>
  </si>
  <si>
    <t>Asmi</t>
  </si>
  <si>
    <t>palas</t>
  </si>
  <si>
    <t>Construction details:</t>
  </si>
  <si>
    <t>Floors</t>
  </si>
  <si>
    <t xml:space="preserve">Stage of construction: </t>
  </si>
  <si>
    <t>All work Completed. OC Received.</t>
  </si>
  <si>
    <t>Slab/Floor</t>
  </si>
  <si>
    <t>Complition %</t>
  </si>
  <si>
    <t>Progress %</t>
  </si>
  <si>
    <t>Disbursement %</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</si>
  <si>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</si>
  <si>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</si>
  <si>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</si>
  <si>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</si>
  <si>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</si>
  <si>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</si>
  <si>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</si>
  <si>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</si>
  <si>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</si>
  <si>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</si>
  <si>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</si>
  <si>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</si>
  <si>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</si>
  <si>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</si>
  <si>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</si>
  <si>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</si>
  <si>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170000/-</t>
  </si>
  <si>
    <t>Development Charges</t>
  </si>
  <si>
    <t>Gr.+ 1st to 23rd floor</t>
  </si>
  <si>
    <t>Gr + 1st to 23 floor</t>
  </si>
  <si>
    <t>Office No. 1031, Wing J, Akshar Business Park, Plot No. 03 Sector 25, Near APMC Market,
Vashi, Navi Mumbai,  Maharashtra 400703 TEL: 022-46090378/79/80                                                                       
E mail : vsjcapf@gmail.com. Web site : www.vsjadon.com</t>
  </si>
  <si>
    <t>Location link</t>
  </si>
  <si>
    <t>https://goo.gl/maps/y5PGmA24qvLswHXGA</t>
  </si>
  <si>
    <t>Contact Details ( Name &amp; Contact No.)</t>
  </si>
  <si>
    <t>Site Meet Person Contact Details ( Name &amp; Contact No.)</t>
  </si>
  <si>
    <t>Building &amp; Wing</t>
  </si>
  <si>
    <t>No. of Units</t>
  </si>
  <si>
    <t>Total Carpet Area</t>
  </si>
  <si>
    <t>Total Saleable Area</t>
  </si>
  <si>
    <t>Residential Area Details :</t>
  </si>
  <si>
    <t>Grand Total</t>
  </si>
  <si>
    <t>Carpet area</t>
  </si>
  <si>
    <t>Gross Carpet area</t>
  </si>
  <si>
    <t>Attached Terrace area</t>
  </si>
  <si>
    <t>Saleable area Loading :</t>
  </si>
  <si>
    <r>
      <t xml:space="preserve">Flat No.
</t>
    </r>
    <r>
      <rPr>
        <b/>
        <sz val="11"/>
        <color rgb="FF000000"/>
        <rFont val="Times New Roman"/>
        <family val="1"/>
      </rPr>
      <t>(Approved Plan)</t>
    </r>
  </si>
  <si>
    <t>Flat No. (Sale Plan)</t>
  </si>
  <si>
    <t>Fungible area</t>
  </si>
  <si>
    <t xml:space="preserve">Details of Residential in Building   </t>
  </si>
  <si>
    <t>SWC/14/521/20181017/583222</t>
  </si>
  <si>
    <t xml:space="preserve">EE/SPA/DIGHA-2/B30375/of 2019                                                                                                    </t>
  </si>
  <si>
    <t>Lower Ground Floor Parking</t>
  </si>
  <si>
    <t>Ground Floor Parking</t>
  </si>
  <si>
    <t>1st Floor For Fitness Center &amp; Health Club</t>
  </si>
  <si>
    <t>2nd Floor For Residential</t>
  </si>
  <si>
    <t>3rd &amp; 5th Floor</t>
  </si>
  <si>
    <t>7th Floor (Part Refuge Area)</t>
  </si>
  <si>
    <t>9th &amp; 11th Floor</t>
  </si>
  <si>
    <t>10th Floor</t>
  </si>
  <si>
    <t>13th Floor</t>
  </si>
  <si>
    <t>14th, 16th, 18th &amp; 20th Floor</t>
  </si>
  <si>
    <t>12th Floor (Part Refuge Area)</t>
  </si>
  <si>
    <t>15th, 19th &amp; 21st Floor</t>
  </si>
  <si>
    <t>17th Floor (Part Refuge Area)</t>
  </si>
  <si>
    <t>22nd Floor (Part Refuge Area)</t>
  </si>
  <si>
    <t>23rd Floor (Part Terrace Area)</t>
  </si>
  <si>
    <t>Terrace Area</t>
  </si>
  <si>
    <t>Flats</t>
  </si>
  <si>
    <t>Layout Plan:</t>
  </si>
  <si>
    <t>19.177379,72.99609</t>
  </si>
  <si>
    <t>Mr. Padmakar Bagul</t>
  </si>
  <si>
    <t>Ms. Ujwala Deshmukh - 8108100465</t>
  </si>
  <si>
    <t>Date of approval: 05/07/2024</t>
  </si>
  <si>
    <t xml:space="preserve">O. Certificate No.: 
MIDC/SPA/Dn.II/MHP/Digha -2/I/65011/of 2024
Valid Upto : L.G + U.G + 1st to 23rd Floor </t>
  </si>
  <si>
    <t>Completed</t>
  </si>
  <si>
    <t>Remarks:  
1. All work Completed. OC Received.
2. We considered saleable area as per our calculation.
3. We considered carpet area as per approved Plan.
4. We have considered rate by verifying it from market inquire.
5. We considered Gross carpet area = Net carpet + Enclose balcony + C.B Area + Landscaping features Area + Services Area + Niche Area.
6. Car parking is subjected to authentic documentation.
7. Recommended rate should be considered as all inclusive rate if other charges are not mentioned. (Excluding GST &amp; other government Taxes).
8. We have updated revised approved floor plan &amp; C.C (on 30/01/2024).
9. We have updated OC from RERA site on 18/01/2025.
10. The project has received first CC on 10/04/2019 But construction work is not yet completed.</t>
  </si>
  <si>
    <t>Projected life of the structure: 59 Years</t>
  </si>
  <si>
    <t>Material laying at Site: : Nothing</t>
  </si>
  <si>
    <t>Wheather the construction is as per approved Building plan : 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</si>
</sst>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_(* #,##0_);_(* \(#,##0\);_(* &quot;-&quot;??_);_(@_)"/>
    <numFmt numFmtId="166" formatCode="0.0"/>
  </numFmts>
  <fonts count="27" x14ac:knownFonts="1">
    <font>
      <sz val="11"/>
      <color theme="1"/>
      <name val="Calibri"/>
      <family val="2"/>
      <scheme val="minor"/>
    </font>
    <font>
      <sz val="11"/>
      <color indexed="8"/>
      <name val="Calibri"/>
      <family val="2"/>
    </font>
    <font>
      <sz val="11"/>
      <color indexed="8"/>
      <name val="Calibri"/>
      <family val="2"/>
    </font>
    <font>
      <b/>
      <sz val="11"/>
      <color indexed="8"/>
      <name val="Times New Roman"/>
      <family val="1"/>
    </font>
    <font>
      <sz val="11"/>
      <color indexed="8"/>
      <name val="Times New Roman"/>
      <family val="1"/>
    </font>
    <font>
      <sz val="11"/>
      <color indexed="8"/>
      <name val="Calibri"/>
      <family val="2"/>
    </font>
    <font>
      <sz val="11"/>
      <color indexed="8"/>
      <name val="Times New Roman"/>
      <family val="1"/>
    </font>
    <font>
      <b/>
      <sz val="12"/>
      <color indexed="8"/>
      <name val="Times New Roman"/>
      <family val="1"/>
    </font>
    <font>
      <b/>
      <sz val="11"/>
      <color indexed="8"/>
      <name val="Times New Roman"/>
      <family val="1"/>
    </font>
    <font>
      <b/>
      <sz val="11"/>
      <name val="Times New Roman"/>
      <family val="1"/>
    </font>
    <font>
      <sz val="11"/>
      <name val="Times New Roman"/>
      <family val="1"/>
    </font>
    <font>
      <sz val="12"/>
      <color indexed="8"/>
      <name val="Times New Roman"/>
      <family val="1"/>
    </font>
    <font>
      <b/>
      <sz val="10"/>
      <color indexed="8"/>
      <name val="Times New Roman"/>
      <family val="1"/>
    </font>
    <font>
      <sz val="11"/>
      <color theme="1"/>
      <name val="Calibri"/>
      <family val="2"/>
      <scheme val="minor"/>
    </font>
    <font>
      <b/>
      <sz val="11"/>
      <color theme="1"/>
      <name val="Calibri"/>
      <family val="2"/>
      <scheme val="minor"/>
    </font>
    <font>
      <sz val="11"/>
      <color rgb="FFFF0000"/>
      <name val="Calibri"/>
      <family val="2"/>
      <scheme val="minor"/>
    </font>
    <font>
      <sz val="11"/>
      <color rgb="FF000000"/>
      <name val="Times New Roman"/>
      <family val="1"/>
    </font>
    <font>
      <b/>
      <sz val="11"/>
      <color theme="1"/>
      <name val="Times New Roman"/>
      <family val="1"/>
    </font>
    <font>
      <b/>
      <sz val="11"/>
      <color rgb="FF000000"/>
      <name val="Times New Roman"/>
      <family val="1"/>
    </font>
    <font>
      <sz val="11"/>
      <color rgb="FFFF0000"/>
      <name val="Calibri"/>
      <family val="2"/>
    </font>
    <font>
      <sz val="12"/>
      <color theme="1"/>
      <name val="Times New Roman"/>
      <family val="1"/>
    </font>
    <font>
      <sz val="12"/>
      <name val="Times New Roman"/>
      <family val="1"/>
    </font>
    <font>
      <b/>
      <sz val="12"/>
      <name val="Times New Roman"/>
      <family val="1"/>
    </font>
    <font>
      <u/>
      <sz val="11"/>
      <color theme="10"/>
      <name val="Calibri"/>
      <family val="2"/>
      <scheme val="minor"/>
    </font>
    <font>
      <b/>
      <sz val="12"/>
      <color theme="1"/>
      <name val="Times New Roman"/>
      <family val="1"/>
    </font>
    <font>
      <b/>
      <sz val="9"/>
      <color indexed="81"/>
      <name val="Tahoma"/>
      <family val="2"/>
    </font>
    <font>
      <sz val="9"/>
      <color indexed="81"/>
      <name val="Tahoma"/>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8">
    <xf numFmtId="0" fontId="0" fillId="0" borderId="0"/>
    <xf numFmtId="164" fontId="1" fillId="0" borderId="0" applyFont="0" applyFill="0" applyBorder="0" applyAlignment="0" applyProtection="0"/>
    <xf numFmtId="0" fontId="2" fillId="0" borderId="0"/>
    <xf numFmtId="0" fontId="1" fillId="0" borderId="0"/>
    <xf numFmtId="0" fontId="13" fillId="0" borderId="0"/>
    <xf numFmtId="9" fontId="5" fillId="0" borderId="0" applyFont="0" applyFill="0" applyBorder="0" applyAlignment="0" applyProtection="0"/>
    <xf numFmtId="0" fontId="13" fillId="0" borderId="0"/>
    <xf numFmtId="0" fontId="23" fillId="0" borderId="0" applyNumberFormat="0" applyFill="0" applyBorder="0" applyAlignment="0" applyProtection="0"/>
  </cellStyleXfs>
  <cellXfs count="228">
    <xf numFmtId="0" fontId="0" fillId="0" borderId="0" xfId="0"/>
    <xf numFmtId="0" fontId="2" fillId="0" borderId="0" xfId="2"/>
    <xf numFmtId="0" fontId="4" fillId="2" borderId="2" xfId="0" applyFont="1" applyFill="1" applyBorder="1" applyAlignment="1">
      <alignment vertical="top"/>
    </xf>
    <xf numFmtId="0" fontId="0" fillId="0" borderId="2" xfId="0" applyBorder="1"/>
    <xf numFmtId="0" fontId="14" fillId="0" borderId="2" xfId="0" applyFont="1" applyBorder="1"/>
    <xf numFmtId="0" fontId="0" fillId="0" borderId="3" xfId="0" applyBorder="1"/>
    <xf numFmtId="0" fontId="0" fillId="3" borderId="2" xfId="0" applyFill="1" applyBorder="1"/>
    <xf numFmtId="0" fontId="14" fillId="0" borderId="2" xfId="0" applyFont="1" applyBorder="1" applyAlignment="1">
      <alignment horizontal="center"/>
    </xf>
    <xf numFmtId="0" fontId="3" fillId="0" borderId="0" xfId="0" applyFont="1" applyAlignment="1">
      <alignment vertical="top" wrapText="1"/>
    </xf>
    <xf numFmtId="0" fontId="12" fillId="0" borderId="0" xfId="0" applyFont="1" applyAlignment="1">
      <alignment vertical="top"/>
    </xf>
    <xf numFmtId="0" fontId="12" fillId="0" borderId="0" xfId="0" applyFont="1" applyAlignment="1">
      <alignment vertical="top" wrapText="1"/>
    </xf>
    <xf numFmtId="0" fontId="14" fillId="0" borderId="0" xfId="0" applyFont="1"/>
    <xf numFmtId="0" fontId="16" fillId="0" borderId="2" xfId="0" applyFont="1" applyBorder="1"/>
    <xf numFmtId="0" fontId="16" fillId="0" borderId="0" xfId="0" applyFont="1"/>
    <xf numFmtId="0" fontId="16" fillId="3" borderId="2" xfId="0" applyFont="1" applyFill="1" applyBorder="1"/>
    <xf numFmtId="0" fontId="17" fillId="0" borderId="2" xfId="0" applyFont="1" applyBorder="1" applyAlignment="1">
      <alignment horizontal="center"/>
    </xf>
    <xf numFmtId="0" fontId="17" fillId="0" borderId="0" xfId="0" applyFont="1" applyAlignment="1">
      <alignment horizontal="center"/>
    </xf>
    <xf numFmtId="0" fontId="16" fillId="0" borderId="2" xfId="0" applyFont="1" applyBorder="1" applyAlignment="1">
      <alignment horizontal="center"/>
    </xf>
    <xf numFmtId="0" fontId="16" fillId="3" borderId="2" xfId="0" applyFont="1" applyFill="1" applyBorder="1" applyAlignment="1">
      <alignment horizontal="center"/>
    </xf>
    <xf numFmtId="9" fontId="16" fillId="0" borderId="0" xfId="5" applyFont="1" applyBorder="1"/>
    <xf numFmtId="0" fontId="18" fillId="0" borderId="2" xfId="0" applyFont="1" applyBorder="1" applyAlignment="1">
      <alignment horizontal="center"/>
    </xf>
    <xf numFmtId="0" fontId="16" fillId="0" borderId="0" xfId="0" applyFont="1" applyAlignment="1">
      <alignment horizontal="right"/>
    </xf>
    <xf numFmtId="0" fontId="16" fillId="0" borderId="0" xfId="0" applyFont="1" applyAlignment="1">
      <alignment wrapText="1"/>
    </xf>
    <xf numFmtId="0" fontId="16" fillId="0" borderId="4" xfId="0" applyFont="1" applyBorder="1"/>
    <xf numFmtId="0" fontId="16" fillId="0" borderId="2" xfId="0" applyFont="1" applyBorder="1" applyAlignment="1">
      <alignment wrapText="1"/>
    </xf>
    <xf numFmtId="9" fontId="16" fillId="0" borderId="2" xfId="5" applyFont="1" applyBorder="1"/>
    <xf numFmtId="9" fontId="16" fillId="0" borderId="0" xfId="0" applyNumberFormat="1" applyFont="1"/>
    <xf numFmtId="0" fontId="1" fillId="0" borderId="0" xfId="3"/>
    <xf numFmtId="0" fontId="13" fillId="0" borderId="0" xfId="4"/>
    <xf numFmtId="0" fontId="14" fillId="0" borderId="2" xfId="4" applyFont="1" applyBorder="1" applyAlignment="1">
      <alignment horizontal="center" vertical="top" wrapText="1"/>
    </xf>
    <xf numFmtId="0" fontId="13" fillId="0" borderId="2" xfId="4" applyBorder="1" applyAlignment="1">
      <alignment horizontal="center" vertical="center"/>
    </xf>
    <xf numFmtId="1" fontId="13" fillId="0" borderId="2" xfId="4" applyNumberFormat="1" applyBorder="1" applyAlignment="1">
      <alignment horizontal="center" vertical="center"/>
    </xf>
    <xf numFmtId="165" fontId="13" fillId="0" borderId="2" xfId="1" applyNumberFormat="1" applyFont="1" applyBorder="1" applyAlignment="1">
      <alignment horizontal="right" vertical="center"/>
    </xf>
    <xf numFmtId="0" fontId="14" fillId="0" borderId="2" xfId="4" applyFont="1" applyBorder="1" applyAlignment="1">
      <alignment horizontal="center" vertical="center"/>
    </xf>
    <xf numFmtId="1" fontId="15" fillId="0" borderId="2" xfId="4" applyNumberFormat="1" applyFont="1" applyBorder="1" applyAlignment="1">
      <alignment horizontal="center" vertical="center"/>
    </xf>
    <xf numFmtId="0" fontId="1" fillId="0" borderId="2" xfId="3" applyBorder="1" applyAlignment="1">
      <alignment horizontal="center" vertical="center"/>
    </xf>
    <xf numFmtId="0" fontId="19" fillId="0" borderId="0" xfId="3" applyFont="1"/>
    <xf numFmtId="0" fontId="13" fillId="0" borderId="2" xfId="4" applyBorder="1" applyAlignment="1">
      <alignment horizontal="left" vertical="center"/>
    </xf>
    <xf numFmtId="0" fontId="20" fillId="0" borderId="0" xfId="6" applyFont="1" applyProtection="1">
      <protection hidden="1"/>
    </xf>
    <xf numFmtId="0" fontId="21" fillId="0" borderId="18" xfId="6" applyFont="1" applyBorder="1" applyAlignment="1" applyProtection="1">
      <alignment horizontal="center" vertical="top"/>
      <protection locked="0"/>
    </xf>
    <xf numFmtId="0" fontId="21" fillId="0" borderId="2" xfId="6" applyFont="1" applyBorder="1" applyAlignment="1" applyProtection="1">
      <alignment horizontal="center" vertical="top"/>
      <protection locked="0"/>
    </xf>
    <xf numFmtId="0" fontId="16" fillId="0" borderId="0" xfId="0" applyFont="1" applyProtection="1">
      <protection hidden="1"/>
    </xf>
    <xf numFmtId="0" fontId="20" fillId="0" borderId="0" xfId="6" applyFont="1"/>
    <xf numFmtId="1" fontId="0" fillId="0" borderId="0" xfId="0" applyNumberFormat="1"/>
    <xf numFmtId="1" fontId="0" fillId="0" borderId="0" xfId="0" applyNumberFormat="1" applyAlignment="1">
      <alignment horizontal="right"/>
    </xf>
    <xf numFmtId="0" fontId="21" fillId="0" borderId="1" xfId="6" applyFont="1" applyBorder="1" applyAlignment="1" applyProtection="1">
      <alignment horizontal="center" vertical="top"/>
      <protection locked="0"/>
    </xf>
    <xf numFmtId="0" fontId="21" fillId="0" borderId="2" xfId="6" applyFont="1" applyBorder="1" applyAlignment="1" applyProtection="1">
      <alignment horizontal="center" vertical="top" wrapText="1"/>
      <protection locked="0"/>
    </xf>
    <xf numFmtId="0" fontId="21" fillId="0" borderId="2" xfId="6" applyFont="1" applyBorder="1" applyAlignment="1" applyProtection="1">
      <alignment horizontal="center" wrapText="1"/>
      <protection locked="0"/>
    </xf>
    <xf numFmtId="1" fontId="21" fillId="0" borderId="2" xfId="6" applyNumberFormat="1" applyFont="1" applyBorder="1" applyAlignment="1" applyProtection="1">
      <alignment horizontal="center" wrapText="1"/>
      <protection locked="0"/>
    </xf>
    <xf numFmtId="0" fontId="21" fillId="0" borderId="23" xfId="6" applyFont="1" applyBorder="1" applyAlignment="1" applyProtection="1">
      <alignment horizontal="center" wrapText="1"/>
      <protection locked="0"/>
    </xf>
    <xf numFmtId="0" fontId="20" fillId="0" borderId="0" xfId="0" applyFont="1" applyAlignment="1">
      <alignment horizontal="center" vertical="center"/>
    </xf>
    <xf numFmtId="0" fontId="11" fillId="0" borderId="0" xfId="3" applyFont="1"/>
    <xf numFmtId="0" fontId="20" fillId="0" borderId="0" xfId="6" applyFont="1" applyAlignment="1">
      <alignment horizontal="center" vertical="center"/>
    </xf>
    <xf numFmtId="1" fontId="20" fillId="0" borderId="0" xfId="6" applyNumberFormat="1" applyFont="1" applyAlignment="1">
      <alignment horizontal="center" vertical="center"/>
    </xf>
    <xf numFmtId="1" fontId="11" fillId="0" borderId="2" xfId="6" applyNumberFormat="1" applyFont="1" applyBorder="1" applyAlignment="1" applyProtection="1">
      <alignment horizontal="center" vertical="center" wrapText="1"/>
      <protection locked="0"/>
    </xf>
    <xf numFmtId="1" fontId="11" fillId="0" borderId="1" xfId="6" applyNumberFormat="1" applyFont="1" applyBorder="1" applyAlignment="1" applyProtection="1">
      <alignment horizontal="center" vertical="center" wrapText="1"/>
      <protection locked="0"/>
    </xf>
    <xf numFmtId="1" fontId="11" fillId="0" borderId="6" xfId="6" applyNumberFormat="1" applyFont="1" applyBorder="1" applyAlignment="1" applyProtection="1">
      <alignment horizontal="center" vertical="center" wrapText="1"/>
      <protection locked="0"/>
    </xf>
    <xf numFmtId="1" fontId="11" fillId="0" borderId="1" xfId="6" applyNumberFormat="1" applyFont="1" applyBorder="1" applyAlignment="1" applyProtection="1">
      <alignment horizontal="center" vertical="top" wrapText="1"/>
      <protection locked="0"/>
    </xf>
    <xf numFmtId="1" fontId="11" fillId="0" borderId="6" xfId="6" applyNumberFormat="1" applyFont="1" applyBorder="1" applyAlignment="1" applyProtection="1">
      <alignment horizontal="center" vertical="top" wrapText="1"/>
      <protection locked="0"/>
    </xf>
    <xf numFmtId="0" fontId="20" fillId="0" borderId="0" xfId="6" applyFont="1" applyAlignment="1">
      <alignment horizontal="center" vertical="center"/>
    </xf>
    <xf numFmtId="1" fontId="11" fillId="0" borderId="5" xfId="6" applyNumberFormat="1" applyFont="1" applyBorder="1" applyAlignment="1" applyProtection="1">
      <alignment horizontal="center" vertical="center" wrapText="1"/>
      <protection locked="0"/>
    </xf>
    <xf numFmtId="1" fontId="7" fillId="0" borderId="7" xfId="6" applyNumberFormat="1" applyFont="1" applyBorder="1" applyAlignment="1" applyProtection="1">
      <alignment horizontal="center" vertical="center" wrapText="1"/>
      <protection locked="0"/>
    </xf>
    <xf numFmtId="1" fontId="7" fillId="0" borderId="13" xfId="6" applyNumberFormat="1" applyFont="1" applyBorder="1" applyAlignment="1" applyProtection="1">
      <alignment horizontal="center" vertical="center" wrapText="1"/>
      <protection locked="0"/>
    </xf>
    <xf numFmtId="1" fontId="7" fillId="0" borderId="7" xfId="6" applyNumberFormat="1" applyFont="1" applyBorder="1" applyAlignment="1" applyProtection="1">
      <alignment horizontal="center" vertical="top" wrapText="1"/>
      <protection locked="0"/>
    </xf>
    <xf numFmtId="1" fontId="7" fillId="0" borderId="8" xfId="6" applyNumberFormat="1" applyFont="1" applyBorder="1" applyAlignment="1" applyProtection="1">
      <alignment horizontal="center" vertical="top" wrapText="1"/>
      <protection locked="0"/>
    </xf>
    <xf numFmtId="9" fontId="22" fillId="0" borderId="11" xfId="5" applyFont="1" applyFill="1" applyBorder="1" applyAlignment="1" applyProtection="1">
      <alignment horizontal="center" vertical="top" wrapText="1"/>
      <protection locked="0"/>
    </xf>
    <xf numFmtId="9" fontId="22" fillId="0" borderId="12" xfId="5" applyFont="1" applyFill="1" applyBorder="1" applyAlignment="1" applyProtection="1">
      <alignment horizontal="center" vertical="top" wrapText="1"/>
      <protection locked="0"/>
    </xf>
    <xf numFmtId="1" fontId="7" fillId="0" borderId="4" xfId="6" applyNumberFormat="1" applyFont="1" applyBorder="1" applyAlignment="1" applyProtection="1">
      <alignment horizontal="center" vertical="top" wrapText="1"/>
      <protection locked="0"/>
    </xf>
    <xf numFmtId="1" fontId="7" fillId="0" borderId="25" xfId="6" applyNumberFormat="1" applyFont="1" applyBorder="1" applyAlignment="1" applyProtection="1">
      <alignment horizontal="center" vertical="top" wrapText="1"/>
      <protection locked="0"/>
    </xf>
    <xf numFmtId="1" fontId="7" fillId="0" borderId="11" xfId="6" applyNumberFormat="1" applyFont="1" applyBorder="1" applyAlignment="1" applyProtection="1">
      <alignment horizontal="center" vertical="top" wrapText="1"/>
      <protection locked="0"/>
    </xf>
    <xf numFmtId="1" fontId="7" fillId="0" borderId="12" xfId="6" applyNumberFormat="1" applyFont="1" applyBorder="1" applyAlignment="1" applyProtection="1">
      <alignment horizontal="center" vertical="top" wrapText="1"/>
      <protection locked="0"/>
    </xf>
    <xf numFmtId="0" fontId="24" fillId="0" borderId="2" xfId="0" applyFont="1" applyBorder="1" applyAlignment="1" applyProtection="1">
      <alignment horizontal="center" vertical="top" wrapText="1"/>
      <protection locked="0"/>
    </xf>
    <xf numFmtId="1" fontId="7" fillId="0" borderId="2" xfId="0" applyNumberFormat="1" applyFont="1" applyBorder="1" applyAlignment="1" applyProtection="1">
      <alignment horizontal="center" vertical="top" wrapText="1"/>
      <protection locked="0"/>
    </xf>
    <xf numFmtId="0" fontId="22" fillId="0" borderId="2" xfId="6" applyFont="1" applyBorder="1" applyAlignment="1" applyProtection="1">
      <alignment horizontal="center" vertical="top"/>
      <protection locked="0"/>
    </xf>
    <xf numFmtId="1" fontId="7" fillId="0" borderId="2" xfId="0" applyNumberFormat="1" applyFont="1" applyBorder="1" applyAlignment="1" applyProtection="1">
      <alignment horizontal="center" vertical="center" wrapText="1"/>
      <protection locked="0"/>
    </xf>
    <xf numFmtId="0" fontId="20" fillId="0" borderId="2" xfId="0" applyFont="1" applyBorder="1" applyAlignment="1" applyProtection="1">
      <alignment horizontal="center" vertical="center"/>
      <protection locked="0"/>
    </xf>
    <xf numFmtId="0" fontId="24" fillId="0" borderId="2" xfId="0" applyFont="1" applyBorder="1" applyAlignment="1" applyProtection="1">
      <alignment horizontal="center" vertical="center"/>
      <protection locked="0"/>
    </xf>
    <xf numFmtId="0" fontId="7" fillId="0" borderId="7" xfId="6" applyFont="1" applyBorder="1" applyAlignment="1" applyProtection="1">
      <alignment horizontal="center" vertical="top"/>
      <protection locked="0"/>
    </xf>
    <xf numFmtId="0" fontId="7" fillId="0" borderId="13" xfId="6" applyFont="1" applyBorder="1" applyAlignment="1" applyProtection="1">
      <alignment horizontal="center" vertical="top"/>
      <protection locked="0"/>
    </xf>
    <xf numFmtId="1" fontId="7" fillId="0" borderId="1" xfId="0" applyNumberFormat="1" applyFont="1" applyBorder="1" applyAlignment="1" applyProtection="1">
      <alignment horizontal="center" vertical="top" wrapText="1"/>
      <protection locked="0"/>
    </xf>
    <xf numFmtId="1" fontId="7" fillId="0" borderId="6" xfId="0" applyNumberFormat="1" applyFont="1" applyBorder="1" applyAlignment="1" applyProtection="1">
      <alignment horizontal="center" vertical="top" wrapText="1"/>
      <protection locked="0"/>
    </xf>
    <xf numFmtId="0" fontId="24" fillId="0" borderId="1" xfId="0" applyFont="1" applyBorder="1" applyAlignment="1" applyProtection="1">
      <alignment horizontal="center" vertical="center"/>
      <protection locked="0"/>
    </xf>
    <xf numFmtId="0" fontId="24" fillId="0" borderId="6" xfId="0" applyFont="1" applyBorder="1" applyAlignment="1" applyProtection="1">
      <alignment horizontal="center" vertical="center"/>
      <protection locked="0"/>
    </xf>
    <xf numFmtId="1" fontId="11" fillId="0" borderId="2" xfId="0" applyNumberFormat="1" applyFont="1" applyBorder="1" applyAlignment="1" applyProtection="1">
      <alignment horizontal="center" vertical="top" wrapText="1"/>
      <protection locked="0"/>
    </xf>
    <xf numFmtId="1" fontId="11" fillId="0" borderId="2" xfId="0" applyNumberFormat="1" applyFont="1" applyBorder="1" applyAlignment="1" applyProtection="1">
      <alignment horizontal="center" vertical="center" wrapText="1"/>
      <protection locked="0"/>
    </xf>
    <xf numFmtId="0" fontId="24" fillId="0" borderId="1" xfId="0" applyFont="1" applyBorder="1" applyAlignment="1" applyProtection="1">
      <alignment horizontal="center" vertical="top" wrapText="1"/>
      <protection locked="0"/>
    </xf>
    <xf numFmtId="0" fontId="24" fillId="0" borderId="5" xfId="0" applyFont="1" applyBorder="1" applyAlignment="1" applyProtection="1">
      <alignment horizontal="center" vertical="top" wrapText="1"/>
      <protection locked="0"/>
    </xf>
    <xf numFmtId="0" fontId="24" fillId="0" borderId="6" xfId="0" applyFont="1" applyBorder="1" applyAlignment="1" applyProtection="1">
      <alignment horizontal="center" vertical="top" wrapText="1"/>
      <protection locked="0"/>
    </xf>
    <xf numFmtId="1" fontId="7" fillId="0" borderId="5" xfId="0" applyNumberFormat="1" applyFont="1" applyBorder="1" applyAlignment="1" applyProtection="1">
      <alignment horizontal="center" vertical="top" wrapText="1"/>
      <protection locked="0"/>
    </xf>
    <xf numFmtId="1" fontId="20" fillId="0" borderId="2" xfId="0" applyNumberFormat="1" applyFont="1" applyBorder="1" applyAlignment="1" applyProtection="1">
      <alignment horizontal="center" vertical="top" wrapText="1"/>
      <protection locked="0"/>
    </xf>
    <xf numFmtId="9" fontId="21" fillId="2" borderId="2" xfId="6" applyNumberFormat="1" applyFont="1" applyFill="1" applyBorder="1" applyAlignment="1" applyProtection="1">
      <alignment horizontal="center" vertical="center" wrapText="1"/>
      <protection hidden="1"/>
    </xf>
    <xf numFmtId="0" fontId="21" fillId="0" borderId="2" xfId="6" applyFont="1" applyBorder="1" applyAlignment="1" applyProtection="1">
      <alignment horizontal="center" vertical="top" wrapText="1"/>
      <protection locked="0"/>
    </xf>
    <xf numFmtId="9" fontId="21" fillId="2" borderId="23" xfId="6" applyNumberFormat="1" applyFont="1" applyFill="1" applyBorder="1" applyAlignment="1" applyProtection="1">
      <alignment horizontal="center" vertical="center" wrapText="1"/>
      <protection hidden="1"/>
    </xf>
    <xf numFmtId="0" fontId="21" fillId="0" borderId="18" xfId="6" applyFont="1" applyBorder="1" applyAlignment="1" applyProtection="1">
      <alignment horizontal="center" vertical="top" wrapText="1"/>
      <protection locked="0"/>
    </xf>
    <xf numFmtId="0" fontId="21" fillId="0" borderId="1" xfId="6" applyFont="1" applyBorder="1" applyAlignment="1" applyProtection="1">
      <alignment horizontal="center" vertical="top" wrapText="1"/>
      <protection locked="0"/>
    </xf>
    <xf numFmtId="9" fontId="4" fillId="0" borderId="1" xfId="5" applyFont="1" applyFill="1" applyBorder="1" applyAlignment="1">
      <alignment horizontal="left" vertical="top"/>
    </xf>
    <xf numFmtId="9" fontId="4" fillId="0" borderId="5" xfId="5" applyFont="1" applyFill="1" applyBorder="1" applyAlignment="1">
      <alignment horizontal="left" vertical="top"/>
    </xf>
    <xf numFmtId="9" fontId="4" fillId="0" borderId="6" xfId="5" applyFont="1" applyFill="1" applyBorder="1" applyAlignment="1">
      <alignment horizontal="left" vertical="top"/>
    </xf>
    <xf numFmtId="0" fontId="4" fillId="0" borderId="1" xfId="0" applyFont="1" applyBorder="1" applyAlignment="1">
      <alignment horizontal="left" vertical="top"/>
    </xf>
    <xf numFmtId="0" fontId="4" fillId="0" borderId="5" xfId="0" applyFont="1" applyBorder="1" applyAlignment="1">
      <alignment horizontal="left" vertical="top"/>
    </xf>
    <xf numFmtId="0" fontId="4" fillId="0" borderId="6" xfId="0" applyFont="1" applyBorder="1" applyAlignment="1">
      <alignment horizontal="left" vertical="top"/>
    </xf>
    <xf numFmtId="0" fontId="6" fillId="0" borderId="5" xfId="0" applyFont="1" applyBorder="1" applyAlignment="1">
      <alignment horizontal="left" vertical="top"/>
    </xf>
    <xf numFmtId="0" fontId="6" fillId="0" borderId="6" xfId="0" applyFont="1" applyBorder="1" applyAlignment="1">
      <alignment horizontal="left" vertical="top"/>
    </xf>
    <xf numFmtId="0" fontId="9" fillId="0" borderId="7" xfId="0" applyFont="1" applyBorder="1" applyAlignment="1">
      <alignment vertical="top" wrapText="1"/>
    </xf>
    <xf numFmtId="0" fontId="9" fillId="0" borderId="13" xfId="0" applyFont="1" applyBorder="1" applyAlignment="1">
      <alignment vertical="top" wrapText="1"/>
    </xf>
    <xf numFmtId="0" fontId="9" fillId="0" borderId="8" xfId="0" applyFont="1" applyBorder="1" applyAlignment="1">
      <alignment vertical="top" wrapText="1"/>
    </xf>
    <xf numFmtId="0" fontId="9" fillId="0" borderId="9" xfId="0" applyFont="1" applyBorder="1" applyAlignment="1">
      <alignment vertical="top" wrapText="1"/>
    </xf>
    <xf numFmtId="0" fontId="9" fillId="0" borderId="0" xfId="0" applyFont="1" applyAlignment="1">
      <alignment vertical="top" wrapText="1"/>
    </xf>
    <xf numFmtId="0" fontId="9" fillId="0" borderId="10" xfId="0" applyFont="1" applyBorder="1" applyAlignment="1">
      <alignment vertical="top" wrapText="1"/>
    </xf>
    <xf numFmtId="0" fontId="21" fillId="0" borderId="20" xfId="6" applyFont="1" applyBorder="1" applyAlignment="1" applyProtection="1">
      <alignment horizontal="center" vertical="top" wrapText="1"/>
      <protection locked="0"/>
    </xf>
    <xf numFmtId="0" fontId="21" fillId="0" borderId="5" xfId="6" applyFont="1" applyBorder="1" applyAlignment="1" applyProtection="1">
      <alignment horizontal="center" vertical="top" wrapText="1"/>
      <protection locked="0"/>
    </xf>
    <xf numFmtId="9" fontId="21" fillId="2" borderId="19" xfId="6" applyNumberFormat="1" applyFont="1" applyFill="1" applyBorder="1" applyAlignment="1" applyProtection="1">
      <alignment horizontal="center" vertical="center" wrapText="1"/>
      <protection hidden="1"/>
    </xf>
    <xf numFmtId="9" fontId="21" fillId="2" borderId="24" xfId="6" applyNumberFormat="1" applyFont="1" applyFill="1" applyBorder="1" applyAlignment="1" applyProtection="1">
      <alignment horizontal="center" vertical="center" wrapText="1"/>
      <protection hidden="1"/>
    </xf>
    <xf numFmtId="0" fontId="21" fillId="0" borderId="18" xfId="6" applyFont="1" applyBorder="1" applyAlignment="1" applyProtection="1">
      <alignment horizontal="center" vertical="top"/>
      <protection locked="0"/>
    </xf>
    <xf numFmtId="0" fontId="21" fillId="0" borderId="1" xfId="6" applyFont="1" applyBorder="1" applyAlignment="1" applyProtection="1">
      <alignment horizontal="center" vertical="top"/>
      <protection locked="0"/>
    </xf>
    <xf numFmtId="0" fontId="8" fillId="0" borderId="1" xfId="0" applyFont="1" applyBorder="1" applyAlignment="1">
      <alignment horizontal="left" vertical="top"/>
    </xf>
    <xf numFmtId="0" fontId="8" fillId="0" borderId="5" xfId="0" applyFont="1" applyBorder="1" applyAlignment="1">
      <alignment horizontal="left" vertical="top"/>
    </xf>
    <xf numFmtId="0" fontId="8" fillId="0" borderId="6" xfId="0" applyFont="1" applyBorder="1" applyAlignment="1">
      <alignment horizontal="left" vertical="top"/>
    </xf>
    <xf numFmtId="0" fontId="22" fillId="0" borderId="16" xfId="6" applyFont="1" applyBorder="1" applyAlignment="1" applyProtection="1">
      <alignment horizontal="left" vertical="top" wrapText="1"/>
      <protection locked="0"/>
    </xf>
    <xf numFmtId="0" fontId="22" fillId="0" borderId="17" xfId="6" applyFont="1" applyBorder="1" applyAlignment="1" applyProtection="1">
      <alignment horizontal="left" vertical="top" wrapText="1"/>
      <protection locked="0"/>
    </xf>
    <xf numFmtId="0" fontId="6" fillId="0" borderId="1" xfId="0" applyFont="1" applyBorder="1" applyAlignment="1">
      <alignment horizontal="left" vertical="top"/>
    </xf>
    <xf numFmtId="0" fontId="4" fillId="2" borderId="1" xfId="0" applyFont="1" applyFill="1" applyBorder="1" applyAlignment="1">
      <alignment horizontal="left" vertical="top"/>
    </xf>
    <xf numFmtId="0" fontId="4" fillId="2" borderId="5" xfId="0" applyFont="1" applyFill="1" applyBorder="1" applyAlignment="1">
      <alignment horizontal="left" vertical="top"/>
    </xf>
    <xf numFmtId="0" fontId="4" fillId="2" borderId="6" xfId="0" applyFont="1" applyFill="1" applyBorder="1" applyAlignment="1">
      <alignment horizontal="left" vertical="top"/>
    </xf>
    <xf numFmtId="0" fontId="0" fillId="0" borderId="6" xfId="0" applyBorder="1" applyAlignment="1">
      <alignment horizontal="left"/>
    </xf>
    <xf numFmtId="0" fontId="23" fillId="0" borderId="1" xfId="7" applyBorder="1" applyAlignment="1">
      <alignment horizontal="left" vertical="top"/>
    </xf>
    <xf numFmtId="0" fontId="4" fillId="0" borderId="1" xfId="0" applyFont="1" applyBorder="1" applyAlignment="1">
      <alignment horizontal="center" vertical="top"/>
    </xf>
    <xf numFmtId="0" fontId="4" fillId="0" borderId="6" xfId="0" applyFont="1" applyBorder="1" applyAlignment="1">
      <alignment horizontal="center" vertical="top"/>
    </xf>
    <xf numFmtId="0" fontId="6" fillId="0" borderId="6" xfId="0" applyFont="1" applyBorder="1" applyAlignment="1">
      <alignment horizontal="center" vertical="top"/>
    </xf>
    <xf numFmtId="0" fontId="6" fillId="0" borderId="1" xfId="0" applyFont="1" applyBorder="1" applyAlignment="1">
      <alignment horizontal="center" vertical="top"/>
    </xf>
    <xf numFmtId="0" fontId="4" fillId="0" borderId="1" xfId="0" applyFont="1" applyBorder="1" applyAlignment="1">
      <alignment vertical="top" wrapText="1"/>
    </xf>
    <xf numFmtId="0" fontId="4" fillId="0" borderId="5" xfId="0" applyFont="1" applyBorder="1" applyAlignment="1">
      <alignment vertical="top" wrapText="1"/>
    </xf>
    <xf numFmtId="0" fontId="4" fillId="0" borderId="6" xfId="0" applyFont="1" applyBorder="1" applyAlignment="1">
      <alignment vertical="top" wrapText="1"/>
    </xf>
    <xf numFmtId="17" fontId="4" fillId="0" borderId="1" xfId="0" applyNumberFormat="1"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166" fontId="4" fillId="0" borderId="1" xfId="0" applyNumberFormat="1" applyFont="1" applyBorder="1" applyAlignment="1">
      <alignment horizontal="left" vertical="top"/>
    </xf>
    <xf numFmtId="166" fontId="4" fillId="0" borderId="5" xfId="0" applyNumberFormat="1" applyFont="1" applyBorder="1" applyAlignment="1">
      <alignment horizontal="left" vertical="top"/>
    </xf>
    <xf numFmtId="166" fontId="4" fillId="0" borderId="6" xfId="0" applyNumberFormat="1" applyFont="1" applyBorder="1" applyAlignment="1">
      <alignment horizontal="left" vertical="top"/>
    </xf>
    <xf numFmtId="0" fontId="3" fillId="0" borderId="1" xfId="0" applyFont="1" applyBorder="1" applyAlignment="1">
      <alignment horizontal="left" vertical="top" wrapText="1"/>
    </xf>
    <xf numFmtId="0" fontId="22" fillId="0" borderId="18" xfId="6" applyFont="1" applyBorder="1" applyAlignment="1" applyProtection="1">
      <alignment horizontal="left" vertical="top"/>
      <protection locked="0"/>
    </xf>
    <xf numFmtId="0" fontId="22" fillId="0" borderId="1" xfId="6" applyFont="1" applyBorder="1" applyAlignment="1" applyProtection="1">
      <alignment horizontal="left" vertical="top"/>
      <protection locked="0"/>
    </xf>
    <xf numFmtId="0" fontId="22" fillId="0" borderId="2" xfId="6" applyFont="1" applyBorder="1" applyAlignment="1" applyProtection="1">
      <alignment horizontal="left" vertical="top" wrapText="1"/>
      <protection locked="0"/>
    </xf>
    <xf numFmtId="0" fontId="22" fillId="0" borderId="19" xfId="6" applyFont="1" applyBorder="1" applyAlignment="1" applyProtection="1">
      <alignment horizontal="left" vertical="top" wrapText="1"/>
      <protection locked="0"/>
    </xf>
    <xf numFmtId="1" fontId="4" fillId="0" borderId="1" xfId="0" applyNumberFormat="1" applyFont="1" applyBorder="1" applyAlignment="1">
      <alignment horizontal="left" vertical="top"/>
    </xf>
    <xf numFmtId="1" fontId="4" fillId="0" borderId="5" xfId="0" applyNumberFormat="1" applyFont="1" applyBorder="1" applyAlignment="1">
      <alignment horizontal="left" vertical="top"/>
    </xf>
    <xf numFmtId="1" fontId="4" fillId="0" borderId="6" xfId="0" applyNumberFormat="1" applyFont="1" applyBorder="1" applyAlignment="1">
      <alignment horizontal="left" vertical="top"/>
    </xf>
    <xf numFmtId="0" fontId="4" fillId="0" borderId="1" xfId="0" applyFont="1" applyBorder="1" applyAlignment="1">
      <alignment horizontal="left" vertical="top" wrapText="1"/>
    </xf>
    <xf numFmtId="0" fontId="6" fillId="0" borderId="1" xfId="0" applyFont="1" applyBorder="1" applyAlignment="1">
      <alignment vertical="top"/>
    </xf>
    <xf numFmtId="0" fontId="6" fillId="0" borderId="5" xfId="0" applyFont="1" applyBorder="1" applyAlignment="1">
      <alignment vertical="top"/>
    </xf>
    <xf numFmtId="0" fontId="6" fillId="0" borderId="6" xfId="0" applyFont="1" applyBorder="1" applyAlignment="1">
      <alignment vertical="top"/>
    </xf>
    <xf numFmtId="0" fontId="3" fillId="0" borderId="7" xfId="2" applyFont="1" applyBorder="1" applyAlignment="1">
      <alignment horizontal="left" vertical="top" wrapText="1"/>
    </xf>
    <xf numFmtId="0" fontId="3" fillId="0" borderId="13" xfId="2" applyFont="1" applyBorder="1" applyAlignment="1">
      <alignment horizontal="left" vertical="top" wrapText="1"/>
    </xf>
    <xf numFmtId="0" fontId="3" fillId="0" borderId="8" xfId="2" applyFont="1" applyBorder="1" applyAlignment="1">
      <alignment horizontal="left" vertical="top" wrapText="1"/>
    </xf>
    <xf numFmtId="0" fontId="4" fillId="0" borderId="2" xfId="0" applyFont="1" applyBorder="1" applyAlignment="1">
      <alignment horizontal="left" vertical="top"/>
    </xf>
    <xf numFmtId="0" fontId="3" fillId="0" borderId="1" xfId="0" applyFont="1" applyBorder="1" applyAlignment="1">
      <alignment vertical="top"/>
    </xf>
    <xf numFmtId="0" fontId="3" fillId="0" borderId="5" xfId="0" applyFont="1" applyBorder="1" applyAlignment="1">
      <alignment vertical="top"/>
    </xf>
    <xf numFmtId="0" fontId="3" fillId="0" borderId="6" xfId="0" applyFont="1" applyBorder="1" applyAlignment="1">
      <alignment vertical="top"/>
    </xf>
    <xf numFmtId="0" fontId="3" fillId="2" borderId="1" xfId="0" applyFont="1" applyFill="1" applyBorder="1" applyAlignment="1">
      <alignment horizontal="left" vertical="top"/>
    </xf>
    <xf numFmtId="0" fontId="3" fillId="2" borderId="5" xfId="0" applyFont="1" applyFill="1" applyBorder="1" applyAlignment="1">
      <alignment horizontal="left" vertical="top"/>
    </xf>
    <xf numFmtId="0" fontId="3" fillId="2" borderId="6" xfId="0" applyFont="1" applyFill="1" applyBorder="1" applyAlignment="1">
      <alignment horizontal="left" vertical="top"/>
    </xf>
    <xf numFmtId="0" fontId="22" fillId="0" borderId="14" xfId="6" applyFont="1" applyBorder="1" applyAlignment="1" applyProtection="1">
      <alignment horizontal="center" vertical="top" wrapText="1"/>
      <protection locked="0"/>
    </xf>
    <xf numFmtId="0" fontId="22" fillId="0" borderId="15" xfId="6" applyFont="1" applyBorder="1" applyAlignment="1" applyProtection="1">
      <alignment horizontal="center" vertical="top" wrapText="1"/>
      <protection locked="0"/>
    </xf>
    <xf numFmtId="0" fontId="21" fillId="0" borderId="21" xfId="6" applyFont="1" applyBorder="1" applyAlignment="1" applyProtection="1">
      <alignment horizontal="center" vertical="top" wrapText="1"/>
      <protection locked="0"/>
    </xf>
    <xf numFmtId="0" fontId="21" fillId="0" borderId="22" xfId="6" applyFont="1" applyBorder="1" applyAlignment="1" applyProtection="1">
      <alignment horizontal="center" vertical="top" wrapText="1"/>
      <protection locked="0"/>
    </xf>
    <xf numFmtId="0" fontId="3" fillId="0" borderId="7" xfId="0" applyFont="1" applyBorder="1" applyAlignment="1">
      <alignment horizontal="center" vertical="top" wrapText="1"/>
    </xf>
    <xf numFmtId="0" fontId="3" fillId="0" borderId="13" xfId="0" applyFont="1" applyBorder="1" applyAlignment="1">
      <alignment horizontal="center" vertical="top" wrapText="1"/>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0" xfId="0" applyFont="1" applyAlignment="1">
      <alignment horizontal="center" vertical="top" wrapText="1"/>
    </xf>
    <xf numFmtId="0" fontId="3" fillId="0" borderId="10" xfId="0" applyFont="1" applyBorder="1" applyAlignment="1">
      <alignment horizontal="center" vertical="top" wrapText="1"/>
    </xf>
    <xf numFmtId="0" fontId="3" fillId="0" borderId="11" xfId="0" applyFont="1" applyBorder="1" applyAlignment="1">
      <alignment horizontal="center" vertical="top" wrapText="1"/>
    </xf>
    <xf numFmtId="0" fontId="3" fillId="0" borderId="3" xfId="0" applyFont="1" applyBorder="1" applyAlignment="1">
      <alignment horizontal="center" vertical="top" wrapText="1"/>
    </xf>
    <xf numFmtId="0" fontId="3" fillId="0" borderId="12" xfId="0" applyFont="1" applyBorder="1" applyAlignment="1">
      <alignment horizontal="center" vertical="top" wrapText="1"/>
    </xf>
    <xf numFmtId="0" fontId="3" fillId="0" borderId="1" xfId="0" applyFont="1" applyBorder="1" applyAlignment="1">
      <alignment horizontal="left" vertical="top"/>
    </xf>
    <xf numFmtId="0" fontId="10" fillId="0" borderId="1" xfId="0" applyFont="1" applyBorder="1" applyAlignment="1">
      <alignment horizontal="left" vertical="top" wrapText="1"/>
    </xf>
    <xf numFmtId="0" fontId="10" fillId="0" borderId="5" xfId="0" applyFont="1" applyBorder="1" applyAlignment="1">
      <alignment horizontal="left" vertical="top" wrapText="1"/>
    </xf>
    <xf numFmtId="0" fontId="10" fillId="0" borderId="6" xfId="0" applyFont="1" applyBorder="1" applyAlignment="1">
      <alignment horizontal="left" vertical="top" wrapText="1"/>
    </xf>
    <xf numFmtId="0" fontId="3" fillId="0" borderId="5" xfId="0" applyFont="1" applyBorder="1" applyAlignment="1">
      <alignment horizontal="left" vertical="top"/>
    </xf>
    <xf numFmtId="0" fontId="3" fillId="0" borderId="6" xfId="0" applyFont="1" applyBorder="1" applyAlignment="1">
      <alignment horizontal="left" vertical="top"/>
    </xf>
    <xf numFmtId="14" fontId="4" fillId="0" borderId="2" xfId="0" applyNumberFormat="1" applyFont="1" applyBorder="1" applyAlignment="1">
      <alignment horizontal="center" vertical="top"/>
    </xf>
    <xf numFmtId="0" fontId="4" fillId="0" borderId="7" xfId="0" applyFont="1" applyBorder="1" applyAlignment="1">
      <alignment horizontal="left" vertical="top" wrapText="1"/>
    </xf>
    <xf numFmtId="0" fontId="6" fillId="0" borderId="13" xfId="0" applyFont="1" applyBorder="1" applyAlignment="1">
      <alignment horizontal="left" vertical="top" wrapText="1"/>
    </xf>
    <xf numFmtId="0" fontId="6" fillId="0" borderId="8" xfId="0" applyFont="1" applyBorder="1" applyAlignment="1">
      <alignment horizontal="left" vertical="top" wrapText="1"/>
    </xf>
    <xf numFmtId="0" fontId="4" fillId="0" borderId="13" xfId="0" applyFont="1" applyBorder="1" applyAlignment="1">
      <alignment horizontal="left" vertical="top" wrapText="1"/>
    </xf>
    <xf numFmtId="0" fontId="4" fillId="0" borderId="8" xfId="0" applyFont="1" applyBorder="1" applyAlignment="1">
      <alignment horizontal="left" vertical="top" wrapText="1"/>
    </xf>
    <xf numFmtId="0" fontId="21" fillId="0" borderId="2" xfId="6" applyFont="1" applyBorder="1" applyAlignment="1" applyProtection="1">
      <alignment horizontal="center" vertical="top"/>
      <protection locked="0"/>
    </xf>
    <xf numFmtId="0" fontId="21" fillId="0" borderId="19" xfId="6" applyFont="1" applyBorder="1" applyAlignment="1" applyProtection="1">
      <alignment horizontal="center" vertical="top"/>
      <protection locked="0"/>
    </xf>
    <xf numFmtId="0" fontId="21" fillId="0" borderId="19" xfId="6" applyFont="1" applyBorder="1" applyAlignment="1" applyProtection="1">
      <alignment horizontal="center" vertical="top" wrapText="1"/>
      <protection locked="0"/>
    </xf>
    <xf numFmtId="0" fontId="3" fillId="0" borderId="1" xfId="0" applyFont="1" applyBorder="1" applyAlignment="1">
      <alignment horizontal="center" vertical="top" wrapText="1"/>
    </xf>
    <xf numFmtId="0" fontId="3" fillId="0" borderId="5" xfId="0" applyFont="1" applyBorder="1" applyAlignment="1">
      <alignment horizontal="center" vertical="top" wrapText="1"/>
    </xf>
    <xf numFmtId="0" fontId="3" fillId="0" borderId="6" xfId="0" applyFont="1" applyBorder="1" applyAlignment="1">
      <alignment horizontal="center" vertical="top" wrapText="1"/>
    </xf>
    <xf numFmtId="0" fontId="3" fillId="0" borderId="1" xfId="0" applyFont="1" applyBorder="1" applyAlignment="1">
      <alignment horizontal="center" vertical="top"/>
    </xf>
    <xf numFmtId="0" fontId="3" fillId="0" borderId="5" xfId="0" applyFont="1" applyBorder="1" applyAlignment="1">
      <alignment horizontal="center" vertical="top"/>
    </xf>
    <xf numFmtId="0" fontId="3" fillId="0" borderId="6" xfId="0" applyFont="1" applyBorder="1" applyAlignment="1">
      <alignment horizontal="center" vertical="top"/>
    </xf>
    <xf numFmtId="14" fontId="4" fillId="0" borderId="1" xfId="0" applyNumberFormat="1" applyFont="1" applyBorder="1" applyAlignment="1">
      <alignment horizontal="left" vertical="top"/>
    </xf>
    <xf numFmtId="14" fontId="4" fillId="0" borderId="5" xfId="0" applyNumberFormat="1" applyFont="1" applyBorder="1" applyAlignment="1">
      <alignment horizontal="left" vertical="top"/>
    </xf>
    <xf numFmtId="14" fontId="4" fillId="0" borderId="6" xfId="0" applyNumberFormat="1" applyFont="1" applyBorder="1" applyAlignment="1">
      <alignment horizontal="left" vertical="top"/>
    </xf>
    <xf numFmtId="0" fontId="4" fillId="0" borderId="2" xfId="0" applyFont="1" applyBorder="1" applyAlignment="1">
      <alignment horizontal="center" vertical="top"/>
    </xf>
    <xf numFmtId="14" fontId="4" fillId="2" borderId="1" xfId="0" applyNumberFormat="1" applyFont="1" applyFill="1" applyBorder="1" applyAlignment="1">
      <alignment horizontal="left" vertical="top"/>
    </xf>
    <xf numFmtId="14" fontId="4" fillId="2" borderId="5" xfId="0" applyNumberFormat="1" applyFont="1" applyFill="1" applyBorder="1" applyAlignment="1">
      <alignment horizontal="left" vertical="top"/>
    </xf>
    <xf numFmtId="14" fontId="4" fillId="2" borderId="6" xfId="0" applyNumberFormat="1" applyFont="1" applyFill="1" applyBorder="1" applyAlignment="1">
      <alignment horizontal="left" vertical="top"/>
    </xf>
    <xf numFmtId="0" fontId="4" fillId="0" borderId="11" xfId="0" applyFont="1" applyBorder="1" applyAlignment="1">
      <alignment horizontal="left" vertical="top" wrapText="1"/>
    </xf>
    <xf numFmtId="0" fontId="4" fillId="0" borderId="3" xfId="0" applyFont="1" applyBorder="1" applyAlignment="1">
      <alignment horizontal="left" vertical="top" wrapText="1"/>
    </xf>
    <xf numFmtId="0" fontId="4" fillId="0" borderId="12" xfId="0" applyFont="1" applyBorder="1" applyAlignment="1">
      <alignment horizontal="left" vertical="top" wrapText="1"/>
    </xf>
    <xf numFmtId="0" fontId="4" fillId="2" borderId="2" xfId="0" applyFont="1" applyFill="1" applyBorder="1" applyAlignment="1">
      <alignment horizontal="left" vertical="top"/>
    </xf>
    <xf numFmtId="0" fontId="4" fillId="0" borderId="2" xfId="0" applyFont="1" applyBorder="1" applyAlignment="1">
      <alignment horizontal="left" vertical="top" wrapText="1"/>
    </xf>
    <xf numFmtId="0" fontId="4" fillId="0" borderId="7" xfId="0" applyFont="1" applyBorder="1" applyAlignment="1">
      <alignment horizontal="left" vertical="top"/>
    </xf>
    <xf numFmtId="0" fontId="4" fillId="0" borderId="13" xfId="0" applyFont="1" applyBorder="1" applyAlignment="1">
      <alignment horizontal="left" vertical="top"/>
    </xf>
    <xf numFmtId="0" fontId="4" fillId="0" borderId="8" xfId="0" applyFont="1" applyBorder="1" applyAlignment="1">
      <alignment horizontal="left" vertical="top"/>
    </xf>
    <xf numFmtId="0" fontId="4" fillId="0" borderId="11" xfId="0" applyFont="1" applyBorder="1" applyAlignment="1">
      <alignment horizontal="left" vertical="top"/>
    </xf>
    <xf numFmtId="0" fontId="4" fillId="0" borderId="3" xfId="0" applyFont="1" applyBorder="1" applyAlignment="1">
      <alignment horizontal="left" vertical="top"/>
    </xf>
    <xf numFmtId="0" fontId="4" fillId="0" borderId="12" xfId="0" applyFont="1" applyBorder="1" applyAlignment="1">
      <alignment horizontal="left" vertical="top"/>
    </xf>
    <xf numFmtId="0" fontId="4" fillId="0" borderId="1" xfId="0" applyFont="1" applyBorder="1" applyAlignment="1">
      <alignment vertical="top"/>
    </xf>
    <xf numFmtId="0" fontId="4" fillId="0" borderId="5" xfId="0" applyFont="1" applyBorder="1" applyAlignment="1">
      <alignment vertical="top"/>
    </xf>
    <xf numFmtId="0" fontId="4" fillId="0" borderId="6" xfId="0" applyFont="1" applyBorder="1" applyAlignment="1">
      <alignment vertical="top"/>
    </xf>
    <xf numFmtId="0" fontId="10" fillId="0" borderId="2" xfId="0" applyFont="1" applyBorder="1" applyAlignment="1">
      <alignment horizontal="left" vertical="top" wrapText="1"/>
    </xf>
    <xf numFmtId="0" fontId="10" fillId="0" borderId="2" xfId="0" applyFont="1" applyBorder="1" applyAlignment="1">
      <alignment horizontal="center" vertical="top" wrapText="1"/>
    </xf>
    <xf numFmtId="0" fontId="4" fillId="2" borderId="1" xfId="0" applyFont="1" applyFill="1" applyBorder="1" applyAlignment="1">
      <alignment horizontal="left" vertical="top" wrapText="1"/>
    </xf>
    <xf numFmtId="0" fontId="4" fillId="2" borderId="5" xfId="0" applyFont="1" applyFill="1" applyBorder="1" applyAlignment="1">
      <alignment horizontal="left" vertical="top" wrapText="1"/>
    </xf>
    <xf numFmtId="0" fontId="4" fillId="2" borderId="6" xfId="0" applyFont="1" applyFill="1" applyBorder="1" applyAlignment="1">
      <alignment horizontal="left" vertical="top" wrapText="1"/>
    </xf>
    <xf numFmtId="0" fontId="14" fillId="0" borderId="2" xfId="4" applyFont="1" applyBorder="1" applyAlignment="1">
      <alignment horizontal="left"/>
    </xf>
    <xf numFmtId="0" fontId="16" fillId="0" borderId="2" xfId="0" applyFont="1" applyBorder="1" applyAlignment="1">
      <alignment horizontal="left"/>
    </xf>
    <xf numFmtId="0" fontId="16" fillId="0" borderId="2" xfId="0" applyFont="1" applyBorder="1" applyAlignment="1">
      <alignment horizontal="center"/>
    </xf>
    <xf numFmtId="0" fontId="16" fillId="3" borderId="2" xfId="0" applyFont="1" applyFill="1" applyBorder="1" applyAlignment="1">
      <alignment horizontal="center"/>
    </xf>
    <xf numFmtId="0" fontId="18" fillId="0" borderId="2" xfId="0" applyFont="1" applyBorder="1" applyAlignment="1">
      <alignment horizontal="center"/>
    </xf>
    <xf numFmtId="0" fontId="0" fillId="3" borderId="2" xfId="0" applyFill="1" applyBorder="1" applyAlignment="1">
      <alignment horizontal="center" wrapText="1"/>
    </xf>
    <xf numFmtId="0" fontId="14" fillId="0" borderId="2" xfId="0" applyFont="1" applyBorder="1" applyAlignment="1">
      <alignment horizontal="center"/>
    </xf>
  </cellXfs>
  <cellStyles count="8">
    <cellStyle name="Comma 2" xfId="1"/>
    <cellStyle name="Excel Built-in Normal" xfId="2"/>
    <cellStyle name="Excel Built-in Normal 2" xfId="3"/>
    <cellStyle name="Hyperlink" xfId="7" builtinId="8"/>
    <cellStyle name="Normal" xfId="0" builtinId="0"/>
    <cellStyle name="Normal 3" xfId="6"/>
    <cellStyle name="Normal 4" xfId="4"/>
    <cellStyle name="Percent"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pn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pn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6.png"/></Relationships>
</file>

<file path=xl/drawings/_rels/drawing3.xml.rels><?xml version="1.0" encoding="UTF-8" standalone="yes"?>
<Relationships xmlns="http://schemas.openxmlformats.org/package/2006/relationships"><Relationship Id="rId1" Type="http://schemas.openxmlformats.org/officeDocument/2006/relationships/image" Target="../media/image17.jpeg"/></Relationships>
</file>

<file path=xl/drawings/_rels/drawing4.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1</xdr:col>
      <xdr:colOff>199845</xdr:colOff>
      <xdr:row>328</xdr:row>
      <xdr:rowOff>113180</xdr:rowOff>
    </xdr:from>
    <xdr:to>
      <xdr:col>8</xdr:col>
      <xdr:colOff>336733</xdr:colOff>
      <xdr:row>347</xdr:row>
      <xdr:rowOff>129806</xdr:rowOff>
    </xdr:to>
    <xdr:pic>
      <xdr:nvPicPr>
        <xdr:cNvPr id="1436" name="Picture 1">
          <a:extLst>
            <a:ext uri="{FF2B5EF4-FFF2-40B4-BE49-F238E27FC236}">
              <a16:creationId xmlns:a16="http://schemas.microsoft.com/office/drawing/2014/main" id="{00000000-0008-0000-0000-00009C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827374" y="47211504"/>
          <a:ext cx="5302800" cy="3636126"/>
        </a:xfrm>
        <a:prstGeom prst="rect">
          <a:avLst/>
        </a:prstGeom>
        <a:noFill/>
        <a:ln w="1">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201714</xdr:colOff>
      <xdr:row>308</xdr:row>
      <xdr:rowOff>184150</xdr:rowOff>
    </xdr:from>
    <xdr:to>
      <xdr:col>8</xdr:col>
      <xdr:colOff>337864</xdr:colOff>
      <xdr:row>327</xdr:row>
      <xdr:rowOff>164650</xdr:rowOff>
    </xdr:to>
    <xdr:pic>
      <xdr:nvPicPr>
        <xdr:cNvPr id="1437" name="Picture 2">
          <a:extLst>
            <a:ext uri="{FF2B5EF4-FFF2-40B4-BE49-F238E27FC236}">
              <a16:creationId xmlns:a16="http://schemas.microsoft.com/office/drawing/2014/main" id="{00000000-0008-0000-0000-00009D0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829243" y="43472474"/>
          <a:ext cx="5302062" cy="3600000"/>
        </a:xfrm>
        <a:prstGeom prst="rect">
          <a:avLst/>
        </a:prstGeom>
        <a:noFill/>
        <a:ln w="1">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200025</xdr:colOff>
      <xdr:row>265</xdr:row>
      <xdr:rowOff>114300</xdr:rowOff>
    </xdr:from>
    <xdr:to>
      <xdr:col>9</xdr:col>
      <xdr:colOff>654073</xdr:colOff>
      <xdr:row>288</xdr:row>
      <xdr:rowOff>52800</xdr:rowOff>
    </xdr:to>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3"/>
        <a:stretch>
          <a:fillRect/>
        </a:stretch>
      </xdr:blipFill>
      <xdr:spPr>
        <a:xfrm>
          <a:off x="200025" y="55645050"/>
          <a:ext cx="6197623" cy="4320000"/>
        </a:xfrm>
        <a:prstGeom prst="rect">
          <a:avLst/>
        </a:prstGeom>
        <a:ln>
          <a:solidFill>
            <a:schemeClr val="tx1"/>
          </a:solidFill>
        </a:ln>
      </xdr:spPr>
    </xdr:pic>
    <xdr:clientData/>
  </xdr:twoCellAnchor>
  <xdr:twoCellAnchor editAs="oneCell">
    <xdr:from>
      <xdr:col>11</xdr:col>
      <xdr:colOff>457200</xdr:colOff>
      <xdr:row>44</xdr:row>
      <xdr:rowOff>172747</xdr:rowOff>
    </xdr:from>
    <xdr:to>
      <xdr:col>19</xdr:col>
      <xdr:colOff>323133</xdr:colOff>
      <xdr:row>53</xdr:row>
      <xdr:rowOff>142522</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4"/>
        <a:stretch>
          <a:fillRect/>
        </a:stretch>
      </xdr:blipFill>
      <xdr:spPr>
        <a:xfrm>
          <a:off x="7239000" y="9402472"/>
          <a:ext cx="4742733" cy="2331975"/>
        </a:xfrm>
        <a:prstGeom prst="rect">
          <a:avLst/>
        </a:prstGeom>
      </xdr:spPr>
    </xdr:pic>
    <xdr:clientData/>
  </xdr:twoCellAnchor>
  <xdr:twoCellAnchor editAs="oneCell">
    <xdr:from>
      <xdr:col>12</xdr:col>
      <xdr:colOff>80441</xdr:colOff>
      <xdr:row>34</xdr:row>
      <xdr:rowOff>85725</xdr:rowOff>
    </xdr:from>
    <xdr:to>
      <xdr:col>17</xdr:col>
      <xdr:colOff>18431</xdr:colOff>
      <xdr:row>44</xdr:row>
      <xdr:rowOff>115145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5"/>
        <a:stretch>
          <a:fillRect/>
        </a:stretch>
      </xdr:blipFill>
      <xdr:spPr>
        <a:xfrm>
          <a:off x="7471841" y="7162800"/>
          <a:ext cx="2985990" cy="2182070"/>
        </a:xfrm>
        <a:prstGeom prst="rect">
          <a:avLst/>
        </a:prstGeom>
      </xdr:spPr>
    </xdr:pic>
    <xdr:clientData/>
  </xdr:twoCellAnchor>
  <xdr:twoCellAnchor>
    <xdr:from>
      <xdr:col>0</xdr:col>
      <xdr:colOff>331224</xdr:colOff>
      <xdr:row>220</xdr:row>
      <xdr:rowOff>152881</xdr:rowOff>
    </xdr:from>
    <xdr:to>
      <xdr:col>9</xdr:col>
      <xdr:colOff>517071</xdr:colOff>
      <xdr:row>261</xdr:row>
      <xdr:rowOff>93888</xdr:rowOff>
    </xdr:to>
    <xdr:grpSp>
      <xdr:nvGrpSpPr>
        <xdr:cNvPr id="27" name="Group 26"/>
        <xdr:cNvGrpSpPr/>
      </xdr:nvGrpSpPr>
      <xdr:grpSpPr>
        <a:xfrm>
          <a:off x="331224" y="46999316"/>
          <a:ext cx="5925695" cy="7884029"/>
          <a:chOff x="630967" y="412907"/>
          <a:chExt cx="5432258" cy="6996716"/>
        </a:xfrm>
      </xdr:grpSpPr>
      <xdr:pic>
        <xdr:nvPicPr>
          <xdr:cNvPr id="28" name="Picture 27" descr="https://vsjcllp.vsjadon.com/upload/insp-239723-1525.jp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936469" y="5984160"/>
            <a:ext cx="1898858" cy="142546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9" name="Picture 28" descr="https://vsjcllp.vsjadon.com/upload/insp-239723-843.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652403" y="412909"/>
            <a:ext cx="2644278" cy="352937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0" name="Picture 29" descr="https://vsjcllp.vsjadon.com/upload/insp-239723-845.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574204" y="4080083"/>
            <a:ext cx="1348222" cy="179950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1" name="Picture 30" descr="https://vsjcllp.vsjadon.com/upload/insp-239723-849.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734576" y="5984160"/>
            <a:ext cx="1898858" cy="142546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2" name="Picture 31" descr="https://vsjcllp.vsjadon.com/upload/insp-239723-851.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630967" y="4104700"/>
            <a:ext cx="2397778" cy="180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4" name="Picture 33" descr="https://vsjcllp.vsjadon.com/upload/insp-239723-883.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3142865" y="4095099"/>
            <a:ext cx="1348595" cy="180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2" name="Picture 41" descr="https://vsjcllp.vsjadon.com/upload/insp-239723-931.jp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762975" y="5984160"/>
            <a:ext cx="1067984" cy="142546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3" name="Picture 42" descr="https://vsjcllp.vsjadon.com/upload/insp-239723-1512.jp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3418947" y="412907"/>
            <a:ext cx="2644278" cy="352937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6</xdr:col>
      <xdr:colOff>0</xdr:colOff>
      <xdr:row>26</xdr:row>
      <xdr:rowOff>165100</xdr:rowOff>
    </xdr:to>
    <xdr:pic>
      <xdr:nvPicPr>
        <xdr:cNvPr id="3077" name="Picture 1">
          <a:extLst>
            <a:ext uri="{FF2B5EF4-FFF2-40B4-BE49-F238E27FC236}">
              <a16:creationId xmlns:a16="http://schemas.microsoft.com/office/drawing/2014/main" id="{00000000-0008-0000-0100-0000050C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1524000"/>
          <a:ext cx="6711950" cy="34925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25</xdr:row>
      <xdr:rowOff>0</xdr:rowOff>
    </xdr:from>
    <xdr:to>
      <xdr:col>8</xdr:col>
      <xdr:colOff>152400</xdr:colOff>
      <xdr:row>40</xdr:row>
      <xdr:rowOff>19050</xdr:rowOff>
    </xdr:to>
    <xdr:pic>
      <xdr:nvPicPr>
        <xdr:cNvPr id="2064" name="Picture 1">
          <a:extLst>
            <a:ext uri="{FF2B5EF4-FFF2-40B4-BE49-F238E27FC236}">
              <a16:creationId xmlns:a16="http://schemas.microsoft.com/office/drawing/2014/main" id="{00000000-0008-0000-0200-0000100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48150" y="3022600"/>
          <a:ext cx="2273300" cy="268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3</xdr:row>
      <xdr:rowOff>0</xdr:rowOff>
    </xdr:from>
    <xdr:to>
      <xdr:col>9</xdr:col>
      <xdr:colOff>167400</xdr:colOff>
      <xdr:row>14</xdr:row>
      <xdr:rowOff>64500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971675" y="571500"/>
          <a:ext cx="3825000" cy="2160000"/>
        </a:xfrm>
        <a:prstGeom prst="rect">
          <a:avLst/>
        </a:prstGeom>
      </xdr:spPr>
    </xdr:pic>
    <xdr:clientData/>
  </xdr:twoCellAnchor>
  <xdr:twoCellAnchor editAs="oneCell">
    <xdr:from>
      <xdr:col>10</xdr:col>
      <xdr:colOff>0</xdr:colOff>
      <xdr:row>3</xdr:row>
      <xdr:rowOff>0</xdr:rowOff>
    </xdr:from>
    <xdr:to>
      <xdr:col>15</xdr:col>
      <xdr:colOff>139500</xdr:colOff>
      <xdr:row>12</xdr:row>
      <xdr:rowOff>85500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6238875" y="571500"/>
          <a:ext cx="3187500" cy="180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y5PGmA24qvLswHXGA"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308"/>
  <sheetViews>
    <sheetView tabSelected="1" view="pageBreakPreview" topLeftCell="A58" zoomScale="115" zoomScaleNormal="100" zoomScaleSheetLayoutView="115" zoomScalePageLayoutView="85" workbookViewId="0">
      <selection activeCell="M69" sqref="M69"/>
    </sheetView>
  </sheetViews>
  <sheetFormatPr defaultRowHeight="15" x14ac:dyDescent="0.25"/>
  <cols>
    <col min="1" max="1" width="8.7109375" customWidth="1"/>
    <col min="2" max="2" width="12.5703125" customWidth="1"/>
    <col min="3" max="3" width="11.5703125" customWidth="1"/>
    <col min="4" max="4" width="10.7109375" customWidth="1"/>
    <col min="5" max="5" width="9.42578125" customWidth="1"/>
    <col min="6" max="6" width="9.5703125" customWidth="1"/>
    <col min="7" max="7" width="8.7109375" customWidth="1"/>
    <col min="8" max="8" width="9.28515625" customWidth="1"/>
    <col min="9" max="9" width="5.5703125" customWidth="1"/>
    <col min="10" max="10" width="12" customWidth="1"/>
    <col min="11" max="11" width="3.5703125" customWidth="1"/>
  </cols>
  <sheetData>
    <row r="1" spans="1:10" ht="43.9" customHeight="1" x14ac:dyDescent="0.25">
      <c r="A1" s="189" t="s">
        <v>224</v>
      </c>
      <c r="B1" s="190"/>
      <c r="C1" s="190"/>
      <c r="D1" s="190"/>
      <c r="E1" s="190"/>
      <c r="F1" s="190"/>
      <c r="G1" s="190"/>
      <c r="H1" s="190"/>
      <c r="I1" s="190"/>
      <c r="J1" s="191"/>
    </row>
    <row r="2" spans="1:10" x14ac:dyDescent="0.25">
      <c r="A2" s="192" t="s">
        <v>42</v>
      </c>
      <c r="B2" s="193"/>
      <c r="C2" s="193"/>
      <c r="D2" s="193"/>
      <c r="E2" s="193"/>
      <c r="F2" s="193"/>
      <c r="G2" s="193"/>
      <c r="H2" s="193"/>
      <c r="I2" s="193"/>
      <c r="J2" s="194"/>
    </row>
    <row r="3" spans="1:10" x14ac:dyDescent="0.25">
      <c r="A3" s="120" t="s">
        <v>0</v>
      </c>
      <c r="B3" s="101"/>
      <c r="C3" s="101"/>
      <c r="D3" s="101"/>
      <c r="E3" s="102"/>
      <c r="F3" s="195" t="str">
        <f ca="1">TEXT(TODAY(),"DD/MM/YYYY")</f>
        <v>09/07/2025</v>
      </c>
      <c r="G3" s="196"/>
      <c r="H3" s="196"/>
      <c r="I3" s="196"/>
      <c r="J3" s="197"/>
    </row>
    <row r="4" spans="1:10" x14ac:dyDescent="0.25">
      <c r="A4" s="120" t="s">
        <v>1</v>
      </c>
      <c r="B4" s="101"/>
      <c r="C4" s="101"/>
      <c r="D4" s="101"/>
      <c r="E4" s="102"/>
      <c r="F4" s="98" t="s">
        <v>114</v>
      </c>
      <c r="G4" s="99"/>
      <c r="H4" s="99"/>
      <c r="I4" s="99"/>
      <c r="J4" s="100"/>
    </row>
    <row r="5" spans="1:10" x14ac:dyDescent="0.25">
      <c r="A5" s="120" t="s">
        <v>2</v>
      </c>
      <c r="B5" s="101"/>
      <c r="C5" s="101"/>
      <c r="D5" s="101"/>
      <c r="E5" s="102"/>
      <c r="F5" s="195">
        <v>45846</v>
      </c>
      <c r="G5" s="196"/>
      <c r="H5" s="196"/>
      <c r="I5" s="196"/>
      <c r="J5" s="197"/>
    </row>
    <row r="6" spans="1:10" ht="16.5" customHeight="1" x14ac:dyDescent="0.25">
      <c r="A6" s="98" t="s">
        <v>3</v>
      </c>
      <c r="B6" s="101"/>
      <c r="C6" s="101"/>
      <c r="D6" s="101"/>
      <c r="E6" s="102"/>
      <c r="F6" s="147" t="s">
        <v>115</v>
      </c>
      <c r="G6" s="134"/>
      <c r="H6" s="134"/>
      <c r="I6" s="134"/>
      <c r="J6" s="135"/>
    </row>
    <row r="7" spans="1:10" ht="15" customHeight="1" x14ac:dyDescent="0.25">
      <c r="A7" s="120" t="s">
        <v>4</v>
      </c>
      <c r="B7" s="101"/>
      <c r="C7" s="101"/>
      <c r="D7" s="101"/>
      <c r="E7" s="102"/>
      <c r="F7" s="147" t="s">
        <v>115</v>
      </c>
      <c r="G7" s="134"/>
      <c r="H7" s="134"/>
      <c r="I7" s="134"/>
      <c r="J7" s="135"/>
    </row>
    <row r="8" spans="1:10" x14ac:dyDescent="0.25">
      <c r="A8" s="120" t="s">
        <v>5</v>
      </c>
      <c r="B8" s="101"/>
      <c r="C8" s="101"/>
      <c r="D8" s="101"/>
      <c r="E8" s="102"/>
      <c r="F8" s="174" t="s">
        <v>116</v>
      </c>
      <c r="G8" s="178"/>
      <c r="H8" s="178"/>
      <c r="I8" s="178"/>
      <c r="J8" s="179"/>
    </row>
    <row r="9" spans="1:10" x14ac:dyDescent="0.25">
      <c r="A9" s="98" t="s">
        <v>227</v>
      </c>
      <c r="B9" s="101"/>
      <c r="C9" s="101"/>
      <c r="D9" s="101"/>
      <c r="E9" s="102"/>
      <c r="F9" s="98" t="s">
        <v>265</v>
      </c>
      <c r="G9" s="99"/>
      <c r="H9" s="99"/>
      <c r="I9" s="99"/>
      <c r="J9" s="100"/>
    </row>
    <row r="10" spans="1:10" x14ac:dyDescent="0.25">
      <c r="A10" s="98" t="s">
        <v>228</v>
      </c>
      <c r="B10" s="101"/>
      <c r="C10" s="101"/>
      <c r="D10" s="101"/>
      <c r="E10" s="102"/>
      <c r="F10" s="98" t="s">
        <v>264</v>
      </c>
      <c r="G10" s="99"/>
      <c r="H10" s="99"/>
      <c r="I10" s="99"/>
      <c r="J10" s="100"/>
    </row>
    <row r="11" spans="1:10" x14ac:dyDescent="0.25">
      <c r="A11" s="98" t="s">
        <v>96</v>
      </c>
      <c r="B11" s="99"/>
      <c r="C11" s="99"/>
      <c r="D11" s="99"/>
      <c r="E11" s="100"/>
      <c r="F11" s="98" t="s">
        <v>116</v>
      </c>
      <c r="G11" s="99"/>
      <c r="H11" s="99"/>
      <c r="I11" s="99"/>
      <c r="J11" s="100"/>
    </row>
    <row r="12" spans="1:10" x14ac:dyDescent="0.25">
      <c r="A12" s="98" t="s">
        <v>132</v>
      </c>
      <c r="B12" s="99"/>
      <c r="C12" s="99"/>
      <c r="D12" s="99"/>
      <c r="E12" s="100"/>
      <c r="F12" s="98" t="s">
        <v>131</v>
      </c>
      <c r="G12" s="99"/>
      <c r="H12" s="99"/>
      <c r="I12" s="99"/>
      <c r="J12" s="100"/>
    </row>
    <row r="13" spans="1:10" x14ac:dyDescent="0.25">
      <c r="A13" s="120" t="s">
        <v>6</v>
      </c>
      <c r="B13" s="101"/>
      <c r="C13" s="101"/>
      <c r="D13" s="101"/>
      <c r="E13" s="102"/>
      <c r="F13" s="147" t="s">
        <v>133</v>
      </c>
      <c r="G13" s="134"/>
      <c r="H13" s="134"/>
      <c r="I13" s="134"/>
      <c r="J13" s="135"/>
    </row>
    <row r="14" spans="1:10" x14ac:dyDescent="0.25">
      <c r="A14" s="154" t="s">
        <v>55</v>
      </c>
      <c r="B14" s="154"/>
      <c r="C14" s="147" t="s">
        <v>126</v>
      </c>
      <c r="D14" s="134"/>
      <c r="E14" s="134"/>
      <c r="F14" s="134"/>
      <c r="G14" s="134"/>
      <c r="H14" s="134"/>
      <c r="I14" s="134"/>
      <c r="J14" s="135"/>
    </row>
    <row r="15" spans="1:10" ht="15" customHeight="1" x14ac:dyDescent="0.25">
      <c r="A15" s="154" t="s">
        <v>97</v>
      </c>
      <c r="B15" s="154"/>
      <c r="C15" s="205">
        <v>2</v>
      </c>
      <c r="D15" s="205"/>
      <c r="E15" s="205"/>
      <c r="F15" s="206" t="s">
        <v>56</v>
      </c>
      <c r="G15" s="206"/>
      <c r="H15" s="134" t="s">
        <v>117</v>
      </c>
      <c r="I15" s="134"/>
      <c r="J15" s="135"/>
    </row>
    <row r="16" spans="1:10" x14ac:dyDescent="0.25">
      <c r="A16" s="154" t="s">
        <v>7</v>
      </c>
      <c r="B16" s="154"/>
      <c r="C16" s="205" t="s">
        <v>134</v>
      </c>
      <c r="D16" s="205"/>
      <c r="E16" s="205"/>
      <c r="F16" s="206" t="s">
        <v>57</v>
      </c>
      <c r="G16" s="206"/>
      <c r="H16" s="134" t="s">
        <v>118</v>
      </c>
      <c r="I16" s="134"/>
      <c r="J16" s="135"/>
    </row>
    <row r="17" spans="1:10" x14ac:dyDescent="0.25">
      <c r="A17" s="154" t="s">
        <v>8</v>
      </c>
      <c r="B17" s="154"/>
      <c r="C17" s="205" t="s">
        <v>119</v>
      </c>
      <c r="D17" s="205"/>
      <c r="E17" s="205"/>
      <c r="F17" s="206" t="s">
        <v>58</v>
      </c>
      <c r="G17" s="206"/>
      <c r="H17" s="134" t="s">
        <v>120</v>
      </c>
      <c r="I17" s="134"/>
      <c r="J17" s="135"/>
    </row>
    <row r="18" spans="1:10" ht="32.25" customHeight="1" x14ac:dyDescent="0.25">
      <c r="A18" s="154" t="s">
        <v>59</v>
      </c>
      <c r="B18" s="154"/>
      <c r="C18" s="205" t="s">
        <v>124</v>
      </c>
      <c r="D18" s="205"/>
      <c r="E18" s="205"/>
      <c r="F18" s="206" t="s">
        <v>48</v>
      </c>
      <c r="G18" s="206"/>
      <c r="H18" s="134" t="s">
        <v>135</v>
      </c>
      <c r="I18" s="134"/>
      <c r="J18" s="135"/>
    </row>
    <row r="19" spans="1:10" ht="15" customHeight="1" x14ac:dyDescent="0.25">
      <c r="A19" s="181" t="s">
        <v>98</v>
      </c>
      <c r="B19" s="184"/>
      <c r="C19" s="184"/>
      <c r="D19" s="184"/>
      <c r="E19" s="185"/>
      <c r="F19" s="207" t="s">
        <v>53</v>
      </c>
      <c r="G19" s="208"/>
      <c r="H19" s="208"/>
      <c r="I19" s="208"/>
      <c r="J19" s="209"/>
    </row>
    <row r="20" spans="1:10" x14ac:dyDescent="0.25">
      <c r="A20" s="202"/>
      <c r="B20" s="203"/>
      <c r="C20" s="203"/>
      <c r="D20" s="203"/>
      <c r="E20" s="204"/>
      <c r="F20" s="210"/>
      <c r="G20" s="211"/>
      <c r="H20" s="211"/>
      <c r="I20" s="211"/>
      <c r="J20" s="212"/>
    </row>
    <row r="21" spans="1:10" ht="15" customHeight="1" x14ac:dyDescent="0.25">
      <c r="A21" s="181" t="s">
        <v>99</v>
      </c>
      <c r="B21" s="182"/>
      <c r="C21" s="182"/>
      <c r="D21" s="182"/>
      <c r="E21" s="183"/>
      <c r="F21" s="181" t="s">
        <v>43</v>
      </c>
      <c r="G21" s="184"/>
      <c r="H21" s="184"/>
      <c r="I21" s="184"/>
      <c r="J21" s="185"/>
    </row>
    <row r="22" spans="1:10" x14ac:dyDescent="0.25">
      <c r="A22" s="120" t="s">
        <v>9</v>
      </c>
      <c r="B22" s="101"/>
      <c r="C22" s="101"/>
      <c r="D22" s="101"/>
      <c r="E22" s="102"/>
      <c r="F22" s="130" t="s">
        <v>121</v>
      </c>
      <c r="G22" s="131"/>
      <c r="H22" s="131"/>
      <c r="I22" s="131"/>
      <c r="J22" s="132"/>
    </row>
    <row r="23" spans="1:10" x14ac:dyDescent="0.25">
      <c r="A23" s="120" t="s">
        <v>10</v>
      </c>
      <c r="B23" s="101"/>
      <c r="C23" s="101"/>
      <c r="D23" s="101"/>
      <c r="E23" s="102"/>
      <c r="F23" s="213" t="s">
        <v>49</v>
      </c>
      <c r="G23" s="214"/>
      <c r="H23" s="214"/>
      <c r="I23" s="214"/>
      <c r="J23" s="215"/>
    </row>
    <row r="24" spans="1:10" x14ac:dyDescent="0.25">
      <c r="A24" s="120" t="s">
        <v>11</v>
      </c>
      <c r="B24" s="101"/>
      <c r="C24" s="101"/>
      <c r="D24" s="101"/>
      <c r="E24" s="102"/>
      <c r="F24" s="130" t="s">
        <v>125</v>
      </c>
      <c r="G24" s="131"/>
      <c r="H24" s="131"/>
      <c r="I24" s="131"/>
      <c r="J24" s="132"/>
    </row>
    <row r="25" spans="1:10" x14ac:dyDescent="0.25">
      <c r="A25" s="120" t="s">
        <v>28</v>
      </c>
      <c r="B25" s="101"/>
      <c r="C25" s="101"/>
      <c r="D25" s="101"/>
      <c r="E25" s="102"/>
      <c r="F25" s="213" t="s">
        <v>60</v>
      </c>
      <c r="G25" s="149"/>
      <c r="H25" s="149"/>
      <c r="I25" s="149"/>
      <c r="J25" s="150"/>
    </row>
    <row r="26" spans="1:10" x14ac:dyDescent="0.25">
      <c r="A26" s="129" t="s">
        <v>12</v>
      </c>
      <c r="B26" s="128"/>
      <c r="C26" s="129" t="s">
        <v>13</v>
      </c>
      <c r="D26" s="128"/>
      <c r="E26" s="126" t="s">
        <v>14</v>
      </c>
      <c r="F26" s="128"/>
      <c r="G26" s="126" t="s">
        <v>47</v>
      </c>
      <c r="H26" s="127"/>
      <c r="I26" s="129" t="s">
        <v>15</v>
      </c>
      <c r="J26" s="128"/>
    </row>
    <row r="27" spans="1:10" x14ac:dyDescent="0.25">
      <c r="A27" s="126" t="s">
        <v>16</v>
      </c>
      <c r="B27" s="127"/>
      <c r="C27" s="126" t="s">
        <v>46</v>
      </c>
      <c r="D27" s="127"/>
      <c r="E27" s="126" t="s">
        <v>46</v>
      </c>
      <c r="F27" s="127"/>
      <c r="G27" s="126" t="s">
        <v>46</v>
      </c>
      <c r="H27" s="127"/>
      <c r="I27" s="126" t="s">
        <v>46</v>
      </c>
      <c r="J27" s="127"/>
    </row>
    <row r="28" spans="1:10" x14ac:dyDescent="0.25">
      <c r="A28" s="129" t="s">
        <v>17</v>
      </c>
      <c r="B28" s="128"/>
      <c r="C28" s="126" t="s">
        <v>122</v>
      </c>
      <c r="D28" s="127"/>
      <c r="E28" s="126" t="s">
        <v>7</v>
      </c>
      <c r="F28" s="127"/>
      <c r="G28" s="126" t="s">
        <v>123</v>
      </c>
      <c r="H28" s="127"/>
      <c r="I28" s="126" t="s">
        <v>7</v>
      </c>
      <c r="J28" s="127"/>
    </row>
    <row r="29" spans="1:10" x14ac:dyDescent="0.25">
      <c r="A29" s="98" t="s">
        <v>52</v>
      </c>
      <c r="B29" s="99"/>
      <c r="C29" s="99"/>
      <c r="D29" s="99"/>
      <c r="E29" s="99"/>
      <c r="F29" s="99"/>
      <c r="G29" s="99"/>
      <c r="H29" s="99"/>
      <c r="I29" s="99"/>
      <c r="J29" s="100"/>
    </row>
    <row r="30" spans="1:10" x14ac:dyDescent="0.25">
      <c r="A30" s="98" t="s">
        <v>136</v>
      </c>
      <c r="B30" s="99"/>
      <c r="C30" s="99"/>
      <c r="D30" s="99"/>
      <c r="E30" s="99"/>
      <c r="F30" s="99"/>
      <c r="G30" s="99"/>
      <c r="H30" s="99"/>
      <c r="I30" s="99"/>
      <c r="J30" s="100"/>
    </row>
    <row r="31" spans="1:10" x14ac:dyDescent="0.25">
      <c r="A31" s="98" t="s">
        <v>39</v>
      </c>
      <c r="B31" s="100"/>
      <c r="C31" s="174" t="s">
        <v>263</v>
      </c>
      <c r="D31" s="178"/>
      <c r="E31" s="178"/>
      <c r="F31" s="178"/>
      <c r="G31" s="178"/>
      <c r="H31" s="178"/>
      <c r="I31" s="178"/>
      <c r="J31" s="179"/>
    </row>
    <row r="32" spans="1:10" x14ac:dyDescent="0.25">
      <c r="A32" s="98" t="s">
        <v>225</v>
      </c>
      <c r="B32" s="100"/>
      <c r="C32" s="125" t="s">
        <v>226</v>
      </c>
      <c r="D32" s="99"/>
      <c r="E32" s="99"/>
      <c r="F32" s="99"/>
      <c r="G32" s="99"/>
      <c r="H32" s="99"/>
      <c r="I32" s="99"/>
      <c r="J32" s="100"/>
    </row>
    <row r="33" spans="1:10" x14ac:dyDescent="0.25">
      <c r="A33" s="174" t="s">
        <v>18</v>
      </c>
      <c r="B33" s="178"/>
      <c r="C33" s="178"/>
      <c r="D33" s="178"/>
      <c r="E33" s="178"/>
      <c r="F33" s="178"/>
      <c r="G33" s="178"/>
      <c r="H33" s="178"/>
      <c r="I33" s="178"/>
      <c r="J33" s="179"/>
    </row>
    <row r="34" spans="1:10" ht="15" customHeight="1" x14ac:dyDescent="0.25">
      <c r="A34" s="181" t="s">
        <v>137</v>
      </c>
      <c r="B34" s="184"/>
      <c r="C34" s="184"/>
      <c r="D34" s="184"/>
      <c r="E34" s="184"/>
      <c r="F34" s="184"/>
      <c r="G34" s="184"/>
      <c r="H34" s="184"/>
      <c r="I34" s="184"/>
      <c r="J34" s="185"/>
    </row>
    <row r="35" spans="1:10" x14ac:dyDescent="0.25">
      <c r="A35" s="202"/>
      <c r="B35" s="203"/>
      <c r="C35" s="203"/>
      <c r="D35" s="203"/>
      <c r="E35" s="203"/>
      <c r="F35" s="203"/>
      <c r="G35" s="203"/>
      <c r="H35" s="203"/>
      <c r="I35" s="203"/>
      <c r="J35" s="204"/>
    </row>
    <row r="36" spans="1:10" ht="16.5" customHeight="1" x14ac:dyDescent="0.25">
      <c r="A36" s="98" t="s">
        <v>61</v>
      </c>
      <c r="B36" s="101"/>
      <c r="C36" s="101"/>
      <c r="D36" s="101"/>
      <c r="E36" s="102"/>
      <c r="F36" s="147">
        <v>3620</v>
      </c>
      <c r="G36" s="134"/>
      <c r="H36" s="134"/>
      <c r="I36" s="134"/>
      <c r="J36" s="135"/>
    </row>
    <row r="37" spans="1:10" x14ac:dyDescent="0.25">
      <c r="A37" s="120" t="s">
        <v>19</v>
      </c>
      <c r="B37" s="101"/>
      <c r="C37" s="101"/>
      <c r="D37" s="101"/>
      <c r="E37" s="102"/>
      <c r="F37" s="98">
        <v>1.5</v>
      </c>
      <c r="G37" s="99"/>
      <c r="H37" s="99"/>
      <c r="I37" s="99"/>
      <c r="J37" s="100"/>
    </row>
    <row r="38" spans="1:10" x14ac:dyDescent="0.25">
      <c r="A38" s="120" t="s">
        <v>20</v>
      </c>
      <c r="B38" s="101"/>
      <c r="C38" s="101"/>
      <c r="D38" s="101"/>
      <c r="E38" s="102"/>
      <c r="F38" s="144">
        <f>(F40/F36)-F37</f>
        <v>-7.8784530386741825E-3</v>
      </c>
      <c r="G38" s="145"/>
      <c r="H38" s="145"/>
      <c r="I38" s="145"/>
      <c r="J38" s="146"/>
    </row>
    <row r="39" spans="1:10" x14ac:dyDescent="0.25">
      <c r="A39" s="120" t="s">
        <v>21</v>
      </c>
      <c r="B39" s="101"/>
      <c r="C39" s="101"/>
      <c r="D39" s="101"/>
      <c r="E39" s="102"/>
      <c r="F39" s="136">
        <f>F37+F38</f>
        <v>1.4921215469613258</v>
      </c>
      <c r="G39" s="137"/>
      <c r="H39" s="137"/>
      <c r="I39" s="137"/>
      <c r="J39" s="138"/>
    </row>
    <row r="40" spans="1:10" x14ac:dyDescent="0.25">
      <c r="A40" s="98" t="s">
        <v>62</v>
      </c>
      <c r="B40" s="101"/>
      <c r="C40" s="101"/>
      <c r="D40" s="101"/>
      <c r="E40" s="102"/>
      <c r="F40" s="98">
        <v>5401.48</v>
      </c>
      <c r="G40" s="99"/>
      <c r="H40" s="99"/>
      <c r="I40" s="99"/>
      <c r="J40" s="100"/>
    </row>
    <row r="41" spans="1:10" x14ac:dyDescent="0.25">
      <c r="A41" s="120" t="s">
        <v>22</v>
      </c>
      <c r="B41" s="101"/>
      <c r="C41" s="101"/>
      <c r="D41" s="101"/>
      <c r="E41" s="102"/>
      <c r="F41" s="98" t="s">
        <v>138</v>
      </c>
      <c r="G41" s="99"/>
      <c r="H41" s="99"/>
      <c r="I41" s="99"/>
      <c r="J41" s="100"/>
    </row>
    <row r="42" spans="1:10" x14ac:dyDescent="0.25">
      <c r="A42" s="174" t="s">
        <v>64</v>
      </c>
      <c r="B42" s="178"/>
      <c r="C42" s="178"/>
      <c r="D42" s="178"/>
      <c r="E42" s="178"/>
      <c r="F42" s="178"/>
      <c r="G42" s="178"/>
      <c r="H42" s="178"/>
      <c r="I42" s="178"/>
      <c r="J42" s="179"/>
    </row>
    <row r="43" spans="1:10" ht="16.5" customHeight="1" x14ac:dyDescent="0.25">
      <c r="A43" s="147" t="s">
        <v>63</v>
      </c>
      <c r="B43" s="135"/>
      <c r="C43" s="121" t="s">
        <v>243</v>
      </c>
      <c r="D43" s="122"/>
      <c r="E43" s="122"/>
      <c r="F43" s="123"/>
      <c r="G43" s="2" t="s">
        <v>54</v>
      </c>
      <c r="H43" s="199">
        <v>43565</v>
      </c>
      <c r="I43" s="200"/>
      <c r="J43" s="201"/>
    </row>
    <row r="44" spans="1:10" ht="31.5" customHeight="1" x14ac:dyDescent="0.25">
      <c r="A44" s="147" t="s">
        <v>65</v>
      </c>
      <c r="B44" s="135"/>
      <c r="C44" s="121" t="str">
        <f>C43</f>
        <v>SWC/14/521/20181017/583222</v>
      </c>
      <c r="D44" s="122"/>
      <c r="E44" s="122"/>
      <c r="F44" s="123"/>
      <c r="G44" s="2" t="s">
        <v>54</v>
      </c>
      <c r="H44" s="199">
        <f>H43</f>
        <v>43565</v>
      </c>
      <c r="I44" s="200" t="s">
        <v>44</v>
      </c>
      <c r="J44" s="201"/>
    </row>
    <row r="45" spans="1:10" ht="32.25" customHeight="1" x14ac:dyDescent="0.25">
      <c r="A45" s="147" t="s">
        <v>139</v>
      </c>
      <c r="B45" s="135"/>
      <c r="C45" s="218" t="s">
        <v>244</v>
      </c>
      <c r="D45" s="219"/>
      <c r="E45" s="219"/>
      <c r="F45" s="220"/>
      <c r="G45" s="2" t="s">
        <v>54</v>
      </c>
      <c r="H45" s="199">
        <f>H44</f>
        <v>43565</v>
      </c>
      <c r="I45" s="122"/>
      <c r="J45" s="123"/>
    </row>
    <row r="46" spans="1:10" ht="45" customHeight="1" x14ac:dyDescent="0.25">
      <c r="A46" s="139" t="s">
        <v>267</v>
      </c>
      <c r="B46" s="134"/>
      <c r="C46" s="134"/>
      <c r="D46" s="134"/>
      <c r="E46" s="135"/>
      <c r="F46" s="174" t="s">
        <v>266</v>
      </c>
      <c r="G46" s="99"/>
      <c r="H46" s="99"/>
      <c r="I46" s="99"/>
      <c r="J46" s="100"/>
    </row>
    <row r="47" spans="1:10" x14ac:dyDescent="0.25">
      <c r="A47" s="154" t="s">
        <v>70</v>
      </c>
      <c r="B47" s="154"/>
      <c r="C47" s="154"/>
      <c r="D47" s="180">
        <f>H45</f>
        <v>43565</v>
      </c>
      <c r="E47" s="180"/>
      <c r="F47" s="98" t="s">
        <v>66</v>
      </c>
      <c r="G47" s="124"/>
      <c r="H47" s="133" t="s">
        <v>268</v>
      </c>
      <c r="I47" s="134"/>
      <c r="J47" s="135"/>
    </row>
    <row r="48" spans="1:10" x14ac:dyDescent="0.25">
      <c r="A48" s="155" t="s">
        <v>23</v>
      </c>
      <c r="B48" s="156"/>
      <c r="C48" s="156"/>
      <c r="D48" s="156"/>
      <c r="E48" s="156"/>
      <c r="F48" s="156"/>
      <c r="G48" s="156"/>
      <c r="H48" s="156"/>
      <c r="I48" s="156"/>
      <c r="J48" s="157"/>
    </row>
    <row r="49" spans="1:12" ht="17.25" customHeight="1" x14ac:dyDescent="0.25">
      <c r="A49" s="98" t="s">
        <v>95</v>
      </c>
      <c r="B49" s="99"/>
      <c r="C49" s="100"/>
      <c r="D49" s="126">
        <f>F40</f>
        <v>5401.48</v>
      </c>
      <c r="E49" s="127"/>
      <c r="F49" s="216" t="s">
        <v>67</v>
      </c>
      <c r="G49" s="216"/>
      <c r="H49" s="216"/>
      <c r="I49" s="217">
        <v>173</v>
      </c>
      <c r="J49" s="217"/>
    </row>
    <row r="50" spans="1:12" x14ac:dyDescent="0.25">
      <c r="A50" s="98" t="s">
        <v>68</v>
      </c>
      <c r="B50" s="99"/>
      <c r="C50" s="100"/>
      <c r="D50" s="198" t="s">
        <v>222</v>
      </c>
      <c r="E50" s="198"/>
      <c r="F50" s="98" t="s">
        <v>50</v>
      </c>
      <c r="G50" s="99"/>
      <c r="H50" s="99"/>
      <c r="I50" s="99"/>
      <c r="J50" s="100"/>
    </row>
    <row r="51" spans="1:12" x14ac:dyDescent="0.25">
      <c r="A51" s="98" t="s">
        <v>141</v>
      </c>
      <c r="B51" s="99"/>
      <c r="C51" s="99"/>
      <c r="D51" s="99"/>
      <c r="E51" s="100"/>
      <c r="F51" s="147" t="s">
        <v>270</v>
      </c>
      <c r="G51" s="134"/>
      <c r="H51" s="134"/>
      <c r="I51" s="134"/>
      <c r="J51" s="135"/>
    </row>
    <row r="52" spans="1:12" ht="15.75" thickBot="1" x14ac:dyDescent="0.3">
      <c r="A52" s="98" t="s">
        <v>271</v>
      </c>
      <c r="B52" s="99"/>
      <c r="C52" s="99"/>
      <c r="D52" s="99"/>
      <c r="E52" s="99"/>
      <c r="F52" s="99"/>
      <c r="G52" s="99"/>
      <c r="H52" s="99"/>
      <c r="I52" s="99"/>
      <c r="J52" s="100"/>
    </row>
    <row r="53" spans="1:12" ht="15.75" x14ac:dyDescent="0.25">
      <c r="A53" s="161" t="s">
        <v>196</v>
      </c>
      <c r="B53" s="162"/>
      <c r="C53" s="118" t="s">
        <v>223</v>
      </c>
      <c r="D53" s="118"/>
      <c r="E53" s="118"/>
      <c r="F53" s="118"/>
      <c r="G53" s="118"/>
      <c r="H53" s="118"/>
      <c r="I53" s="118"/>
      <c r="J53" s="119"/>
      <c r="K53" s="38" t="str">
        <f ca="1">(IF(F57&gt;99%,"All work completed. Please provide OC.",IF(F57&gt;89.8%,"Plinth, RCC, Brick, Plaster, Flooring, Painting work Completed. Finishing work is in process.",IF(F57&lt;94%,(IF(C57=0,"Work not yet Started.",IF(D57=25%,"Piling work in process",IF(D57=50%,"Excavation work in process",IF(D57=100%,"Excavation work Completed. ","0")))&amp;(IF(C58=0%,"",IF(C58=L59,"Footing work is process",IF(C58=L60,"Footing work Completed",IF(C58=L61,"1st Basement Completed",IF(C58=L62,"1st &amp; 2nd Basement Completed",IF(C58=L63,"1st to 3rd Basement Completed",IF(C58=L64,"1st to 4th Basement Completed",IF(C58=L65,"Plinth work is process",IF(C58=L66,"Plinth work completed","0")))))))))))&amp;(IF(C59=(D54+G54+I54),", RCC Slab",IF(C59&gt;0,", RCC upto "&amp;C59&amp;" Slab",""))&amp;(IF(C60=I54,", Brickwork",IF(C60&gt;0,", Brickwork upto "&amp;C60&amp;" Floor",""))&amp;(IF(C61=I54,", Internal Plaster",IF(C61&gt;0,", Internal Plaster upto "&amp;C61&amp;" Floor",""))&amp;(IF(C62=I54,", External Plaster",IF(C62&gt;0,", External Plaster upto "&amp;C62&amp;" Floor",""))&amp;(IF(C63=I54,", Flooring",IF(C63&gt;0,", Flooring upto "&amp;C63&amp;" Floor",""))&amp;(IF(C64=I54,", Painting",IF(C64&gt;0,", Painting upto "&amp;C64&amp;" Floor",""))&amp;(IF(C65&gt;0,", Finishing upto "&amp;C65&amp;" Floor","")&amp;(IF(C59&gt;0.5," Completed",""))))))))))))))</f>
        <v>All work completed. Please provide OC.</v>
      </c>
      <c r="L53" s="38"/>
    </row>
    <row r="54" spans="1:12" ht="15.75" x14ac:dyDescent="0.25">
      <c r="A54" s="39" t="s">
        <v>142</v>
      </c>
      <c r="B54" s="45">
        <v>0</v>
      </c>
      <c r="C54" s="40" t="s">
        <v>144</v>
      </c>
      <c r="D54" s="40">
        <v>1</v>
      </c>
      <c r="E54" s="186" t="s">
        <v>143</v>
      </c>
      <c r="F54" s="186"/>
      <c r="G54" s="40">
        <v>0</v>
      </c>
      <c r="H54" s="40" t="s">
        <v>197</v>
      </c>
      <c r="I54" s="186">
        <f ca="1">--TRIM(RIGHT(SUBSTITUTE(LEFT(C53,_xlfn.AGGREGATE(16,6,FIND({0,1,2,3,4,5,6,7,8,9},C53,ROW(INDIRECT("1:"&amp;LEN(C53)))),1))," ",REPT(" ",LEN(C53))),LEN(C53)))</f>
        <v>23</v>
      </c>
      <c r="J54" s="187"/>
      <c r="K54" s="38"/>
      <c r="L54" s="38"/>
    </row>
    <row r="55" spans="1:12" ht="15.75" x14ac:dyDescent="0.25">
      <c r="A55" s="140" t="s">
        <v>198</v>
      </c>
      <c r="B55" s="141"/>
      <c r="C55" s="142" t="str">
        <f>K55</f>
        <v>All work Completed. OC Received.</v>
      </c>
      <c r="D55" s="142"/>
      <c r="E55" s="142"/>
      <c r="F55" s="142"/>
      <c r="G55" s="142"/>
      <c r="H55" s="142"/>
      <c r="I55" s="142"/>
      <c r="J55" s="143"/>
      <c r="K55" s="38" t="s">
        <v>199</v>
      </c>
      <c r="L55" s="38"/>
    </row>
    <row r="56" spans="1:12" ht="15.75" x14ac:dyDescent="0.25">
      <c r="A56" s="109" t="s">
        <v>31</v>
      </c>
      <c r="B56" s="110"/>
      <c r="C56" s="46" t="s">
        <v>200</v>
      </c>
      <c r="D56" s="91" t="s">
        <v>201</v>
      </c>
      <c r="E56" s="91"/>
      <c r="F56" s="91" t="s">
        <v>202</v>
      </c>
      <c r="G56" s="91"/>
      <c r="H56" s="91" t="s">
        <v>203</v>
      </c>
      <c r="I56" s="91"/>
      <c r="J56" s="188"/>
      <c r="K56" s="41" t="s">
        <v>204</v>
      </c>
      <c r="L56" s="42">
        <f ca="1">I54*25%</f>
        <v>5.75</v>
      </c>
    </row>
    <row r="57" spans="1:12" ht="15.75" x14ac:dyDescent="0.25">
      <c r="A57" s="93" t="s">
        <v>205</v>
      </c>
      <c r="B57" s="94"/>
      <c r="C57" s="47">
        <f ca="1">L58</f>
        <v>23</v>
      </c>
      <c r="D57" s="90">
        <f ca="1">((100/I54)*C57)/100</f>
        <v>1</v>
      </c>
      <c r="E57" s="90"/>
      <c r="F57" s="90">
        <f ca="1">(((C58/I54*10)+(40/(D54+G54+I54)*C59)+(7.5/(I54)*C60)+(7.5/(I54)*C61)+(10/I54*C62)+(10/I54*C63)+(5/I54*C64)+(5/I54*C65)+(5/I54*C66))/100)</f>
        <v>1</v>
      </c>
      <c r="G57" s="90"/>
      <c r="H57" s="90">
        <f ca="1">((((C57/I54)*20)+((C58/I54)*25)+(30/(I54+G54+D54)*C59)+(5/I54*C60)+(5/I54*C61)+(5/I54*C62)+(5/I54*C63)+(0/I54*C64)+(0/I54*C65)+(5/I54*C66))/100)</f>
        <v>1</v>
      </c>
      <c r="I57" s="90"/>
      <c r="J57" s="111"/>
      <c r="K57" s="41" t="s">
        <v>164</v>
      </c>
      <c r="L57" s="41">
        <f ca="1">I54*50%</f>
        <v>11.5</v>
      </c>
    </row>
    <row r="58" spans="1:12" ht="15.75" x14ac:dyDescent="0.25">
      <c r="A58" s="93" t="s">
        <v>32</v>
      </c>
      <c r="B58" s="94"/>
      <c r="C58" s="48">
        <f ca="1">L66</f>
        <v>23</v>
      </c>
      <c r="D58" s="90">
        <f ca="1">((100/I54)*C58)/100</f>
        <v>1</v>
      </c>
      <c r="E58" s="90"/>
      <c r="F58" s="90"/>
      <c r="G58" s="90"/>
      <c r="H58" s="90"/>
      <c r="I58" s="90"/>
      <c r="J58" s="111"/>
      <c r="K58" s="41" t="s">
        <v>167</v>
      </c>
      <c r="L58" s="41">
        <f ca="1">I54</f>
        <v>23</v>
      </c>
    </row>
    <row r="59" spans="1:12" ht="15.75" x14ac:dyDescent="0.25">
      <c r="A59" s="113" t="s">
        <v>206</v>
      </c>
      <c r="B59" s="114"/>
      <c r="C59" s="48">
        <v>24</v>
      </c>
      <c r="D59" s="90">
        <f ca="1">((100/(D54+G54+I54))*C59)/100</f>
        <v>1</v>
      </c>
      <c r="E59" s="90"/>
      <c r="F59" s="90"/>
      <c r="G59" s="90"/>
      <c r="H59" s="90"/>
      <c r="I59" s="90"/>
      <c r="J59" s="111"/>
      <c r="K59" s="41" t="s">
        <v>168</v>
      </c>
      <c r="L59" s="43">
        <f ca="1">(IF(B54&gt;1,(I54/(B54+2)),I54/4))</f>
        <v>5.75</v>
      </c>
    </row>
    <row r="60" spans="1:12" ht="15.75" x14ac:dyDescent="0.25">
      <c r="A60" s="93" t="s">
        <v>207</v>
      </c>
      <c r="B60" s="94" t="s">
        <v>208</v>
      </c>
      <c r="C60" s="47">
        <v>23</v>
      </c>
      <c r="D60" s="90">
        <f ca="1">((100/I54)*C60)/100</f>
        <v>1</v>
      </c>
      <c r="E60" s="90"/>
      <c r="F60" s="90"/>
      <c r="G60" s="90"/>
      <c r="H60" s="90"/>
      <c r="I60" s="90"/>
      <c r="J60" s="111"/>
      <c r="K60" s="41" t="s">
        <v>169</v>
      </c>
      <c r="L60" s="43">
        <f ca="1">(IF(B54&gt;1,(I54/(B54+2)+L59),I54/4+L59))</f>
        <v>11.5</v>
      </c>
    </row>
    <row r="61" spans="1:12" ht="15.75" x14ac:dyDescent="0.25">
      <c r="A61" s="93" t="s">
        <v>209</v>
      </c>
      <c r="B61" s="94" t="s">
        <v>208</v>
      </c>
      <c r="C61" s="47">
        <v>23</v>
      </c>
      <c r="D61" s="90">
        <f ca="1">((100/I54)*C61)/100</f>
        <v>1</v>
      </c>
      <c r="E61" s="90"/>
      <c r="F61" s="90"/>
      <c r="G61" s="90"/>
      <c r="H61" s="90"/>
      <c r="I61" s="90"/>
      <c r="J61" s="111"/>
      <c r="K61" s="41" t="s">
        <v>210</v>
      </c>
      <c r="L61" s="43">
        <f>(IF(B54&gt;1,(I54/(B54+2)+L60),0))</f>
        <v>0</v>
      </c>
    </row>
    <row r="62" spans="1:12" ht="15.75" x14ac:dyDescent="0.25">
      <c r="A62" s="93" t="s">
        <v>211</v>
      </c>
      <c r="B62" s="94" t="s">
        <v>212</v>
      </c>
      <c r="C62" s="47">
        <v>23</v>
      </c>
      <c r="D62" s="90">
        <f ca="1">((100/(I54))*C62)/100</f>
        <v>1</v>
      </c>
      <c r="E62" s="90"/>
      <c r="F62" s="90"/>
      <c r="G62" s="90"/>
      <c r="H62" s="90"/>
      <c r="I62" s="90"/>
      <c r="J62" s="111"/>
      <c r="K62" s="41" t="s">
        <v>213</v>
      </c>
      <c r="L62" s="43">
        <f>(IF(B54&gt;2,(I54/(B54+2)+L61),0))</f>
        <v>0</v>
      </c>
    </row>
    <row r="63" spans="1:12" ht="15.75" x14ac:dyDescent="0.25">
      <c r="A63" s="93" t="s">
        <v>214</v>
      </c>
      <c r="B63" s="94" t="s">
        <v>214</v>
      </c>
      <c r="C63" s="47">
        <v>23</v>
      </c>
      <c r="D63" s="90">
        <f ca="1">((100/I54)*C63)/100</f>
        <v>1</v>
      </c>
      <c r="E63" s="90"/>
      <c r="F63" s="90"/>
      <c r="G63" s="90"/>
      <c r="H63" s="90"/>
      <c r="I63" s="90"/>
      <c r="J63" s="111"/>
      <c r="K63" s="41" t="s">
        <v>215</v>
      </c>
      <c r="L63" s="44">
        <f>(IF(B54&gt;3,(I54/(B54+2)+L62),0))</f>
        <v>0</v>
      </c>
    </row>
    <row r="64" spans="1:12" ht="15.75" x14ac:dyDescent="0.25">
      <c r="A64" s="93" t="s">
        <v>216</v>
      </c>
      <c r="B64" s="94"/>
      <c r="C64" s="47">
        <v>23</v>
      </c>
      <c r="D64" s="90">
        <f ca="1">((100/I54)*C64)/100</f>
        <v>1</v>
      </c>
      <c r="E64" s="90"/>
      <c r="F64" s="90"/>
      <c r="G64" s="90"/>
      <c r="H64" s="90"/>
      <c r="I64" s="90"/>
      <c r="J64" s="111"/>
      <c r="K64" s="41" t="s">
        <v>217</v>
      </c>
      <c r="L64" s="43">
        <f>(IF(B54&gt;4,(I54/(B54+2)+L63),0))</f>
        <v>0</v>
      </c>
    </row>
    <row r="65" spans="1:22" ht="15.75" x14ac:dyDescent="0.25">
      <c r="A65" s="93" t="s">
        <v>218</v>
      </c>
      <c r="B65" s="94" t="s">
        <v>218</v>
      </c>
      <c r="C65" s="47">
        <v>23</v>
      </c>
      <c r="D65" s="90">
        <f ca="1">((100/(I54))*C65)/100</f>
        <v>1</v>
      </c>
      <c r="E65" s="90"/>
      <c r="F65" s="90"/>
      <c r="G65" s="90"/>
      <c r="H65" s="90"/>
      <c r="I65" s="90"/>
      <c r="J65" s="111"/>
      <c r="K65" s="41" t="s">
        <v>170</v>
      </c>
      <c r="L65" s="43">
        <f ca="1">(IF(B54=1,(I54/(B54+3)+L60),IF(B54=0,(I54/4+L60),IF(B54&gt;1,0))))</f>
        <v>17.25</v>
      </c>
    </row>
    <row r="66" spans="1:22" ht="16.5" thickBot="1" x14ac:dyDescent="0.3">
      <c r="A66" s="163" t="s">
        <v>219</v>
      </c>
      <c r="B66" s="164"/>
      <c r="C66" s="49">
        <v>23</v>
      </c>
      <c r="D66" s="92">
        <f ca="1">((100/(I54))*C66)/100</f>
        <v>1</v>
      </c>
      <c r="E66" s="92"/>
      <c r="F66" s="92"/>
      <c r="G66" s="92"/>
      <c r="H66" s="92"/>
      <c r="I66" s="92"/>
      <c r="J66" s="112"/>
      <c r="K66" s="41" t="s">
        <v>171</v>
      </c>
      <c r="L66" s="43">
        <f ca="1">(IF(B54&gt;1.5,(I54/(B54+2)+L60+MAX(0,L61-L60)+MAX(0,L62-L61)+MAX(0,L63-L62)+MAX(0,L64-L63)+MAX(0,L65-L64)),IF(B54=1,(I54/(B54+3)+L65),IF(B54=0,I54/4+L65))))</f>
        <v>23</v>
      </c>
    </row>
    <row r="67" spans="1:22" x14ac:dyDescent="0.25">
      <c r="A67" s="95" t="s">
        <v>272</v>
      </c>
      <c r="B67" s="96"/>
      <c r="C67" s="96"/>
      <c r="D67" s="96"/>
      <c r="E67" s="96"/>
      <c r="F67" s="96"/>
      <c r="G67" s="96"/>
      <c r="H67" s="96"/>
      <c r="I67" s="96"/>
      <c r="J67" s="97"/>
    </row>
    <row r="68" spans="1:22" x14ac:dyDescent="0.25">
      <c r="A68" s="98" t="s">
        <v>45</v>
      </c>
      <c r="B68" s="99"/>
      <c r="C68" s="99"/>
      <c r="D68" s="99"/>
      <c r="E68" s="99"/>
      <c r="F68" s="99"/>
      <c r="G68" s="99"/>
      <c r="H68" s="99"/>
      <c r="I68" s="99"/>
      <c r="J68" s="100"/>
    </row>
    <row r="69" spans="1:22" ht="15" customHeight="1" x14ac:dyDescent="0.25">
      <c r="A69" s="103" t="s">
        <v>69</v>
      </c>
      <c r="B69" s="104"/>
      <c r="C69" s="104"/>
      <c r="D69" s="104"/>
      <c r="E69" s="104"/>
      <c r="F69" s="104"/>
      <c r="G69" s="104"/>
      <c r="H69" s="104"/>
      <c r="I69" s="104"/>
      <c r="J69" s="105"/>
    </row>
    <row r="70" spans="1:22" x14ac:dyDescent="0.25">
      <c r="A70" s="106"/>
      <c r="B70" s="107"/>
      <c r="C70" s="107"/>
      <c r="D70" s="107"/>
      <c r="E70" s="107"/>
      <c r="F70" s="107"/>
      <c r="G70" s="107"/>
      <c r="H70" s="107"/>
      <c r="I70" s="107"/>
      <c r="J70" s="108"/>
    </row>
    <row r="71" spans="1:22" x14ac:dyDescent="0.25">
      <c r="A71" s="115" t="s">
        <v>24</v>
      </c>
      <c r="B71" s="116"/>
      <c r="C71" s="116"/>
      <c r="D71" s="116"/>
      <c r="E71" s="116"/>
      <c r="F71" s="116"/>
      <c r="G71" s="116"/>
      <c r="H71" s="116"/>
      <c r="I71" s="116"/>
      <c r="J71" s="117"/>
    </row>
    <row r="72" spans="1:22" x14ac:dyDescent="0.25">
      <c r="A72" s="98" t="s">
        <v>190</v>
      </c>
      <c r="B72" s="101"/>
      <c r="C72" s="101"/>
      <c r="D72" s="101"/>
      <c r="E72" s="101"/>
      <c r="F72" s="102"/>
      <c r="G72" s="158">
        <v>12200</v>
      </c>
      <c r="H72" s="159"/>
      <c r="I72" s="159"/>
      <c r="J72" s="160"/>
      <c r="P72">
        <f>25+64-15</f>
        <v>74</v>
      </c>
    </row>
    <row r="73" spans="1:22" x14ac:dyDescent="0.25">
      <c r="A73" s="98" t="s">
        <v>191</v>
      </c>
      <c r="B73" s="99"/>
      <c r="C73" s="99"/>
      <c r="D73" s="99"/>
      <c r="E73" s="99"/>
      <c r="F73" s="100"/>
      <c r="G73" s="121" t="s">
        <v>192</v>
      </c>
      <c r="H73" s="122"/>
      <c r="I73" s="122"/>
      <c r="J73" s="123"/>
      <c r="L73">
        <f>100/1.55</f>
        <v>64.516129032258064</v>
      </c>
    </row>
    <row r="74" spans="1:22" x14ac:dyDescent="0.25">
      <c r="A74" s="98" t="s">
        <v>221</v>
      </c>
      <c r="B74" s="99"/>
      <c r="C74" s="99"/>
      <c r="D74" s="99"/>
      <c r="E74" s="99"/>
      <c r="F74" s="100"/>
      <c r="G74" s="121" t="s">
        <v>220</v>
      </c>
      <c r="H74" s="122"/>
      <c r="I74" s="122"/>
      <c r="J74" s="123"/>
      <c r="L74">
        <f>400/1.55</f>
        <v>258.06451612903226</v>
      </c>
    </row>
    <row r="75" spans="1:22" x14ac:dyDescent="0.25">
      <c r="A75" s="98" t="s">
        <v>189</v>
      </c>
      <c r="B75" s="99"/>
      <c r="C75" s="99"/>
      <c r="D75" s="99"/>
      <c r="E75" s="99"/>
      <c r="F75" s="100"/>
      <c r="G75" s="121" t="s">
        <v>187</v>
      </c>
      <c r="H75" s="122"/>
      <c r="I75" s="122"/>
      <c r="J75" s="123"/>
    </row>
    <row r="76" spans="1:22" x14ac:dyDescent="0.25">
      <c r="A76" s="98" t="s">
        <v>186</v>
      </c>
      <c r="B76" s="99"/>
      <c r="C76" s="99"/>
      <c r="D76" s="99"/>
      <c r="E76" s="99"/>
      <c r="F76" s="100"/>
      <c r="G76" s="121" t="s">
        <v>188</v>
      </c>
      <c r="H76" s="122"/>
      <c r="I76" s="122"/>
      <c r="J76" s="123"/>
    </row>
    <row r="77" spans="1:22" s="1" customFormat="1" ht="14.45" customHeight="1" x14ac:dyDescent="0.25">
      <c r="A77" s="174" t="s">
        <v>100</v>
      </c>
      <c r="B77" s="116"/>
      <c r="C77" s="116"/>
      <c r="D77" s="116"/>
      <c r="E77" s="116"/>
      <c r="F77" s="117"/>
      <c r="G77" s="121">
        <f>G72*0.8</f>
        <v>9760</v>
      </c>
      <c r="H77" s="122"/>
      <c r="I77" s="122"/>
      <c r="J77" s="123"/>
    </row>
    <row r="78" spans="1:22" s="50" customFormat="1" ht="15.75" customHeight="1" x14ac:dyDescent="0.25">
      <c r="A78" s="74" t="s">
        <v>233</v>
      </c>
      <c r="B78" s="74"/>
      <c r="C78" s="74"/>
      <c r="D78" s="74"/>
      <c r="E78" s="74"/>
      <c r="F78" s="74"/>
      <c r="G78" s="74"/>
      <c r="H78" s="74"/>
      <c r="I78" s="74"/>
      <c r="J78" s="74"/>
      <c r="T78"/>
    </row>
    <row r="79" spans="1:22" s="50" customFormat="1" ht="15.75" customHeight="1" x14ac:dyDescent="0.25">
      <c r="A79" s="79" t="s">
        <v>229</v>
      </c>
      <c r="B79" s="80"/>
      <c r="C79" s="81" t="s">
        <v>230</v>
      </c>
      <c r="D79" s="82"/>
      <c r="E79" s="85" t="s">
        <v>231</v>
      </c>
      <c r="F79" s="86"/>
      <c r="G79" s="87"/>
      <c r="H79" s="79" t="s">
        <v>232</v>
      </c>
      <c r="I79" s="88"/>
      <c r="J79" s="80"/>
      <c r="R79"/>
      <c r="S79" s="42"/>
      <c r="T79"/>
      <c r="U79" s="42"/>
      <c r="V79" s="42"/>
    </row>
    <row r="80" spans="1:22" s="50" customFormat="1" ht="15.75" customHeight="1" x14ac:dyDescent="0.25">
      <c r="A80" s="83" t="s">
        <v>261</v>
      </c>
      <c r="B80" s="83"/>
      <c r="C80" s="75">
        <f>COUNT(F92:F99)+COUNT(F101:F108)*2+COUNT(F110:F117)*3+COUNT(F119:F126)+COUNT(F128:F135)*2+COUNT(F137:F144)+COUNT(F146:F153)+COUNT(F155:F162)+COUNT(F164:F171)*4+COUNT(F173:F180)+COUNT(F182:F189)*3+COUNT(F191:F198)+COUNT(F200,F202,F204:F206)</f>
        <v>173</v>
      </c>
      <c r="D80" s="75"/>
      <c r="E80" s="89">
        <f>SUM(F92:F99)+SUM(F101:F108)*2+SUM(F110:F117)*3+SUM(F119:F126)+SUM(F128:F135)*2+SUM(F137:F144)+SUM(F146:F153)+SUM(F155:F162)+SUM(F164:F171)*4+SUM(F173:F180)+SUM(F182:F189)*3+SUM(F191:F198)+SUM(F200,F202,F204:F206)</f>
        <v>79188.885828000013</v>
      </c>
      <c r="F80" s="89"/>
      <c r="G80" s="89"/>
      <c r="H80" s="89">
        <f>SUM(I92:I99)+SUM(I101:I108)*2+SUM(I110:I117)*3+SUM(I119:I126)+SUM(I128:I135)*2+SUM(I137:I144)+SUM(I146:I153)+SUM(I155:I162)+SUM(I164:I171)*4+SUM(I173:I180)+SUM(I182:I189)*3+SUM(I191:I198)+SUM(I200,I202,I204:I206)</f>
        <v>122721.82628940001</v>
      </c>
      <c r="I80" s="89"/>
      <c r="J80" s="89"/>
      <c r="R80"/>
      <c r="S80" s="42"/>
      <c r="T80"/>
      <c r="U80" s="42"/>
      <c r="V80" s="42"/>
    </row>
    <row r="81" spans="1:22" s="50" customFormat="1" ht="15.75" hidden="1" x14ac:dyDescent="0.25">
      <c r="A81" s="84"/>
      <c r="B81" s="84"/>
      <c r="C81" s="75"/>
      <c r="D81" s="75"/>
      <c r="E81" s="71"/>
      <c r="F81" s="71"/>
      <c r="G81" s="71"/>
      <c r="H81" s="72"/>
      <c r="I81" s="72"/>
      <c r="J81" s="72"/>
      <c r="R81"/>
      <c r="S81" s="42"/>
      <c r="T81"/>
      <c r="U81" s="42"/>
      <c r="V81" s="42"/>
    </row>
    <row r="82" spans="1:22" s="50" customFormat="1" ht="15.75" hidden="1" x14ac:dyDescent="0.25">
      <c r="A82" s="74" t="s">
        <v>89</v>
      </c>
      <c r="B82" s="74"/>
      <c r="C82" s="75"/>
      <c r="D82" s="75"/>
      <c r="E82" s="71"/>
      <c r="F82" s="71"/>
      <c r="G82" s="71"/>
      <c r="H82" s="72"/>
      <c r="I82" s="72"/>
      <c r="J82" s="72"/>
      <c r="R82"/>
      <c r="S82" s="42"/>
      <c r="T82"/>
      <c r="U82" s="42"/>
      <c r="V82" s="42"/>
    </row>
    <row r="83" spans="1:22" s="50" customFormat="1" ht="15.75" hidden="1" x14ac:dyDescent="0.25">
      <c r="A83" s="74" t="s">
        <v>234</v>
      </c>
      <c r="B83" s="74"/>
      <c r="C83" s="76" t="e">
        <f>#REF!+C82</f>
        <v>#REF!</v>
      </c>
      <c r="D83" s="76"/>
      <c r="E83" s="71" t="e">
        <f>#REF!+E82</f>
        <v>#REF!</v>
      </c>
      <c r="F83" s="71"/>
      <c r="G83" s="71" t="e">
        <f>#REF!+G82</f>
        <v>#REF!</v>
      </c>
      <c r="H83" s="72" t="e">
        <f>SUM(#REF!,H82)</f>
        <v>#REF!</v>
      </c>
      <c r="I83" s="72"/>
      <c r="J83" s="72"/>
      <c r="R83"/>
      <c r="S83" s="42"/>
      <c r="T83"/>
      <c r="U83" s="42"/>
      <c r="V83" s="42"/>
    </row>
    <row r="84" spans="1:22" s="51" customFormat="1" ht="15.75" x14ac:dyDescent="0.25">
      <c r="A84" s="77" t="s">
        <v>101</v>
      </c>
      <c r="B84" s="78"/>
      <c r="C84" s="78"/>
      <c r="D84" s="78"/>
      <c r="E84" s="78"/>
      <c r="F84" s="78"/>
      <c r="G84" s="78"/>
      <c r="H84" s="78"/>
      <c r="I84" s="78"/>
      <c r="J84" s="78"/>
      <c r="T84" s="50"/>
    </row>
    <row r="85" spans="1:22" s="42" customFormat="1" ht="15.75" x14ac:dyDescent="0.25">
      <c r="A85" s="73" t="s">
        <v>242</v>
      </c>
      <c r="B85" s="73"/>
      <c r="C85" s="73"/>
      <c r="D85" s="73"/>
      <c r="E85" s="73"/>
      <c r="F85" s="73"/>
      <c r="G85" s="73"/>
      <c r="H85" s="73"/>
      <c r="I85" s="73"/>
      <c r="J85" s="73"/>
      <c r="T85" s="50"/>
    </row>
    <row r="86" spans="1:22" s="42" customFormat="1" ht="47.25" customHeight="1" x14ac:dyDescent="0.25">
      <c r="A86" s="63" t="s">
        <v>239</v>
      </c>
      <c r="B86" s="67" t="s">
        <v>240</v>
      </c>
      <c r="C86" s="67" t="s">
        <v>29</v>
      </c>
      <c r="D86" s="67" t="s">
        <v>235</v>
      </c>
      <c r="E86" s="67" t="s">
        <v>241</v>
      </c>
      <c r="F86" s="63" t="s">
        <v>236</v>
      </c>
      <c r="G86" s="64"/>
      <c r="H86" s="67" t="s">
        <v>237</v>
      </c>
      <c r="I86" s="63" t="s">
        <v>238</v>
      </c>
      <c r="J86" s="64"/>
      <c r="T86" s="52"/>
    </row>
    <row r="87" spans="1:22" s="52" customFormat="1" ht="15.75" x14ac:dyDescent="0.25">
      <c r="A87" s="69"/>
      <c r="B87" s="68"/>
      <c r="C87" s="68"/>
      <c r="D87" s="68"/>
      <c r="E87" s="68"/>
      <c r="F87" s="69"/>
      <c r="G87" s="70"/>
      <c r="H87" s="68"/>
      <c r="I87" s="65">
        <v>0.55000000000000004</v>
      </c>
      <c r="J87" s="66"/>
    </row>
    <row r="88" spans="1:22" s="52" customFormat="1" ht="15.75" customHeight="1" x14ac:dyDescent="0.25">
      <c r="A88" s="61" t="s">
        <v>245</v>
      </c>
      <c r="B88" s="62"/>
      <c r="C88" s="62"/>
      <c r="D88" s="62"/>
      <c r="E88" s="62"/>
      <c r="F88" s="62"/>
      <c r="G88" s="62"/>
      <c r="H88" s="62"/>
      <c r="I88" s="62"/>
      <c r="J88" s="62"/>
    </row>
    <row r="89" spans="1:22" s="52" customFormat="1" ht="15.75" customHeight="1" x14ac:dyDescent="0.25">
      <c r="A89" s="61" t="s">
        <v>246</v>
      </c>
      <c r="B89" s="62"/>
      <c r="C89" s="62"/>
      <c r="D89" s="62"/>
      <c r="E89" s="62"/>
      <c r="F89" s="62"/>
      <c r="G89" s="62"/>
      <c r="H89" s="62"/>
      <c r="I89" s="62"/>
      <c r="J89" s="62"/>
    </row>
    <row r="90" spans="1:22" s="52" customFormat="1" ht="15.75" customHeight="1" x14ac:dyDescent="0.25">
      <c r="A90" s="61" t="s">
        <v>247</v>
      </c>
      <c r="B90" s="62"/>
      <c r="C90" s="62"/>
      <c r="D90" s="62"/>
      <c r="E90" s="62"/>
      <c r="F90" s="62"/>
      <c r="G90" s="62"/>
      <c r="H90" s="62"/>
      <c r="I90" s="62"/>
      <c r="J90" s="62"/>
    </row>
    <row r="91" spans="1:22" s="52" customFormat="1" ht="15.75" customHeight="1" x14ac:dyDescent="0.25">
      <c r="A91" s="61" t="s">
        <v>248</v>
      </c>
      <c r="B91" s="62"/>
      <c r="C91" s="62"/>
      <c r="D91" s="62"/>
      <c r="E91" s="62"/>
      <c r="F91" s="62"/>
      <c r="G91" s="62"/>
      <c r="H91" s="62"/>
      <c r="I91" s="62"/>
      <c r="J91" s="62"/>
    </row>
    <row r="92" spans="1:22" s="52" customFormat="1" ht="15.75" customHeight="1" x14ac:dyDescent="0.25">
      <c r="A92" s="55">
        <v>1</v>
      </c>
      <c r="B92" s="56"/>
      <c r="C92" s="54" t="s">
        <v>127</v>
      </c>
      <c r="D92" s="54">
        <f>(27.11+0.4*2.8+0.6*2.6+0.6*3.2)*10.764</f>
        <v>341.32643999999999</v>
      </c>
      <c r="E92" s="54">
        <f>(1.5*2.5+1.5*3.5)*10.764</f>
        <v>96.875999999999991</v>
      </c>
      <c r="F92" s="57">
        <f t="shared" ref="F92:F99" si="0">D92+E92</f>
        <v>438.20243999999997</v>
      </c>
      <c r="G92" s="58"/>
      <c r="H92" s="54">
        <f>1.925*2.6*10.764</f>
        <v>53.873819999999995</v>
      </c>
      <c r="I92" s="55">
        <f>F92*((I87)+1)+(IF(H92&lt;101,H92,IF(H92&lt;201,H92/2,IF(H92&lt;=301,H92/3,H92/4))))</f>
        <v>733.08760199999995</v>
      </c>
      <c r="J92" s="56"/>
      <c r="L92" s="59">
        <f>4.27*2.4+1.2*0.4+1.8*2.5+2.6*2.9+1.3*0.9+1.2*1.8+1.2*1.8</f>
        <v>28.258000000000003</v>
      </c>
      <c r="M92" s="59"/>
      <c r="N92" s="53"/>
    </row>
    <row r="93" spans="1:22" s="52" customFormat="1" ht="15.75" customHeight="1" x14ac:dyDescent="0.25">
      <c r="A93" s="55">
        <f t="shared" ref="A93:A99" si="1">A92+1</f>
        <v>2</v>
      </c>
      <c r="B93" s="56"/>
      <c r="C93" s="54" t="s">
        <v>127</v>
      </c>
      <c r="D93" s="54">
        <f>(28.65+0.6*2.87+0.6*1.9+0.6*2.6)*10.764</f>
        <v>355.987008</v>
      </c>
      <c r="E93" s="54">
        <f>(1.5*2.5+1.5*3.58)*10.764</f>
        <v>98.167680000000004</v>
      </c>
      <c r="F93" s="57">
        <f t="shared" si="0"/>
        <v>454.15468800000002</v>
      </c>
      <c r="G93" s="58">
        <v>0</v>
      </c>
      <c r="H93" s="54">
        <f>1.925*2.6*10.764</f>
        <v>53.873819999999995</v>
      </c>
      <c r="I93" s="55">
        <f>F93*((I87)+1)+(IF(H93&lt;101,H93,IF(H93&lt;201,H93/2,IF(H93&lt;=301,H93/3,H93/4))))</f>
        <v>757.81358640000008</v>
      </c>
      <c r="J93" s="56"/>
      <c r="L93" s="59"/>
      <c r="M93" s="59"/>
      <c r="N93" s="53"/>
    </row>
    <row r="94" spans="1:22" s="52" customFormat="1" ht="15.75" customHeight="1" x14ac:dyDescent="0.25">
      <c r="A94" s="55">
        <f t="shared" si="1"/>
        <v>3</v>
      </c>
      <c r="B94" s="56"/>
      <c r="C94" s="54" t="s">
        <v>127</v>
      </c>
      <c r="D94" s="54">
        <f>(29.24+0.6*1.3+0.6*2.6+0.6*1.9)*10.764</f>
        <v>352.19807999999995</v>
      </c>
      <c r="E94" s="54">
        <f>(1.5*3.35+1.5*2.5)*10.764</f>
        <v>94.454099999999997</v>
      </c>
      <c r="F94" s="57">
        <f t="shared" si="0"/>
        <v>446.65217999999993</v>
      </c>
      <c r="G94" s="58">
        <v>0</v>
      </c>
      <c r="H94" s="54">
        <f>(2.08*2.6)*10.764</f>
        <v>58.211711999999999</v>
      </c>
      <c r="I94" s="55">
        <f>F94*((I87)+1)+(IF(H94&lt;101,H94,IF(H94&lt;201,H94/2,IF(H94&lt;=301,H94/3,H94/4))))</f>
        <v>750.52259099999992</v>
      </c>
      <c r="J94" s="56"/>
      <c r="L94" s="59"/>
      <c r="M94" s="59"/>
      <c r="N94" s="53"/>
    </row>
    <row r="95" spans="1:22" s="52" customFormat="1" ht="15.75" customHeight="1" x14ac:dyDescent="0.25">
      <c r="A95" s="55">
        <f t="shared" si="1"/>
        <v>4</v>
      </c>
      <c r="B95" s="56"/>
      <c r="C95" s="54" t="s">
        <v>127</v>
      </c>
      <c r="D95" s="54">
        <f>(29.43+0.6*2.6+0.6*3.3)*10.764</f>
        <v>354.88907999999998</v>
      </c>
      <c r="E95" s="54">
        <f>(1.5*2.5+1.5*3.5)*10.764</f>
        <v>96.875999999999991</v>
      </c>
      <c r="F95" s="57">
        <f t="shared" si="0"/>
        <v>451.76507999999995</v>
      </c>
      <c r="G95" s="58">
        <v>0</v>
      </c>
      <c r="H95" s="54">
        <f>1.845*6.2*10.764</f>
        <v>123.129396</v>
      </c>
      <c r="I95" s="55">
        <f t="shared" ref="I95" si="2">F95*((I89)+1)+(IF(H95&lt;101,H95,IF(H95&lt;201,H95/2,IF(H95&lt;=301,H95/3,H95/4))))</f>
        <v>513.32977799999992</v>
      </c>
      <c r="J95" s="56"/>
      <c r="L95" s="59"/>
      <c r="M95" s="59"/>
      <c r="N95" s="53"/>
      <c r="T95" s="42"/>
    </row>
    <row r="96" spans="1:22" s="52" customFormat="1" ht="15.75" customHeight="1" x14ac:dyDescent="0.25">
      <c r="A96" s="55">
        <f t="shared" si="1"/>
        <v>5</v>
      </c>
      <c r="B96" s="56"/>
      <c r="C96" s="54" t="s">
        <v>127</v>
      </c>
      <c r="D96" s="54">
        <f>(29.43+0.6*2.6+0.6*3.3)*10.764</f>
        <v>354.88907999999998</v>
      </c>
      <c r="E96" s="54">
        <f>(1.5*2.5+1.5*3.5+0.6*1.85)*10.764</f>
        <v>108.82403999999998</v>
      </c>
      <c r="F96" s="57">
        <f t="shared" si="0"/>
        <v>463.71311999999995</v>
      </c>
      <c r="G96" s="58">
        <v>0</v>
      </c>
      <c r="H96" s="54">
        <v>0</v>
      </c>
      <c r="I96" s="55">
        <f>F96*((I87)+1)+(IF(H96&lt;101,H96,IF(H96&lt;201,H96/2,IF(H96&lt;=301,H96/3,H96/4))))</f>
        <v>718.75533599999994</v>
      </c>
      <c r="J96" s="56"/>
      <c r="L96" s="59"/>
      <c r="M96" s="59"/>
      <c r="N96" s="53"/>
    </row>
    <row r="97" spans="1:20" s="52" customFormat="1" ht="15.75" customHeight="1" x14ac:dyDescent="0.25">
      <c r="A97" s="55">
        <f t="shared" si="1"/>
        <v>6</v>
      </c>
      <c r="B97" s="56"/>
      <c r="C97" s="54" t="s">
        <v>127</v>
      </c>
      <c r="D97" s="54">
        <f>(27.62+0.6*2.6+0.6*2)*10.764</f>
        <v>327.01031999999998</v>
      </c>
      <c r="E97" s="54">
        <f>(1.5*2.5+1.5*3.3+0.6*2.85)*10.764</f>
        <v>112.05323999999999</v>
      </c>
      <c r="F97" s="57">
        <f t="shared" si="0"/>
        <v>439.06355999999994</v>
      </c>
      <c r="G97" s="58">
        <v>0</v>
      </c>
      <c r="H97" s="54">
        <v>0</v>
      </c>
      <c r="I97" s="55">
        <f>F97*((I87)+1)+(IF(H97&lt;101,H97,IF(H97&lt;201,H97/2,IF(H97&lt;=301,H97/3,H97/4))))</f>
        <v>680.54851799999994</v>
      </c>
      <c r="J97" s="56"/>
      <c r="L97" s="59"/>
      <c r="M97" s="59"/>
      <c r="N97" s="53"/>
      <c r="O97" s="52">
        <f>21*8+5</f>
        <v>173</v>
      </c>
    </row>
    <row r="98" spans="1:20" s="52" customFormat="1" ht="15.75" customHeight="1" x14ac:dyDescent="0.25">
      <c r="A98" s="55">
        <f t="shared" si="1"/>
        <v>7</v>
      </c>
      <c r="B98" s="56"/>
      <c r="C98" s="54" t="s">
        <v>127</v>
      </c>
      <c r="D98" s="54">
        <f>(29.92+0.6*2.6+0.6*3.3+0.6*1.65)*10.764</f>
        <v>370.81979999999999</v>
      </c>
      <c r="E98" s="54">
        <f>(0.6*2+2.65*1.5+1.5*3.35)*10.764</f>
        <v>109.79279999999999</v>
      </c>
      <c r="F98" s="57">
        <f t="shared" si="0"/>
        <v>480.61259999999999</v>
      </c>
      <c r="G98" s="58">
        <v>0</v>
      </c>
      <c r="H98" s="54">
        <v>0</v>
      </c>
      <c r="I98" s="55">
        <f>F98*((I87)+1)+(IF(H98&lt;101,H98,IF(H98&lt;201,H98/2,IF(H98&lt;=301,H98/3,H98/4))))</f>
        <v>744.94952999999998</v>
      </c>
      <c r="J98" s="56"/>
      <c r="L98" s="59"/>
      <c r="M98" s="59"/>
      <c r="N98" s="53"/>
      <c r="T98" s="42"/>
    </row>
    <row r="99" spans="1:20" s="52" customFormat="1" ht="15.75" customHeight="1" x14ac:dyDescent="0.25">
      <c r="A99" s="55">
        <f t="shared" si="1"/>
        <v>8</v>
      </c>
      <c r="B99" s="56"/>
      <c r="C99" s="54" t="s">
        <v>127</v>
      </c>
      <c r="D99" s="54">
        <f>(29.92+0.6*2.6+0.6*3.3+0.6*1.65)*10.764</f>
        <v>370.81979999999999</v>
      </c>
      <c r="E99" s="54">
        <f>(0.6*2+2.65*1.5+1.5*3.35)*10.764</f>
        <v>109.79279999999999</v>
      </c>
      <c r="F99" s="57">
        <f t="shared" si="0"/>
        <v>480.61259999999999</v>
      </c>
      <c r="G99" s="58">
        <v>0</v>
      </c>
      <c r="H99" s="54">
        <v>0</v>
      </c>
      <c r="I99" s="55">
        <f>F99*((I87)+1)+(IF(H99&lt;101,H99,IF(H99&lt;201,H99/2,IF(H99&lt;=301,H99/3,H99/4))))</f>
        <v>744.94952999999998</v>
      </c>
      <c r="J99" s="56"/>
      <c r="L99" s="59"/>
      <c r="M99" s="59"/>
      <c r="N99" s="53"/>
      <c r="T99" s="42"/>
    </row>
    <row r="100" spans="1:20" s="52" customFormat="1" ht="15.75" customHeight="1" x14ac:dyDescent="0.25">
      <c r="A100" s="61" t="s">
        <v>249</v>
      </c>
      <c r="B100" s="62"/>
      <c r="C100" s="62"/>
      <c r="D100" s="62"/>
      <c r="E100" s="62"/>
      <c r="F100" s="62"/>
      <c r="G100" s="62"/>
      <c r="H100" s="62"/>
      <c r="I100" s="62"/>
      <c r="J100" s="62"/>
    </row>
    <row r="101" spans="1:20" s="52" customFormat="1" ht="15.75" customHeight="1" x14ac:dyDescent="0.25">
      <c r="A101" s="55">
        <v>1</v>
      </c>
      <c r="B101" s="56"/>
      <c r="C101" s="54" t="s">
        <v>127</v>
      </c>
      <c r="D101" s="54">
        <f>(27.11+0.4*2.8+0.6*2.6+0.6*3.2)*10.764</f>
        <v>341.32643999999999</v>
      </c>
      <c r="E101" s="54">
        <f>(1.5*2.5+1.5*1.925+0.6*2.9)*10.764</f>
        <v>90.175409999999985</v>
      </c>
      <c r="F101" s="57">
        <f t="shared" ref="F101:F108" si="3">D101+E101</f>
        <v>431.50184999999999</v>
      </c>
      <c r="G101" s="58"/>
      <c r="H101" s="54">
        <v>0</v>
      </c>
      <c r="I101" s="55">
        <f>F101*((I87)+1)+(IF(H101&lt;101,H101,IF(H101&lt;201,H101/2,IF(H101&lt;=301,H101/3,H101/4))))</f>
        <v>668.82786750000002</v>
      </c>
      <c r="J101" s="56"/>
      <c r="L101" s="59"/>
      <c r="M101" s="59"/>
      <c r="N101" s="53"/>
      <c r="O101" s="52">
        <f>98000000/I101</f>
        <v>146524.99508776821</v>
      </c>
    </row>
    <row r="102" spans="1:20" s="52" customFormat="1" ht="15.75" customHeight="1" x14ac:dyDescent="0.25">
      <c r="A102" s="55">
        <f t="shared" ref="A102:A108" si="4">A101+1</f>
        <v>2</v>
      </c>
      <c r="B102" s="56"/>
      <c r="C102" s="54" t="s">
        <v>127</v>
      </c>
      <c r="D102" s="54">
        <f>(28.65+0.6*2.87+0.6*1.9+0.6*2.6)*10.764</f>
        <v>355.987008</v>
      </c>
      <c r="E102" s="54">
        <f>(1.5*2.5+1.925*1.5+0.6*3.58)*10.764</f>
        <v>94.567121999999998</v>
      </c>
      <c r="F102" s="57">
        <f t="shared" si="3"/>
        <v>450.55412999999999</v>
      </c>
      <c r="G102" s="58">
        <v>0</v>
      </c>
      <c r="H102" s="54">
        <v>0</v>
      </c>
      <c r="I102" s="55">
        <f>F102*((I87)+1)+(IF(H102&lt;101,H102,IF(H102&lt;201,H102/2,IF(H102&lt;=301,H102/3,H102/4))))</f>
        <v>698.3589015</v>
      </c>
      <c r="J102" s="56"/>
      <c r="L102" s="59"/>
      <c r="M102" s="59"/>
      <c r="N102" s="53"/>
    </row>
    <row r="103" spans="1:20" s="52" customFormat="1" ht="15.75" customHeight="1" x14ac:dyDescent="0.25">
      <c r="A103" s="55">
        <f t="shared" si="4"/>
        <v>3</v>
      </c>
      <c r="B103" s="56"/>
      <c r="C103" s="54" t="s">
        <v>127</v>
      </c>
      <c r="D103" s="54">
        <f>(29.24+0.6*1.3+0.6*2.6+0.6*1.9)*10.764</f>
        <v>352.19807999999995</v>
      </c>
      <c r="E103" s="54">
        <f>(0.6*3.35+1.5*2.5+2.08*1.5)*10.764</f>
        <v>95.584319999999977</v>
      </c>
      <c r="F103" s="57">
        <f t="shared" si="3"/>
        <v>447.78239999999994</v>
      </c>
      <c r="G103" s="58">
        <v>0</v>
      </c>
      <c r="H103" s="54">
        <v>0</v>
      </c>
      <c r="I103" s="55">
        <f>F103*((I87)+1)+(IF(H103&lt;101,H103,IF(H103&lt;201,H103/2,IF(H103&lt;=301,H103/3,H103/4))))</f>
        <v>694.0627199999999</v>
      </c>
      <c r="J103" s="56"/>
      <c r="L103" s="59"/>
      <c r="M103" s="59"/>
      <c r="N103" s="53"/>
    </row>
    <row r="104" spans="1:20" s="52" customFormat="1" ht="15.75" customHeight="1" x14ac:dyDescent="0.25">
      <c r="A104" s="55">
        <f t="shared" si="4"/>
        <v>4</v>
      </c>
      <c r="B104" s="56"/>
      <c r="C104" s="54" t="s">
        <v>127</v>
      </c>
      <c r="D104" s="54">
        <f>(29.43+0.6*2.6+0.6*3.3)*10.764</f>
        <v>354.88907999999998</v>
      </c>
      <c r="E104" s="54">
        <f>(1.5*2.5+0.6*3.5+1.5*1.845)*10.764</f>
        <v>92.758769999999998</v>
      </c>
      <c r="F104" s="57">
        <f t="shared" si="3"/>
        <v>447.64784999999995</v>
      </c>
      <c r="G104" s="58">
        <v>0</v>
      </c>
      <c r="H104" s="54">
        <v>0</v>
      </c>
      <c r="I104" s="55">
        <f>F104*((I87)+1)+(IF(H104&lt;101,H104,IF(H104&lt;201,H104/2,IF(H104&lt;=301,H104/3,H104/4))))</f>
        <v>693.8541674999999</v>
      </c>
      <c r="J104" s="56"/>
      <c r="L104" s="59"/>
      <c r="M104" s="59"/>
      <c r="N104" s="53"/>
      <c r="T104" s="42"/>
    </row>
    <row r="105" spans="1:20" s="52" customFormat="1" ht="15.75" customHeight="1" x14ac:dyDescent="0.25">
      <c r="A105" s="55">
        <f t="shared" si="4"/>
        <v>5</v>
      </c>
      <c r="B105" s="56"/>
      <c r="C105" s="54" t="s">
        <v>127</v>
      </c>
      <c r="D105" s="54">
        <f>(29.43+0.6*2.6+0.6*3.3)*10.764</f>
        <v>354.88907999999998</v>
      </c>
      <c r="E105" s="54">
        <f>(1.5*2.5+0.6*3.5+1.5*1.845)*10.764</f>
        <v>92.758769999999998</v>
      </c>
      <c r="F105" s="57">
        <f t="shared" si="3"/>
        <v>447.64784999999995</v>
      </c>
      <c r="G105" s="58">
        <v>0</v>
      </c>
      <c r="H105" s="54">
        <v>0</v>
      </c>
      <c r="I105" s="55">
        <f>F105*((I87)+1)+(IF(H105&lt;101,H105,IF(H105&lt;201,H105/2,IF(H105&lt;=301,H105/3,H105/4))))</f>
        <v>693.8541674999999</v>
      </c>
      <c r="J105" s="56"/>
      <c r="L105" s="59"/>
      <c r="M105" s="59"/>
      <c r="N105" s="53"/>
    </row>
    <row r="106" spans="1:20" s="52" customFormat="1" ht="15.75" customHeight="1" x14ac:dyDescent="0.25">
      <c r="A106" s="55">
        <f t="shared" si="4"/>
        <v>6</v>
      </c>
      <c r="B106" s="56"/>
      <c r="C106" s="54" t="s">
        <v>127</v>
      </c>
      <c r="D106" s="54">
        <f>(27.62+0.6*2.6+0.6*2)*10.764</f>
        <v>327.01031999999998</v>
      </c>
      <c r="E106" s="54">
        <f>(0.6*3.3+1.5*2.85+1.5*2.5)*10.764</f>
        <v>107.69381999999999</v>
      </c>
      <c r="F106" s="57">
        <f t="shared" si="3"/>
        <v>434.70413999999994</v>
      </c>
      <c r="G106" s="58">
        <v>0</v>
      </c>
      <c r="H106" s="54">
        <v>0</v>
      </c>
      <c r="I106" s="55">
        <f>F106*((I87)+1)+(IF(H106&lt;101,H106,IF(H106&lt;201,H106/2,IF(H106&lt;=301,H106/3,H106/4))))</f>
        <v>673.79141699999991</v>
      </c>
      <c r="J106" s="56"/>
      <c r="L106" s="59"/>
      <c r="M106" s="59"/>
      <c r="N106" s="53"/>
    </row>
    <row r="107" spans="1:20" s="52" customFormat="1" ht="15.75" customHeight="1" x14ac:dyDescent="0.25">
      <c r="A107" s="55">
        <f t="shared" si="4"/>
        <v>7</v>
      </c>
      <c r="B107" s="56"/>
      <c r="C107" s="54" t="s">
        <v>127</v>
      </c>
      <c r="D107" s="54">
        <f>(29.92+0.6*2.6+0.6*3.3+0.6*1.65)*10.764</f>
        <v>370.81979999999999</v>
      </c>
      <c r="E107" s="54">
        <f>(0.6*2.9+2.65*1.5+1.5*3.35)*10.764</f>
        <v>115.60535999999999</v>
      </c>
      <c r="F107" s="57">
        <f t="shared" si="3"/>
        <v>486.42516000000001</v>
      </c>
      <c r="G107" s="58">
        <v>0</v>
      </c>
      <c r="H107" s="54">
        <v>0</v>
      </c>
      <c r="I107" s="55">
        <f>F107*((I87)+1)+(IF(H107&lt;101,H107,IF(H107&lt;201,H107/2,IF(H107&lt;=301,H107/3,H107/4))))</f>
        <v>753.95899800000007</v>
      </c>
      <c r="J107" s="56"/>
      <c r="L107" s="59"/>
      <c r="M107" s="59"/>
      <c r="N107" s="53"/>
      <c r="T107" s="42"/>
    </row>
    <row r="108" spans="1:20" s="52" customFormat="1" ht="15.75" customHeight="1" x14ac:dyDescent="0.25">
      <c r="A108" s="55">
        <f t="shared" si="4"/>
        <v>8</v>
      </c>
      <c r="B108" s="56"/>
      <c r="C108" s="54" t="s">
        <v>127</v>
      </c>
      <c r="D108" s="54">
        <f>(29.92+0.6*2.6+0.6*3.3+0.6*1.65)*10.764</f>
        <v>370.81979999999999</v>
      </c>
      <c r="E108" s="54">
        <f>(0.6*2.9+2.65*1.5+1.5*3.35)*10.764</f>
        <v>115.60535999999999</v>
      </c>
      <c r="F108" s="57">
        <f t="shared" si="3"/>
        <v>486.42516000000001</v>
      </c>
      <c r="G108" s="58">
        <v>0</v>
      </c>
      <c r="H108" s="54">
        <v>0</v>
      </c>
      <c r="I108" s="55">
        <f>F108*((I87)+1)+(IF(H108&lt;101,H108,IF(H108&lt;201,H108/2,IF(H108&lt;=301,H108/3,H108/4))))</f>
        <v>753.95899800000007</v>
      </c>
      <c r="J108" s="56"/>
      <c r="L108" s="59"/>
      <c r="M108" s="59"/>
      <c r="N108" s="53"/>
      <c r="T108" s="42"/>
    </row>
    <row r="109" spans="1:20" s="52" customFormat="1" ht="15.75" customHeight="1" x14ac:dyDescent="0.25">
      <c r="A109" s="61" t="s">
        <v>128</v>
      </c>
      <c r="B109" s="62"/>
      <c r="C109" s="62"/>
      <c r="D109" s="62"/>
      <c r="E109" s="62"/>
      <c r="F109" s="62"/>
      <c r="G109" s="62"/>
      <c r="H109" s="62"/>
      <c r="I109" s="62"/>
      <c r="J109" s="62"/>
    </row>
    <row r="110" spans="1:20" s="52" customFormat="1" ht="15.75" customHeight="1" x14ac:dyDescent="0.25">
      <c r="A110" s="55">
        <v>1</v>
      </c>
      <c r="B110" s="56"/>
      <c r="C110" s="54" t="s">
        <v>127</v>
      </c>
      <c r="D110" s="54">
        <f>(27.11+0.4*2.8+0.6*2.6+0.6*3.2)*10.764</f>
        <v>341.32643999999999</v>
      </c>
      <c r="E110" s="54">
        <f>(1.5*2.5+0.6*1.925+1.5*2.9)*10.764</f>
        <v>99.620819999999981</v>
      </c>
      <c r="F110" s="57">
        <f t="shared" ref="F110:F117" si="5">D110+E110</f>
        <v>440.94725999999997</v>
      </c>
      <c r="G110" s="58"/>
      <c r="H110" s="54">
        <v>0</v>
      </c>
      <c r="I110" s="55">
        <f>F110*((I87)+1)+(IF(H110&lt;101,H110,IF(H110&lt;201,H110/2,IF(H110&lt;=301,H110/3,H110/4))))</f>
        <v>683.468253</v>
      </c>
      <c r="J110" s="56"/>
      <c r="L110" s="59">
        <f>4.27*2.4+1.2*0.4+1.8*2.5+2.6*2.9+1.3*0.9+1.2*1.8+1.2*1.8</f>
        <v>28.258000000000003</v>
      </c>
      <c r="M110" s="59"/>
      <c r="N110" s="53"/>
    </row>
    <row r="111" spans="1:20" s="52" customFormat="1" ht="15.75" customHeight="1" x14ac:dyDescent="0.25">
      <c r="A111" s="55">
        <f t="shared" ref="A111:A117" si="6">A110+1</f>
        <v>2</v>
      </c>
      <c r="B111" s="56"/>
      <c r="C111" s="54" t="s">
        <v>127</v>
      </c>
      <c r="D111" s="54">
        <f>(28.65+0.6*2.87+0.6*1.9+0.6*2.6)*10.764</f>
        <v>355.987008</v>
      </c>
      <c r="E111" s="54">
        <f>(1.5*2.5+0.6*1.925+1.5*2.9)*10.764</f>
        <v>99.620819999999981</v>
      </c>
      <c r="F111" s="57">
        <f t="shared" si="5"/>
        <v>455.60782799999998</v>
      </c>
      <c r="G111" s="58">
        <v>0</v>
      </c>
      <c r="H111" s="54">
        <v>0</v>
      </c>
      <c r="I111" s="55">
        <f>F111*((I87)+1)+(IF(H111&lt;101,H111,IF(H111&lt;201,H111/2,IF(H111&lt;=301,H111/3,H111/4))))</f>
        <v>706.19213339999999</v>
      </c>
      <c r="J111" s="56"/>
      <c r="L111" s="59"/>
      <c r="M111" s="59"/>
      <c r="N111" s="53"/>
    </row>
    <row r="112" spans="1:20" s="52" customFormat="1" ht="15.75" customHeight="1" x14ac:dyDescent="0.25">
      <c r="A112" s="55">
        <f t="shared" si="6"/>
        <v>3</v>
      </c>
      <c r="B112" s="56"/>
      <c r="C112" s="54" t="s">
        <v>127</v>
      </c>
      <c r="D112" s="54">
        <f>(29.24+0.6*1.3+0.6*2.6+0.6*1.9)*10.764</f>
        <v>352.19807999999995</v>
      </c>
      <c r="E112" s="54">
        <f>(1.5*3.35+1.5*2.5+2.08*0.6)*10.764</f>
        <v>107.88757199999999</v>
      </c>
      <c r="F112" s="57">
        <f t="shared" si="5"/>
        <v>460.08565199999993</v>
      </c>
      <c r="G112" s="58">
        <v>0</v>
      </c>
      <c r="H112" s="54">
        <v>0</v>
      </c>
      <c r="I112" s="55">
        <f>F112*((I87)+1)+(IF(H112&lt;101,H112,IF(H112&lt;201,H112/2,IF(H112&lt;=301,H112/3,H112/4))))</f>
        <v>713.13276059999987</v>
      </c>
      <c r="J112" s="56"/>
      <c r="L112" s="59"/>
      <c r="M112" s="59"/>
      <c r="N112" s="53"/>
    </row>
    <row r="113" spans="1:20" s="52" customFormat="1" ht="15.75" customHeight="1" x14ac:dyDescent="0.25">
      <c r="A113" s="55">
        <f t="shared" si="6"/>
        <v>4</v>
      </c>
      <c r="B113" s="56"/>
      <c r="C113" s="54" t="s">
        <v>127</v>
      </c>
      <c r="D113" s="54">
        <f>(29.43+0.6*2.6+0.6*3.3)*10.764</f>
        <v>354.88907999999998</v>
      </c>
      <c r="E113" s="54">
        <f>(1.5*2.5+1.5*3.5+0.6*1.845)*10.764</f>
        <v>108.79174799999998</v>
      </c>
      <c r="F113" s="57">
        <f t="shared" si="5"/>
        <v>463.68082799999996</v>
      </c>
      <c r="G113" s="58">
        <v>0</v>
      </c>
      <c r="H113" s="54">
        <v>0</v>
      </c>
      <c r="I113" s="55">
        <f>F113*((I87)+1)+(IF(H113&lt;101,H113,IF(H113&lt;201,H113/2,IF(H113&lt;=301,H113/3,H113/4))))</f>
        <v>718.70528339999998</v>
      </c>
      <c r="J113" s="56"/>
      <c r="L113" s="59"/>
      <c r="M113" s="59"/>
      <c r="N113" s="53"/>
      <c r="T113" s="42"/>
    </row>
    <row r="114" spans="1:20" s="52" customFormat="1" ht="15.75" customHeight="1" x14ac:dyDescent="0.25">
      <c r="A114" s="55">
        <f t="shared" si="6"/>
        <v>5</v>
      </c>
      <c r="B114" s="56"/>
      <c r="C114" s="54" t="s">
        <v>127</v>
      </c>
      <c r="D114" s="54">
        <f>(29.43+0.6*2.6+0.6*3.3)*10.764</f>
        <v>354.88907999999998</v>
      </c>
      <c r="E114" s="54">
        <f>(1.5*2.5+1.5*3.5+0.6*1.845)*10.764</f>
        <v>108.79174799999998</v>
      </c>
      <c r="F114" s="57">
        <f t="shared" si="5"/>
        <v>463.68082799999996</v>
      </c>
      <c r="G114" s="58">
        <v>0</v>
      </c>
      <c r="H114" s="54">
        <v>0</v>
      </c>
      <c r="I114" s="55">
        <f>F114*((I87)+1)+(IF(H114&lt;101,H114,IF(H114&lt;201,H114/2,IF(H114&lt;=301,H114/3,H114/4))))</f>
        <v>718.70528339999998</v>
      </c>
      <c r="J114" s="56"/>
      <c r="L114" s="59"/>
      <c r="M114" s="59"/>
      <c r="N114" s="53"/>
    </row>
    <row r="115" spans="1:20" s="52" customFormat="1" ht="15.75" customHeight="1" x14ac:dyDescent="0.25">
      <c r="A115" s="55">
        <f t="shared" si="6"/>
        <v>6</v>
      </c>
      <c r="B115" s="56"/>
      <c r="C115" s="54" t="s">
        <v>127</v>
      </c>
      <c r="D115" s="54">
        <f>(27.62+0.6*2.6+0.6*2)*10.764</f>
        <v>327.01031999999998</v>
      </c>
      <c r="E115" s="54">
        <f>(1.5*3.3+0.6*2.85+1.5*2.5)*10.764</f>
        <v>112.05323999999999</v>
      </c>
      <c r="F115" s="57">
        <f t="shared" si="5"/>
        <v>439.06355999999994</v>
      </c>
      <c r="G115" s="58">
        <v>0</v>
      </c>
      <c r="H115" s="54">
        <v>0</v>
      </c>
      <c r="I115" s="55">
        <f>F115*((I87)+1)+(IF(H115&lt;101,H115,IF(H115&lt;201,H115/2,IF(H115&lt;=301,H115/3,H115/4))))</f>
        <v>680.54851799999994</v>
      </c>
      <c r="J115" s="56"/>
      <c r="L115" s="59"/>
      <c r="M115" s="59"/>
      <c r="N115" s="53"/>
    </row>
    <row r="116" spans="1:20" s="52" customFormat="1" ht="15.75" customHeight="1" x14ac:dyDescent="0.25">
      <c r="A116" s="55">
        <f t="shared" si="6"/>
        <v>7</v>
      </c>
      <c r="B116" s="56"/>
      <c r="C116" s="54" t="s">
        <v>127</v>
      </c>
      <c r="D116" s="54">
        <f>(29.92+0.6*2.6+0.6*3.3+0.6*1.65)*10.764</f>
        <v>370.81979999999999</v>
      </c>
      <c r="E116" s="54">
        <f>(0.6*2.9+2.65*1.5+1.5*3.35)*10.764</f>
        <v>115.60535999999999</v>
      </c>
      <c r="F116" s="57">
        <f t="shared" si="5"/>
        <v>486.42516000000001</v>
      </c>
      <c r="G116" s="58">
        <v>0</v>
      </c>
      <c r="H116" s="54">
        <v>0</v>
      </c>
      <c r="I116" s="55">
        <f>F116*((I87)+1)+(IF(H116&lt;101,H116,IF(H116&lt;201,H116/2,IF(H116&lt;=301,H116/3,H116/4))))</f>
        <v>753.95899800000007</v>
      </c>
      <c r="J116" s="56"/>
      <c r="L116" s="59"/>
      <c r="M116" s="59"/>
      <c r="N116" s="53"/>
      <c r="T116" s="42"/>
    </row>
    <row r="117" spans="1:20" s="52" customFormat="1" ht="15.75" customHeight="1" x14ac:dyDescent="0.25">
      <c r="A117" s="55">
        <f t="shared" si="6"/>
        <v>8</v>
      </c>
      <c r="B117" s="56"/>
      <c r="C117" s="54" t="s">
        <v>127</v>
      </c>
      <c r="D117" s="54">
        <f>(29.92+0.6*2.6+0.6*3.3+0.6*1.65)*10.764</f>
        <v>370.81979999999999</v>
      </c>
      <c r="E117" s="54">
        <f>(0.6*2.9+2.65*1.5+1.5*3.35)*10.764</f>
        <v>115.60535999999999</v>
      </c>
      <c r="F117" s="57">
        <f t="shared" si="5"/>
        <v>486.42516000000001</v>
      </c>
      <c r="G117" s="58">
        <v>0</v>
      </c>
      <c r="H117" s="54">
        <v>0</v>
      </c>
      <c r="I117" s="55">
        <f>F117*((I87)+1)+(IF(H117&lt;101,H117,IF(H117&lt;201,H117/2,IF(H117&lt;=301,H117/3,H117/4))))</f>
        <v>753.95899800000007</v>
      </c>
      <c r="J117" s="56"/>
      <c r="L117" s="59"/>
      <c r="M117" s="59"/>
      <c r="N117" s="53"/>
      <c r="T117" s="42"/>
    </row>
    <row r="118" spans="1:20" s="52" customFormat="1" ht="15.75" customHeight="1" x14ac:dyDescent="0.25">
      <c r="A118" s="61" t="s">
        <v>250</v>
      </c>
      <c r="B118" s="62"/>
      <c r="C118" s="62"/>
      <c r="D118" s="62"/>
      <c r="E118" s="62"/>
      <c r="F118" s="62"/>
      <c r="G118" s="62"/>
      <c r="H118" s="62"/>
      <c r="I118" s="62"/>
      <c r="J118" s="62"/>
    </row>
    <row r="119" spans="1:20" s="52" customFormat="1" ht="15.75" customHeight="1" x14ac:dyDescent="0.25">
      <c r="A119" s="55">
        <v>1</v>
      </c>
      <c r="B119" s="56"/>
      <c r="C119" s="54" t="s">
        <v>127</v>
      </c>
      <c r="D119" s="54">
        <f>(27.11+0.4*2.8+0.6*2.6+0.6*3.2)*10.764</f>
        <v>341.32643999999999</v>
      </c>
      <c r="E119" s="54">
        <f>(1.5*2.5+1.5*1.925+0.6*2.9)*10.764</f>
        <v>90.175409999999985</v>
      </c>
      <c r="F119" s="57">
        <f t="shared" ref="F119:F126" si="7">D119+E119</f>
        <v>431.50184999999999</v>
      </c>
      <c r="G119" s="58"/>
      <c r="H119" s="54">
        <v>0</v>
      </c>
      <c r="I119" s="55">
        <f>F119*((I87)+1)+(IF(H119&lt;101,H119,IF(H119&lt;201,H119/2,IF(H119&lt;=301,H119/3,H119/4))))</f>
        <v>668.82786750000002</v>
      </c>
      <c r="J119" s="56"/>
      <c r="L119" s="59">
        <f>4.27*2.4+1.2*0.4+1.8*2.5+2.6*2.9+1.3*0.9+1.2*1.8+1.2*1.8</f>
        <v>28.258000000000003</v>
      </c>
      <c r="M119" s="59"/>
      <c r="N119" s="53"/>
    </row>
    <row r="120" spans="1:20" s="52" customFormat="1" ht="15.75" customHeight="1" x14ac:dyDescent="0.25">
      <c r="A120" s="55">
        <f t="shared" ref="A120:A126" si="8">A119+1</f>
        <v>2</v>
      </c>
      <c r="B120" s="56"/>
      <c r="C120" s="54" t="s">
        <v>127</v>
      </c>
      <c r="D120" s="54">
        <f>(28.65+0.6*2.87+0.6*1.9+0.6*2.6)*10.764</f>
        <v>355.987008</v>
      </c>
      <c r="E120" s="54">
        <f>(1.5*2.5+1.925*1.5+0.6*3.58)*10.764</f>
        <v>94.567121999999998</v>
      </c>
      <c r="F120" s="57">
        <f t="shared" si="7"/>
        <v>450.55412999999999</v>
      </c>
      <c r="G120" s="58">
        <v>0</v>
      </c>
      <c r="H120" s="54">
        <v>0</v>
      </c>
      <c r="I120" s="55">
        <f>F120*((I87)+1)+(IF(H120&lt;101,H120,IF(H120&lt;201,H120/2,IF(H120&lt;=301,H120/3,H120/4))))</f>
        <v>698.3589015</v>
      </c>
      <c r="J120" s="56"/>
      <c r="L120" s="59"/>
      <c r="M120" s="59"/>
      <c r="N120" s="53"/>
    </row>
    <row r="121" spans="1:20" s="52" customFormat="1" ht="15.75" customHeight="1" x14ac:dyDescent="0.25">
      <c r="A121" s="55">
        <f t="shared" si="8"/>
        <v>3</v>
      </c>
      <c r="B121" s="56"/>
      <c r="C121" s="54" t="s">
        <v>127</v>
      </c>
      <c r="D121" s="54">
        <f>(29.24+0.6*1.3+0.6*2.6+0.6*1.9)*10.764</f>
        <v>352.19807999999995</v>
      </c>
      <c r="E121" s="54">
        <f>(0.6*3.35+1.5*2.5+2.08*1.5)*10.764</f>
        <v>95.584319999999977</v>
      </c>
      <c r="F121" s="57">
        <f t="shared" si="7"/>
        <v>447.78239999999994</v>
      </c>
      <c r="G121" s="58">
        <v>0</v>
      </c>
      <c r="H121" s="54">
        <v>0</v>
      </c>
      <c r="I121" s="55">
        <f>F121*((I87)+1)+(IF(H121&lt;101,H121,IF(H121&lt;201,H121/2,IF(H121&lt;=301,H121/3,H121/4))))</f>
        <v>694.0627199999999</v>
      </c>
      <c r="J121" s="56"/>
      <c r="L121" s="59"/>
      <c r="M121" s="59"/>
      <c r="N121" s="53"/>
    </row>
    <row r="122" spans="1:20" s="52" customFormat="1" ht="15.75" customHeight="1" x14ac:dyDescent="0.25">
      <c r="A122" s="55">
        <f t="shared" si="8"/>
        <v>4</v>
      </c>
      <c r="B122" s="56"/>
      <c r="C122" s="54" t="s">
        <v>127</v>
      </c>
      <c r="D122" s="54">
        <f>(29.43+0.6*2.6+0.6*3.3)*10.764</f>
        <v>354.88907999999998</v>
      </c>
      <c r="E122" s="54">
        <f>(1.5*2.5+0.6*3.5+1.5*1.845)*10.764</f>
        <v>92.758769999999998</v>
      </c>
      <c r="F122" s="57">
        <f t="shared" si="7"/>
        <v>447.64784999999995</v>
      </c>
      <c r="G122" s="58">
        <v>0</v>
      </c>
      <c r="H122" s="54">
        <v>0</v>
      </c>
      <c r="I122" s="55">
        <f>F122*((I87)+1)+(IF(H122&lt;101,H122,IF(H122&lt;201,H122/2,IF(H122&lt;=301,H122/3,H122/4))))</f>
        <v>693.8541674999999</v>
      </c>
      <c r="J122" s="56"/>
      <c r="L122" s="59"/>
      <c r="M122" s="59"/>
      <c r="N122" s="53"/>
      <c r="T122" s="42"/>
    </row>
    <row r="123" spans="1:20" s="52" customFormat="1" ht="15.75" customHeight="1" x14ac:dyDescent="0.25">
      <c r="A123" s="55">
        <f t="shared" si="8"/>
        <v>5</v>
      </c>
      <c r="B123" s="56"/>
      <c r="C123" s="54" t="s">
        <v>127</v>
      </c>
      <c r="D123" s="54">
        <f>(29.43+0.6*2.6+0.6*3.3)*10.764</f>
        <v>354.88907999999998</v>
      </c>
      <c r="E123" s="54">
        <f>(1.5*2.5+0.6*3.5+1.5*1.845)*10.764</f>
        <v>92.758769999999998</v>
      </c>
      <c r="F123" s="57">
        <f t="shared" si="7"/>
        <v>447.64784999999995</v>
      </c>
      <c r="G123" s="58">
        <v>0</v>
      </c>
      <c r="H123" s="54">
        <v>0</v>
      </c>
      <c r="I123" s="55">
        <f>F123*((I87)+1)+(IF(H123&lt;101,H123,IF(H123&lt;201,H123/2,IF(H123&lt;=301,H123/3,H123/4))))</f>
        <v>693.8541674999999</v>
      </c>
      <c r="J123" s="56"/>
      <c r="L123" s="59"/>
      <c r="M123" s="59"/>
      <c r="N123" s="53"/>
    </row>
    <row r="124" spans="1:20" s="52" customFormat="1" ht="15.75" customHeight="1" x14ac:dyDescent="0.25">
      <c r="A124" s="55">
        <f t="shared" si="8"/>
        <v>6</v>
      </c>
      <c r="B124" s="56"/>
      <c r="C124" s="54" t="s">
        <v>127</v>
      </c>
      <c r="D124" s="54">
        <f>(27.62+0.6*2.6+0.6*2)*10.764</f>
        <v>327.01031999999998</v>
      </c>
      <c r="E124" s="54">
        <f>(0.6*3.3+1.5*2.85+1.5*2.5)*10.764</f>
        <v>107.69381999999999</v>
      </c>
      <c r="F124" s="57">
        <f t="shared" si="7"/>
        <v>434.70413999999994</v>
      </c>
      <c r="G124" s="58">
        <v>0</v>
      </c>
      <c r="H124" s="54">
        <v>0</v>
      </c>
      <c r="I124" s="55">
        <f>F124*((I87)+1)+(IF(H124&lt;101,H124,IF(H124&lt;201,H124/2,IF(H124&lt;=301,H124/3,H124/4))))</f>
        <v>673.79141699999991</v>
      </c>
      <c r="J124" s="56"/>
      <c r="L124" s="59"/>
      <c r="M124" s="59"/>
      <c r="N124" s="53"/>
    </row>
    <row r="125" spans="1:20" s="52" customFormat="1" ht="15.75" customHeight="1" x14ac:dyDescent="0.25">
      <c r="A125" s="55">
        <f t="shared" si="8"/>
        <v>7</v>
      </c>
      <c r="B125" s="56"/>
      <c r="C125" s="54" t="s">
        <v>127</v>
      </c>
      <c r="D125" s="54">
        <f>(29.92+0.6*2.6+0.6*3.3+0.6*1.65)*10.764</f>
        <v>370.81979999999999</v>
      </c>
      <c r="E125" s="54">
        <f>(0.6*2.9+2.65*1.5+1.5*3.35)*10.764</f>
        <v>115.60535999999999</v>
      </c>
      <c r="F125" s="57">
        <f t="shared" si="7"/>
        <v>486.42516000000001</v>
      </c>
      <c r="G125" s="58">
        <v>0</v>
      </c>
      <c r="H125" s="54">
        <v>0</v>
      </c>
      <c r="I125" s="55">
        <f>F125*((I87)+1)+(IF(H125&lt;101,H125,IF(H125&lt;201,H125/2,IF(H125&lt;=301,H125/3,H125/4))))</f>
        <v>753.95899800000007</v>
      </c>
      <c r="J125" s="56"/>
      <c r="L125" s="59"/>
      <c r="M125" s="59"/>
      <c r="N125" s="53"/>
      <c r="T125" s="42"/>
    </row>
    <row r="126" spans="1:20" s="52" customFormat="1" ht="15.75" customHeight="1" x14ac:dyDescent="0.25">
      <c r="A126" s="55">
        <f t="shared" si="8"/>
        <v>8</v>
      </c>
      <c r="B126" s="56"/>
      <c r="C126" s="54" t="s">
        <v>127</v>
      </c>
      <c r="D126" s="54">
        <f>(29.92+0.6*2.6+0.6*3.3+0.6*1.65)*10.764</f>
        <v>370.81979999999999</v>
      </c>
      <c r="E126" s="54">
        <f>(0.6*2.9+2.65*1.5+1.5*3.35)*10.764</f>
        <v>115.60535999999999</v>
      </c>
      <c r="F126" s="57">
        <f t="shared" si="7"/>
        <v>486.42516000000001</v>
      </c>
      <c r="G126" s="58">
        <v>0</v>
      </c>
      <c r="H126" s="54">
        <v>0</v>
      </c>
      <c r="I126" s="55">
        <f>F126*((I87)+1)+(IF(H126&lt;101,H126,IF(H126&lt;201,H126/2,IF(H126&lt;=301,H126/3,H126/4))))</f>
        <v>753.95899800000007</v>
      </c>
      <c r="J126" s="56"/>
      <c r="L126" s="59"/>
      <c r="M126" s="59"/>
      <c r="N126" s="53"/>
      <c r="T126" s="42"/>
    </row>
    <row r="127" spans="1:20" s="52" customFormat="1" ht="15.75" customHeight="1" x14ac:dyDescent="0.25">
      <c r="A127" s="61" t="s">
        <v>251</v>
      </c>
      <c r="B127" s="62"/>
      <c r="C127" s="62"/>
      <c r="D127" s="62"/>
      <c r="E127" s="62"/>
      <c r="F127" s="62"/>
      <c r="G127" s="62"/>
      <c r="H127" s="62"/>
      <c r="I127" s="62"/>
      <c r="J127" s="62"/>
    </row>
    <row r="128" spans="1:20" s="52" customFormat="1" ht="15.75" customHeight="1" x14ac:dyDescent="0.25">
      <c r="A128" s="55">
        <v>1</v>
      </c>
      <c r="B128" s="56"/>
      <c r="C128" s="54" t="s">
        <v>127</v>
      </c>
      <c r="D128" s="54">
        <f>(27.11+0.4*2.8+0.6*2.6+0.6*3.2)*10.764</f>
        <v>341.32643999999999</v>
      </c>
      <c r="E128" s="54">
        <f>(1.5*2.5+1.5*1.925+0.6*2.9)*10.764</f>
        <v>90.175409999999985</v>
      </c>
      <c r="F128" s="57">
        <f t="shared" ref="F128:F135" si="9">D128+E128</f>
        <v>431.50184999999999</v>
      </c>
      <c r="G128" s="58"/>
      <c r="H128" s="54">
        <v>0</v>
      </c>
      <c r="I128" s="55">
        <f>F128*((I87)+1)+(IF(H128&lt;101,H128,IF(H128&lt;201,H128/2,IF(H128&lt;=301,H128/3,H128/4))))</f>
        <v>668.82786750000002</v>
      </c>
      <c r="J128" s="56"/>
      <c r="L128" s="59"/>
      <c r="M128" s="59"/>
      <c r="N128" s="53"/>
    </row>
    <row r="129" spans="1:20" s="52" customFormat="1" ht="15.75" customHeight="1" x14ac:dyDescent="0.25">
      <c r="A129" s="55">
        <f t="shared" ref="A129:A135" si="10">A128+1</f>
        <v>2</v>
      </c>
      <c r="B129" s="56"/>
      <c r="C129" s="54" t="s">
        <v>127</v>
      </c>
      <c r="D129" s="54">
        <f>(28.65+0.6*2.87+0.6*1.9+0.6*2.6)*10.764</f>
        <v>355.987008</v>
      </c>
      <c r="E129" s="54">
        <f>(1.5*2.5+1.925*1.5+0.6*3.58)*10.764</f>
        <v>94.567121999999998</v>
      </c>
      <c r="F129" s="57">
        <f t="shared" si="9"/>
        <v>450.55412999999999</v>
      </c>
      <c r="G129" s="58">
        <v>0</v>
      </c>
      <c r="H129" s="54">
        <v>0</v>
      </c>
      <c r="I129" s="55">
        <f>F129*((I87)+1)+(IF(H129&lt;101,H129,IF(H129&lt;201,H129/2,IF(H129&lt;=301,H129/3,H129/4))))</f>
        <v>698.3589015</v>
      </c>
      <c r="J129" s="56"/>
      <c r="L129" s="59"/>
      <c r="M129" s="59"/>
      <c r="N129" s="53"/>
    </row>
    <row r="130" spans="1:20" s="52" customFormat="1" ht="15.75" customHeight="1" x14ac:dyDescent="0.25">
      <c r="A130" s="55">
        <f t="shared" si="10"/>
        <v>3</v>
      </c>
      <c r="B130" s="56"/>
      <c r="C130" s="54" t="s">
        <v>127</v>
      </c>
      <c r="D130" s="54">
        <f>(29.24+0.6*1.3+0.6*2.6+0.6*1.9)*10.764</f>
        <v>352.19807999999995</v>
      </c>
      <c r="E130" s="54">
        <f>(0.6*3.35+1.5*2.5+2.08*1.5)*10.764</f>
        <v>95.584319999999977</v>
      </c>
      <c r="F130" s="57">
        <f t="shared" si="9"/>
        <v>447.78239999999994</v>
      </c>
      <c r="G130" s="58">
        <v>0</v>
      </c>
      <c r="H130" s="54">
        <v>0</v>
      </c>
      <c r="I130" s="55">
        <f>F130*((I87)+1)+(IF(H130&lt;101,H130,IF(H130&lt;201,H130/2,IF(H130&lt;=301,H130/3,H130/4))))</f>
        <v>694.0627199999999</v>
      </c>
      <c r="J130" s="56"/>
      <c r="L130" s="59"/>
      <c r="M130" s="59"/>
      <c r="N130" s="53"/>
    </row>
    <row r="131" spans="1:20" s="52" customFormat="1" ht="15.75" customHeight="1" x14ac:dyDescent="0.25">
      <c r="A131" s="55">
        <f t="shared" si="10"/>
        <v>4</v>
      </c>
      <c r="B131" s="56"/>
      <c r="C131" s="54" t="s">
        <v>127</v>
      </c>
      <c r="D131" s="54">
        <f>(29.43+0.6*2.6+0.6*3.3)*10.764</f>
        <v>354.88907999999998</v>
      </c>
      <c r="E131" s="54">
        <f>(1.5*2.5+0.6*3.5+1.5*1.845)*10.764</f>
        <v>92.758769999999998</v>
      </c>
      <c r="F131" s="57">
        <f t="shared" si="9"/>
        <v>447.64784999999995</v>
      </c>
      <c r="G131" s="58">
        <v>0</v>
      </c>
      <c r="H131" s="54">
        <v>0</v>
      </c>
      <c r="I131" s="55">
        <f>F131*((I87)+1)+(IF(H131&lt;101,H131,IF(H131&lt;201,H131/2,IF(H131&lt;=301,H131/3,H131/4))))</f>
        <v>693.8541674999999</v>
      </c>
      <c r="J131" s="56"/>
      <c r="L131" s="59"/>
      <c r="M131" s="59"/>
      <c r="N131" s="53"/>
      <c r="T131" s="42"/>
    </row>
    <row r="132" spans="1:20" s="52" customFormat="1" ht="15.75" customHeight="1" x14ac:dyDescent="0.25">
      <c r="A132" s="55">
        <f t="shared" si="10"/>
        <v>5</v>
      </c>
      <c r="B132" s="56"/>
      <c r="C132" s="54" t="s">
        <v>127</v>
      </c>
      <c r="D132" s="54">
        <f>(29.43+0.6*2.6+0.6*3.3)*10.764</f>
        <v>354.88907999999998</v>
      </c>
      <c r="E132" s="54">
        <f>(1.5*2.5+0.6*3.5+1.5*1.845)*10.764</f>
        <v>92.758769999999998</v>
      </c>
      <c r="F132" s="57">
        <f t="shared" si="9"/>
        <v>447.64784999999995</v>
      </c>
      <c r="G132" s="58">
        <v>0</v>
      </c>
      <c r="H132" s="54">
        <v>0</v>
      </c>
      <c r="I132" s="55">
        <f>F132*((I87)+1)+(IF(H132&lt;101,H132,IF(H132&lt;201,H132/2,IF(H132&lt;=301,H132/3,H132/4))))</f>
        <v>693.8541674999999</v>
      </c>
      <c r="J132" s="56"/>
      <c r="L132" s="59"/>
      <c r="M132" s="59"/>
      <c r="N132" s="53"/>
    </row>
    <row r="133" spans="1:20" s="52" customFormat="1" ht="15.75" customHeight="1" x14ac:dyDescent="0.25">
      <c r="A133" s="55">
        <f t="shared" si="10"/>
        <v>6</v>
      </c>
      <c r="B133" s="56"/>
      <c r="C133" s="54" t="s">
        <v>127</v>
      </c>
      <c r="D133" s="54">
        <f>(27.62+0.6*2.6+0.6*2)*10.764</f>
        <v>327.01031999999998</v>
      </c>
      <c r="E133" s="54">
        <f>(0.6*3.3+1.5*2.85+1.5*2.5)*10.764</f>
        <v>107.69381999999999</v>
      </c>
      <c r="F133" s="57">
        <f t="shared" si="9"/>
        <v>434.70413999999994</v>
      </c>
      <c r="G133" s="58">
        <v>0</v>
      </c>
      <c r="H133" s="54">
        <v>0</v>
      </c>
      <c r="I133" s="55">
        <f>F133*((I87)+1)+(IF(H133&lt;101,H133,IF(H133&lt;201,H133/2,IF(H133&lt;=301,H133/3,H133/4))))</f>
        <v>673.79141699999991</v>
      </c>
      <c r="J133" s="56"/>
      <c r="L133" s="59"/>
      <c r="M133" s="59"/>
      <c r="N133" s="53"/>
    </row>
    <row r="134" spans="1:20" s="52" customFormat="1" ht="15.75" customHeight="1" x14ac:dyDescent="0.25">
      <c r="A134" s="55">
        <f t="shared" si="10"/>
        <v>7</v>
      </c>
      <c r="B134" s="56"/>
      <c r="C134" s="54" t="s">
        <v>127</v>
      </c>
      <c r="D134" s="54">
        <f>(29.92+0.6*2.6+0.6*3.3+0.6*1.65)*10.764</f>
        <v>370.81979999999999</v>
      </c>
      <c r="E134" s="54">
        <f>(0.6*2.9+2.65*1.5+1.5*3.35)*10.764</f>
        <v>115.60535999999999</v>
      </c>
      <c r="F134" s="57">
        <f t="shared" si="9"/>
        <v>486.42516000000001</v>
      </c>
      <c r="G134" s="58">
        <v>0</v>
      </c>
      <c r="H134" s="54">
        <v>0</v>
      </c>
      <c r="I134" s="55">
        <f>F134*((I87)+1)+(IF(H134&lt;101,H134,IF(H134&lt;201,H134/2,IF(H134&lt;=301,H134/3,H134/4))))</f>
        <v>753.95899800000007</v>
      </c>
      <c r="J134" s="56"/>
      <c r="L134" s="59"/>
      <c r="M134" s="59"/>
      <c r="N134" s="53"/>
      <c r="T134" s="42"/>
    </row>
    <row r="135" spans="1:20" s="52" customFormat="1" ht="15.75" customHeight="1" x14ac:dyDescent="0.25">
      <c r="A135" s="55">
        <f t="shared" si="10"/>
        <v>8</v>
      </c>
      <c r="B135" s="56"/>
      <c r="C135" s="54" t="s">
        <v>127</v>
      </c>
      <c r="D135" s="54">
        <f>(29.92+0.6*2.6+0.6*3.3+0.6*1.65)*10.764</f>
        <v>370.81979999999999</v>
      </c>
      <c r="E135" s="54">
        <f>(0.6*2.9+2.65*1.5+1.5*3.35)*10.764</f>
        <v>115.60535999999999</v>
      </c>
      <c r="F135" s="57">
        <f t="shared" si="9"/>
        <v>486.42516000000001</v>
      </c>
      <c r="G135" s="58">
        <v>0</v>
      </c>
      <c r="H135" s="54">
        <v>0</v>
      </c>
      <c r="I135" s="55">
        <f>F135*((I87)+1)+(IF(H135&lt;101,H135,IF(H135&lt;201,H135/2,IF(H135&lt;=301,H135/3,H135/4))))</f>
        <v>753.95899800000007</v>
      </c>
      <c r="J135" s="56"/>
      <c r="L135" s="59"/>
      <c r="M135" s="59"/>
      <c r="N135" s="53"/>
      <c r="T135" s="42"/>
    </row>
    <row r="136" spans="1:20" s="52" customFormat="1" ht="15.75" customHeight="1" x14ac:dyDescent="0.25">
      <c r="A136" s="61" t="s">
        <v>252</v>
      </c>
      <c r="B136" s="62"/>
      <c r="C136" s="62"/>
      <c r="D136" s="62"/>
      <c r="E136" s="62"/>
      <c r="F136" s="62"/>
      <c r="G136" s="62"/>
      <c r="H136" s="62"/>
      <c r="I136" s="62"/>
      <c r="J136" s="62"/>
    </row>
    <row r="137" spans="1:20" s="52" customFormat="1" ht="15.75" customHeight="1" x14ac:dyDescent="0.25">
      <c r="A137" s="55">
        <v>1</v>
      </c>
      <c r="B137" s="56"/>
      <c r="C137" s="54" t="s">
        <v>127</v>
      </c>
      <c r="D137" s="54">
        <f>(27.11+0.4*2.8+0.6*2.6+0.6*3.2)*10.764</f>
        <v>341.32643999999999</v>
      </c>
      <c r="E137" s="54">
        <f>(1.5*2.5+0.6*1.925+1.5*2.9)*10.764</f>
        <v>99.620819999999981</v>
      </c>
      <c r="F137" s="57">
        <f t="shared" ref="F137:F144" si="11">D137+E137</f>
        <v>440.94725999999997</v>
      </c>
      <c r="G137" s="58"/>
      <c r="H137" s="54">
        <v>0</v>
      </c>
      <c r="I137" s="55">
        <f>F137*((I87)+1)+(IF(H137&lt;101,H137,IF(H137&lt;201,H137/2,IF(H137&lt;=301,H137/3,H137/4))))</f>
        <v>683.468253</v>
      </c>
      <c r="J137" s="56"/>
      <c r="L137" s="59">
        <f>4.27*2.4+1.2*0.4+1.8*2.5+2.6*2.9+1.3*0.9+1.2*1.8+1.2*1.8</f>
        <v>28.258000000000003</v>
      </c>
      <c r="M137" s="59"/>
      <c r="N137" s="53"/>
    </row>
    <row r="138" spans="1:20" s="52" customFormat="1" ht="15.75" customHeight="1" x14ac:dyDescent="0.25">
      <c r="A138" s="55">
        <f t="shared" ref="A138:A144" si="12">A137+1</f>
        <v>2</v>
      </c>
      <c r="B138" s="56"/>
      <c r="C138" s="54" t="s">
        <v>127</v>
      </c>
      <c r="D138" s="54">
        <f>(28.65+0.6*2.87+0.6*1.9+0.6*2.6)*10.764</f>
        <v>355.987008</v>
      </c>
      <c r="E138" s="54">
        <f>(1.5*2.5+0.6*1.925+1.5*2.9)*10.764</f>
        <v>99.620819999999981</v>
      </c>
      <c r="F138" s="57">
        <f t="shared" si="11"/>
        <v>455.60782799999998</v>
      </c>
      <c r="G138" s="58">
        <v>0</v>
      </c>
      <c r="H138" s="54">
        <v>0</v>
      </c>
      <c r="I138" s="55">
        <f>F138*((I87)+1)+(IF(H138&lt;101,H138,IF(H138&lt;201,H138/2,IF(H138&lt;=301,H138/3,H138/4))))</f>
        <v>706.19213339999999</v>
      </c>
      <c r="J138" s="56"/>
      <c r="L138" s="59"/>
      <c r="M138" s="59"/>
      <c r="N138" s="53"/>
    </row>
    <row r="139" spans="1:20" s="52" customFormat="1" ht="15.75" customHeight="1" x14ac:dyDescent="0.25">
      <c r="A139" s="55">
        <f t="shared" si="12"/>
        <v>3</v>
      </c>
      <c r="B139" s="56"/>
      <c r="C139" s="54" t="s">
        <v>127</v>
      </c>
      <c r="D139" s="54">
        <f>(29.24+0.6*1.3+0.6*2.6+0.6*1.9)*10.764</f>
        <v>352.19807999999995</v>
      </c>
      <c r="E139" s="54">
        <f>(1.5*3.35+1.5*2.5+2.08*0.6)*10.764</f>
        <v>107.88757199999999</v>
      </c>
      <c r="F139" s="57">
        <f t="shared" si="11"/>
        <v>460.08565199999993</v>
      </c>
      <c r="G139" s="58">
        <v>0</v>
      </c>
      <c r="H139" s="54">
        <v>0</v>
      </c>
      <c r="I139" s="55">
        <f>F139*((I87)+1)+(IF(H139&lt;101,H139,IF(H139&lt;201,H139/2,IF(H139&lt;=301,H139/3,H139/4))))</f>
        <v>713.13276059999987</v>
      </c>
      <c r="J139" s="56"/>
      <c r="L139" s="59"/>
      <c r="M139" s="59"/>
      <c r="N139" s="53"/>
    </row>
    <row r="140" spans="1:20" s="52" customFormat="1" ht="15.75" customHeight="1" x14ac:dyDescent="0.25">
      <c r="A140" s="55">
        <f t="shared" si="12"/>
        <v>4</v>
      </c>
      <c r="B140" s="56"/>
      <c r="C140" s="54" t="s">
        <v>127</v>
      </c>
      <c r="D140" s="54">
        <f>(29.43+0.6*2.6+0.6*3.3)*10.764</f>
        <v>354.88907999999998</v>
      </c>
      <c r="E140" s="54">
        <f>(1.5*2.5+1.5*3.5+0.6*1.845)*10.764</f>
        <v>108.79174799999998</v>
      </c>
      <c r="F140" s="57">
        <f t="shared" si="11"/>
        <v>463.68082799999996</v>
      </c>
      <c r="G140" s="58">
        <v>0</v>
      </c>
      <c r="H140" s="54">
        <v>0</v>
      </c>
      <c r="I140" s="55">
        <f>F140*((I87)+1)+(IF(H140&lt;101,H140,IF(H140&lt;201,H140/2,IF(H140&lt;=301,H140/3,H140/4))))</f>
        <v>718.70528339999998</v>
      </c>
      <c r="J140" s="56"/>
      <c r="L140" s="59"/>
      <c r="M140" s="59"/>
      <c r="N140" s="53"/>
      <c r="T140" s="42"/>
    </row>
    <row r="141" spans="1:20" s="52" customFormat="1" ht="15.75" customHeight="1" x14ac:dyDescent="0.25">
      <c r="A141" s="55">
        <f t="shared" si="12"/>
        <v>5</v>
      </c>
      <c r="B141" s="56"/>
      <c r="C141" s="54" t="s">
        <v>127</v>
      </c>
      <c r="D141" s="54">
        <f>(29.43+0.6*2.6+0.6*3.3)*10.764</f>
        <v>354.88907999999998</v>
      </c>
      <c r="E141" s="54">
        <f>(1.5*2.5+1.5*3.5+0.6*1.845)*10.764</f>
        <v>108.79174799999998</v>
      </c>
      <c r="F141" s="57">
        <f t="shared" si="11"/>
        <v>463.68082799999996</v>
      </c>
      <c r="G141" s="58">
        <v>0</v>
      </c>
      <c r="H141" s="54">
        <v>0</v>
      </c>
      <c r="I141" s="55">
        <f>F141*((I87)+1)+(IF(H141&lt;101,H141,IF(H141&lt;201,H141/2,IF(H141&lt;=301,H141/3,H141/4))))</f>
        <v>718.70528339999998</v>
      </c>
      <c r="J141" s="56"/>
      <c r="L141" s="59"/>
      <c r="M141" s="59"/>
      <c r="N141" s="53"/>
    </row>
    <row r="142" spans="1:20" s="52" customFormat="1" ht="15.75" customHeight="1" x14ac:dyDescent="0.25">
      <c r="A142" s="55">
        <f t="shared" si="12"/>
        <v>6</v>
      </c>
      <c r="B142" s="56"/>
      <c r="C142" s="54" t="s">
        <v>127</v>
      </c>
      <c r="D142" s="54">
        <f>(27.62+0.6*2.6+0.6*2)*10.764</f>
        <v>327.01031999999998</v>
      </c>
      <c r="E142" s="54">
        <f>(1.5*3.3+0.6*2.85+1.5*2.5)*10.764</f>
        <v>112.05323999999999</v>
      </c>
      <c r="F142" s="57">
        <f t="shared" si="11"/>
        <v>439.06355999999994</v>
      </c>
      <c r="G142" s="58">
        <v>0</v>
      </c>
      <c r="H142" s="54">
        <v>0</v>
      </c>
      <c r="I142" s="55">
        <f>F142*((I87)+1)+(IF(H142&lt;101,H142,IF(H142&lt;201,H142/2,IF(H142&lt;=301,H142/3,H142/4))))</f>
        <v>680.54851799999994</v>
      </c>
      <c r="J142" s="56"/>
      <c r="L142" s="59"/>
      <c r="M142" s="59"/>
      <c r="N142" s="53"/>
    </row>
    <row r="143" spans="1:20" s="52" customFormat="1" ht="15.75" customHeight="1" x14ac:dyDescent="0.25">
      <c r="A143" s="55">
        <f t="shared" si="12"/>
        <v>7</v>
      </c>
      <c r="B143" s="56"/>
      <c r="C143" s="54" t="s">
        <v>127</v>
      </c>
      <c r="D143" s="54">
        <f>(29.92+0.6*2.6+0.6*3.3+0.6*1.65)*10.764</f>
        <v>370.81979999999999</v>
      </c>
      <c r="E143" s="54">
        <f>(0.6*2.9+2.65*1.5+1.5*3.35)*10.764</f>
        <v>115.60535999999999</v>
      </c>
      <c r="F143" s="57">
        <f t="shared" si="11"/>
        <v>486.42516000000001</v>
      </c>
      <c r="G143" s="58">
        <v>0</v>
      </c>
      <c r="H143" s="54">
        <v>0</v>
      </c>
      <c r="I143" s="55">
        <f>F143*((I87)+1)+(IF(H143&lt;101,H143,IF(H143&lt;201,H143/2,IF(H143&lt;=301,H143/3,H143/4))))</f>
        <v>753.95899800000007</v>
      </c>
      <c r="J143" s="56"/>
      <c r="L143" s="59"/>
      <c r="M143" s="59"/>
      <c r="N143" s="53"/>
      <c r="T143" s="42"/>
    </row>
    <row r="144" spans="1:20" s="52" customFormat="1" ht="15.75" customHeight="1" x14ac:dyDescent="0.25">
      <c r="A144" s="55">
        <f t="shared" si="12"/>
        <v>8</v>
      </c>
      <c r="B144" s="56"/>
      <c r="C144" s="54" t="s">
        <v>127</v>
      </c>
      <c r="D144" s="54">
        <f>(29.92+0.6*2.6+0.6*3.3+0.6*1.65)*10.764</f>
        <v>370.81979999999999</v>
      </c>
      <c r="E144" s="54">
        <f>(0.6*2.9+2.65*1.5+1.5*3.35)*10.764</f>
        <v>115.60535999999999</v>
      </c>
      <c r="F144" s="57">
        <f t="shared" si="11"/>
        <v>486.42516000000001</v>
      </c>
      <c r="G144" s="58">
        <v>0</v>
      </c>
      <c r="H144" s="54">
        <v>0</v>
      </c>
      <c r="I144" s="55">
        <f>F144*((I87)+1)+(IF(H144&lt;101,H144,IF(H144&lt;201,H144/2,IF(H144&lt;=301,H144/3,H144/4))))</f>
        <v>753.95899800000007</v>
      </c>
      <c r="J144" s="56"/>
      <c r="L144" s="59"/>
      <c r="M144" s="59"/>
      <c r="N144" s="53"/>
      <c r="T144" s="42"/>
    </row>
    <row r="145" spans="1:20" s="52" customFormat="1" ht="15.75" customHeight="1" x14ac:dyDescent="0.25">
      <c r="A145" s="61" t="s">
        <v>255</v>
      </c>
      <c r="B145" s="62"/>
      <c r="C145" s="62"/>
      <c r="D145" s="62"/>
      <c r="E145" s="62"/>
      <c r="F145" s="62"/>
      <c r="G145" s="62"/>
      <c r="H145" s="62"/>
      <c r="I145" s="62"/>
      <c r="J145" s="62"/>
    </row>
    <row r="146" spans="1:20" s="52" customFormat="1" ht="15.75" customHeight="1" x14ac:dyDescent="0.25">
      <c r="A146" s="55">
        <v>1</v>
      </c>
      <c r="B146" s="56"/>
      <c r="C146" s="54" t="s">
        <v>127</v>
      </c>
      <c r="D146" s="54">
        <f>(27.11+0.4*2.8+0.6*2.6+0.6*3.2)*10.764</f>
        <v>341.32643999999999</v>
      </c>
      <c r="E146" s="54">
        <f>(1.5*2.5+0.6*1.925+1.5*2.9)*10.764</f>
        <v>99.620819999999981</v>
      </c>
      <c r="F146" s="57">
        <f t="shared" ref="F146:F153" si="13">D146+E146</f>
        <v>440.94725999999997</v>
      </c>
      <c r="G146" s="58"/>
      <c r="H146" s="54">
        <v>0</v>
      </c>
      <c r="I146" s="55">
        <f>F146*((I87)+1)+(IF(H146&lt;101,H146,IF(H146&lt;201,H146/2,IF(H146&lt;=301,H146/3,H146/4))))</f>
        <v>683.468253</v>
      </c>
      <c r="J146" s="56"/>
      <c r="L146" s="59">
        <f>4.27*2.4+1.2*0.4+1.8*2.5+2.6*2.9+1.3*0.9+1.2*1.8+1.2*1.8</f>
        <v>28.258000000000003</v>
      </c>
      <c r="M146" s="59"/>
      <c r="N146" s="53"/>
    </row>
    <row r="147" spans="1:20" s="52" customFormat="1" ht="15.75" customHeight="1" x14ac:dyDescent="0.25">
      <c r="A147" s="55">
        <f t="shared" ref="A147:A153" si="14">A146+1</f>
        <v>2</v>
      </c>
      <c r="B147" s="56"/>
      <c r="C147" s="54" t="s">
        <v>127</v>
      </c>
      <c r="D147" s="54">
        <f>(28.65+0.6*2.87+0.6*1.9+0.6*2.6)*10.764</f>
        <v>355.987008</v>
      </c>
      <c r="E147" s="54">
        <f>(1.5*2.5+0.6*1.925+1.5*2.9)*10.764</f>
        <v>99.620819999999981</v>
      </c>
      <c r="F147" s="57">
        <f t="shared" si="13"/>
        <v>455.60782799999998</v>
      </c>
      <c r="G147" s="58">
        <v>0</v>
      </c>
      <c r="H147" s="54">
        <v>0</v>
      </c>
      <c r="I147" s="55">
        <f>F147*((I87)+1)+(IF(H147&lt;101,H147,IF(H147&lt;201,H147/2,IF(H147&lt;=301,H147/3,H147/4))))</f>
        <v>706.19213339999999</v>
      </c>
      <c r="J147" s="56"/>
      <c r="L147" s="59"/>
      <c r="M147" s="59"/>
      <c r="N147" s="53"/>
    </row>
    <row r="148" spans="1:20" s="52" customFormat="1" ht="15.75" customHeight="1" x14ac:dyDescent="0.25">
      <c r="A148" s="55">
        <f t="shared" si="14"/>
        <v>3</v>
      </c>
      <c r="B148" s="56"/>
      <c r="C148" s="54" t="s">
        <v>127</v>
      </c>
      <c r="D148" s="54">
        <f>(29.24+0.6*1.3+0.6*2.6+0.6*1.9)*10.764</f>
        <v>352.19807999999995</v>
      </c>
      <c r="E148" s="54">
        <f>(1.5*3.35+1.5*2.5+2.08*0.6)*10.764</f>
        <v>107.88757199999999</v>
      </c>
      <c r="F148" s="57">
        <f t="shared" si="13"/>
        <v>460.08565199999993</v>
      </c>
      <c r="G148" s="58">
        <v>0</v>
      </c>
      <c r="H148" s="54">
        <v>0</v>
      </c>
      <c r="I148" s="55">
        <f>F148*((I87)+1)+(IF(H148&lt;101,H148,IF(H148&lt;201,H148/2,IF(H148&lt;=301,H148/3,H148/4))))</f>
        <v>713.13276059999987</v>
      </c>
      <c r="J148" s="56"/>
      <c r="L148" s="59"/>
      <c r="M148" s="59"/>
      <c r="N148" s="53"/>
    </row>
    <row r="149" spans="1:20" s="52" customFormat="1" ht="15.75" customHeight="1" x14ac:dyDescent="0.25">
      <c r="A149" s="55">
        <f t="shared" si="14"/>
        <v>4</v>
      </c>
      <c r="B149" s="56"/>
      <c r="C149" s="54" t="s">
        <v>127</v>
      </c>
      <c r="D149" s="54">
        <f>(29.43+0.6*2.6+0.6*3.3)*10.764</f>
        <v>354.88907999999998</v>
      </c>
      <c r="E149" s="54">
        <f>(1.5*2.5+1.5*3.5+0.6*1.845)*10.764</f>
        <v>108.79174799999998</v>
      </c>
      <c r="F149" s="57">
        <f t="shared" si="13"/>
        <v>463.68082799999996</v>
      </c>
      <c r="G149" s="58">
        <v>0</v>
      </c>
      <c r="H149" s="54">
        <v>0</v>
      </c>
      <c r="I149" s="55">
        <f>F149*((I87)+1)+(IF(H149&lt;101,H149,IF(H149&lt;201,H149/2,IF(H149&lt;=301,H149/3,H149/4))))</f>
        <v>718.70528339999998</v>
      </c>
      <c r="J149" s="56"/>
      <c r="L149" s="59"/>
      <c r="M149" s="59"/>
      <c r="N149" s="53"/>
      <c r="T149" s="42"/>
    </row>
    <row r="150" spans="1:20" s="52" customFormat="1" ht="15.75" customHeight="1" x14ac:dyDescent="0.25">
      <c r="A150" s="55">
        <f t="shared" si="14"/>
        <v>5</v>
      </c>
      <c r="B150" s="56"/>
      <c r="C150" s="54" t="s">
        <v>127</v>
      </c>
      <c r="D150" s="54">
        <f>(29.43+0.6*2.6+0.6*3.3)*10.764</f>
        <v>354.88907999999998</v>
      </c>
      <c r="E150" s="54">
        <f>(1.5*2.5+1.5*3.5+0.6*1.845)*10.764</f>
        <v>108.79174799999998</v>
      </c>
      <c r="F150" s="57">
        <f t="shared" si="13"/>
        <v>463.68082799999996</v>
      </c>
      <c r="G150" s="58">
        <v>0</v>
      </c>
      <c r="H150" s="54">
        <v>0</v>
      </c>
      <c r="I150" s="55">
        <f>F150*((I87)+1)+(IF(H150&lt;101,H150,IF(H150&lt;201,H150/2,IF(H150&lt;=301,H150/3,H150/4))))</f>
        <v>718.70528339999998</v>
      </c>
      <c r="J150" s="56"/>
      <c r="L150" s="59"/>
      <c r="M150" s="59"/>
      <c r="N150" s="53"/>
    </row>
    <row r="151" spans="1:20" s="52" customFormat="1" ht="15.75" customHeight="1" x14ac:dyDescent="0.25">
      <c r="A151" s="55">
        <f t="shared" si="14"/>
        <v>6</v>
      </c>
      <c r="B151" s="56"/>
      <c r="C151" s="54" t="s">
        <v>127</v>
      </c>
      <c r="D151" s="54">
        <f>(27.62+0.6*2.6+0.6*2)*10.764</f>
        <v>327.01031999999998</v>
      </c>
      <c r="E151" s="54">
        <f>(1.5*3.3+0.6*2.85+1.5*2.5)*10.764</f>
        <v>112.05323999999999</v>
      </c>
      <c r="F151" s="57">
        <f t="shared" si="13"/>
        <v>439.06355999999994</v>
      </c>
      <c r="G151" s="58">
        <v>0</v>
      </c>
      <c r="H151" s="54">
        <v>0</v>
      </c>
      <c r="I151" s="55">
        <f>F151*((I87)+1)+(IF(H151&lt;101,H151,IF(H151&lt;201,H151/2,IF(H151&lt;=301,H151/3,H151/4))))</f>
        <v>680.54851799999994</v>
      </c>
      <c r="J151" s="56"/>
      <c r="L151" s="59"/>
      <c r="M151" s="59"/>
      <c r="N151" s="53"/>
    </row>
    <row r="152" spans="1:20" s="52" customFormat="1" ht="15.75" customHeight="1" x14ac:dyDescent="0.25">
      <c r="A152" s="55">
        <f t="shared" si="14"/>
        <v>7</v>
      </c>
      <c r="B152" s="56"/>
      <c r="C152" s="54" t="s">
        <v>127</v>
      </c>
      <c r="D152" s="54">
        <f>(29.92+0.6*2.6+0.6*3.3+0.6*1.65)*10.764</f>
        <v>370.81979999999999</v>
      </c>
      <c r="E152" s="54">
        <f>(0.6*2.9+2.65*1.5+1.5*3.35)*10.764</f>
        <v>115.60535999999999</v>
      </c>
      <c r="F152" s="57">
        <f t="shared" si="13"/>
        <v>486.42516000000001</v>
      </c>
      <c r="G152" s="58">
        <v>0</v>
      </c>
      <c r="H152" s="54">
        <v>0</v>
      </c>
      <c r="I152" s="55">
        <f>F152*((I87)+1)+(IF(H152&lt;101,H152,IF(H152&lt;201,H152/2,IF(H152&lt;=301,H152/3,H152/4))))</f>
        <v>753.95899800000007</v>
      </c>
      <c r="J152" s="56"/>
      <c r="L152" s="59"/>
      <c r="M152" s="59"/>
      <c r="N152" s="53"/>
      <c r="T152" s="42"/>
    </row>
    <row r="153" spans="1:20" s="52" customFormat="1" ht="15.75" customHeight="1" x14ac:dyDescent="0.25">
      <c r="A153" s="55">
        <f t="shared" si="14"/>
        <v>8</v>
      </c>
      <c r="B153" s="56"/>
      <c r="C153" s="54" t="s">
        <v>127</v>
      </c>
      <c r="D153" s="54">
        <f>(29.92+0.6*2.6+0.6*3.3+0.6*1.65)*10.764</f>
        <v>370.81979999999999</v>
      </c>
      <c r="E153" s="54">
        <f>(0.6*2.9+2.65*1.5+1.5*3.35)*10.764</f>
        <v>115.60535999999999</v>
      </c>
      <c r="F153" s="57">
        <f t="shared" si="13"/>
        <v>486.42516000000001</v>
      </c>
      <c r="G153" s="58">
        <v>0</v>
      </c>
      <c r="H153" s="54">
        <v>0</v>
      </c>
      <c r="I153" s="55">
        <f>F153*((I87)+1)+(IF(H153&lt;101,H153,IF(H153&lt;201,H153/2,IF(H153&lt;=301,H153/3,H153/4))))</f>
        <v>753.95899800000007</v>
      </c>
      <c r="J153" s="56"/>
      <c r="L153" s="59"/>
      <c r="M153" s="59"/>
      <c r="N153" s="53"/>
      <c r="T153" s="42"/>
    </row>
    <row r="154" spans="1:20" s="52" customFormat="1" ht="15.75" customHeight="1" x14ac:dyDescent="0.25">
      <c r="A154" s="61" t="s">
        <v>253</v>
      </c>
      <c r="B154" s="62"/>
      <c r="C154" s="62"/>
      <c r="D154" s="62"/>
      <c r="E154" s="62"/>
      <c r="F154" s="62"/>
      <c r="G154" s="62"/>
      <c r="H154" s="62"/>
      <c r="I154" s="62"/>
      <c r="J154" s="62"/>
    </row>
    <row r="155" spans="1:20" s="52" customFormat="1" ht="15.75" customHeight="1" x14ac:dyDescent="0.25">
      <c r="A155" s="55">
        <v>1</v>
      </c>
      <c r="B155" s="56"/>
      <c r="C155" s="54" t="s">
        <v>127</v>
      </c>
      <c r="D155" s="54">
        <f>(27.11+0.4*2.8+0.6*2.6+0.6*3.2)*10.764</f>
        <v>341.32643999999999</v>
      </c>
      <c r="E155" s="54">
        <f>(1.5*2.5+1.5*1.925+0.6*2.9)*10.764</f>
        <v>90.175409999999985</v>
      </c>
      <c r="F155" s="57">
        <f t="shared" ref="F155:F162" si="15">D155+E155</f>
        <v>431.50184999999999</v>
      </c>
      <c r="G155" s="58"/>
      <c r="H155" s="54">
        <v>0</v>
      </c>
      <c r="I155" s="55">
        <f>F155*((I87)+1)+(IF(H155&lt;101,H155,IF(H155&lt;201,H155/2,IF(H155&lt;=301,H155/3,H155/4))))</f>
        <v>668.82786750000002</v>
      </c>
      <c r="J155" s="56"/>
      <c r="L155" s="59"/>
      <c r="M155" s="59"/>
      <c r="N155" s="53"/>
    </row>
    <row r="156" spans="1:20" s="52" customFormat="1" ht="15.75" customHeight="1" x14ac:dyDescent="0.25">
      <c r="A156" s="55">
        <f t="shared" ref="A156:A162" si="16">A155+1</f>
        <v>2</v>
      </c>
      <c r="B156" s="56"/>
      <c r="C156" s="54" t="s">
        <v>127</v>
      </c>
      <c r="D156" s="54">
        <f>(28.65+0.6*2.87+0.6*1.9+0.6*2.6)*10.764</f>
        <v>355.987008</v>
      </c>
      <c r="E156" s="54">
        <f>(1.5*2.5+1.925*1.5+0.6*3.58)*10.764</f>
        <v>94.567121999999998</v>
      </c>
      <c r="F156" s="57">
        <f t="shared" si="15"/>
        <v>450.55412999999999</v>
      </c>
      <c r="G156" s="58">
        <v>0</v>
      </c>
      <c r="H156" s="54">
        <v>0</v>
      </c>
      <c r="I156" s="55">
        <f>F156*((I87)+1)+(IF(H156&lt;101,H156,IF(H156&lt;201,H156/2,IF(H156&lt;=301,H156/3,H156/4))))</f>
        <v>698.3589015</v>
      </c>
      <c r="J156" s="56"/>
      <c r="L156" s="59"/>
      <c r="M156" s="59"/>
      <c r="N156" s="53"/>
    </row>
    <row r="157" spans="1:20" s="52" customFormat="1" ht="15.75" customHeight="1" x14ac:dyDescent="0.25">
      <c r="A157" s="55">
        <f t="shared" si="16"/>
        <v>3</v>
      </c>
      <c r="B157" s="56"/>
      <c r="C157" s="54" t="s">
        <v>127</v>
      </c>
      <c r="D157" s="54">
        <f>(29.24+0.6*1.3+0.6*2.6+0.6*1.9)*10.764</f>
        <v>352.19807999999995</v>
      </c>
      <c r="E157" s="54">
        <f>(0.6*3.35+1.5*2.5+2.08*1.5)*10.764</f>
        <v>95.584319999999977</v>
      </c>
      <c r="F157" s="57">
        <f t="shared" si="15"/>
        <v>447.78239999999994</v>
      </c>
      <c r="G157" s="58">
        <v>0</v>
      </c>
      <c r="H157" s="54">
        <v>0</v>
      </c>
      <c r="I157" s="55">
        <f>F157*((I87)+1)+(IF(H157&lt;101,H157,IF(H157&lt;201,H157/2,IF(H157&lt;=301,H157/3,H157/4))))</f>
        <v>694.0627199999999</v>
      </c>
      <c r="J157" s="56"/>
      <c r="L157" s="59"/>
      <c r="M157" s="59"/>
      <c r="N157" s="53"/>
    </row>
    <row r="158" spans="1:20" s="52" customFormat="1" ht="15.75" customHeight="1" x14ac:dyDescent="0.25">
      <c r="A158" s="55">
        <f t="shared" si="16"/>
        <v>4</v>
      </c>
      <c r="B158" s="56"/>
      <c r="C158" s="54" t="s">
        <v>127</v>
      </c>
      <c r="D158" s="54">
        <f>(29.43+0.6*2.6+0.6*3.3)*10.764</f>
        <v>354.88907999999998</v>
      </c>
      <c r="E158" s="54">
        <f>(1.5*2.5+0.6*3.5+1.5*1.845)*10.764</f>
        <v>92.758769999999998</v>
      </c>
      <c r="F158" s="57">
        <f t="shared" si="15"/>
        <v>447.64784999999995</v>
      </c>
      <c r="G158" s="58">
        <v>0</v>
      </c>
      <c r="H158" s="54">
        <v>0</v>
      </c>
      <c r="I158" s="55">
        <f>F158*((I87)+1)+(IF(H158&lt;101,H158,IF(H158&lt;201,H158/2,IF(H158&lt;=301,H158/3,H158/4))))</f>
        <v>693.8541674999999</v>
      </c>
      <c r="J158" s="56"/>
      <c r="L158" s="59"/>
      <c r="M158" s="59"/>
      <c r="N158" s="53"/>
      <c r="T158" s="42"/>
    </row>
    <row r="159" spans="1:20" s="52" customFormat="1" ht="15.75" customHeight="1" x14ac:dyDescent="0.25">
      <c r="A159" s="55">
        <f t="shared" si="16"/>
        <v>5</v>
      </c>
      <c r="B159" s="56"/>
      <c r="C159" s="54" t="s">
        <v>127</v>
      </c>
      <c r="D159" s="54">
        <f>(29.43+0.6*2.6+0.6*3.3)*10.764</f>
        <v>354.88907999999998</v>
      </c>
      <c r="E159" s="54">
        <f>(1.5*2.5+0.6*3.5+1.5*1.845)*10.764</f>
        <v>92.758769999999998</v>
      </c>
      <c r="F159" s="57">
        <f t="shared" si="15"/>
        <v>447.64784999999995</v>
      </c>
      <c r="G159" s="58">
        <v>0</v>
      </c>
      <c r="H159" s="54">
        <v>0</v>
      </c>
      <c r="I159" s="55">
        <f>F159*((I87)+1)+(IF(H159&lt;101,H159,IF(H159&lt;201,H159/2,IF(H159&lt;=301,H159/3,H159/4))))</f>
        <v>693.8541674999999</v>
      </c>
      <c r="J159" s="56"/>
      <c r="L159" s="59"/>
      <c r="M159" s="59"/>
      <c r="N159" s="53"/>
    </row>
    <row r="160" spans="1:20" s="52" customFormat="1" ht="15.75" customHeight="1" x14ac:dyDescent="0.25">
      <c r="A160" s="55">
        <f t="shared" si="16"/>
        <v>6</v>
      </c>
      <c r="B160" s="56"/>
      <c r="C160" s="54" t="s">
        <v>127</v>
      </c>
      <c r="D160" s="54">
        <f>(27.62+0.6*2.6+0.6*2)*10.764</f>
        <v>327.01031999999998</v>
      </c>
      <c r="E160" s="54">
        <f>(0.6*3.3+1.5*2.85+1.5*2.5)*10.764</f>
        <v>107.69381999999999</v>
      </c>
      <c r="F160" s="57">
        <f t="shared" si="15"/>
        <v>434.70413999999994</v>
      </c>
      <c r="G160" s="58">
        <v>0</v>
      </c>
      <c r="H160" s="54">
        <v>0</v>
      </c>
      <c r="I160" s="55">
        <f t="shared" ref="I160" si="17">F160*((I87)+1)+(IF(H160&lt;101,H160,IF(H160&lt;201,H160/2,IF(H160&lt;=301,H160/3,H160/4))))</f>
        <v>673.79141699999991</v>
      </c>
      <c r="J160" s="56"/>
      <c r="L160" s="59"/>
      <c r="M160" s="59"/>
      <c r="N160" s="53"/>
    </row>
    <row r="161" spans="1:20" s="52" customFormat="1" ht="15.75" customHeight="1" x14ac:dyDescent="0.25">
      <c r="A161" s="55">
        <f t="shared" si="16"/>
        <v>7</v>
      </c>
      <c r="B161" s="56"/>
      <c r="C161" s="54" t="s">
        <v>127</v>
      </c>
      <c r="D161" s="54">
        <f>(29.92+0.6*2.6+0.6*3.3+0.6*1.65)*10.764</f>
        <v>370.81979999999999</v>
      </c>
      <c r="E161" s="54">
        <f>(0.6*2.9+2.65*1.5+1.5*3.35)*10.764</f>
        <v>115.60535999999999</v>
      </c>
      <c r="F161" s="57">
        <f t="shared" si="15"/>
        <v>486.42516000000001</v>
      </c>
      <c r="G161" s="58">
        <v>0</v>
      </c>
      <c r="H161" s="54">
        <v>0</v>
      </c>
      <c r="I161" s="55">
        <f>F161*((I87)+1)+(IF(H161&lt;101,H161,IF(H161&lt;201,H161/2,IF(H161&lt;=301,H161/3,H161/4))))</f>
        <v>753.95899800000007</v>
      </c>
      <c r="J161" s="56"/>
      <c r="L161" s="59"/>
      <c r="M161" s="59"/>
      <c r="N161" s="53"/>
      <c r="T161" s="42"/>
    </row>
    <row r="162" spans="1:20" s="52" customFormat="1" ht="15.75" customHeight="1" x14ac:dyDescent="0.25">
      <c r="A162" s="55">
        <f t="shared" si="16"/>
        <v>8</v>
      </c>
      <c r="B162" s="56"/>
      <c r="C162" s="54" t="s">
        <v>127</v>
      </c>
      <c r="D162" s="54">
        <f>(29.92+0.6*2.6+0.6*3.3+0.6*1.65)*10.764</f>
        <v>370.81979999999999</v>
      </c>
      <c r="E162" s="54">
        <f>(0.6*2.9+2.65*1.5+1.5*3.35)*10.764</f>
        <v>115.60535999999999</v>
      </c>
      <c r="F162" s="57">
        <f t="shared" si="15"/>
        <v>486.42516000000001</v>
      </c>
      <c r="G162" s="58">
        <v>0</v>
      </c>
      <c r="H162" s="54">
        <v>0</v>
      </c>
      <c r="I162" s="55">
        <f>F162*((I87)+1)+(IF(H162&lt;101,H162,IF(H162&lt;201,H162/2,IF(H162&lt;=301,H162/3,H162/4))))</f>
        <v>753.95899800000007</v>
      </c>
      <c r="J162" s="56"/>
      <c r="L162" s="59"/>
      <c r="M162" s="59"/>
      <c r="N162" s="53"/>
      <c r="T162" s="42"/>
    </row>
    <row r="163" spans="1:20" s="52" customFormat="1" ht="15.75" customHeight="1" x14ac:dyDescent="0.25">
      <c r="A163" s="61" t="s">
        <v>254</v>
      </c>
      <c r="B163" s="62"/>
      <c r="C163" s="62"/>
      <c r="D163" s="62"/>
      <c r="E163" s="62"/>
      <c r="F163" s="62"/>
      <c r="G163" s="62"/>
      <c r="H163" s="62"/>
      <c r="I163" s="62"/>
      <c r="J163" s="62"/>
    </row>
    <row r="164" spans="1:20" s="52" customFormat="1" ht="15.75" customHeight="1" x14ac:dyDescent="0.25">
      <c r="A164" s="55">
        <v>1</v>
      </c>
      <c r="B164" s="56"/>
      <c r="C164" s="54" t="s">
        <v>127</v>
      </c>
      <c r="D164" s="54">
        <f>(27.11+0.4*2.8+0.6*2.6+0.6*3.2)*10.764</f>
        <v>341.32643999999999</v>
      </c>
      <c r="E164" s="54">
        <f>(1.5*2.5+0.6*1.925+1.5*2.9)*10.764</f>
        <v>99.620819999999981</v>
      </c>
      <c r="F164" s="57">
        <f t="shared" ref="F164:F171" si="18">D164+E164</f>
        <v>440.94725999999997</v>
      </c>
      <c r="G164" s="58"/>
      <c r="H164" s="54">
        <v>0</v>
      </c>
      <c r="I164" s="55">
        <f>F164*((I87)+1)+(IF(H164&lt;101,H164,IF(H164&lt;201,H164/2,IF(H164&lt;=301,H164/3,H164/4))))</f>
        <v>683.468253</v>
      </c>
      <c r="J164" s="56"/>
      <c r="L164" s="59">
        <f>4.27*2.4+1.2*0.4+1.8*2.5+2.6*2.9+1.3*0.9+1.2*1.8+1.2*1.8</f>
        <v>28.258000000000003</v>
      </c>
      <c r="M164" s="59"/>
      <c r="N164" s="53"/>
    </row>
    <row r="165" spans="1:20" s="52" customFormat="1" ht="15.75" customHeight="1" x14ac:dyDescent="0.25">
      <c r="A165" s="55">
        <f t="shared" ref="A165:A171" si="19">A164+1</f>
        <v>2</v>
      </c>
      <c r="B165" s="56"/>
      <c r="C165" s="54" t="s">
        <v>127</v>
      </c>
      <c r="D165" s="54">
        <f>(28.65+0.6*2.87+0.6*1.9+0.6*2.6)*10.764</f>
        <v>355.987008</v>
      </c>
      <c r="E165" s="54">
        <f>(1.5*2.5+0.6*1.925+1.5*2.9)*10.764</f>
        <v>99.620819999999981</v>
      </c>
      <c r="F165" s="57">
        <f t="shared" si="18"/>
        <v>455.60782799999998</v>
      </c>
      <c r="G165" s="58">
        <v>0</v>
      </c>
      <c r="H165" s="54">
        <v>0</v>
      </c>
      <c r="I165" s="55">
        <f>F165*((I87)+1)+(IF(H165&lt;101,H165,IF(H165&lt;201,H165/2,IF(H165&lt;=301,H165/3,H165/4))))</f>
        <v>706.19213339999999</v>
      </c>
      <c r="J165" s="56"/>
      <c r="L165" s="59"/>
      <c r="M165" s="59"/>
      <c r="N165" s="53"/>
    </row>
    <row r="166" spans="1:20" s="52" customFormat="1" ht="15.75" customHeight="1" x14ac:dyDescent="0.25">
      <c r="A166" s="55">
        <f t="shared" si="19"/>
        <v>3</v>
      </c>
      <c r="B166" s="56"/>
      <c r="C166" s="54" t="s">
        <v>127</v>
      </c>
      <c r="D166" s="54">
        <f>(29.24+0.6*1.3+0.6*2.6+0.6*1.9)*10.764</f>
        <v>352.19807999999995</v>
      </c>
      <c r="E166" s="54">
        <f>(1.5*3.35+1.5*2.5+2.08*0.6)*10.764</f>
        <v>107.88757199999999</v>
      </c>
      <c r="F166" s="57">
        <f t="shared" si="18"/>
        <v>460.08565199999993</v>
      </c>
      <c r="G166" s="58">
        <v>0</v>
      </c>
      <c r="H166" s="54">
        <v>0</v>
      </c>
      <c r="I166" s="55">
        <f>F166*((I87)+1)+(IF(H166&lt;101,H166,IF(H166&lt;201,H166/2,IF(H166&lt;=301,H166/3,H166/4))))</f>
        <v>713.13276059999987</v>
      </c>
      <c r="J166" s="56"/>
      <c r="L166" s="59"/>
      <c r="M166" s="59"/>
      <c r="N166" s="53"/>
    </row>
    <row r="167" spans="1:20" s="52" customFormat="1" ht="15.75" customHeight="1" x14ac:dyDescent="0.25">
      <c r="A167" s="55">
        <f t="shared" si="19"/>
        <v>4</v>
      </c>
      <c r="B167" s="56"/>
      <c r="C167" s="54" t="s">
        <v>127</v>
      </c>
      <c r="D167" s="54">
        <f>(29.43+0.6*2.6+0.6*3.3)*10.764</f>
        <v>354.88907999999998</v>
      </c>
      <c r="E167" s="54">
        <f>(1.5*2.5+1.5*3.5+0.6*1.845)*10.764</f>
        <v>108.79174799999998</v>
      </c>
      <c r="F167" s="57">
        <f t="shared" si="18"/>
        <v>463.68082799999996</v>
      </c>
      <c r="G167" s="58">
        <v>0</v>
      </c>
      <c r="H167" s="54">
        <v>0</v>
      </c>
      <c r="I167" s="55">
        <f>F167*((I87)+1)+(IF(H167&lt;101,H167,IF(H167&lt;201,H167/2,IF(H167&lt;=301,H167/3,H167/4))))</f>
        <v>718.70528339999998</v>
      </c>
      <c r="J167" s="56"/>
      <c r="L167" s="59"/>
      <c r="M167" s="59"/>
      <c r="N167" s="53"/>
      <c r="T167" s="42"/>
    </row>
    <row r="168" spans="1:20" s="52" customFormat="1" ht="15.75" customHeight="1" x14ac:dyDescent="0.25">
      <c r="A168" s="55">
        <f t="shared" si="19"/>
        <v>5</v>
      </c>
      <c r="B168" s="56"/>
      <c r="C168" s="54" t="s">
        <v>127</v>
      </c>
      <c r="D168" s="54">
        <f>(29.43+0.6*2.6+0.6*3.3)*10.764</f>
        <v>354.88907999999998</v>
      </c>
      <c r="E168" s="54">
        <f>(1.5*2.5+1.5*3.5+0.6*1.845)*10.764</f>
        <v>108.79174799999998</v>
      </c>
      <c r="F168" s="57">
        <f t="shared" si="18"/>
        <v>463.68082799999996</v>
      </c>
      <c r="G168" s="58">
        <v>0</v>
      </c>
      <c r="H168" s="54">
        <v>0</v>
      </c>
      <c r="I168" s="55">
        <f>F168*((I87)+1)+(IF(H168&lt;101,H168,IF(H168&lt;201,H168/2,IF(H168&lt;=301,H168/3,H168/4))))</f>
        <v>718.70528339999998</v>
      </c>
      <c r="J168" s="56"/>
      <c r="L168" s="59"/>
      <c r="M168" s="59"/>
      <c r="N168" s="53"/>
    </row>
    <row r="169" spans="1:20" s="52" customFormat="1" ht="15.75" customHeight="1" x14ac:dyDescent="0.25">
      <c r="A169" s="55">
        <f t="shared" si="19"/>
        <v>6</v>
      </c>
      <c r="B169" s="56"/>
      <c r="C169" s="54" t="s">
        <v>127</v>
      </c>
      <c r="D169" s="54">
        <f>(27.62+0.6*2.6+0.6*2)*10.764</f>
        <v>327.01031999999998</v>
      </c>
      <c r="E169" s="54">
        <f>(1.5*3.3+0.6*2.85+1.5*2.5)*10.764</f>
        <v>112.05323999999999</v>
      </c>
      <c r="F169" s="57">
        <f t="shared" si="18"/>
        <v>439.06355999999994</v>
      </c>
      <c r="G169" s="58">
        <v>0</v>
      </c>
      <c r="H169" s="54">
        <v>0</v>
      </c>
      <c r="I169" s="55">
        <f>F169*((I87)+1)+(IF(H169&lt;101,H169,IF(H169&lt;201,H169/2,IF(H169&lt;=301,H169/3,H169/4))))</f>
        <v>680.54851799999994</v>
      </c>
      <c r="J169" s="56"/>
      <c r="L169" s="59"/>
      <c r="M169" s="59"/>
      <c r="N169" s="53"/>
    </row>
    <row r="170" spans="1:20" s="52" customFormat="1" ht="15.75" customHeight="1" x14ac:dyDescent="0.25">
      <c r="A170" s="55">
        <f t="shared" si="19"/>
        <v>7</v>
      </c>
      <c r="B170" s="56"/>
      <c r="C170" s="54" t="s">
        <v>127</v>
      </c>
      <c r="D170" s="54">
        <f>(29.92+0.6*2.6+0.6*3.3+0.6*1.65)*10.764</f>
        <v>370.81979999999999</v>
      </c>
      <c r="E170" s="54">
        <f>(0.6*2.9+2.65*1.5+1.5*3.35)*10.764</f>
        <v>115.60535999999999</v>
      </c>
      <c r="F170" s="57">
        <f t="shared" si="18"/>
        <v>486.42516000000001</v>
      </c>
      <c r="G170" s="58">
        <v>0</v>
      </c>
      <c r="H170" s="54">
        <v>0</v>
      </c>
      <c r="I170" s="55">
        <f>F170*((I87)+1)+(IF(H170&lt;101,H170,IF(H170&lt;201,H170/2,IF(H170&lt;=301,H170/3,H170/4))))</f>
        <v>753.95899800000007</v>
      </c>
      <c r="J170" s="56"/>
      <c r="L170" s="59"/>
      <c r="M170" s="59"/>
      <c r="N170" s="53"/>
      <c r="T170" s="42"/>
    </row>
    <row r="171" spans="1:20" s="52" customFormat="1" ht="15.75" customHeight="1" x14ac:dyDescent="0.25">
      <c r="A171" s="55">
        <f t="shared" si="19"/>
        <v>8</v>
      </c>
      <c r="B171" s="56"/>
      <c r="C171" s="54" t="s">
        <v>127</v>
      </c>
      <c r="D171" s="54">
        <f>(29.92+0.6*2.6+0.6*3.3+0.6*1.65)*10.764</f>
        <v>370.81979999999999</v>
      </c>
      <c r="E171" s="54">
        <f>(0.6*2.9+2.65*1.5+1.5*3.35)*10.764</f>
        <v>115.60535999999999</v>
      </c>
      <c r="F171" s="57">
        <f t="shared" si="18"/>
        <v>486.42516000000001</v>
      </c>
      <c r="G171" s="58">
        <v>0</v>
      </c>
      <c r="H171" s="54">
        <v>0</v>
      </c>
      <c r="I171" s="55">
        <f>F171*((I87)+1)+(IF(H171&lt;101,H171,IF(H171&lt;201,H171/2,IF(H171&lt;=301,H171/3,H171/4))))</f>
        <v>753.95899800000007</v>
      </c>
      <c r="J171" s="56"/>
      <c r="L171" s="59"/>
      <c r="M171" s="59"/>
      <c r="N171" s="53"/>
      <c r="T171" s="42"/>
    </row>
    <row r="172" spans="1:20" s="52" customFormat="1" ht="15.75" customHeight="1" x14ac:dyDescent="0.25">
      <c r="A172" s="61" t="s">
        <v>257</v>
      </c>
      <c r="B172" s="62"/>
      <c r="C172" s="62"/>
      <c r="D172" s="62"/>
      <c r="E172" s="62"/>
      <c r="F172" s="62"/>
      <c r="G172" s="62"/>
      <c r="H172" s="62"/>
      <c r="I172" s="62"/>
      <c r="J172" s="62"/>
    </row>
    <row r="173" spans="1:20" s="52" customFormat="1" ht="15.75" customHeight="1" x14ac:dyDescent="0.25">
      <c r="A173" s="55">
        <v>1</v>
      </c>
      <c r="B173" s="56"/>
      <c r="C173" s="54" t="s">
        <v>127</v>
      </c>
      <c r="D173" s="54">
        <f>(27.11+0.4*2.8+0.6*2.6+0.6*3.2)*10.764</f>
        <v>341.32643999999999</v>
      </c>
      <c r="E173" s="54">
        <f>(1.5*2.5+1.5*1.925+0.6*2.9)*10.764</f>
        <v>90.175409999999985</v>
      </c>
      <c r="F173" s="57">
        <f t="shared" ref="F173:F180" si="20">D173+E173</f>
        <v>431.50184999999999</v>
      </c>
      <c r="G173" s="58"/>
      <c r="H173" s="54">
        <v>0</v>
      </c>
      <c r="I173" s="55">
        <f>F173*((I87)+1)+(IF(H173&lt;101,H173,IF(H173&lt;201,H173/2,IF(H173&lt;=301,H173/3,H173/4))))</f>
        <v>668.82786750000002</v>
      </c>
      <c r="J173" s="56"/>
      <c r="L173" s="59"/>
      <c r="M173" s="59"/>
      <c r="N173" s="53"/>
    </row>
    <row r="174" spans="1:20" s="52" customFormat="1" ht="15.75" customHeight="1" x14ac:dyDescent="0.25">
      <c r="A174" s="55">
        <f t="shared" ref="A174:A180" si="21">A173+1</f>
        <v>2</v>
      </c>
      <c r="B174" s="56"/>
      <c r="C174" s="54" t="s">
        <v>127</v>
      </c>
      <c r="D174" s="54">
        <f>(28.65+0.6*2.87+0.6*1.9+0.6*2.6)*10.764</f>
        <v>355.987008</v>
      </c>
      <c r="E174" s="54">
        <f>(1.5*2.5+1.925*1.5+0.6*3.58)*10.764</f>
        <v>94.567121999999998</v>
      </c>
      <c r="F174" s="57">
        <f t="shared" si="20"/>
        <v>450.55412999999999</v>
      </c>
      <c r="G174" s="58">
        <v>0</v>
      </c>
      <c r="H174" s="54">
        <v>0</v>
      </c>
      <c r="I174" s="55">
        <f>F174*((I87)+1)+(IF(H174&lt;101,H174,IF(H174&lt;201,H174/2,IF(H174&lt;=301,H174/3,H174/4))))</f>
        <v>698.3589015</v>
      </c>
      <c r="J174" s="56"/>
      <c r="L174" s="59"/>
      <c r="M174" s="59"/>
      <c r="N174" s="53"/>
    </row>
    <row r="175" spans="1:20" s="52" customFormat="1" ht="15.75" customHeight="1" x14ac:dyDescent="0.25">
      <c r="A175" s="55">
        <f t="shared" si="21"/>
        <v>3</v>
      </c>
      <c r="B175" s="56"/>
      <c r="C175" s="54" t="s">
        <v>127</v>
      </c>
      <c r="D175" s="54">
        <f>(29.24+0.6*1.3+0.6*2.6+0.6*1.9)*10.764</f>
        <v>352.19807999999995</v>
      </c>
      <c r="E175" s="54">
        <f>(0.6*3.35+1.5*2.5+2.08*1.5)*10.764</f>
        <v>95.584319999999977</v>
      </c>
      <c r="F175" s="57">
        <f t="shared" si="20"/>
        <v>447.78239999999994</v>
      </c>
      <c r="G175" s="58">
        <v>0</v>
      </c>
      <c r="H175" s="54">
        <v>0</v>
      </c>
      <c r="I175" s="55">
        <f>F175*((I87)+1)+(IF(H175&lt;101,H175,IF(H175&lt;201,H175/2,IF(H175&lt;=301,H175/3,H175/4))))</f>
        <v>694.0627199999999</v>
      </c>
      <c r="J175" s="56"/>
      <c r="L175" s="59"/>
      <c r="M175" s="59"/>
      <c r="N175" s="53"/>
    </row>
    <row r="176" spans="1:20" s="52" customFormat="1" ht="15.75" customHeight="1" x14ac:dyDescent="0.25">
      <c r="A176" s="55">
        <f t="shared" si="21"/>
        <v>4</v>
      </c>
      <c r="B176" s="56"/>
      <c r="C176" s="54" t="s">
        <v>127</v>
      </c>
      <c r="D176" s="54">
        <f>(29.43+0.6*2.6+0.6*3.3)*10.764</f>
        <v>354.88907999999998</v>
      </c>
      <c r="E176" s="54">
        <f>(1.5*2.5+0.6*3.5+1.5*1.845)*10.764</f>
        <v>92.758769999999998</v>
      </c>
      <c r="F176" s="57">
        <f t="shared" si="20"/>
        <v>447.64784999999995</v>
      </c>
      <c r="G176" s="58">
        <v>0</v>
      </c>
      <c r="H176" s="54">
        <v>0</v>
      </c>
      <c r="I176" s="55">
        <f>F176*((I87)+1)+(IF(H176&lt;101,H176,IF(H176&lt;201,H176/2,IF(H176&lt;=301,H176/3,H176/4))))</f>
        <v>693.8541674999999</v>
      </c>
      <c r="J176" s="56"/>
      <c r="L176" s="59"/>
      <c r="M176" s="59"/>
      <c r="N176" s="53"/>
      <c r="T176" s="42"/>
    </row>
    <row r="177" spans="1:20" s="52" customFormat="1" ht="15.75" customHeight="1" x14ac:dyDescent="0.25">
      <c r="A177" s="55">
        <f t="shared" si="21"/>
        <v>5</v>
      </c>
      <c r="B177" s="56"/>
      <c r="C177" s="54" t="s">
        <v>127</v>
      </c>
      <c r="D177" s="54">
        <f>(29.43+0.6*2.6+0.6*3.3)*10.764</f>
        <v>354.88907999999998</v>
      </c>
      <c r="E177" s="54">
        <f>(1.5*2.5+0.6*3.5+1.5*1.845)*10.764</f>
        <v>92.758769999999998</v>
      </c>
      <c r="F177" s="57">
        <f t="shared" si="20"/>
        <v>447.64784999999995</v>
      </c>
      <c r="G177" s="58">
        <v>0</v>
      </c>
      <c r="H177" s="54">
        <v>0</v>
      </c>
      <c r="I177" s="55">
        <f>F177*((I87)+1)+(IF(H177&lt;101,H177,IF(H177&lt;201,H177/2,IF(H177&lt;=301,H177/3,H177/4))))</f>
        <v>693.8541674999999</v>
      </c>
      <c r="J177" s="56"/>
      <c r="L177" s="59"/>
      <c r="M177" s="59"/>
      <c r="N177" s="53"/>
    </row>
    <row r="178" spans="1:20" s="52" customFormat="1" ht="15.75" customHeight="1" x14ac:dyDescent="0.25">
      <c r="A178" s="55">
        <f t="shared" si="21"/>
        <v>6</v>
      </c>
      <c r="B178" s="56"/>
      <c r="C178" s="54" t="s">
        <v>127</v>
      </c>
      <c r="D178" s="54">
        <f>(27.62+0.6*2.6+0.6*2)*10.764</f>
        <v>327.01031999999998</v>
      </c>
      <c r="E178" s="54">
        <f>(0.6*3.3+1.5*2.85+1.5*2.5)*10.764</f>
        <v>107.69381999999999</v>
      </c>
      <c r="F178" s="57">
        <f t="shared" si="20"/>
        <v>434.70413999999994</v>
      </c>
      <c r="G178" s="58">
        <v>0</v>
      </c>
      <c r="H178" s="54">
        <v>0</v>
      </c>
      <c r="I178" s="55">
        <f>F178*((I87)+1)+(IF(H178&lt;101,H178,IF(H178&lt;201,H178/2,IF(H178&lt;=301,H178/3,H178/4))))</f>
        <v>673.79141699999991</v>
      </c>
      <c r="J178" s="56"/>
      <c r="L178" s="59"/>
      <c r="M178" s="59"/>
      <c r="N178" s="53"/>
    </row>
    <row r="179" spans="1:20" s="52" customFormat="1" ht="15.75" customHeight="1" x14ac:dyDescent="0.25">
      <c r="A179" s="55">
        <f t="shared" si="21"/>
        <v>7</v>
      </c>
      <c r="B179" s="56"/>
      <c r="C179" s="54" t="s">
        <v>127</v>
      </c>
      <c r="D179" s="54">
        <f>(29.92+0.6*2.6+0.6*3.3+0.6*1.65)*10.764</f>
        <v>370.81979999999999</v>
      </c>
      <c r="E179" s="54">
        <f>(0.6*2.9+2.65*1.5+1.5*3.35)*10.764</f>
        <v>115.60535999999999</v>
      </c>
      <c r="F179" s="57">
        <f t="shared" si="20"/>
        <v>486.42516000000001</v>
      </c>
      <c r="G179" s="58">
        <v>0</v>
      </c>
      <c r="H179" s="54">
        <v>0</v>
      </c>
      <c r="I179" s="55">
        <f>F179*((I87)+1)+(IF(H179&lt;101,H179,IF(H179&lt;201,H179/2,IF(H179&lt;=301,H179/3,H179/4))))</f>
        <v>753.95899800000007</v>
      </c>
      <c r="J179" s="56"/>
      <c r="L179" s="59"/>
      <c r="M179" s="59"/>
      <c r="N179" s="53"/>
      <c r="T179" s="42"/>
    </row>
    <row r="180" spans="1:20" s="52" customFormat="1" ht="15.75" customHeight="1" x14ac:dyDescent="0.25">
      <c r="A180" s="55">
        <f t="shared" si="21"/>
        <v>8</v>
      </c>
      <c r="B180" s="56"/>
      <c r="C180" s="54" t="s">
        <v>127</v>
      </c>
      <c r="D180" s="54">
        <f>(29.92+0.6*2.6+0.6*3.3+0.6*1.65)*10.764</f>
        <v>370.81979999999999</v>
      </c>
      <c r="E180" s="54">
        <f>(0.6*2.9+2.65*1.5+1.5*3.35)*10.764</f>
        <v>115.60535999999999</v>
      </c>
      <c r="F180" s="57">
        <f t="shared" si="20"/>
        <v>486.42516000000001</v>
      </c>
      <c r="G180" s="58">
        <v>0</v>
      </c>
      <c r="H180" s="54">
        <v>0</v>
      </c>
      <c r="I180" s="55">
        <f>F180*((I87)+1)+(IF(H180&lt;101,H180,IF(H180&lt;201,H180/2,IF(H180&lt;=301,H180/3,H180/4))))</f>
        <v>753.95899800000007</v>
      </c>
      <c r="J180" s="56"/>
      <c r="L180" s="59"/>
      <c r="M180" s="59"/>
      <c r="N180" s="53"/>
      <c r="T180" s="42"/>
    </row>
    <row r="181" spans="1:20" s="52" customFormat="1" ht="15.75" customHeight="1" x14ac:dyDescent="0.25">
      <c r="A181" s="61" t="s">
        <v>256</v>
      </c>
      <c r="B181" s="62"/>
      <c r="C181" s="62"/>
      <c r="D181" s="62"/>
      <c r="E181" s="62"/>
      <c r="F181" s="62"/>
      <c r="G181" s="62"/>
      <c r="H181" s="62"/>
      <c r="I181" s="62"/>
      <c r="J181" s="62"/>
    </row>
    <row r="182" spans="1:20" s="52" customFormat="1" ht="15.75" customHeight="1" x14ac:dyDescent="0.25">
      <c r="A182" s="55">
        <v>1</v>
      </c>
      <c r="B182" s="56"/>
      <c r="C182" s="54" t="s">
        <v>127</v>
      </c>
      <c r="D182" s="54">
        <f>(27.11+0.4*2.8+0.6*2.6+0.6*3.2)*10.764</f>
        <v>341.32643999999999</v>
      </c>
      <c r="E182" s="54">
        <f>(1.5*2.5+1.5*1.925+0.6*2.9)*10.764</f>
        <v>90.175409999999985</v>
      </c>
      <c r="F182" s="57">
        <f t="shared" ref="F182:F189" si="22">D182+E182</f>
        <v>431.50184999999999</v>
      </c>
      <c r="G182" s="58"/>
      <c r="H182" s="54">
        <v>0</v>
      </c>
      <c r="I182" s="55">
        <f>F182*((I87)+1)+(IF(H182&lt;101,H182,IF(H182&lt;201,H182/2,IF(H182&lt;=301,H182/3,H182/4))))</f>
        <v>668.82786750000002</v>
      </c>
      <c r="J182" s="56"/>
      <c r="L182" s="59"/>
      <c r="M182" s="59"/>
      <c r="N182" s="53"/>
    </row>
    <row r="183" spans="1:20" s="52" customFormat="1" ht="15.75" customHeight="1" x14ac:dyDescent="0.25">
      <c r="A183" s="55">
        <f t="shared" ref="A183:A189" si="23">A182+1</f>
        <v>2</v>
      </c>
      <c r="B183" s="56"/>
      <c r="C183" s="54" t="s">
        <v>127</v>
      </c>
      <c r="D183" s="54">
        <f>(28.65+0.6*2.87+0.6*1.9+0.6*2.6)*10.764</f>
        <v>355.987008</v>
      </c>
      <c r="E183" s="54">
        <f>(1.5*2.5+1.925*1.5+0.6*3.58)*10.764</f>
        <v>94.567121999999998</v>
      </c>
      <c r="F183" s="57">
        <f t="shared" si="22"/>
        <v>450.55412999999999</v>
      </c>
      <c r="G183" s="58">
        <v>0</v>
      </c>
      <c r="H183" s="54">
        <v>0</v>
      </c>
      <c r="I183" s="55">
        <f>F183*((I87)+1)+(IF(H183&lt;101,H183,IF(H183&lt;201,H183/2,IF(H183&lt;=301,H183/3,H183/4))))</f>
        <v>698.3589015</v>
      </c>
      <c r="J183" s="56"/>
      <c r="L183" s="59"/>
      <c r="M183" s="59"/>
      <c r="N183" s="53"/>
    </row>
    <row r="184" spans="1:20" s="52" customFormat="1" ht="15.75" customHeight="1" x14ac:dyDescent="0.25">
      <c r="A184" s="55">
        <f t="shared" si="23"/>
        <v>3</v>
      </c>
      <c r="B184" s="56"/>
      <c r="C184" s="54" t="s">
        <v>127</v>
      </c>
      <c r="D184" s="54">
        <f>(29.24+0.6*1.3+0.6*2.6+0.6*1.9)*10.764</f>
        <v>352.19807999999995</v>
      </c>
      <c r="E184" s="54">
        <f>(0.6*3.35+1.5*2.5+2.08*1.5)*10.764</f>
        <v>95.584319999999977</v>
      </c>
      <c r="F184" s="57">
        <f t="shared" si="22"/>
        <v>447.78239999999994</v>
      </c>
      <c r="G184" s="58">
        <v>0</v>
      </c>
      <c r="H184" s="54">
        <v>0</v>
      </c>
      <c r="I184" s="55">
        <f>F184*((I87)+1)+(IF(H184&lt;101,H184,IF(H184&lt;201,H184/2,IF(H184&lt;=301,H184/3,H184/4))))</f>
        <v>694.0627199999999</v>
      </c>
      <c r="J184" s="56"/>
      <c r="L184" s="59"/>
      <c r="M184" s="59"/>
      <c r="N184" s="53"/>
    </row>
    <row r="185" spans="1:20" s="52" customFormat="1" ht="15.75" customHeight="1" x14ac:dyDescent="0.25">
      <c r="A185" s="55">
        <f t="shared" si="23"/>
        <v>4</v>
      </c>
      <c r="B185" s="56"/>
      <c r="C185" s="54" t="s">
        <v>127</v>
      </c>
      <c r="D185" s="54">
        <f>(29.43+0.6*2.6+0.6*3.3)*10.764</f>
        <v>354.88907999999998</v>
      </c>
      <c r="E185" s="54">
        <f>(1.5*2.5+0.6*3.5+1.5*1.845)*10.764</f>
        <v>92.758769999999998</v>
      </c>
      <c r="F185" s="57">
        <f t="shared" si="22"/>
        <v>447.64784999999995</v>
      </c>
      <c r="G185" s="58">
        <v>0</v>
      </c>
      <c r="H185" s="54">
        <v>0</v>
      </c>
      <c r="I185" s="55">
        <f>F185*((I87)+1)+(IF(H185&lt;101,H185,IF(H185&lt;201,H185/2,IF(H185&lt;=301,H185/3,H185/4))))</f>
        <v>693.8541674999999</v>
      </c>
      <c r="J185" s="56"/>
      <c r="L185" s="59"/>
      <c r="M185" s="59"/>
      <c r="N185" s="53"/>
      <c r="T185" s="42"/>
    </row>
    <row r="186" spans="1:20" s="52" customFormat="1" ht="15.75" customHeight="1" x14ac:dyDescent="0.25">
      <c r="A186" s="55">
        <f t="shared" si="23"/>
        <v>5</v>
      </c>
      <c r="B186" s="56"/>
      <c r="C186" s="54" t="s">
        <v>127</v>
      </c>
      <c r="D186" s="54">
        <f>(29.43+0.6*2.6+0.6*3.3)*10.764</f>
        <v>354.88907999999998</v>
      </c>
      <c r="E186" s="54">
        <f>(1.5*2.5+0.6*3.5+1.5*1.845)*10.764</f>
        <v>92.758769999999998</v>
      </c>
      <c r="F186" s="57">
        <f t="shared" si="22"/>
        <v>447.64784999999995</v>
      </c>
      <c r="G186" s="58">
        <v>0</v>
      </c>
      <c r="H186" s="54">
        <v>0</v>
      </c>
      <c r="I186" s="55">
        <f>F186*((I87)+1)+(IF(H186&lt;101,H186,IF(H186&lt;201,H186/2,IF(H186&lt;=301,H186/3,H186/4))))</f>
        <v>693.8541674999999</v>
      </c>
      <c r="J186" s="56"/>
      <c r="L186" s="59"/>
      <c r="M186" s="59"/>
      <c r="N186" s="53"/>
    </row>
    <row r="187" spans="1:20" s="52" customFormat="1" ht="15.75" customHeight="1" x14ac:dyDescent="0.25">
      <c r="A187" s="55">
        <f t="shared" si="23"/>
        <v>6</v>
      </c>
      <c r="B187" s="56"/>
      <c r="C187" s="54" t="s">
        <v>127</v>
      </c>
      <c r="D187" s="54">
        <f>(27.62+0.6*2.6+0.6*2)*10.764</f>
        <v>327.01031999999998</v>
      </c>
      <c r="E187" s="54">
        <f>(0.6*3.3+1.5*2.85+1.5*2.5)*10.764</f>
        <v>107.69381999999999</v>
      </c>
      <c r="F187" s="57">
        <f t="shared" si="22"/>
        <v>434.70413999999994</v>
      </c>
      <c r="G187" s="58">
        <v>0</v>
      </c>
      <c r="H187" s="54">
        <v>0</v>
      </c>
      <c r="I187" s="55">
        <f>F187*((I87)+1)+(IF(H187&lt;101,H187,IF(H187&lt;201,H187/2,IF(H187&lt;=301,H187/3,H187/4))))</f>
        <v>673.79141699999991</v>
      </c>
      <c r="J187" s="56"/>
      <c r="L187" s="59"/>
      <c r="M187" s="59"/>
      <c r="N187" s="53"/>
    </row>
    <row r="188" spans="1:20" s="52" customFormat="1" ht="15.75" customHeight="1" x14ac:dyDescent="0.25">
      <c r="A188" s="55">
        <f t="shared" si="23"/>
        <v>7</v>
      </c>
      <c r="B188" s="56"/>
      <c r="C188" s="54" t="s">
        <v>127</v>
      </c>
      <c r="D188" s="54">
        <f>(29.92+0.6*2.6+0.6*3.3+0.6*1.65)*10.764</f>
        <v>370.81979999999999</v>
      </c>
      <c r="E188" s="54">
        <f>(0.6*2.9+2.65*1.5+1.5*3.35)*10.764</f>
        <v>115.60535999999999</v>
      </c>
      <c r="F188" s="57">
        <f t="shared" si="22"/>
        <v>486.42516000000001</v>
      </c>
      <c r="G188" s="58">
        <v>0</v>
      </c>
      <c r="H188" s="54">
        <v>0</v>
      </c>
      <c r="I188" s="55">
        <f>F188*((I87)+1)+(IF(H188&lt;101,H188,IF(H188&lt;201,H188/2,IF(H188&lt;=301,H188/3,H188/4))))</f>
        <v>753.95899800000007</v>
      </c>
      <c r="J188" s="56"/>
      <c r="L188" s="59"/>
      <c r="M188" s="59"/>
      <c r="N188" s="53"/>
      <c r="T188" s="42"/>
    </row>
    <row r="189" spans="1:20" s="52" customFormat="1" ht="15.75" customHeight="1" x14ac:dyDescent="0.25">
      <c r="A189" s="55">
        <f t="shared" si="23"/>
        <v>8</v>
      </c>
      <c r="B189" s="56"/>
      <c r="C189" s="54" t="s">
        <v>127</v>
      </c>
      <c r="D189" s="54">
        <f>(29.92+0.6*2.6+0.6*3.3+0.6*1.65)*10.764</f>
        <v>370.81979999999999</v>
      </c>
      <c r="E189" s="54">
        <f>(0.6*2.9+2.65*1.5+1.5*3.35)*10.764</f>
        <v>115.60535999999999</v>
      </c>
      <c r="F189" s="57">
        <f t="shared" si="22"/>
        <v>486.42516000000001</v>
      </c>
      <c r="G189" s="58">
        <v>0</v>
      </c>
      <c r="H189" s="54">
        <v>0</v>
      </c>
      <c r="I189" s="55">
        <f>F189*((I87)+1)+(IF(H189&lt;101,H189,IF(H189&lt;201,H189/2,IF(H189&lt;=301,H189/3,H189/4))))</f>
        <v>753.95899800000007</v>
      </c>
      <c r="J189" s="56"/>
      <c r="L189" s="59"/>
      <c r="M189" s="59"/>
      <c r="N189" s="53"/>
      <c r="T189" s="42"/>
    </row>
    <row r="190" spans="1:20" s="52" customFormat="1" ht="15.75" customHeight="1" x14ac:dyDescent="0.25">
      <c r="A190" s="61" t="s">
        <v>258</v>
      </c>
      <c r="B190" s="62"/>
      <c r="C190" s="62"/>
      <c r="D190" s="62"/>
      <c r="E190" s="62"/>
      <c r="F190" s="62"/>
      <c r="G190" s="62"/>
      <c r="H190" s="62"/>
      <c r="I190" s="62"/>
      <c r="J190" s="62"/>
    </row>
    <row r="191" spans="1:20" s="52" customFormat="1" ht="15.75" customHeight="1" x14ac:dyDescent="0.25">
      <c r="A191" s="55">
        <v>1</v>
      </c>
      <c r="B191" s="56"/>
      <c r="C191" s="54" t="s">
        <v>127</v>
      </c>
      <c r="D191" s="54">
        <f>(27.11+0.4*2.8+0.6*2.6+0.6*3.2)*10.764</f>
        <v>341.32643999999999</v>
      </c>
      <c r="E191" s="54">
        <f>(1.5*2.5+0.6*1.925+1.5*2.9)*10.764</f>
        <v>99.620819999999981</v>
      </c>
      <c r="F191" s="57">
        <f t="shared" ref="F191:F198" si="24">D191+E191</f>
        <v>440.94725999999997</v>
      </c>
      <c r="G191" s="58"/>
      <c r="H191" s="54">
        <v>0</v>
      </c>
      <c r="I191" s="55">
        <f>F191*((I87)+1)+(IF(H191&lt;101,H191,IF(H191&lt;201,H191/2,IF(H191&lt;=301,H191/3,H191/4))))</f>
        <v>683.468253</v>
      </c>
      <c r="J191" s="56"/>
      <c r="L191" s="59">
        <f>4.27*2.4+1.2*0.4+1.8*2.5+2.6*2.9+1.3*0.9+1.2*1.8+1.2*1.8</f>
        <v>28.258000000000003</v>
      </c>
      <c r="M191" s="59"/>
      <c r="N191" s="53"/>
    </row>
    <row r="192" spans="1:20" s="52" customFormat="1" ht="15.75" customHeight="1" x14ac:dyDescent="0.25">
      <c r="A192" s="55">
        <f t="shared" ref="A192:A198" si="25">A191+1</f>
        <v>2</v>
      </c>
      <c r="B192" s="56"/>
      <c r="C192" s="54" t="s">
        <v>127</v>
      </c>
      <c r="D192" s="54">
        <f>(28.65+0.6*2.87+0.6*1.9+0.6*2.6)*10.764</f>
        <v>355.987008</v>
      </c>
      <c r="E192" s="54">
        <f>(1.5*2.5+0.6*1.925+1.5*2.9)*10.764</f>
        <v>99.620819999999981</v>
      </c>
      <c r="F192" s="57">
        <f t="shared" si="24"/>
        <v>455.60782799999998</v>
      </c>
      <c r="G192" s="58">
        <v>0</v>
      </c>
      <c r="H192" s="54">
        <v>0</v>
      </c>
      <c r="I192" s="55">
        <f>F192*((I87)+1)+(IF(H192&lt;101,H192,IF(H192&lt;201,H192/2,IF(H192&lt;=301,H192/3,H192/4))))</f>
        <v>706.19213339999999</v>
      </c>
      <c r="J192" s="56"/>
      <c r="L192" s="59"/>
      <c r="M192" s="59"/>
      <c r="N192" s="53"/>
    </row>
    <row r="193" spans="1:20" s="52" customFormat="1" ht="15.75" customHeight="1" x14ac:dyDescent="0.25">
      <c r="A193" s="55">
        <f t="shared" si="25"/>
        <v>3</v>
      </c>
      <c r="B193" s="56"/>
      <c r="C193" s="54" t="s">
        <v>127</v>
      </c>
      <c r="D193" s="54">
        <f>(29.24+0.6*1.3+0.6*2.6+0.6*1.9)*10.764</f>
        <v>352.19807999999995</v>
      </c>
      <c r="E193" s="54">
        <f>(1.5*3.35+1.5*2.5+2.08*0.6)*10.764</f>
        <v>107.88757199999999</v>
      </c>
      <c r="F193" s="57">
        <f t="shared" si="24"/>
        <v>460.08565199999993</v>
      </c>
      <c r="G193" s="58">
        <v>0</v>
      </c>
      <c r="H193" s="54">
        <v>0</v>
      </c>
      <c r="I193" s="55">
        <f>F193*((I87)+1)+(IF(H193&lt;101,H193,IF(H193&lt;201,H193/2,IF(H193&lt;=301,H193/3,H193/4))))</f>
        <v>713.13276059999987</v>
      </c>
      <c r="J193" s="56"/>
      <c r="L193" s="59"/>
      <c r="M193" s="59"/>
      <c r="N193" s="53"/>
    </row>
    <row r="194" spans="1:20" s="52" customFormat="1" ht="15.75" customHeight="1" x14ac:dyDescent="0.25">
      <c r="A194" s="55">
        <f t="shared" si="25"/>
        <v>4</v>
      </c>
      <c r="B194" s="56"/>
      <c r="C194" s="54" t="s">
        <v>127</v>
      </c>
      <c r="D194" s="54">
        <f>(29.43+0.6*2.6+0.6*3.3)*10.764</f>
        <v>354.88907999999998</v>
      </c>
      <c r="E194" s="54">
        <f>(1.5*2.5+1.5*3.5+0.6*1.845)*10.764</f>
        <v>108.79174799999998</v>
      </c>
      <c r="F194" s="57">
        <f t="shared" si="24"/>
        <v>463.68082799999996</v>
      </c>
      <c r="G194" s="58">
        <v>0</v>
      </c>
      <c r="H194" s="54">
        <v>0</v>
      </c>
      <c r="I194" s="55">
        <f>F194*((I87)+1)+(IF(H194&lt;101,H194,IF(H194&lt;201,H194/2,IF(H194&lt;=301,H194/3,H194/4))))</f>
        <v>718.70528339999998</v>
      </c>
      <c r="J194" s="56"/>
      <c r="L194" s="59"/>
      <c r="M194" s="59"/>
      <c r="N194" s="53"/>
      <c r="T194" s="42"/>
    </row>
    <row r="195" spans="1:20" s="52" customFormat="1" ht="15.75" customHeight="1" x14ac:dyDescent="0.25">
      <c r="A195" s="55">
        <f t="shared" si="25"/>
        <v>5</v>
      </c>
      <c r="B195" s="56"/>
      <c r="C195" s="54" t="s">
        <v>127</v>
      </c>
      <c r="D195" s="54">
        <f>(29.43+0.6*2.6+0.6*3.3)*10.764</f>
        <v>354.88907999999998</v>
      </c>
      <c r="E195" s="54">
        <f>(1.5*2.5+1.5*3.5+0.6*1.845)*10.764</f>
        <v>108.79174799999998</v>
      </c>
      <c r="F195" s="57">
        <f t="shared" si="24"/>
        <v>463.68082799999996</v>
      </c>
      <c r="G195" s="58">
        <v>0</v>
      </c>
      <c r="H195" s="54">
        <v>0</v>
      </c>
      <c r="I195" s="55">
        <f>F195*((I87)+1)+(IF(H195&lt;101,H195,IF(H195&lt;201,H195/2,IF(H195&lt;=301,H195/3,H195/4))))</f>
        <v>718.70528339999998</v>
      </c>
      <c r="J195" s="56"/>
      <c r="L195" s="59"/>
      <c r="M195" s="59"/>
      <c r="N195" s="53"/>
    </row>
    <row r="196" spans="1:20" s="52" customFormat="1" ht="15.75" customHeight="1" x14ac:dyDescent="0.25">
      <c r="A196" s="55">
        <f t="shared" si="25"/>
        <v>6</v>
      </c>
      <c r="B196" s="56"/>
      <c r="C196" s="54" t="s">
        <v>127</v>
      </c>
      <c r="D196" s="54">
        <f>(27.62+0.6*2.6+0.6*2)*10.764</f>
        <v>327.01031999999998</v>
      </c>
      <c r="E196" s="54">
        <f>(1.5*3.3+0.6*2.85+1.5*2.5)*10.764</f>
        <v>112.05323999999999</v>
      </c>
      <c r="F196" s="57">
        <f t="shared" si="24"/>
        <v>439.06355999999994</v>
      </c>
      <c r="G196" s="58">
        <v>0</v>
      </c>
      <c r="H196" s="54">
        <v>0</v>
      </c>
      <c r="I196" s="55">
        <f>F196*((I87)+1)+(IF(H196&lt;101,H196,IF(H196&lt;201,H196/2,IF(H196&lt;=301,H196/3,H196/4))))</f>
        <v>680.54851799999994</v>
      </c>
      <c r="J196" s="56"/>
      <c r="L196" s="59"/>
      <c r="M196" s="59"/>
      <c r="N196" s="53"/>
    </row>
    <row r="197" spans="1:20" s="52" customFormat="1" ht="15.75" customHeight="1" x14ac:dyDescent="0.25">
      <c r="A197" s="55">
        <f t="shared" si="25"/>
        <v>7</v>
      </c>
      <c r="B197" s="56"/>
      <c r="C197" s="54" t="s">
        <v>127</v>
      </c>
      <c r="D197" s="54">
        <f>(29.92+0.6*2.6+0.6*3.3+0.6*1.65)*10.764</f>
        <v>370.81979999999999</v>
      </c>
      <c r="E197" s="54">
        <f>(0.6*2.9+2.65*1.5+1.5*3.35)*10.764</f>
        <v>115.60535999999999</v>
      </c>
      <c r="F197" s="57">
        <f t="shared" si="24"/>
        <v>486.42516000000001</v>
      </c>
      <c r="G197" s="58">
        <v>0</v>
      </c>
      <c r="H197" s="54">
        <v>0</v>
      </c>
      <c r="I197" s="55">
        <f>F197*((I87)+1)+(IF(H197&lt;101,H197,IF(H197&lt;201,H197/2,IF(H197&lt;=301,H197/3,H197/4))))</f>
        <v>753.95899800000007</v>
      </c>
      <c r="J197" s="56"/>
      <c r="L197" s="59"/>
      <c r="M197" s="59"/>
      <c r="N197" s="53"/>
      <c r="T197" s="42"/>
    </row>
    <row r="198" spans="1:20" s="52" customFormat="1" ht="15.75" customHeight="1" x14ac:dyDescent="0.25">
      <c r="A198" s="55">
        <f t="shared" si="25"/>
        <v>8</v>
      </c>
      <c r="B198" s="56"/>
      <c r="C198" s="54" t="s">
        <v>127</v>
      </c>
      <c r="D198" s="54">
        <f>(29.92+0.6*2.6+0.6*3.3+0.6*1.65)*10.764</f>
        <v>370.81979999999999</v>
      </c>
      <c r="E198" s="54">
        <f>(0.6*2.9+2.65*1.5+1.5*3.35)*10.764</f>
        <v>115.60535999999999</v>
      </c>
      <c r="F198" s="57">
        <f t="shared" si="24"/>
        <v>486.42516000000001</v>
      </c>
      <c r="G198" s="58">
        <v>0</v>
      </c>
      <c r="H198" s="54">
        <v>0</v>
      </c>
      <c r="I198" s="55">
        <f>F198*((I87)+1)+(IF(H198&lt;101,H198,IF(H198&lt;201,H198/2,IF(H198&lt;=301,H198/3,H198/4))))</f>
        <v>753.95899800000007</v>
      </c>
      <c r="J198" s="56"/>
      <c r="L198" s="59"/>
      <c r="M198" s="59"/>
      <c r="N198" s="53"/>
      <c r="T198" s="42"/>
    </row>
    <row r="199" spans="1:20" s="52" customFormat="1" ht="15.75" customHeight="1" x14ac:dyDescent="0.25">
      <c r="A199" s="61" t="s">
        <v>259</v>
      </c>
      <c r="B199" s="62"/>
      <c r="C199" s="62"/>
      <c r="D199" s="62"/>
      <c r="E199" s="62"/>
      <c r="F199" s="62"/>
      <c r="G199" s="62"/>
      <c r="H199" s="62"/>
      <c r="I199" s="62"/>
      <c r="J199" s="62"/>
    </row>
    <row r="200" spans="1:20" s="52" customFormat="1" ht="15.75" customHeight="1" x14ac:dyDescent="0.25">
      <c r="A200" s="55">
        <v>1</v>
      </c>
      <c r="B200" s="56"/>
      <c r="C200" s="54" t="s">
        <v>127</v>
      </c>
      <c r="D200" s="54">
        <f>(27.11+0.4*2.8+0.6*2.6+0.6*3.2)*10.764</f>
        <v>341.32643999999999</v>
      </c>
      <c r="E200" s="54">
        <f>(1.5*2.5+1.5*1.925+0.6*2.9)*10.764</f>
        <v>90.175409999999985</v>
      </c>
      <c r="F200" s="57">
        <f>D200+E200</f>
        <v>431.50184999999999</v>
      </c>
      <c r="G200" s="58"/>
      <c r="H200" s="54">
        <v>0</v>
      </c>
      <c r="I200" s="55">
        <f>F200*((I87)+1)+(IF(H200&lt;101,H200,IF(H200&lt;201,H200/2,IF(H200&lt;=301,H200/3,H200/4))))</f>
        <v>668.82786750000002</v>
      </c>
      <c r="J200" s="56"/>
      <c r="L200" s="59"/>
      <c r="M200" s="59"/>
      <c r="N200" s="53"/>
    </row>
    <row r="201" spans="1:20" s="52" customFormat="1" ht="15.75" customHeight="1" x14ac:dyDescent="0.25">
      <c r="A201" s="55">
        <f t="shared" ref="A201:A207" si="26">A200+1</f>
        <v>2</v>
      </c>
      <c r="B201" s="56"/>
      <c r="C201" s="55" t="s">
        <v>260</v>
      </c>
      <c r="D201" s="60"/>
      <c r="E201" s="60"/>
      <c r="F201" s="60"/>
      <c r="G201" s="60"/>
      <c r="H201" s="60"/>
      <c r="I201" s="60"/>
      <c r="J201" s="56"/>
      <c r="L201" s="59"/>
      <c r="M201" s="59"/>
      <c r="N201" s="53"/>
    </row>
    <row r="202" spans="1:20" s="52" customFormat="1" ht="15.75" customHeight="1" x14ac:dyDescent="0.25">
      <c r="A202" s="55">
        <f t="shared" si="26"/>
        <v>3</v>
      </c>
      <c r="B202" s="56"/>
      <c r="C202" s="54" t="s">
        <v>127</v>
      </c>
      <c r="D202" s="54">
        <f>(29.24+0.6*1.3+0.6*2.6+0.6*1.9)*10.764</f>
        <v>352.19807999999995</v>
      </c>
      <c r="E202" s="54">
        <f>(0.6*3.35+1.5*2.5+2.08*1.5)*10.764</f>
        <v>95.584319999999977</v>
      </c>
      <c r="F202" s="57">
        <f t="shared" ref="F202:F207" si="27">D202+E202</f>
        <v>447.78239999999994</v>
      </c>
      <c r="G202" s="58">
        <v>0</v>
      </c>
      <c r="H202" s="54">
        <v>0</v>
      </c>
      <c r="I202" s="55">
        <f>F202*((I87)+1)+(IF(H202&lt;101,H202,IF(H202&lt;201,H202/2,IF(H202&lt;=301,H202/3,H202/4))))</f>
        <v>694.0627199999999</v>
      </c>
      <c r="J202" s="56"/>
      <c r="L202" s="59"/>
      <c r="M202" s="59"/>
      <c r="N202" s="53"/>
    </row>
    <row r="203" spans="1:20" s="52" customFormat="1" ht="15.75" customHeight="1" x14ac:dyDescent="0.25">
      <c r="A203" s="55">
        <f t="shared" si="26"/>
        <v>4</v>
      </c>
      <c r="B203" s="56"/>
      <c r="C203" s="55" t="s">
        <v>260</v>
      </c>
      <c r="D203" s="60">
        <f>(29.43+0.6*2.6+0.6*3.3)*10.764</f>
        <v>354.88907999999998</v>
      </c>
      <c r="E203" s="60">
        <f>(1.5*2.5+0.6*3.5+1.5*1.845)*10.764</f>
        <v>92.758769999999998</v>
      </c>
      <c r="F203" s="60">
        <f t="shared" si="27"/>
        <v>447.64784999999995</v>
      </c>
      <c r="G203" s="60">
        <v>0</v>
      </c>
      <c r="H203" s="60">
        <v>0</v>
      </c>
      <c r="I203" s="60">
        <f>F203*((I105)+1)+(IF(H203&lt;101,H203,IF(H203&lt;201,H203/2,IF(H203&lt;=301,H203/3,H203/4))))</f>
        <v>311049.97414491477</v>
      </c>
      <c r="J203" s="56"/>
      <c r="L203" s="59"/>
      <c r="M203" s="59"/>
      <c r="N203" s="53"/>
    </row>
    <row r="204" spans="1:20" s="52" customFormat="1" ht="15.75" customHeight="1" x14ac:dyDescent="0.25">
      <c r="A204" s="55">
        <f t="shared" si="26"/>
        <v>5</v>
      </c>
      <c r="B204" s="56"/>
      <c r="C204" s="54" t="s">
        <v>127</v>
      </c>
      <c r="D204" s="54">
        <f>(29.43+0.6*2.6+0.6*3.3)*10.764</f>
        <v>354.88907999999998</v>
      </c>
      <c r="E204" s="54">
        <f>(1.5*2.5+0.6*3.5+1.5*1.845)*10.764</f>
        <v>92.758769999999998</v>
      </c>
      <c r="F204" s="57">
        <f t="shared" si="27"/>
        <v>447.64784999999995</v>
      </c>
      <c r="G204" s="58">
        <v>0</v>
      </c>
      <c r="H204" s="54">
        <v>0</v>
      </c>
      <c r="I204" s="55">
        <f>F204*((I87)+1)+(IF(H204&lt;101,H204,IF(H204&lt;201,H204/2,IF(H204&lt;=301,H204/3,H204/4))))</f>
        <v>693.8541674999999</v>
      </c>
      <c r="J204" s="56"/>
      <c r="L204" s="59"/>
      <c r="M204" s="59"/>
      <c r="N204" s="53"/>
    </row>
    <row r="205" spans="1:20" s="52" customFormat="1" ht="15.75" customHeight="1" x14ac:dyDescent="0.25">
      <c r="A205" s="55">
        <f t="shared" si="26"/>
        <v>6</v>
      </c>
      <c r="B205" s="56"/>
      <c r="C205" s="54" t="s">
        <v>127</v>
      </c>
      <c r="D205" s="54">
        <f>(27.62+0.6*2.6+0.6*2)*10.764</f>
        <v>327.01031999999998</v>
      </c>
      <c r="E205" s="54">
        <f>(0.6*3.3+1.5*2.85+1.5*2.5)*10.764</f>
        <v>107.69381999999999</v>
      </c>
      <c r="F205" s="57">
        <f t="shared" si="27"/>
        <v>434.70413999999994</v>
      </c>
      <c r="G205" s="58">
        <v>0</v>
      </c>
      <c r="H205" s="54">
        <v>0</v>
      </c>
      <c r="I205" s="55">
        <f>F205*((I87)+1)+(IF(H205&lt;101,H205,IF(H205&lt;201,H205/2,IF(H205&lt;=301,H205/3,H205/4))))</f>
        <v>673.79141699999991</v>
      </c>
      <c r="J205" s="56"/>
      <c r="L205" s="59"/>
      <c r="M205" s="59"/>
      <c r="N205" s="53"/>
    </row>
    <row r="206" spans="1:20" s="52" customFormat="1" ht="15.75" customHeight="1" x14ac:dyDescent="0.25">
      <c r="A206" s="55">
        <f t="shared" si="26"/>
        <v>7</v>
      </c>
      <c r="B206" s="56"/>
      <c r="C206" s="54" t="s">
        <v>127</v>
      </c>
      <c r="D206" s="54">
        <f>(29.92+0.6*2.6+0.6*3.3+0.6*1.65)*10.764</f>
        <v>370.81979999999999</v>
      </c>
      <c r="E206" s="54">
        <f>(0.6*2.9+2.65*1.5+1.5*3.35)*10.764</f>
        <v>115.60535999999999</v>
      </c>
      <c r="F206" s="57">
        <f t="shared" si="27"/>
        <v>486.42516000000001</v>
      </c>
      <c r="G206" s="58">
        <v>0</v>
      </c>
      <c r="H206" s="54">
        <v>0</v>
      </c>
      <c r="I206" s="55">
        <f>F206*((I87)+1)+(IF(H206&lt;101,H206,IF(H206&lt;201,H206/2,IF(H206&lt;=301,H206/3,H206/4))))</f>
        <v>753.95899800000007</v>
      </c>
      <c r="J206" s="56"/>
      <c r="L206" s="59"/>
      <c r="M206" s="59"/>
      <c r="N206" s="53"/>
      <c r="T206" s="42"/>
    </row>
    <row r="207" spans="1:20" s="52" customFormat="1" ht="15.75" customHeight="1" x14ac:dyDescent="0.25">
      <c r="A207" s="55">
        <f t="shared" si="26"/>
        <v>8</v>
      </c>
      <c r="B207" s="56"/>
      <c r="C207" s="55" t="s">
        <v>260</v>
      </c>
      <c r="D207" s="60">
        <f>(29.92+0.6*2.6+0.6*3.3+0.6*1.65)*10.764</f>
        <v>370.81979999999999</v>
      </c>
      <c r="E207" s="60">
        <f>(0.6*2.9+2.65*1.5+1.5*3.35)*10.764</f>
        <v>115.60535999999999</v>
      </c>
      <c r="F207" s="60">
        <f t="shared" si="27"/>
        <v>486.42516000000001</v>
      </c>
      <c r="G207" s="60">
        <v>0</v>
      </c>
      <c r="H207" s="60">
        <v>0</v>
      </c>
      <c r="I207" s="60">
        <f>F207*((I105)+1)+(IF(H207&lt;101,H207,IF(H207&lt;201,H207/2,IF(H207&lt;=301,H207/3,H207/4))))</f>
        <v>337994.54960285424</v>
      </c>
      <c r="J207" s="56"/>
      <c r="L207" s="59"/>
      <c r="M207" s="59"/>
      <c r="N207" s="53"/>
    </row>
    <row r="208" spans="1:20" ht="177.75" customHeight="1" x14ac:dyDescent="0.25">
      <c r="A208" s="151" t="s">
        <v>269</v>
      </c>
      <c r="B208" s="152"/>
      <c r="C208" s="152"/>
      <c r="D208" s="152"/>
      <c r="E208" s="152"/>
      <c r="F208" s="152"/>
      <c r="G208" s="152"/>
      <c r="H208" s="152"/>
      <c r="I208" s="152"/>
      <c r="J208" s="153"/>
    </row>
    <row r="209" spans="1:10" x14ac:dyDescent="0.25">
      <c r="A209" s="148" t="s">
        <v>25</v>
      </c>
      <c r="B209" s="149"/>
      <c r="C209" s="149"/>
      <c r="D209" s="149"/>
      <c r="E209" s="149"/>
      <c r="F209" s="149"/>
      <c r="G209" s="149"/>
      <c r="H209" s="149"/>
      <c r="I209" s="149"/>
      <c r="J209" s="150"/>
    </row>
    <row r="210" spans="1:10" x14ac:dyDescent="0.25">
      <c r="A210" s="120" t="s">
        <v>30</v>
      </c>
      <c r="B210" s="101"/>
      <c r="C210" s="101"/>
      <c r="D210" s="101"/>
      <c r="E210" s="101"/>
      <c r="F210" s="101"/>
      <c r="G210" s="101"/>
      <c r="H210" s="101"/>
      <c r="I210" s="101"/>
      <c r="J210" s="102"/>
    </row>
    <row r="211" spans="1:10" x14ac:dyDescent="0.25">
      <c r="A211" s="148" t="s">
        <v>27</v>
      </c>
      <c r="B211" s="149"/>
      <c r="C211" s="149"/>
      <c r="D211" s="149"/>
      <c r="E211" s="149"/>
      <c r="F211" s="149"/>
      <c r="G211" s="149"/>
      <c r="H211" s="149"/>
      <c r="I211" s="149"/>
      <c r="J211" s="150"/>
    </row>
    <row r="212" spans="1:10" x14ac:dyDescent="0.25">
      <c r="A212" s="98" t="s">
        <v>35</v>
      </c>
      <c r="B212" s="99"/>
      <c r="C212" s="99"/>
      <c r="D212" s="99"/>
      <c r="E212" s="99"/>
      <c r="F212" s="99"/>
      <c r="G212" s="99"/>
      <c r="H212" s="99"/>
      <c r="I212" s="99"/>
      <c r="J212" s="100"/>
    </row>
    <row r="213" spans="1:10" ht="16.5" customHeight="1" x14ac:dyDescent="0.25">
      <c r="A213" s="175" t="s">
        <v>51</v>
      </c>
      <c r="B213" s="176"/>
      <c r="C213" s="176"/>
      <c r="D213" s="176"/>
      <c r="E213" s="176"/>
      <c r="F213" s="176"/>
      <c r="G213" s="176"/>
      <c r="H213" s="176"/>
      <c r="I213" s="176"/>
      <c r="J213" s="177"/>
    </row>
    <row r="214" spans="1:10" x14ac:dyDescent="0.25">
      <c r="A214" s="98" t="s">
        <v>36</v>
      </c>
      <c r="B214" s="99"/>
      <c r="C214" s="99"/>
      <c r="D214" s="99"/>
      <c r="E214" s="99"/>
      <c r="F214" s="99"/>
      <c r="G214" s="99"/>
      <c r="H214" s="99"/>
      <c r="I214" s="99"/>
      <c r="J214" s="100"/>
    </row>
    <row r="215" spans="1:10" x14ac:dyDescent="0.25">
      <c r="A215" s="98" t="s">
        <v>37</v>
      </c>
      <c r="B215" s="99"/>
      <c r="C215" s="99"/>
      <c r="D215" s="99"/>
      <c r="E215" s="99"/>
      <c r="F215" s="99"/>
      <c r="G215" s="99"/>
      <c r="H215" s="99"/>
      <c r="I215" s="99"/>
      <c r="J215" s="100"/>
    </row>
    <row r="216" spans="1:10" ht="30.75" customHeight="1" x14ac:dyDescent="0.25">
      <c r="A216" s="147" t="s">
        <v>38</v>
      </c>
      <c r="B216" s="134"/>
      <c r="C216" s="134"/>
      <c r="D216" s="134"/>
      <c r="E216" s="134"/>
      <c r="F216" s="134"/>
      <c r="G216" s="134"/>
      <c r="H216" s="134"/>
      <c r="I216" s="134"/>
      <c r="J216" s="135"/>
    </row>
    <row r="217" spans="1:10" ht="15" customHeight="1" x14ac:dyDescent="0.25">
      <c r="A217" s="165" t="s">
        <v>26</v>
      </c>
      <c r="B217" s="166"/>
      <c r="C217" s="166"/>
      <c r="D217" s="166"/>
      <c r="E217" s="166"/>
      <c r="F217" s="166"/>
      <c r="G217" s="166"/>
      <c r="H217" s="166"/>
      <c r="I217" s="166"/>
      <c r="J217" s="167"/>
    </row>
    <row r="218" spans="1:10" x14ac:dyDescent="0.25">
      <c r="A218" s="168"/>
      <c r="B218" s="169"/>
      <c r="C218" s="169"/>
      <c r="D218" s="169"/>
      <c r="E218" s="169"/>
      <c r="F218" s="169"/>
      <c r="G218" s="169"/>
      <c r="H218" s="169"/>
      <c r="I218" s="169"/>
      <c r="J218" s="170"/>
    </row>
    <row r="219" spans="1:10" ht="30" customHeight="1" x14ac:dyDescent="0.25">
      <c r="A219" s="171"/>
      <c r="B219" s="172"/>
      <c r="C219" s="172"/>
      <c r="D219" s="172"/>
      <c r="E219" s="172"/>
      <c r="F219" s="172"/>
      <c r="G219" s="172"/>
      <c r="H219" s="172"/>
      <c r="I219" s="172"/>
      <c r="J219" s="173"/>
    </row>
    <row r="220" spans="1:10" x14ac:dyDescent="0.25">
      <c r="A220" s="11" t="s">
        <v>140</v>
      </c>
    </row>
    <row r="231" spans="1:10" ht="15" customHeight="1" x14ac:dyDescent="0.25">
      <c r="A231" s="9"/>
      <c r="B231" s="8"/>
      <c r="C231" s="8"/>
      <c r="D231" s="8"/>
      <c r="E231" s="8"/>
      <c r="F231" s="8"/>
      <c r="G231" s="8"/>
      <c r="H231" s="8"/>
      <c r="I231" s="8"/>
      <c r="J231" s="8"/>
    </row>
    <row r="232" spans="1:10" ht="25.5" x14ac:dyDescent="0.25">
      <c r="A232" s="10" t="s">
        <v>129</v>
      </c>
      <c r="B232" s="8"/>
      <c r="C232" s="8"/>
      <c r="D232" s="8"/>
      <c r="E232" s="8"/>
      <c r="F232" s="8"/>
      <c r="G232" s="8"/>
      <c r="H232" s="8"/>
      <c r="I232" s="8"/>
      <c r="J232" s="8"/>
    </row>
    <row r="233" spans="1:10" x14ac:dyDescent="0.25">
      <c r="A233" s="8"/>
      <c r="B233" s="8"/>
      <c r="C233" s="8"/>
      <c r="D233" s="8"/>
      <c r="E233" s="8"/>
      <c r="F233" s="8"/>
      <c r="G233" s="8"/>
      <c r="H233" s="8"/>
      <c r="I233" s="8"/>
      <c r="J233" s="8"/>
    </row>
    <row r="234" spans="1:10" x14ac:dyDescent="0.25">
      <c r="A234" s="8"/>
      <c r="B234" s="8"/>
      <c r="C234" s="8"/>
      <c r="D234" s="8"/>
      <c r="E234" s="8"/>
      <c r="F234" s="8"/>
      <c r="G234" s="8"/>
      <c r="H234" s="8"/>
      <c r="I234" s="8"/>
      <c r="J234" s="8"/>
    </row>
    <row r="264" spans="1:2" x14ac:dyDescent="0.25">
      <c r="A264" s="11"/>
      <c r="B264" s="11"/>
    </row>
    <row r="265" spans="1:2" x14ac:dyDescent="0.25">
      <c r="A265" s="11" t="s">
        <v>262</v>
      </c>
    </row>
    <row r="308" spans="1:2" x14ac:dyDescent="0.25">
      <c r="A308" s="11" t="s">
        <v>130</v>
      </c>
      <c r="B308" s="11"/>
    </row>
  </sheetData>
  <mergeCells count="635">
    <mergeCell ref="F15:G15"/>
    <mergeCell ref="H15:J15"/>
    <mergeCell ref="A16:B16"/>
    <mergeCell ref="C16:E16"/>
    <mergeCell ref="F16:G16"/>
    <mergeCell ref="H16:J16"/>
    <mergeCell ref="A17:B17"/>
    <mergeCell ref="C17:E17"/>
    <mergeCell ref="F17:G17"/>
    <mergeCell ref="H17:J17"/>
    <mergeCell ref="A52:J52"/>
    <mergeCell ref="F23:J23"/>
    <mergeCell ref="A34:J35"/>
    <mergeCell ref="I26:J26"/>
    <mergeCell ref="A38:E38"/>
    <mergeCell ref="G28:H28"/>
    <mergeCell ref="E27:F27"/>
    <mergeCell ref="G27:H27"/>
    <mergeCell ref="G26:H26"/>
    <mergeCell ref="C27:D27"/>
    <mergeCell ref="F25:J25"/>
    <mergeCell ref="A25:E25"/>
    <mergeCell ref="F24:J24"/>
    <mergeCell ref="A51:E51"/>
    <mergeCell ref="F51:J51"/>
    <mergeCell ref="A49:C49"/>
    <mergeCell ref="F49:H49"/>
    <mergeCell ref="F50:J50"/>
    <mergeCell ref="I49:J49"/>
    <mergeCell ref="C45:F45"/>
    <mergeCell ref="F46:J46"/>
    <mergeCell ref="A45:B45"/>
    <mergeCell ref="H43:J43"/>
    <mergeCell ref="H45:J45"/>
    <mergeCell ref="I28:J28"/>
    <mergeCell ref="D50:E50"/>
    <mergeCell ref="F7:J7"/>
    <mergeCell ref="H44:J44"/>
    <mergeCell ref="C28:D28"/>
    <mergeCell ref="A31:B31"/>
    <mergeCell ref="A19:E20"/>
    <mergeCell ref="A9:E9"/>
    <mergeCell ref="F9:J9"/>
    <mergeCell ref="C18:E18"/>
    <mergeCell ref="A14:B14"/>
    <mergeCell ref="C14:J14"/>
    <mergeCell ref="A12:E12"/>
    <mergeCell ref="H18:J18"/>
    <mergeCell ref="F18:G18"/>
    <mergeCell ref="A18:B18"/>
    <mergeCell ref="A10:E10"/>
    <mergeCell ref="F10:J10"/>
    <mergeCell ref="F19:J20"/>
    <mergeCell ref="F36:J36"/>
    <mergeCell ref="A33:J33"/>
    <mergeCell ref="C31:J31"/>
    <mergeCell ref="A15:B15"/>
    <mergeCell ref="C15:E15"/>
    <mergeCell ref="A1:J1"/>
    <mergeCell ref="A11:E11"/>
    <mergeCell ref="F11:J11"/>
    <mergeCell ref="A2:J2"/>
    <mergeCell ref="F12:J12"/>
    <mergeCell ref="A3:E3"/>
    <mergeCell ref="F3:J3"/>
    <mergeCell ref="A4:E4"/>
    <mergeCell ref="F4:J4"/>
    <mergeCell ref="A6:E6"/>
    <mergeCell ref="F6:J6"/>
    <mergeCell ref="A5:E5"/>
    <mergeCell ref="F5:J5"/>
    <mergeCell ref="A7:E7"/>
    <mergeCell ref="A209:J209"/>
    <mergeCell ref="A217:J219"/>
    <mergeCell ref="A77:F77"/>
    <mergeCell ref="G77:J77"/>
    <mergeCell ref="A213:J213"/>
    <mergeCell ref="A214:J214"/>
    <mergeCell ref="A215:J215"/>
    <mergeCell ref="A13:E13"/>
    <mergeCell ref="F8:J8"/>
    <mergeCell ref="F13:J13"/>
    <mergeCell ref="A8:E8"/>
    <mergeCell ref="A29:J29"/>
    <mergeCell ref="A30:J30"/>
    <mergeCell ref="A42:J42"/>
    <mergeCell ref="F40:J40"/>
    <mergeCell ref="A41:E41"/>
    <mergeCell ref="A40:E40"/>
    <mergeCell ref="D47:E47"/>
    <mergeCell ref="A21:E21"/>
    <mergeCell ref="F21:J21"/>
    <mergeCell ref="A23:E23"/>
    <mergeCell ref="E54:F54"/>
    <mergeCell ref="I54:J54"/>
    <mergeCell ref="H56:J56"/>
    <mergeCell ref="A57:B57"/>
    <mergeCell ref="A66:B66"/>
    <mergeCell ref="D66:E66"/>
    <mergeCell ref="D60:E60"/>
    <mergeCell ref="A61:B61"/>
    <mergeCell ref="D61:E61"/>
    <mergeCell ref="A62:B62"/>
    <mergeCell ref="D62:E62"/>
    <mergeCell ref="A63:B63"/>
    <mergeCell ref="D63:E63"/>
    <mergeCell ref="A64:B64"/>
    <mergeCell ref="A55:B55"/>
    <mergeCell ref="C55:J55"/>
    <mergeCell ref="F38:J38"/>
    <mergeCell ref="A216:J216"/>
    <mergeCell ref="A211:J211"/>
    <mergeCell ref="A210:J210"/>
    <mergeCell ref="A208:J208"/>
    <mergeCell ref="A212:J212"/>
    <mergeCell ref="A47:C47"/>
    <mergeCell ref="F41:J41"/>
    <mergeCell ref="A48:J48"/>
    <mergeCell ref="A43:B43"/>
    <mergeCell ref="C43:F43"/>
    <mergeCell ref="A75:F75"/>
    <mergeCell ref="G75:J75"/>
    <mergeCell ref="A73:F73"/>
    <mergeCell ref="G72:J72"/>
    <mergeCell ref="A76:F76"/>
    <mergeCell ref="G76:J76"/>
    <mergeCell ref="G73:J73"/>
    <mergeCell ref="A74:F74"/>
    <mergeCell ref="G74:J74"/>
    <mergeCell ref="A44:B44"/>
    <mergeCell ref="A53:B53"/>
    <mergeCell ref="C53:J53"/>
    <mergeCell ref="A39:E39"/>
    <mergeCell ref="C44:F44"/>
    <mergeCell ref="F47:G47"/>
    <mergeCell ref="A32:B32"/>
    <mergeCell ref="C32:J32"/>
    <mergeCell ref="A27:B27"/>
    <mergeCell ref="A22:E22"/>
    <mergeCell ref="E26:F26"/>
    <mergeCell ref="A50:C50"/>
    <mergeCell ref="I27:J27"/>
    <mergeCell ref="A26:B26"/>
    <mergeCell ref="C26:D26"/>
    <mergeCell ref="A37:E37"/>
    <mergeCell ref="F22:J22"/>
    <mergeCell ref="A24:E24"/>
    <mergeCell ref="E28:F28"/>
    <mergeCell ref="F37:J37"/>
    <mergeCell ref="A36:E36"/>
    <mergeCell ref="A28:B28"/>
    <mergeCell ref="D49:E49"/>
    <mergeCell ref="H47:J47"/>
    <mergeCell ref="F39:J39"/>
    <mergeCell ref="A46:E46"/>
    <mergeCell ref="A78:J78"/>
    <mergeCell ref="H80:J80"/>
    <mergeCell ref="E80:G80"/>
    <mergeCell ref="E81:G81"/>
    <mergeCell ref="H81:J81"/>
    <mergeCell ref="D64:E64"/>
    <mergeCell ref="D56:E56"/>
    <mergeCell ref="F56:G56"/>
    <mergeCell ref="D57:E57"/>
    <mergeCell ref="F57:G66"/>
    <mergeCell ref="A60:B60"/>
    <mergeCell ref="A65:B65"/>
    <mergeCell ref="D65:E65"/>
    <mergeCell ref="A67:J67"/>
    <mergeCell ref="A68:J68"/>
    <mergeCell ref="A72:F72"/>
    <mergeCell ref="A69:J70"/>
    <mergeCell ref="A56:B56"/>
    <mergeCell ref="H57:J66"/>
    <mergeCell ref="A58:B58"/>
    <mergeCell ref="D58:E58"/>
    <mergeCell ref="A59:B59"/>
    <mergeCell ref="D59:E59"/>
    <mergeCell ref="A71:J71"/>
    <mergeCell ref="L104:M104"/>
    <mergeCell ref="L92:M92"/>
    <mergeCell ref="A93:B93"/>
    <mergeCell ref="L93:M93"/>
    <mergeCell ref="A94:B94"/>
    <mergeCell ref="L94:M94"/>
    <mergeCell ref="A79:B79"/>
    <mergeCell ref="C79:D79"/>
    <mergeCell ref="A80:B80"/>
    <mergeCell ref="C80:D80"/>
    <mergeCell ref="A81:B81"/>
    <mergeCell ref="C81:D81"/>
    <mergeCell ref="E79:G79"/>
    <mergeCell ref="H79:J79"/>
    <mergeCell ref="A95:B95"/>
    <mergeCell ref="L95:M95"/>
    <mergeCell ref="L96:M96"/>
    <mergeCell ref="L97:M97"/>
    <mergeCell ref="F102:G102"/>
    <mergeCell ref="I102:J102"/>
    <mergeCell ref="A103:B103"/>
    <mergeCell ref="F103:G103"/>
    <mergeCell ref="I103:J103"/>
    <mergeCell ref="F99:G99"/>
    <mergeCell ref="I99:J99"/>
    <mergeCell ref="A100:J100"/>
    <mergeCell ref="A101:B101"/>
    <mergeCell ref="F101:G101"/>
    <mergeCell ref="I101:J101"/>
    <mergeCell ref="A102:B102"/>
    <mergeCell ref="I95:J95"/>
    <mergeCell ref="A96:B96"/>
    <mergeCell ref="A97:B97"/>
    <mergeCell ref="A98:B98"/>
    <mergeCell ref="A99:B99"/>
    <mergeCell ref="F95:G95"/>
    <mergeCell ref="F96:G96"/>
    <mergeCell ref="I96:J96"/>
    <mergeCell ref="F97:G97"/>
    <mergeCell ref="I97:J97"/>
    <mergeCell ref="F98:G98"/>
    <mergeCell ref="I98:J98"/>
    <mergeCell ref="E82:G82"/>
    <mergeCell ref="H82:J82"/>
    <mergeCell ref="E83:G83"/>
    <mergeCell ref="H83:J83"/>
    <mergeCell ref="A85:J85"/>
    <mergeCell ref="A82:B82"/>
    <mergeCell ref="C82:D82"/>
    <mergeCell ref="A83:B83"/>
    <mergeCell ref="C83:D83"/>
    <mergeCell ref="A84:J84"/>
    <mergeCell ref="I86:J86"/>
    <mergeCell ref="I87:J87"/>
    <mergeCell ref="A90:J90"/>
    <mergeCell ref="H86:H87"/>
    <mergeCell ref="F86:G87"/>
    <mergeCell ref="F92:G92"/>
    <mergeCell ref="I92:J92"/>
    <mergeCell ref="I93:J93"/>
    <mergeCell ref="I94:J94"/>
    <mergeCell ref="A88:J88"/>
    <mergeCell ref="A89:J89"/>
    <mergeCell ref="A91:J91"/>
    <mergeCell ref="F93:G93"/>
    <mergeCell ref="F94:G94"/>
    <mergeCell ref="A86:A87"/>
    <mergeCell ref="B86:B87"/>
    <mergeCell ref="C86:C87"/>
    <mergeCell ref="D86:D87"/>
    <mergeCell ref="E86:E87"/>
    <mergeCell ref="A92:B92"/>
    <mergeCell ref="L98:M98"/>
    <mergeCell ref="L99:M99"/>
    <mergeCell ref="L101:M101"/>
    <mergeCell ref="L102:M102"/>
    <mergeCell ref="L103:M103"/>
    <mergeCell ref="A104:B104"/>
    <mergeCell ref="F104:G104"/>
    <mergeCell ref="I104:J104"/>
    <mergeCell ref="A108:B108"/>
    <mergeCell ref="F108:G108"/>
    <mergeCell ref="I108:J108"/>
    <mergeCell ref="L108:M108"/>
    <mergeCell ref="A106:B106"/>
    <mergeCell ref="F106:G106"/>
    <mergeCell ref="I106:J106"/>
    <mergeCell ref="L106:M106"/>
    <mergeCell ref="A107:B107"/>
    <mergeCell ref="F107:G107"/>
    <mergeCell ref="I107:J107"/>
    <mergeCell ref="L107:M107"/>
    <mergeCell ref="A105:B105"/>
    <mergeCell ref="F105:G105"/>
    <mergeCell ref="I105:J105"/>
    <mergeCell ref="L105:M105"/>
    <mergeCell ref="A109:J109"/>
    <mergeCell ref="A110:B110"/>
    <mergeCell ref="F110:G110"/>
    <mergeCell ref="I110:J110"/>
    <mergeCell ref="L110:M110"/>
    <mergeCell ref="A111:B111"/>
    <mergeCell ref="F111:G111"/>
    <mergeCell ref="I111:J111"/>
    <mergeCell ref="L111:M111"/>
    <mergeCell ref="A112:B112"/>
    <mergeCell ref="F112:G112"/>
    <mergeCell ref="I112:J112"/>
    <mergeCell ref="L112:M112"/>
    <mergeCell ref="A113:B113"/>
    <mergeCell ref="F113:G113"/>
    <mergeCell ref="I113:J113"/>
    <mergeCell ref="L113:M113"/>
    <mergeCell ref="A114:B114"/>
    <mergeCell ref="F114:G114"/>
    <mergeCell ref="I114:J114"/>
    <mergeCell ref="L114:M114"/>
    <mergeCell ref="A115:B115"/>
    <mergeCell ref="F115:G115"/>
    <mergeCell ref="I115:J115"/>
    <mergeCell ref="L115:M115"/>
    <mergeCell ref="A116:B116"/>
    <mergeCell ref="F116:G116"/>
    <mergeCell ref="I116:J116"/>
    <mergeCell ref="L116:M116"/>
    <mergeCell ref="A117:B117"/>
    <mergeCell ref="F117:G117"/>
    <mergeCell ref="I117:J117"/>
    <mergeCell ref="L117:M117"/>
    <mergeCell ref="A118:J118"/>
    <mergeCell ref="A119:B119"/>
    <mergeCell ref="F119:G119"/>
    <mergeCell ref="I119:J119"/>
    <mergeCell ref="L119:M119"/>
    <mergeCell ref="A120:B120"/>
    <mergeCell ref="F120:G120"/>
    <mergeCell ref="I120:J120"/>
    <mergeCell ref="L120:M120"/>
    <mergeCell ref="A121:B121"/>
    <mergeCell ref="F121:G121"/>
    <mergeCell ref="I121:J121"/>
    <mergeCell ref="L121:M121"/>
    <mergeCell ref="A122:B122"/>
    <mergeCell ref="F122:G122"/>
    <mergeCell ref="I122:J122"/>
    <mergeCell ref="L122:M122"/>
    <mergeCell ref="A123:B123"/>
    <mergeCell ref="F123:G123"/>
    <mergeCell ref="I123:J123"/>
    <mergeCell ref="L123:M123"/>
    <mergeCell ref="A124:B124"/>
    <mergeCell ref="F124:G124"/>
    <mergeCell ref="I124:J124"/>
    <mergeCell ref="L124:M124"/>
    <mergeCell ref="A125:B125"/>
    <mergeCell ref="F125:G125"/>
    <mergeCell ref="I125:J125"/>
    <mergeCell ref="L125:M125"/>
    <mergeCell ref="A126:B126"/>
    <mergeCell ref="F126:G126"/>
    <mergeCell ref="I126:J126"/>
    <mergeCell ref="L126:M126"/>
    <mergeCell ref="A127:J127"/>
    <mergeCell ref="A128:B128"/>
    <mergeCell ref="F128:G128"/>
    <mergeCell ref="I128:J128"/>
    <mergeCell ref="L128:M128"/>
    <mergeCell ref="A129:B129"/>
    <mergeCell ref="F129:G129"/>
    <mergeCell ref="I129:J129"/>
    <mergeCell ref="L129:M129"/>
    <mergeCell ref="A130:B130"/>
    <mergeCell ref="F130:G130"/>
    <mergeCell ref="I130:J130"/>
    <mergeCell ref="L130:M130"/>
    <mergeCell ref="A131:B131"/>
    <mergeCell ref="F131:G131"/>
    <mergeCell ref="I131:J131"/>
    <mergeCell ref="L131:M131"/>
    <mergeCell ref="A132:B132"/>
    <mergeCell ref="F132:G132"/>
    <mergeCell ref="I132:J132"/>
    <mergeCell ref="L132:M132"/>
    <mergeCell ref="A133:B133"/>
    <mergeCell ref="F133:G133"/>
    <mergeCell ref="I133:J133"/>
    <mergeCell ref="L133:M133"/>
    <mergeCell ref="A134:B134"/>
    <mergeCell ref="F134:G134"/>
    <mergeCell ref="I134:J134"/>
    <mergeCell ref="L134:M134"/>
    <mergeCell ref="A135:B135"/>
    <mergeCell ref="F135:G135"/>
    <mergeCell ref="I135:J135"/>
    <mergeCell ref="L135:M135"/>
    <mergeCell ref="A136:J136"/>
    <mergeCell ref="A137:B137"/>
    <mergeCell ref="F137:G137"/>
    <mergeCell ref="I137:J137"/>
    <mergeCell ref="L137:M137"/>
    <mergeCell ref="A138:B138"/>
    <mergeCell ref="F138:G138"/>
    <mergeCell ref="I138:J138"/>
    <mergeCell ref="L138:M138"/>
    <mergeCell ref="A139:B139"/>
    <mergeCell ref="F139:G139"/>
    <mergeCell ref="I139:J139"/>
    <mergeCell ref="L139:M139"/>
    <mergeCell ref="A140:B140"/>
    <mergeCell ref="F140:G140"/>
    <mergeCell ref="I140:J140"/>
    <mergeCell ref="L140:M140"/>
    <mergeCell ref="A141:B141"/>
    <mergeCell ref="F141:G141"/>
    <mergeCell ref="I141:J141"/>
    <mergeCell ref="L141:M141"/>
    <mergeCell ref="A142:B142"/>
    <mergeCell ref="F142:G142"/>
    <mergeCell ref="I142:J142"/>
    <mergeCell ref="L142:M142"/>
    <mergeCell ref="A143:B143"/>
    <mergeCell ref="F143:G143"/>
    <mergeCell ref="I143:J143"/>
    <mergeCell ref="L143:M143"/>
    <mergeCell ref="A144:B144"/>
    <mergeCell ref="F144:G144"/>
    <mergeCell ref="I144:J144"/>
    <mergeCell ref="L144:M144"/>
    <mergeCell ref="A154:J154"/>
    <mergeCell ref="A155:B155"/>
    <mergeCell ref="F155:G155"/>
    <mergeCell ref="I155:J155"/>
    <mergeCell ref="L155:M155"/>
    <mergeCell ref="L150:M150"/>
    <mergeCell ref="A151:B151"/>
    <mergeCell ref="F151:G151"/>
    <mergeCell ref="I151:J151"/>
    <mergeCell ref="L151:M151"/>
    <mergeCell ref="A152:B152"/>
    <mergeCell ref="F152:G152"/>
    <mergeCell ref="I152:J152"/>
    <mergeCell ref="L152:M152"/>
    <mergeCell ref="A153:B153"/>
    <mergeCell ref="F153:G153"/>
    <mergeCell ref="I153:J153"/>
    <mergeCell ref="L153:M153"/>
    <mergeCell ref="A156:B156"/>
    <mergeCell ref="F156:G156"/>
    <mergeCell ref="I156:J156"/>
    <mergeCell ref="L156:M156"/>
    <mergeCell ref="A157:B157"/>
    <mergeCell ref="F157:G157"/>
    <mergeCell ref="I157:J157"/>
    <mergeCell ref="L157:M157"/>
    <mergeCell ref="A158:B158"/>
    <mergeCell ref="F158:G158"/>
    <mergeCell ref="I158:J158"/>
    <mergeCell ref="L158:M158"/>
    <mergeCell ref="A159:B159"/>
    <mergeCell ref="F159:G159"/>
    <mergeCell ref="I159:J159"/>
    <mergeCell ref="L159:M159"/>
    <mergeCell ref="A160:B160"/>
    <mergeCell ref="F160:G160"/>
    <mergeCell ref="I160:J160"/>
    <mergeCell ref="L160:M160"/>
    <mergeCell ref="A161:B161"/>
    <mergeCell ref="F161:G161"/>
    <mergeCell ref="I161:J161"/>
    <mergeCell ref="L161:M161"/>
    <mergeCell ref="A162:B162"/>
    <mergeCell ref="F162:G162"/>
    <mergeCell ref="I162:J162"/>
    <mergeCell ref="L162:M162"/>
    <mergeCell ref="A163:J163"/>
    <mergeCell ref="A164:B164"/>
    <mergeCell ref="F164:G164"/>
    <mergeCell ref="I164:J164"/>
    <mergeCell ref="L164:M164"/>
    <mergeCell ref="A165:B165"/>
    <mergeCell ref="F165:G165"/>
    <mergeCell ref="I165:J165"/>
    <mergeCell ref="L165:M165"/>
    <mergeCell ref="A166:B166"/>
    <mergeCell ref="F166:G166"/>
    <mergeCell ref="I166:J166"/>
    <mergeCell ref="L166:M166"/>
    <mergeCell ref="A167:B167"/>
    <mergeCell ref="F167:G167"/>
    <mergeCell ref="I167:J167"/>
    <mergeCell ref="L167:M167"/>
    <mergeCell ref="A168:B168"/>
    <mergeCell ref="F168:G168"/>
    <mergeCell ref="I168:J168"/>
    <mergeCell ref="L168:M168"/>
    <mergeCell ref="A169:B169"/>
    <mergeCell ref="F169:G169"/>
    <mergeCell ref="I169:J169"/>
    <mergeCell ref="L169:M169"/>
    <mergeCell ref="A170:B170"/>
    <mergeCell ref="F170:G170"/>
    <mergeCell ref="I170:J170"/>
    <mergeCell ref="L170:M170"/>
    <mergeCell ref="A171:B171"/>
    <mergeCell ref="F171:G171"/>
    <mergeCell ref="I171:J171"/>
    <mergeCell ref="L171:M171"/>
    <mergeCell ref="A145:J145"/>
    <mergeCell ref="A146:B146"/>
    <mergeCell ref="F146:G146"/>
    <mergeCell ref="I146:J146"/>
    <mergeCell ref="L146:M146"/>
    <mergeCell ref="A147:B147"/>
    <mergeCell ref="F147:G147"/>
    <mergeCell ref="I147:J147"/>
    <mergeCell ref="L147:M147"/>
    <mergeCell ref="A148:B148"/>
    <mergeCell ref="F148:G148"/>
    <mergeCell ref="I148:J148"/>
    <mergeCell ref="L148:M148"/>
    <mergeCell ref="A149:B149"/>
    <mergeCell ref="F149:G149"/>
    <mergeCell ref="I149:J149"/>
    <mergeCell ref="L149:M149"/>
    <mergeCell ref="A150:B150"/>
    <mergeCell ref="F150:G150"/>
    <mergeCell ref="I150:J150"/>
    <mergeCell ref="A181:J181"/>
    <mergeCell ref="A182:B182"/>
    <mergeCell ref="F182:G182"/>
    <mergeCell ref="I182:J182"/>
    <mergeCell ref="L182:M182"/>
    <mergeCell ref="A183:B183"/>
    <mergeCell ref="F183:G183"/>
    <mergeCell ref="I183:J183"/>
    <mergeCell ref="L183:M183"/>
    <mergeCell ref="A184:B184"/>
    <mergeCell ref="F184:G184"/>
    <mergeCell ref="I184:J184"/>
    <mergeCell ref="L184:M184"/>
    <mergeCell ref="A185:B185"/>
    <mergeCell ref="F185:G185"/>
    <mergeCell ref="I185:J185"/>
    <mergeCell ref="L185:M185"/>
    <mergeCell ref="A186:B186"/>
    <mergeCell ref="F186:G186"/>
    <mergeCell ref="I186:J186"/>
    <mergeCell ref="L186:M186"/>
    <mergeCell ref="A187:B187"/>
    <mergeCell ref="F187:G187"/>
    <mergeCell ref="I187:J187"/>
    <mergeCell ref="L187:M187"/>
    <mergeCell ref="A188:B188"/>
    <mergeCell ref="F188:G188"/>
    <mergeCell ref="I188:J188"/>
    <mergeCell ref="L188:M188"/>
    <mergeCell ref="A189:B189"/>
    <mergeCell ref="F189:G189"/>
    <mergeCell ref="I189:J189"/>
    <mergeCell ref="L189:M189"/>
    <mergeCell ref="A172:J172"/>
    <mergeCell ref="A173:B173"/>
    <mergeCell ref="F173:G173"/>
    <mergeCell ref="I173:J173"/>
    <mergeCell ref="L173:M173"/>
    <mergeCell ref="A174:B174"/>
    <mergeCell ref="F174:G174"/>
    <mergeCell ref="I174:J174"/>
    <mergeCell ref="L174:M174"/>
    <mergeCell ref="A175:B175"/>
    <mergeCell ref="F175:G175"/>
    <mergeCell ref="I175:J175"/>
    <mergeCell ref="L175:M175"/>
    <mergeCell ref="A176:B176"/>
    <mergeCell ref="F176:G176"/>
    <mergeCell ref="I176:J176"/>
    <mergeCell ref="L176:M176"/>
    <mergeCell ref="A177:B177"/>
    <mergeCell ref="F177:G177"/>
    <mergeCell ref="I177:J177"/>
    <mergeCell ref="L177:M177"/>
    <mergeCell ref="A178:B178"/>
    <mergeCell ref="F178:G178"/>
    <mergeCell ref="I178:J178"/>
    <mergeCell ref="L178:M178"/>
    <mergeCell ref="A179:B179"/>
    <mergeCell ref="F179:G179"/>
    <mergeCell ref="I179:J179"/>
    <mergeCell ref="L179:M179"/>
    <mergeCell ref="A180:B180"/>
    <mergeCell ref="F180:G180"/>
    <mergeCell ref="I180:J180"/>
    <mergeCell ref="L180:M180"/>
    <mergeCell ref="A190:J190"/>
    <mergeCell ref="A191:B191"/>
    <mergeCell ref="F191:G191"/>
    <mergeCell ref="I191:J191"/>
    <mergeCell ref="L191:M191"/>
    <mergeCell ref="A192:B192"/>
    <mergeCell ref="F192:G192"/>
    <mergeCell ref="I192:J192"/>
    <mergeCell ref="L192:M192"/>
    <mergeCell ref="A193:B193"/>
    <mergeCell ref="F193:G193"/>
    <mergeCell ref="I193:J193"/>
    <mergeCell ref="L193:M193"/>
    <mergeCell ref="A194:B194"/>
    <mergeCell ref="F194:G194"/>
    <mergeCell ref="I194:J194"/>
    <mergeCell ref="L194:M194"/>
    <mergeCell ref="A195:B195"/>
    <mergeCell ref="F195:G195"/>
    <mergeCell ref="I195:J195"/>
    <mergeCell ref="L195:M195"/>
    <mergeCell ref="A196:B196"/>
    <mergeCell ref="F196:G196"/>
    <mergeCell ref="I196:J196"/>
    <mergeCell ref="L196:M196"/>
    <mergeCell ref="A197:B197"/>
    <mergeCell ref="F197:G197"/>
    <mergeCell ref="I197:J197"/>
    <mergeCell ref="L197:M197"/>
    <mergeCell ref="A198:B198"/>
    <mergeCell ref="F198:G198"/>
    <mergeCell ref="I198:J198"/>
    <mergeCell ref="L198:M198"/>
    <mergeCell ref="A199:J199"/>
    <mergeCell ref="A200:B200"/>
    <mergeCell ref="F200:G200"/>
    <mergeCell ref="I200:J200"/>
    <mergeCell ref="L200:M200"/>
    <mergeCell ref="A201:B201"/>
    <mergeCell ref="L201:M201"/>
    <mergeCell ref="A202:B202"/>
    <mergeCell ref="F202:G202"/>
    <mergeCell ref="I202:J202"/>
    <mergeCell ref="L202:M202"/>
    <mergeCell ref="A206:B206"/>
    <mergeCell ref="F206:G206"/>
    <mergeCell ref="I206:J206"/>
    <mergeCell ref="L206:M206"/>
    <mergeCell ref="A207:B207"/>
    <mergeCell ref="L207:M207"/>
    <mergeCell ref="C201:J201"/>
    <mergeCell ref="C203:J203"/>
    <mergeCell ref="C207:J207"/>
    <mergeCell ref="L203:M203"/>
    <mergeCell ref="A204:B204"/>
    <mergeCell ref="F204:G204"/>
    <mergeCell ref="I204:J204"/>
    <mergeCell ref="L204:M204"/>
    <mergeCell ref="A205:B205"/>
    <mergeCell ref="F205:G205"/>
    <mergeCell ref="I205:J205"/>
    <mergeCell ref="L205:M205"/>
    <mergeCell ref="A203:B203"/>
  </mergeCells>
  <phoneticPr fontId="0" type="noConversion"/>
  <dataValidations count="3">
    <dataValidation type="list" allowBlank="1" showInputMessage="1" showErrorMessage="1" sqref="I87">
      <formula1>".45,.50,.55,.60"</formula1>
    </dataValidation>
    <dataValidation type="list" allowBlank="1" showInputMessage="1" showErrorMessage="1" sqref="E86:E87">
      <formula1>"Fungible area,Balcony Area,Chajja Area,Cornice Area,AP Area,WS Area"</formula1>
    </dataValidation>
    <dataValidation type="list" allowBlank="1" showInputMessage="1" showErrorMessage="1" sqref="B86:B87">
      <formula1>"Flat No. (Sale Plan),Sale / Rehab,Sale / Mhada"</formula1>
    </dataValidation>
  </dataValidations>
  <hyperlinks>
    <hyperlink ref="C32" r:id="rId1"/>
  </hyperlinks>
  <pageMargins left="0.31496062992126" right="0.31496062992126" top="0.78740157480314998" bottom="0.78740157480314998" header="0.196850393700787" footer="0.196850393700787"/>
  <pageSetup paperSize="2" fitToHeight="0" orientation="portrait" r:id="rId2"/>
  <headerFooter>
    <oddHeader>&amp;C&amp;G</oddHeader>
    <oddFooter>&amp;L&amp;"Times New Roman,Bold"Ref No: &amp;F&amp;C&amp;G&amp;R&amp;P</oddFooter>
  </headerFooter>
  <rowBreaks count="5" manualBreakCount="5">
    <brk id="41" max="9" man="1"/>
    <brk id="80" max="9" man="1"/>
    <brk id="219" max="16383" man="1"/>
    <brk id="264" max="9" man="1"/>
    <brk id="307"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topLeftCell="B10" workbookViewId="0">
      <selection activeCell="F5" sqref="F5"/>
    </sheetView>
  </sheetViews>
  <sheetFormatPr defaultColWidth="8.7109375" defaultRowHeight="15" x14ac:dyDescent="0.25"/>
  <cols>
    <col min="1" max="1" width="8.7109375" style="27"/>
    <col min="2" max="2" width="22.140625" style="27" customWidth="1"/>
    <col min="3" max="3" width="37" style="27" customWidth="1"/>
    <col min="4" max="5" width="11.42578125" style="27" customWidth="1"/>
    <col min="6" max="6" width="14" style="27" customWidth="1"/>
    <col min="7" max="7" width="20" style="27" customWidth="1"/>
    <col min="8" max="8" width="16.42578125" style="27" customWidth="1"/>
    <col min="9" max="16384" width="8.7109375" style="27"/>
  </cols>
  <sheetData>
    <row r="1" spans="1:9" ht="15" customHeight="1" x14ac:dyDescent="0.25"/>
    <row r="2" spans="1:9" ht="15" customHeight="1" x14ac:dyDescent="0.25">
      <c r="A2" s="28"/>
      <c r="B2" s="28"/>
      <c r="C2" s="28"/>
      <c r="D2" s="28"/>
      <c r="E2" s="28"/>
      <c r="F2" s="28"/>
      <c r="G2" s="28"/>
      <c r="H2" s="28"/>
    </row>
    <row r="3" spans="1:9" ht="15.75" customHeight="1" x14ac:dyDescent="0.25">
      <c r="A3" s="28"/>
      <c r="B3" s="221" t="s">
        <v>175</v>
      </c>
      <c r="C3" s="221"/>
      <c r="D3" s="221"/>
      <c r="E3" s="221"/>
      <c r="F3" s="221"/>
      <c r="G3" s="221"/>
      <c r="H3" s="221"/>
    </row>
    <row r="4" spans="1:9" x14ac:dyDescent="0.25">
      <c r="A4" s="28"/>
      <c r="B4" s="29" t="s">
        <v>176</v>
      </c>
      <c r="C4" s="29" t="s">
        <v>177</v>
      </c>
      <c r="D4" s="29" t="s">
        <v>91</v>
      </c>
      <c r="E4" s="29" t="s">
        <v>178</v>
      </c>
      <c r="F4" s="29" t="s">
        <v>179</v>
      </c>
      <c r="G4" s="29" t="s">
        <v>180</v>
      </c>
      <c r="H4" s="29" t="s">
        <v>181</v>
      </c>
    </row>
    <row r="5" spans="1:9" ht="15" customHeight="1" x14ac:dyDescent="0.25">
      <c r="A5" s="28"/>
      <c r="B5" s="30" t="s">
        <v>182</v>
      </c>
      <c r="C5" s="37" t="s">
        <v>116</v>
      </c>
      <c r="D5" s="30" t="s">
        <v>183</v>
      </c>
      <c r="E5" s="30">
        <v>488</v>
      </c>
      <c r="F5" s="31">
        <f>E5*1.6</f>
        <v>780.80000000000007</v>
      </c>
      <c r="G5" s="31">
        <f>H5/F5</f>
        <v>8709.0163934426218</v>
      </c>
      <c r="H5" s="32">
        <v>6800000</v>
      </c>
    </row>
    <row r="6" spans="1:9" ht="15" customHeight="1" x14ac:dyDescent="0.25">
      <c r="A6" s="28"/>
      <c r="B6" s="33" t="s">
        <v>184</v>
      </c>
      <c r="C6" s="30"/>
      <c r="D6" s="30"/>
      <c r="E6" s="30"/>
      <c r="F6" s="30"/>
      <c r="G6" s="34">
        <v>8700</v>
      </c>
      <c r="H6" s="30"/>
    </row>
    <row r="7" spans="1:9" ht="15" customHeight="1" x14ac:dyDescent="0.25">
      <c r="B7" s="33" t="s">
        <v>185</v>
      </c>
      <c r="C7" s="30"/>
      <c r="D7" s="30"/>
      <c r="E7" s="30"/>
      <c r="F7" s="35"/>
      <c r="G7" s="33"/>
      <c r="H7" s="33"/>
      <c r="I7" s="36"/>
    </row>
    <row r="8" spans="1:9" ht="15" customHeight="1" x14ac:dyDescent="0.25"/>
    <row r="9" spans="1:9" ht="15" customHeight="1" x14ac:dyDescent="0.25"/>
    <row r="10" spans="1:9" ht="15" customHeight="1" x14ac:dyDescent="0.25"/>
  </sheetData>
  <mergeCells count="1">
    <mergeCell ref="B3:H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C8" sqref="C8"/>
    </sheetView>
  </sheetViews>
  <sheetFormatPr defaultColWidth="9.140625" defaultRowHeight="15" x14ac:dyDescent="0.25"/>
  <cols>
    <col min="1" max="1" width="20.5703125" style="13" customWidth="1"/>
    <col min="2" max="2" width="11.7109375" style="13" customWidth="1"/>
    <col min="3" max="4" width="9.140625" style="13"/>
    <col min="5" max="5" width="10.140625" style="13" customWidth="1"/>
    <col min="6" max="6" width="10.7109375" style="13" customWidth="1"/>
    <col min="7" max="7" width="9.140625" style="13"/>
    <col min="8" max="8" width="10.42578125" style="13" customWidth="1"/>
    <col min="9" max="9" width="15.42578125" style="13" customWidth="1"/>
    <col min="10" max="16384" width="9.140625" style="13"/>
  </cols>
  <sheetData>
    <row r="2" spans="1:13" x14ac:dyDescent="0.25">
      <c r="A2" s="12" t="s">
        <v>142</v>
      </c>
      <c r="B2" s="12" t="s">
        <v>143</v>
      </c>
      <c r="C2" s="12" t="s">
        <v>144</v>
      </c>
      <c r="D2" s="223" t="s">
        <v>145</v>
      </c>
      <c r="E2" s="223"/>
    </row>
    <row r="3" spans="1:13" x14ac:dyDescent="0.25">
      <c r="A3" s="14">
        <v>0</v>
      </c>
      <c r="B3" s="14">
        <v>0</v>
      </c>
      <c r="C3" s="14">
        <v>1</v>
      </c>
      <c r="D3" s="224">
        <v>23</v>
      </c>
      <c r="E3" s="224"/>
    </row>
    <row r="5" spans="1:13" x14ac:dyDescent="0.25">
      <c r="A5" s="13" t="s">
        <v>102</v>
      </c>
      <c r="B5" s="15" t="s">
        <v>146</v>
      </c>
      <c r="C5" s="15">
        <f>D3</f>
        <v>23</v>
      </c>
      <c r="D5" s="16"/>
    </row>
    <row r="6" spans="1:13" x14ac:dyDescent="0.25">
      <c r="A6" s="13" t="s">
        <v>103</v>
      </c>
      <c r="B6" s="17">
        <v>10</v>
      </c>
      <c r="C6" s="18">
        <v>10</v>
      </c>
      <c r="D6" s="19">
        <f>((100/B6)*C6)/100</f>
        <v>1</v>
      </c>
    </row>
    <row r="7" spans="1:13" x14ac:dyDescent="0.25">
      <c r="A7" s="13" t="s">
        <v>104</v>
      </c>
      <c r="B7" s="17">
        <f>A3+B3+C3+D3</f>
        <v>24</v>
      </c>
      <c r="C7" s="18">
        <v>1</v>
      </c>
      <c r="D7" s="19">
        <f t="shared" ref="D7:D12" si="0">((100/B7)*C7)/100</f>
        <v>4.1666666666666671E-2</v>
      </c>
      <c r="F7" s="225" t="s">
        <v>147</v>
      </c>
      <c r="G7" s="225"/>
      <c r="H7" s="20" t="s">
        <v>148</v>
      </c>
      <c r="J7" s="21"/>
    </row>
    <row r="8" spans="1:13" x14ac:dyDescent="0.25">
      <c r="A8" s="13" t="s">
        <v>109</v>
      </c>
      <c r="B8" s="17">
        <f>C5</f>
        <v>23</v>
      </c>
      <c r="C8" s="18">
        <v>0</v>
      </c>
      <c r="D8" s="19">
        <f t="shared" si="0"/>
        <v>0</v>
      </c>
      <c r="F8" s="222" t="s">
        <v>149</v>
      </c>
      <c r="G8" s="222"/>
      <c r="H8" s="17" t="s">
        <v>150</v>
      </c>
    </row>
    <row r="9" spans="1:13" x14ac:dyDescent="0.25">
      <c r="A9" s="13" t="s">
        <v>111</v>
      </c>
      <c r="B9" s="17">
        <f>C5</f>
        <v>23</v>
      </c>
      <c r="C9" s="18">
        <v>0</v>
      </c>
      <c r="D9" s="19">
        <f t="shared" si="0"/>
        <v>0</v>
      </c>
      <c r="F9" s="222" t="s">
        <v>151</v>
      </c>
      <c r="G9" s="222"/>
      <c r="H9" s="17" t="s">
        <v>152</v>
      </c>
    </row>
    <row r="10" spans="1:13" x14ac:dyDescent="0.25">
      <c r="A10" s="13" t="s">
        <v>40</v>
      </c>
      <c r="B10" s="17">
        <f>C5</f>
        <v>23</v>
      </c>
      <c r="C10" s="18">
        <v>0</v>
      </c>
      <c r="D10" s="19">
        <f t="shared" si="0"/>
        <v>0</v>
      </c>
      <c r="F10" s="222" t="s">
        <v>153</v>
      </c>
      <c r="G10" s="222"/>
      <c r="H10" s="17" t="s">
        <v>154</v>
      </c>
    </row>
    <row r="11" spans="1:13" x14ac:dyDescent="0.25">
      <c r="A11" s="22" t="s">
        <v>107</v>
      </c>
      <c r="B11" s="17">
        <f>C5</f>
        <v>23</v>
      </c>
      <c r="C11" s="18">
        <v>0</v>
      </c>
      <c r="D11" s="19">
        <f t="shared" si="0"/>
        <v>0</v>
      </c>
      <c r="F11" s="222" t="s">
        <v>155</v>
      </c>
      <c r="G11" s="222"/>
      <c r="H11" s="17" t="s">
        <v>156</v>
      </c>
    </row>
    <row r="12" spans="1:13" x14ac:dyDescent="0.25">
      <c r="A12" s="13" t="s">
        <v>41</v>
      </c>
      <c r="B12" s="17">
        <f>C5</f>
        <v>23</v>
      </c>
      <c r="C12" s="18">
        <v>0</v>
      </c>
      <c r="D12" s="19">
        <f t="shared" si="0"/>
        <v>0</v>
      </c>
      <c r="F12" s="222" t="s">
        <v>157</v>
      </c>
      <c r="G12" s="222"/>
      <c r="H12" s="17" t="s">
        <v>158</v>
      </c>
    </row>
    <row r="13" spans="1:13" x14ac:dyDescent="0.25">
      <c r="F13" s="222" t="s">
        <v>159</v>
      </c>
      <c r="G13" s="222"/>
      <c r="H13" s="17" t="s">
        <v>160</v>
      </c>
    </row>
    <row r="14" spans="1:13" hidden="1" x14ac:dyDescent="0.25">
      <c r="A14" s="12"/>
      <c r="B14" s="12" t="s">
        <v>108</v>
      </c>
      <c r="C14" s="12" t="s">
        <v>112</v>
      </c>
      <c r="G14" s="12" t="s">
        <v>103</v>
      </c>
      <c r="H14" s="12" t="s">
        <v>105</v>
      </c>
      <c r="I14" s="12" t="s">
        <v>106</v>
      </c>
      <c r="J14" s="12" t="s">
        <v>34</v>
      </c>
      <c r="K14" s="12" t="s">
        <v>40</v>
      </c>
      <c r="L14" s="12" t="s">
        <v>107</v>
      </c>
      <c r="M14" s="12" t="s">
        <v>41</v>
      </c>
    </row>
    <row r="15" spans="1:13" hidden="1" x14ac:dyDescent="0.25">
      <c r="A15" s="12" t="s">
        <v>32</v>
      </c>
      <c r="B15" s="12">
        <f>G15</f>
        <v>10</v>
      </c>
      <c r="C15" s="12">
        <f>G16</f>
        <v>30</v>
      </c>
      <c r="E15" s="223" t="s">
        <v>108</v>
      </c>
      <c r="F15" s="223"/>
      <c r="G15" s="23">
        <f>C6</f>
        <v>10</v>
      </c>
      <c r="H15" s="23">
        <f>40/B7*C7</f>
        <v>1.6666666666666667</v>
      </c>
      <c r="I15" s="23">
        <f>15/B8*C8</f>
        <v>0</v>
      </c>
      <c r="J15" s="23">
        <f>10/B9*C9</f>
        <v>0</v>
      </c>
      <c r="K15" s="23">
        <f>10/B10*C10</f>
        <v>0</v>
      </c>
      <c r="L15" s="23">
        <f>5/B11*C11</f>
        <v>0</v>
      </c>
      <c r="M15" s="23">
        <f>5/B12*C12</f>
        <v>0</v>
      </c>
    </row>
    <row r="16" spans="1:13" hidden="1" x14ac:dyDescent="0.25">
      <c r="A16" s="12" t="s">
        <v>33</v>
      </c>
      <c r="B16" s="12">
        <f>H15</f>
        <v>1.6666666666666667</v>
      </c>
      <c r="C16" s="12">
        <f>H16</f>
        <v>1.25</v>
      </c>
      <c r="E16" s="223" t="s">
        <v>110</v>
      </c>
      <c r="F16" s="223"/>
      <c r="G16" s="12">
        <f>G15+20</f>
        <v>30</v>
      </c>
      <c r="H16" s="12">
        <f>30/B7*C7</f>
        <v>1.25</v>
      </c>
      <c r="I16" s="12">
        <f>15/B8*C8</f>
        <v>0</v>
      </c>
      <c r="J16" s="12">
        <f>10/B9*C9</f>
        <v>0</v>
      </c>
      <c r="K16" s="12">
        <f>5/B10*C10</f>
        <v>0</v>
      </c>
      <c r="L16" s="12">
        <f>5/B11*C11</f>
        <v>0</v>
      </c>
      <c r="M16" s="12">
        <f>5/B12*C12</f>
        <v>0</v>
      </c>
    </row>
    <row r="17" spans="1:8" hidden="1" x14ac:dyDescent="0.25">
      <c r="A17" s="12" t="s">
        <v>106</v>
      </c>
      <c r="B17" s="12">
        <f>I15</f>
        <v>0</v>
      </c>
      <c r="C17" s="12">
        <f>I16</f>
        <v>0</v>
      </c>
    </row>
    <row r="18" spans="1:8" hidden="1" x14ac:dyDescent="0.25">
      <c r="A18" s="12" t="s">
        <v>34</v>
      </c>
      <c r="B18" s="12">
        <f>J15</f>
        <v>0</v>
      </c>
      <c r="C18" s="12">
        <f>J16</f>
        <v>0</v>
      </c>
    </row>
    <row r="19" spans="1:8" hidden="1" x14ac:dyDescent="0.25">
      <c r="A19" s="12" t="s">
        <v>40</v>
      </c>
      <c r="B19" s="12">
        <f>K15</f>
        <v>0</v>
      </c>
      <c r="C19" s="12">
        <f>K16</f>
        <v>0</v>
      </c>
    </row>
    <row r="20" spans="1:8" hidden="1" x14ac:dyDescent="0.25">
      <c r="A20" s="24" t="s">
        <v>107</v>
      </c>
      <c r="B20" s="12">
        <f>L15</f>
        <v>0</v>
      </c>
      <c r="C20" s="12">
        <f>L16</f>
        <v>0</v>
      </c>
    </row>
    <row r="21" spans="1:8" hidden="1" x14ac:dyDescent="0.25">
      <c r="A21" s="12" t="s">
        <v>41</v>
      </c>
      <c r="B21" s="12">
        <f>M15</f>
        <v>0</v>
      </c>
      <c r="C21" s="12">
        <f>M16</f>
        <v>0</v>
      </c>
    </row>
    <row r="22" spans="1:8" x14ac:dyDescent="0.25">
      <c r="A22" s="12" t="s">
        <v>113</v>
      </c>
      <c r="B22" s="25">
        <f>(B15+B16+B17+B18+B19+B20+B21)/100</f>
        <v>0.11666666666666665</v>
      </c>
      <c r="C22" s="25">
        <f>(C15+C16+C17+C18+C19+C20+C21)/100</f>
        <v>0.3125</v>
      </c>
      <c r="F22" s="222" t="s">
        <v>161</v>
      </c>
      <c r="G22" s="222"/>
      <c r="H22" s="17" t="s">
        <v>152</v>
      </c>
    </row>
    <row r="23" spans="1:8" x14ac:dyDescent="0.25">
      <c r="F23" s="222" t="s">
        <v>162</v>
      </c>
      <c r="G23" s="222"/>
      <c r="H23" s="17" t="s">
        <v>163</v>
      </c>
    </row>
    <row r="24" spans="1:8" x14ac:dyDescent="0.25">
      <c r="A24" s="13" t="s">
        <v>164</v>
      </c>
      <c r="B24" s="26">
        <v>0.01</v>
      </c>
      <c r="C24" s="26">
        <v>0.02</v>
      </c>
      <c r="F24" s="222" t="s">
        <v>165</v>
      </c>
      <c r="G24" s="222"/>
      <c r="H24" s="17" t="s">
        <v>166</v>
      </c>
    </row>
    <row r="25" spans="1:8" x14ac:dyDescent="0.25">
      <c r="A25" s="13" t="s">
        <v>167</v>
      </c>
      <c r="B25" s="26">
        <v>0.01</v>
      </c>
      <c r="C25" s="26">
        <v>0.03</v>
      </c>
    </row>
    <row r="26" spans="1:8" x14ac:dyDescent="0.25">
      <c r="A26" s="13" t="s">
        <v>168</v>
      </c>
      <c r="B26" s="26">
        <v>0.03</v>
      </c>
      <c r="C26" s="26">
        <v>0.08</v>
      </c>
    </row>
    <row r="27" spans="1:8" x14ac:dyDescent="0.25">
      <c r="A27" s="13" t="s">
        <v>169</v>
      </c>
      <c r="B27" s="26">
        <v>0.05</v>
      </c>
      <c r="C27" s="26">
        <v>0.15</v>
      </c>
    </row>
    <row r="28" spans="1:8" x14ac:dyDescent="0.25">
      <c r="A28" s="13" t="s">
        <v>170</v>
      </c>
      <c r="B28" s="26">
        <v>7.0000000000000007E-2</v>
      </c>
      <c r="C28" s="26">
        <v>0.2</v>
      </c>
    </row>
    <row r="29" spans="1:8" x14ac:dyDescent="0.25">
      <c r="A29" s="13" t="s">
        <v>171</v>
      </c>
      <c r="B29" s="26">
        <v>0.1</v>
      </c>
      <c r="C29" s="26">
        <v>0.3</v>
      </c>
    </row>
  </sheetData>
  <mergeCells count="14">
    <mergeCell ref="F10:G10"/>
    <mergeCell ref="D2:E2"/>
    <mergeCell ref="D3:E3"/>
    <mergeCell ref="F7:G7"/>
    <mergeCell ref="F8:G8"/>
    <mergeCell ref="F9:G9"/>
    <mergeCell ref="F23:G23"/>
    <mergeCell ref="F24:G24"/>
    <mergeCell ref="F11:G11"/>
    <mergeCell ref="F12:G12"/>
    <mergeCell ref="F13:G13"/>
    <mergeCell ref="E15:F15"/>
    <mergeCell ref="E16:F16"/>
    <mergeCell ref="F22:G2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4"/>
  <sheetViews>
    <sheetView workbookViewId="0">
      <selection activeCell="K4" sqref="K4"/>
    </sheetView>
  </sheetViews>
  <sheetFormatPr defaultRowHeight="15" x14ac:dyDescent="0.25"/>
  <cols>
    <col min="1" max="1" width="11.28515625" customWidth="1"/>
  </cols>
  <sheetData>
    <row r="2" spans="1:3" x14ac:dyDescent="0.25">
      <c r="A2" t="s">
        <v>172</v>
      </c>
      <c r="B2" t="s">
        <v>173</v>
      </c>
      <c r="C2" t="s">
        <v>174</v>
      </c>
    </row>
    <row r="4" spans="1:3" x14ac:dyDescent="0.25">
      <c r="A4" t="s">
        <v>193</v>
      </c>
      <c r="B4" t="s">
        <v>194</v>
      </c>
      <c r="C4" t="s">
        <v>195</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4"/>
  <sheetViews>
    <sheetView workbookViewId="0">
      <selection activeCell="Q17" sqref="Q17"/>
    </sheetView>
  </sheetViews>
  <sheetFormatPr defaultRowHeight="15" x14ac:dyDescent="0.25"/>
  <sheetData>
    <row r="2" spans="2:13" x14ac:dyDescent="0.25">
      <c r="C2" s="6" t="s">
        <v>90</v>
      </c>
      <c r="D2" s="226"/>
      <c r="E2" s="226"/>
    </row>
    <row r="3" spans="2:13" x14ac:dyDescent="0.25">
      <c r="E3" s="5"/>
      <c r="F3" s="5"/>
      <c r="G3" s="5"/>
      <c r="H3" s="5"/>
      <c r="I3" s="5"/>
      <c r="J3" s="5"/>
    </row>
    <row r="4" spans="2:13" x14ac:dyDescent="0.25">
      <c r="B4" s="6" t="s">
        <v>91</v>
      </c>
      <c r="C4" s="4" t="s">
        <v>71</v>
      </c>
      <c r="D4" s="227" t="s">
        <v>72</v>
      </c>
      <c r="E4" s="227"/>
      <c r="F4" s="227"/>
      <c r="G4" s="7"/>
      <c r="H4" s="227" t="s">
        <v>73</v>
      </c>
      <c r="I4" s="227"/>
      <c r="J4" s="227"/>
      <c r="K4" s="227" t="s">
        <v>74</v>
      </c>
      <c r="L4" s="227"/>
      <c r="M4" s="227"/>
    </row>
    <row r="5" spans="2:13" x14ac:dyDescent="0.25">
      <c r="B5" s="6">
        <v>1</v>
      </c>
      <c r="C5" s="4"/>
      <c r="D5" s="4" t="s">
        <v>75</v>
      </c>
      <c r="E5" s="4" t="s">
        <v>76</v>
      </c>
      <c r="F5" s="4" t="s">
        <v>77</v>
      </c>
      <c r="G5" s="4"/>
      <c r="H5" s="4" t="s">
        <v>75</v>
      </c>
      <c r="I5" s="4" t="s">
        <v>76</v>
      </c>
      <c r="J5" s="4" t="s">
        <v>77</v>
      </c>
      <c r="K5" s="4" t="s">
        <v>75</v>
      </c>
      <c r="L5" s="4" t="s">
        <v>76</v>
      </c>
      <c r="M5" s="4" t="s">
        <v>77</v>
      </c>
    </row>
    <row r="6" spans="2:13" x14ac:dyDescent="0.25">
      <c r="C6" s="3" t="s">
        <v>78</v>
      </c>
      <c r="D6" s="3"/>
      <c r="E6" s="3"/>
      <c r="F6" s="3">
        <f>D6*E6</f>
        <v>0</v>
      </c>
      <c r="G6" s="3" t="s">
        <v>92</v>
      </c>
      <c r="H6" s="3"/>
      <c r="I6" s="3"/>
      <c r="J6" s="3">
        <f>H6*I6</f>
        <v>0</v>
      </c>
      <c r="K6" s="3"/>
      <c r="L6" s="3"/>
      <c r="M6" s="3">
        <f>K6*L6</f>
        <v>0</v>
      </c>
    </row>
    <row r="7" spans="2:13" x14ac:dyDescent="0.25">
      <c r="C7" s="3"/>
      <c r="D7" s="3"/>
      <c r="E7" s="3"/>
      <c r="F7" s="3">
        <f t="shared" ref="F7:F33" si="0">D7*E7</f>
        <v>0</v>
      </c>
      <c r="G7" s="3" t="s">
        <v>93</v>
      </c>
      <c r="H7" s="3"/>
      <c r="I7" s="3"/>
      <c r="J7" s="3">
        <f t="shared" ref="J7:J29" si="1">H7*I7</f>
        <v>0</v>
      </c>
      <c r="K7" s="3"/>
      <c r="L7" s="3"/>
      <c r="M7" s="3">
        <f t="shared" ref="M7:M29" si="2">K7*L7</f>
        <v>0</v>
      </c>
    </row>
    <row r="8" spans="2:13" x14ac:dyDescent="0.25">
      <c r="C8" s="3"/>
      <c r="D8" s="3"/>
      <c r="E8" s="3"/>
      <c r="F8" s="3">
        <f t="shared" si="0"/>
        <v>0</v>
      </c>
      <c r="G8" s="3"/>
      <c r="H8" s="3"/>
      <c r="I8" s="3"/>
      <c r="J8" s="3">
        <f t="shared" si="1"/>
        <v>0</v>
      </c>
      <c r="K8" s="3"/>
      <c r="L8" s="3"/>
      <c r="M8" s="3">
        <f t="shared" si="2"/>
        <v>0</v>
      </c>
    </row>
    <row r="9" spans="2:13" x14ac:dyDescent="0.25">
      <c r="C9" s="3" t="s">
        <v>81</v>
      </c>
      <c r="D9" s="3"/>
      <c r="E9" s="3"/>
      <c r="F9" s="3">
        <f t="shared" si="0"/>
        <v>0</v>
      </c>
      <c r="G9" s="3" t="s">
        <v>92</v>
      </c>
      <c r="H9" s="3"/>
      <c r="I9" s="3"/>
      <c r="J9" s="3">
        <f t="shared" si="1"/>
        <v>0</v>
      </c>
      <c r="K9" s="3"/>
      <c r="L9" s="3"/>
      <c r="M9" s="3">
        <f t="shared" si="2"/>
        <v>0</v>
      </c>
    </row>
    <row r="10" spans="2:13" x14ac:dyDescent="0.25">
      <c r="C10" s="3"/>
      <c r="D10" s="3"/>
      <c r="E10" s="3"/>
      <c r="F10" s="3">
        <f t="shared" si="0"/>
        <v>0</v>
      </c>
      <c r="G10" s="3" t="s">
        <v>93</v>
      </c>
      <c r="H10" s="3"/>
      <c r="I10" s="3"/>
      <c r="J10" s="3">
        <f t="shared" si="1"/>
        <v>0</v>
      </c>
      <c r="K10" s="3"/>
      <c r="L10" s="3"/>
      <c r="M10" s="3">
        <f t="shared" si="2"/>
        <v>0</v>
      </c>
    </row>
    <row r="11" spans="2:13" x14ac:dyDescent="0.25">
      <c r="C11" s="3"/>
      <c r="D11" s="3"/>
      <c r="E11" s="3"/>
      <c r="F11" s="3">
        <f t="shared" si="0"/>
        <v>0</v>
      </c>
      <c r="G11" s="3"/>
      <c r="H11" s="3"/>
      <c r="I11" s="3"/>
      <c r="J11" s="3">
        <f t="shared" si="1"/>
        <v>0</v>
      </c>
      <c r="K11" s="3"/>
      <c r="L11" s="3"/>
      <c r="M11" s="3">
        <f t="shared" si="2"/>
        <v>0</v>
      </c>
    </row>
    <row r="12" spans="2:13" x14ac:dyDescent="0.25">
      <c r="C12" s="3"/>
      <c r="D12" s="3"/>
      <c r="E12" s="3"/>
      <c r="F12" s="3">
        <f t="shared" si="0"/>
        <v>0</v>
      </c>
      <c r="G12" s="3"/>
      <c r="H12" s="3"/>
      <c r="I12" s="3"/>
      <c r="J12" s="3">
        <f t="shared" si="1"/>
        <v>0</v>
      </c>
      <c r="K12" s="3"/>
      <c r="L12" s="3"/>
      <c r="M12" s="3">
        <f t="shared" si="2"/>
        <v>0</v>
      </c>
    </row>
    <row r="13" spans="2:13" x14ac:dyDescent="0.25">
      <c r="C13" s="3" t="s">
        <v>79</v>
      </c>
      <c r="D13" s="3"/>
      <c r="E13" s="3"/>
      <c r="F13" s="3">
        <f t="shared" si="0"/>
        <v>0</v>
      </c>
      <c r="G13" s="3" t="s">
        <v>92</v>
      </c>
      <c r="H13" s="3"/>
      <c r="I13" s="3"/>
      <c r="J13" s="3">
        <f t="shared" si="1"/>
        <v>0</v>
      </c>
      <c r="K13" s="3"/>
      <c r="L13" s="3"/>
      <c r="M13" s="3">
        <f t="shared" si="2"/>
        <v>0</v>
      </c>
    </row>
    <row r="14" spans="2:13" x14ac:dyDescent="0.25">
      <c r="C14" s="3"/>
      <c r="D14" s="3"/>
      <c r="E14" s="3"/>
      <c r="F14" s="3">
        <f t="shared" si="0"/>
        <v>0</v>
      </c>
      <c r="G14" s="3" t="s">
        <v>93</v>
      </c>
      <c r="H14" s="3"/>
      <c r="I14" s="3"/>
      <c r="J14" s="3">
        <f t="shared" si="1"/>
        <v>0</v>
      </c>
      <c r="K14" s="3"/>
      <c r="L14" s="3"/>
      <c r="M14" s="3">
        <f t="shared" si="2"/>
        <v>0</v>
      </c>
    </row>
    <row r="15" spans="2:13" x14ac:dyDescent="0.25">
      <c r="C15" s="3"/>
      <c r="D15" s="3"/>
      <c r="E15" s="3"/>
      <c r="F15" s="3">
        <f t="shared" si="0"/>
        <v>0</v>
      </c>
      <c r="G15" s="3"/>
      <c r="H15" s="3"/>
      <c r="I15" s="3"/>
      <c r="J15" s="3">
        <f t="shared" si="1"/>
        <v>0</v>
      </c>
      <c r="K15" s="3"/>
      <c r="L15" s="3"/>
      <c r="M15" s="3">
        <f t="shared" si="2"/>
        <v>0</v>
      </c>
    </row>
    <row r="16" spans="2:13" x14ac:dyDescent="0.25">
      <c r="C16" s="3"/>
      <c r="D16" s="3"/>
      <c r="E16" s="3"/>
      <c r="F16" s="3">
        <f t="shared" si="0"/>
        <v>0</v>
      </c>
      <c r="G16" s="3"/>
      <c r="H16" s="3"/>
      <c r="I16" s="3"/>
      <c r="J16" s="3">
        <f t="shared" si="1"/>
        <v>0</v>
      </c>
      <c r="K16" s="3"/>
      <c r="L16" s="3"/>
      <c r="M16" s="3">
        <f t="shared" si="2"/>
        <v>0</v>
      </c>
    </row>
    <row r="17" spans="3:13" x14ac:dyDescent="0.25">
      <c r="C17" s="3" t="s">
        <v>80</v>
      </c>
      <c r="D17" s="3"/>
      <c r="E17" s="3"/>
      <c r="F17" s="3">
        <f t="shared" si="0"/>
        <v>0</v>
      </c>
      <c r="G17" s="3" t="s">
        <v>92</v>
      </c>
      <c r="H17" s="3"/>
      <c r="I17" s="3"/>
      <c r="J17" s="3">
        <f t="shared" si="1"/>
        <v>0</v>
      </c>
      <c r="K17" s="3"/>
      <c r="L17" s="3"/>
      <c r="M17" s="3">
        <f t="shared" si="2"/>
        <v>0</v>
      </c>
    </row>
    <row r="18" spans="3:13" x14ac:dyDescent="0.25">
      <c r="C18" s="3"/>
      <c r="D18" s="3"/>
      <c r="E18" s="3"/>
      <c r="F18" s="3">
        <f t="shared" si="0"/>
        <v>0</v>
      </c>
      <c r="G18" s="3" t="s">
        <v>93</v>
      </c>
      <c r="H18" s="3"/>
      <c r="I18" s="3"/>
      <c r="J18" s="3">
        <f t="shared" si="1"/>
        <v>0</v>
      </c>
      <c r="K18" s="3"/>
      <c r="L18" s="3"/>
      <c r="M18" s="3">
        <f t="shared" si="2"/>
        <v>0</v>
      </c>
    </row>
    <row r="19" spans="3:13" x14ac:dyDescent="0.25">
      <c r="C19" s="3"/>
      <c r="D19" s="3"/>
      <c r="E19" s="3"/>
      <c r="F19" s="3">
        <f t="shared" si="0"/>
        <v>0</v>
      </c>
      <c r="G19" s="3"/>
      <c r="H19" s="3"/>
      <c r="I19" s="3"/>
      <c r="J19" s="3">
        <f t="shared" si="1"/>
        <v>0</v>
      </c>
      <c r="K19" s="3"/>
      <c r="L19" s="3"/>
      <c r="M19" s="3">
        <f t="shared" si="2"/>
        <v>0</v>
      </c>
    </row>
    <row r="20" spans="3:13" x14ac:dyDescent="0.25">
      <c r="C20" s="3" t="s">
        <v>80</v>
      </c>
      <c r="D20" s="3"/>
      <c r="E20" s="3"/>
      <c r="F20" s="3">
        <f t="shared" si="0"/>
        <v>0</v>
      </c>
      <c r="G20" s="3" t="s">
        <v>92</v>
      </c>
      <c r="H20" s="3"/>
      <c r="I20" s="3"/>
      <c r="J20" s="3">
        <f t="shared" si="1"/>
        <v>0</v>
      </c>
      <c r="K20" s="3"/>
      <c r="L20" s="3"/>
      <c r="M20" s="3">
        <f t="shared" si="2"/>
        <v>0</v>
      </c>
    </row>
    <row r="21" spans="3:13" x14ac:dyDescent="0.25">
      <c r="C21" s="3"/>
      <c r="D21" s="3"/>
      <c r="E21" s="3"/>
      <c r="F21" s="3">
        <f t="shared" si="0"/>
        <v>0</v>
      </c>
      <c r="G21" s="3" t="s">
        <v>93</v>
      </c>
      <c r="H21" s="3"/>
      <c r="I21" s="3"/>
      <c r="J21" s="3">
        <f t="shared" si="1"/>
        <v>0</v>
      </c>
      <c r="K21" s="3"/>
      <c r="L21" s="3"/>
      <c r="M21" s="3">
        <f t="shared" si="2"/>
        <v>0</v>
      </c>
    </row>
    <row r="22" spans="3:13" x14ac:dyDescent="0.25">
      <c r="C22" s="3"/>
      <c r="D22" s="3"/>
      <c r="E22" s="3"/>
      <c r="F22" s="3">
        <f t="shared" si="0"/>
        <v>0</v>
      </c>
      <c r="G22" s="3"/>
      <c r="H22" s="3"/>
      <c r="I22" s="3"/>
      <c r="J22" s="3">
        <f t="shared" si="1"/>
        <v>0</v>
      </c>
      <c r="K22" s="3"/>
      <c r="L22" s="3"/>
      <c r="M22" s="3">
        <f t="shared" si="2"/>
        <v>0</v>
      </c>
    </row>
    <row r="23" spans="3:13" x14ac:dyDescent="0.25">
      <c r="C23" s="3" t="s">
        <v>86</v>
      </c>
      <c r="D23" s="3"/>
      <c r="E23" s="3"/>
      <c r="F23" s="3">
        <f t="shared" si="0"/>
        <v>0</v>
      </c>
      <c r="G23" s="3" t="s">
        <v>94</v>
      </c>
      <c r="H23" s="3"/>
      <c r="I23" s="3"/>
      <c r="J23" s="3">
        <f t="shared" si="1"/>
        <v>0</v>
      </c>
      <c r="K23" s="3"/>
      <c r="L23" s="3"/>
      <c r="M23" s="3">
        <f t="shared" si="2"/>
        <v>0</v>
      </c>
    </row>
    <row r="24" spans="3:13" x14ac:dyDescent="0.25">
      <c r="C24" s="3" t="s">
        <v>87</v>
      </c>
      <c r="D24" s="3"/>
      <c r="E24" s="3"/>
      <c r="F24" s="3">
        <f t="shared" si="0"/>
        <v>0</v>
      </c>
      <c r="G24" s="3" t="s">
        <v>94</v>
      </c>
      <c r="H24" s="3"/>
      <c r="I24" s="3"/>
      <c r="J24" s="3">
        <f t="shared" si="1"/>
        <v>0</v>
      </c>
      <c r="K24" s="3"/>
      <c r="L24" s="3"/>
      <c r="M24" s="3">
        <f t="shared" si="2"/>
        <v>0</v>
      </c>
    </row>
    <row r="25" spans="3:13" x14ac:dyDescent="0.25">
      <c r="C25" s="3" t="s">
        <v>88</v>
      </c>
      <c r="D25" s="3"/>
      <c r="E25" s="3"/>
      <c r="F25" s="3">
        <f t="shared" si="0"/>
        <v>0</v>
      </c>
      <c r="G25" s="3" t="s">
        <v>94</v>
      </c>
      <c r="H25" s="3"/>
      <c r="I25" s="3"/>
      <c r="J25" s="3">
        <f t="shared" si="1"/>
        <v>0</v>
      </c>
      <c r="K25" s="3"/>
      <c r="L25" s="3"/>
      <c r="M25" s="3">
        <f t="shared" si="2"/>
        <v>0</v>
      </c>
    </row>
    <row r="26" spans="3:13" x14ac:dyDescent="0.25">
      <c r="C26" s="3"/>
      <c r="D26" s="3"/>
      <c r="E26" s="3"/>
      <c r="F26" s="3">
        <f t="shared" si="0"/>
        <v>0</v>
      </c>
      <c r="G26" s="3"/>
      <c r="H26" s="3"/>
      <c r="I26" s="3"/>
      <c r="J26" s="3">
        <f t="shared" si="1"/>
        <v>0</v>
      </c>
      <c r="K26" s="3"/>
      <c r="L26" s="3"/>
      <c r="M26" s="3">
        <f t="shared" si="2"/>
        <v>0</v>
      </c>
    </row>
    <row r="27" spans="3:13" x14ac:dyDescent="0.25">
      <c r="C27" s="3" t="s">
        <v>82</v>
      </c>
      <c r="D27" s="3"/>
      <c r="E27" s="3"/>
      <c r="F27" s="3">
        <f t="shared" si="0"/>
        <v>0</v>
      </c>
      <c r="G27" s="3"/>
      <c r="H27" s="3"/>
      <c r="I27" s="3"/>
      <c r="J27" s="3">
        <f t="shared" si="1"/>
        <v>0</v>
      </c>
      <c r="K27" s="3"/>
      <c r="L27" s="3"/>
      <c r="M27" s="3">
        <f t="shared" si="2"/>
        <v>0</v>
      </c>
    </row>
    <row r="28" spans="3:13" x14ac:dyDescent="0.25">
      <c r="C28" s="3" t="s">
        <v>83</v>
      </c>
      <c r="D28" s="3"/>
      <c r="E28" s="3"/>
      <c r="F28" s="3">
        <f t="shared" si="0"/>
        <v>0</v>
      </c>
      <c r="G28" s="3"/>
      <c r="H28" s="3"/>
      <c r="I28" s="3"/>
      <c r="J28" s="3">
        <f t="shared" si="1"/>
        <v>0</v>
      </c>
      <c r="K28" s="3"/>
      <c r="L28" s="3"/>
      <c r="M28" s="3">
        <f t="shared" si="2"/>
        <v>0</v>
      </c>
    </row>
    <row r="29" spans="3:13" x14ac:dyDescent="0.25">
      <c r="C29" s="3" t="s">
        <v>84</v>
      </c>
      <c r="D29" s="3"/>
      <c r="E29" s="3"/>
      <c r="F29" s="3">
        <f t="shared" si="0"/>
        <v>0</v>
      </c>
      <c r="G29" s="3"/>
      <c r="H29" s="3"/>
      <c r="I29" s="3"/>
      <c r="J29" s="3">
        <f t="shared" si="1"/>
        <v>0</v>
      </c>
      <c r="K29" s="3"/>
      <c r="L29" s="3"/>
      <c r="M29" s="3">
        <f t="shared" si="2"/>
        <v>0</v>
      </c>
    </row>
    <row r="30" spans="3:13" x14ac:dyDescent="0.25">
      <c r="C30" s="3" t="s">
        <v>85</v>
      </c>
      <c r="D30" s="3"/>
      <c r="E30" s="3"/>
      <c r="F30" s="3">
        <f t="shared" si="0"/>
        <v>0</v>
      </c>
      <c r="G30" s="3"/>
      <c r="H30" s="3"/>
      <c r="I30" s="3"/>
      <c r="J30" s="3">
        <f>H30*I30</f>
        <v>0</v>
      </c>
      <c r="K30" s="3"/>
      <c r="L30" s="3"/>
      <c r="M30" s="3">
        <f>K30*L30</f>
        <v>0</v>
      </c>
    </row>
    <row r="31" spans="3:13" x14ac:dyDescent="0.25">
      <c r="C31" s="3"/>
      <c r="D31" s="3"/>
      <c r="E31" s="3"/>
      <c r="F31" s="3">
        <f t="shared" si="0"/>
        <v>0</v>
      </c>
      <c r="G31" s="3"/>
      <c r="H31" s="3"/>
      <c r="I31" s="3"/>
      <c r="J31" s="3">
        <f>H31*I31</f>
        <v>0</v>
      </c>
      <c r="K31" s="3"/>
      <c r="L31" s="3"/>
      <c r="M31" s="3">
        <f>K31*L31</f>
        <v>0</v>
      </c>
    </row>
    <row r="32" spans="3:13" x14ac:dyDescent="0.25">
      <c r="C32" s="3"/>
      <c r="D32" s="3"/>
      <c r="E32" s="3"/>
      <c r="F32" s="3">
        <f t="shared" si="0"/>
        <v>0</v>
      </c>
      <c r="G32" s="3"/>
      <c r="H32" s="3"/>
      <c r="I32" s="3"/>
      <c r="J32" s="3">
        <f>H32*I32</f>
        <v>0</v>
      </c>
      <c r="K32" s="3"/>
      <c r="L32" s="3"/>
      <c r="M32" s="3">
        <f>K32*L32</f>
        <v>0</v>
      </c>
    </row>
    <row r="33" spans="3:13" x14ac:dyDescent="0.25">
      <c r="C33" s="3"/>
      <c r="D33" s="3"/>
      <c r="E33" s="3"/>
      <c r="F33" s="3">
        <f t="shared" si="0"/>
        <v>0</v>
      </c>
      <c r="G33" s="3"/>
      <c r="H33" s="3"/>
      <c r="I33" s="3"/>
      <c r="J33" s="3">
        <f>H33*I33</f>
        <v>0</v>
      </c>
      <c r="K33" s="3"/>
      <c r="L33" s="3"/>
      <c r="M33" s="3">
        <f>K33*L33</f>
        <v>0</v>
      </c>
    </row>
    <row r="34" spans="3:13" x14ac:dyDescent="0.25">
      <c r="C34" s="3" t="s">
        <v>89</v>
      </c>
      <c r="D34" s="3"/>
      <c r="E34" s="3">
        <f>F34*10.764</f>
        <v>0</v>
      </c>
      <c r="F34" s="3">
        <f>SUM(F6:F33)</f>
        <v>0</v>
      </c>
      <c r="G34" s="3"/>
      <c r="H34" s="3"/>
      <c r="I34" s="3">
        <f>J34*10.764</f>
        <v>0</v>
      </c>
      <c r="J34" s="3">
        <f>SUM(J6:J33)</f>
        <v>0</v>
      </c>
      <c r="K34" s="3"/>
      <c r="L34" s="3">
        <f>M34*10.764</f>
        <v>0</v>
      </c>
      <c r="M34" s="3">
        <f>SUM(M6:M33)</f>
        <v>0</v>
      </c>
    </row>
  </sheetData>
  <mergeCells count="4">
    <mergeCell ref="D2:E2"/>
    <mergeCell ref="D4:F4"/>
    <mergeCell ref="H4:J4"/>
    <mergeCell ref="K4:M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M35"/>
  <sheetViews>
    <sheetView workbookViewId="0">
      <selection activeCell="G7" sqref="G7:G8"/>
    </sheetView>
  </sheetViews>
  <sheetFormatPr defaultRowHeight="15" x14ac:dyDescent="0.25"/>
  <sheetData>
    <row r="3" spans="2:13" x14ac:dyDescent="0.25">
      <c r="C3" s="6" t="s">
        <v>90</v>
      </c>
      <c r="D3" s="226"/>
      <c r="E3" s="226"/>
    </row>
    <row r="4" spans="2:13" x14ac:dyDescent="0.25">
      <c r="E4" s="5"/>
      <c r="F4" s="5"/>
      <c r="G4" s="5"/>
      <c r="H4" s="5"/>
      <c r="I4" s="5"/>
      <c r="J4" s="5"/>
    </row>
    <row r="5" spans="2:13" x14ac:dyDescent="0.25">
      <c r="B5" s="6" t="s">
        <v>91</v>
      </c>
      <c r="C5" s="4" t="s">
        <v>71</v>
      </c>
      <c r="D5" s="227" t="s">
        <v>72</v>
      </c>
      <c r="E5" s="227"/>
      <c r="F5" s="227"/>
      <c r="G5" s="7"/>
      <c r="H5" s="227" t="s">
        <v>73</v>
      </c>
      <c r="I5" s="227"/>
      <c r="J5" s="227"/>
      <c r="K5" s="227" t="s">
        <v>74</v>
      </c>
      <c r="L5" s="227"/>
      <c r="M5" s="227"/>
    </row>
    <row r="6" spans="2:13" x14ac:dyDescent="0.25">
      <c r="B6" s="6">
        <v>1</v>
      </c>
      <c r="C6" s="4"/>
      <c r="D6" s="4" t="s">
        <v>75</v>
      </c>
      <c r="E6" s="4" t="s">
        <v>76</v>
      </c>
      <c r="F6" s="4" t="s">
        <v>77</v>
      </c>
      <c r="G6" s="4"/>
      <c r="H6" s="4" t="s">
        <v>75</v>
      </c>
      <c r="I6" s="4" t="s">
        <v>76</v>
      </c>
      <c r="J6" s="4" t="s">
        <v>77</v>
      </c>
      <c r="K6" s="4" t="s">
        <v>75</v>
      </c>
      <c r="L6" s="4" t="s">
        <v>76</v>
      </c>
      <c r="M6" s="4" t="s">
        <v>77</v>
      </c>
    </row>
    <row r="7" spans="2:13" x14ac:dyDescent="0.25">
      <c r="C7" s="3" t="s">
        <v>78</v>
      </c>
      <c r="D7" s="3"/>
      <c r="E7" s="3"/>
      <c r="F7" s="3">
        <f>D7*E7</f>
        <v>0</v>
      </c>
      <c r="G7" s="3" t="s">
        <v>92</v>
      </c>
      <c r="H7" s="3"/>
      <c r="I7" s="3"/>
      <c r="J7" s="3">
        <f>H7*I7</f>
        <v>0</v>
      </c>
      <c r="K7" s="3"/>
      <c r="L7" s="3"/>
      <c r="M7" s="3">
        <f>K7*L7</f>
        <v>0</v>
      </c>
    </row>
    <row r="8" spans="2:13" x14ac:dyDescent="0.25">
      <c r="C8" s="3"/>
      <c r="D8" s="3"/>
      <c r="E8" s="3"/>
      <c r="F8" s="3">
        <f t="shared" ref="F8:F34" si="0">D8*E8</f>
        <v>0</v>
      </c>
      <c r="G8" s="3" t="s">
        <v>93</v>
      </c>
      <c r="H8" s="3"/>
      <c r="I8" s="3"/>
      <c r="J8" s="3">
        <f t="shared" ref="J8:J34" si="1">H8*I8</f>
        <v>0</v>
      </c>
      <c r="K8" s="3"/>
      <c r="L8" s="3"/>
      <c r="M8" s="3">
        <f t="shared" ref="M8:M34" si="2">K8*L8</f>
        <v>0</v>
      </c>
    </row>
    <row r="9" spans="2:13" x14ac:dyDescent="0.25">
      <c r="C9" s="3"/>
      <c r="D9" s="3"/>
      <c r="E9" s="3"/>
      <c r="F9" s="3">
        <f t="shared" si="0"/>
        <v>0</v>
      </c>
      <c r="G9" s="3"/>
      <c r="H9" s="3"/>
      <c r="I9" s="3"/>
      <c r="J9" s="3">
        <f t="shared" si="1"/>
        <v>0</v>
      </c>
      <c r="K9" s="3"/>
      <c r="L9" s="3"/>
      <c r="M9" s="3">
        <f t="shared" si="2"/>
        <v>0</v>
      </c>
    </row>
    <row r="10" spans="2:13" x14ac:dyDescent="0.25">
      <c r="C10" s="3" t="s">
        <v>81</v>
      </c>
      <c r="D10" s="3"/>
      <c r="E10" s="3"/>
      <c r="F10" s="3">
        <f t="shared" si="0"/>
        <v>0</v>
      </c>
      <c r="G10" s="3" t="s">
        <v>92</v>
      </c>
      <c r="H10" s="3"/>
      <c r="I10" s="3"/>
      <c r="J10" s="3">
        <f t="shared" si="1"/>
        <v>0</v>
      </c>
      <c r="K10" s="3"/>
      <c r="L10" s="3"/>
      <c r="M10" s="3">
        <f t="shared" si="2"/>
        <v>0</v>
      </c>
    </row>
    <row r="11" spans="2:13" x14ac:dyDescent="0.25">
      <c r="C11" s="3"/>
      <c r="D11" s="3"/>
      <c r="E11" s="3"/>
      <c r="F11" s="3">
        <f t="shared" si="0"/>
        <v>0</v>
      </c>
      <c r="G11" s="3" t="s">
        <v>93</v>
      </c>
      <c r="H11" s="3"/>
      <c r="I11" s="3"/>
      <c r="J11" s="3">
        <f t="shared" si="1"/>
        <v>0</v>
      </c>
      <c r="K11" s="3"/>
      <c r="L11" s="3"/>
      <c r="M11" s="3">
        <f t="shared" si="2"/>
        <v>0</v>
      </c>
    </row>
    <row r="12" spans="2:13" x14ac:dyDescent="0.25">
      <c r="C12" s="3"/>
      <c r="D12" s="3"/>
      <c r="E12" s="3"/>
      <c r="F12" s="3">
        <f t="shared" si="0"/>
        <v>0</v>
      </c>
      <c r="G12" s="3"/>
      <c r="H12" s="3"/>
      <c r="I12" s="3"/>
      <c r="J12" s="3">
        <f t="shared" si="1"/>
        <v>0</v>
      </c>
      <c r="K12" s="3"/>
      <c r="L12" s="3"/>
      <c r="M12" s="3">
        <f t="shared" si="2"/>
        <v>0</v>
      </c>
    </row>
    <row r="13" spans="2:13" x14ac:dyDescent="0.25">
      <c r="C13" s="3"/>
      <c r="D13" s="3"/>
      <c r="E13" s="3"/>
      <c r="F13" s="3">
        <f t="shared" si="0"/>
        <v>0</v>
      </c>
      <c r="G13" s="3"/>
      <c r="H13" s="3"/>
      <c r="I13" s="3"/>
      <c r="J13" s="3">
        <f t="shared" si="1"/>
        <v>0</v>
      </c>
      <c r="K13" s="3"/>
      <c r="L13" s="3"/>
      <c r="M13" s="3">
        <f t="shared" si="2"/>
        <v>0</v>
      </c>
    </row>
    <row r="14" spans="2:13" x14ac:dyDescent="0.25">
      <c r="C14" s="3" t="s">
        <v>79</v>
      </c>
      <c r="D14" s="3"/>
      <c r="E14" s="3"/>
      <c r="F14" s="3">
        <f t="shared" si="0"/>
        <v>0</v>
      </c>
      <c r="G14" s="3" t="s">
        <v>92</v>
      </c>
      <c r="H14" s="3"/>
      <c r="I14" s="3"/>
      <c r="J14" s="3">
        <f t="shared" si="1"/>
        <v>0</v>
      </c>
      <c r="K14" s="3"/>
      <c r="L14" s="3"/>
      <c r="M14" s="3">
        <f t="shared" si="2"/>
        <v>0</v>
      </c>
    </row>
    <row r="15" spans="2:13" x14ac:dyDescent="0.25">
      <c r="C15" s="3"/>
      <c r="D15" s="3"/>
      <c r="E15" s="3"/>
      <c r="F15" s="3">
        <f t="shared" si="0"/>
        <v>0</v>
      </c>
      <c r="G15" s="3" t="s">
        <v>93</v>
      </c>
      <c r="H15" s="3"/>
      <c r="I15" s="3"/>
      <c r="J15" s="3">
        <f t="shared" si="1"/>
        <v>0</v>
      </c>
      <c r="K15" s="3"/>
      <c r="L15" s="3"/>
      <c r="M15" s="3">
        <f t="shared" si="2"/>
        <v>0</v>
      </c>
    </row>
    <row r="16" spans="2:13" x14ac:dyDescent="0.25">
      <c r="C16" s="3"/>
      <c r="D16" s="3"/>
      <c r="E16" s="3"/>
      <c r="F16" s="3">
        <f t="shared" si="0"/>
        <v>0</v>
      </c>
      <c r="G16" s="3"/>
      <c r="H16" s="3"/>
      <c r="I16" s="3"/>
      <c r="J16" s="3">
        <f t="shared" si="1"/>
        <v>0</v>
      </c>
      <c r="K16" s="3"/>
      <c r="L16" s="3"/>
      <c r="M16" s="3">
        <f t="shared" si="2"/>
        <v>0</v>
      </c>
    </row>
    <row r="17" spans="3:13" x14ac:dyDescent="0.25">
      <c r="C17" s="3"/>
      <c r="D17" s="3"/>
      <c r="E17" s="3"/>
      <c r="F17" s="3">
        <f t="shared" si="0"/>
        <v>0</v>
      </c>
      <c r="G17" s="3"/>
      <c r="H17" s="3"/>
      <c r="I17" s="3"/>
      <c r="J17" s="3">
        <f t="shared" si="1"/>
        <v>0</v>
      </c>
      <c r="K17" s="3"/>
      <c r="L17" s="3"/>
      <c r="M17" s="3">
        <f t="shared" si="2"/>
        <v>0</v>
      </c>
    </row>
    <row r="18" spans="3:13" x14ac:dyDescent="0.25">
      <c r="C18" s="3" t="s">
        <v>80</v>
      </c>
      <c r="D18" s="3"/>
      <c r="E18" s="3"/>
      <c r="F18" s="3">
        <f t="shared" si="0"/>
        <v>0</v>
      </c>
      <c r="G18" s="3" t="s">
        <v>92</v>
      </c>
      <c r="H18" s="3"/>
      <c r="I18" s="3"/>
      <c r="J18" s="3">
        <f t="shared" si="1"/>
        <v>0</v>
      </c>
      <c r="K18" s="3"/>
      <c r="L18" s="3"/>
      <c r="M18" s="3">
        <f t="shared" si="2"/>
        <v>0</v>
      </c>
    </row>
    <row r="19" spans="3:13" x14ac:dyDescent="0.25">
      <c r="C19" s="3"/>
      <c r="D19" s="3"/>
      <c r="E19" s="3"/>
      <c r="F19" s="3">
        <f t="shared" si="0"/>
        <v>0</v>
      </c>
      <c r="G19" s="3" t="s">
        <v>93</v>
      </c>
      <c r="H19" s="3"/>
      <c r="I19" s="3"/>
      <c r="J19" s="3">
        <f t="shared" si="1"/>
        <v>0</v>
      </c>
      <c r="K19" s="3"/>
      <c r="L19" s="3"/>
      <c r="M19" s="3">
        <f t="shared" si="2"/>
        <v>0</v>
      </c>
    </row>
    <row r="20" spans="3:13" x14ac:dyDescent="0.25">
      <c r="C20" s="3"/>
      <c r="D20" s="3"/>
      <c r="E20" s="3"/>
      <c r="F20" s="3">
        <f t="shared" si="0"/>
        <v>0</v>
      </c>
      <c r="G20" s="3"/>
      <c r="H20" s="3"/>
      <c r="I20" s="3"/>
      <c r="J20" s="3">
        <f t="shared" si="1"/>
        <v>0</v>
      </c>
      <c r="K20" s="3"/>
      <c r="L20" s="3"/>
      <c r="M20" s="3">
        <f t="shared" si="2"/>
        <v>0</v>
      </c>
    </row>
    <row r="21" spans="3:13" x14ac:dyDescent="0.25">
      <c r="C21" s="3" t="s">
        <v>80</v>
      </c>
      <c r="D21" s="3"/>
      <c r="E21" s="3"/>
      <c r="F21" s="3">
        <f t="shared" si="0"/>
        <v>0</v>
      </c>
      <c r="G21" s="3" t="s">
        <v>92</v>
      </c>
      <c r="H21" s="3"/>
      <c r="I21" s="3"/>
      <c r="J21" s="3">
        <f t="shared" si="1"/>
        <v>0</v>
      </c>
      <c r="K21" s="3"/>
      <c r="L21" s="3"/>
      <c r="M21" s="3">
        <f t="shared" si="2"/>
        <v>0</v>
      </c>
    </row>
    <row r="22" spans="3:13" x14ac:dyDescent="0.25">
      <c r="C22" s="3"/>
      <c r="D22" s="3"/>
      <c r="E22" s="3"/>
      <c r="F22" s="3">
        <f t="shared" si="0"/>
        <v>0</v>
      </c>
      <c r="G22" s="3" t="s">
        <v>93</v>
      </c>
      <c r="H22" s="3"/>
      <c r="I22" s="3"/>
      <c r="J22" s="3">
        <f t="shared" si="1"/>
        <v>0</v>
      </c>
      <c r="K22" s="3"/>
      <c r="L22" s="3"/>
      <c r="M22" s="3">
        <f t="shared" si="2"/>
        <v>0</v>
      </c>
    </row>
    <row r="23" spans="3:13" x14ac:dyDescent="0.25">
      <c r="C23" s="3"/>
      <c r="D23" s="3"/>
      <c r="E23" s="3"/>
      <c r="F23" s="3">
        <f t="shared" si="0"/>
        <v>0</v>
      </c>
      <c r="G23" s="3"/>
      <c r="H23" s="3"/>
      <c r="I23" s="3"/>
      <c r="J23" s="3">
        <f t="shared" si="1"/>
        <v>0</v>
      </c>
      <c r="K23" s="3"/>
      <c r="L23" s="3"/>
      <c r="M23" s="3">
        <f t="shared" si="2"/>
        <v>0</v>
      </c>
    </row>
    <row r="24" spans="3:13" x14ac:dyDescent="0.25">
      <c r="C24" s="3" t="s">
        <v>86</v>
      </c>
      <c r="D24" s="3"/>
      <c r="E24" s="3"/>
      <c r="F24" s="3">
        <f t="shared" si="0"/>
        <v>0</v>
      </c>
      <c r="G24" s="3" t="s">
        <v>94</v>
      </c>
      <c r="H24" s="3"/>
      <c r="I24" s="3"/>
      <c r="J24" s="3">
        <f t="shared" si="1"/>
        <v>0</v>
      </c>
      <c r="K24" s="3"/>
      <c r="L24" s="3"/>
      <c r="M24" s="3">
        <f t="shared" si="2"/>
        <v>0</v>
      </c>
    </row>
    <row r="25" spans="3:13" x14ac:dyDescent="0.25">
      <c r="C25" s="3" t="s">
        <v>87</v>
      </c>
      <c r="D25" s="3"/>
      <c r="E25" s="3"/>
      <c r="F25" s="3">
        <f t="shared" si="0"/>
        <v>0</v>
      </c>
      <c r="G25" s="3" t="s">
        <v>94</v>
      </c>
      <c r="H25" s="3"/>
      <c r="I25" s="3"/>
      <c r="J25" s="3">
        <f t="shared" si="1"/>
        <v>0</v>
      </c>
      <c r="K25" s="3"/>
      <c r="L25" s="3"/>
      <c r="M25" s="3">
        <f t="shared" si="2"/>
        <v>0</v>
      </c>
    </row>
    <row r="26" spans="3:13" x14ac:dyDescent="0.25">
      <c r="C26" s="3" t="s">
        <v>88</v>
      </c>
      <c r="D26" s="3"/>
      <c r="E26" s="3"/>
      <c r="F26" s="3">
        <f t="shared" si="0"/>
        <v>0</v>
      </c>
      <c r="G26" s="3" t="s">
        <v>94</v>
      </c>
      <c r="H26" s="3"/>
      <c r="I26" s="3"/>
      <c r="J26" s="3">
        <f t="shared" si="1"/>
        <v>0</v>
      </c>
      <c r="K26" s="3"/>
      <c r="L26" s="3"/>
      <c r="M26" s="3">
        <f t="shared" si="2"/>
        <v>0</v>
      </c>
    </row>
    <row r="27" spans="3:13" x14ac:dyDescent="0.25">
      <c r="C27" s="3"/>
      <c r="D27" s="3"/>
      <c r="E27" s="3"/>
      <c r="F27" s="3">
        <f t="shared" si="0"/>
        <v>0</v>
      </c>
      <c r="G27" s="3"/>
      <c r="H27" s="3"/>
      <c r="I27" s="3"/>
      <c r="J27" s="3">
        <f t="shared" si="1"/>
        <v>0</v>
      </c>
      <c r="K27" s="3"/>
      <c r="L27" s="3"/>
      <c r="M27" s="3">
        <f t="shared" si="2"/>
        <v>0</v>
      </c>
    </row>
    <row r="28" spans="3:13" x14ac:dyDescent="0.25">
      <c r="C28" s="3" t="s">
        <v>82</v>
      </c>
      <c r="D28" s="3"/>
      <c r="E28" s="3"/>
      <c r="F28" s="3">
        <f t="shared" si="0"/>
        <v>0</v>
      </c>
      <c r="G28" s="3"/>
      <c r="H28" s="3"/>
      <c r="I28" s="3"/>
      <c r="J28" s="3">
        <f t="shared" si="1"/>
        <v>0</v>
      </c>
      <c r="K28" s="3"/>
      <c r="L28" s="3"/>
      <c r="M28" s="3">
        <f t="shared" si="2"/>
        <v>0</v>
      </c>
    </row>
    <row r="29" spans="3:13" x14ac:dyDescent="0.25">
      <c r="C29" s="3" t="s">
        <v>83</v>
      </c>
      <c r="D29" s="3"/>
      <c r="E29" s="3"/>
      <c r="F29" s="3">
        <f t="shared" si="0"/>
        <v>0</v>
      </c>
      <c r="G29" s="3"/>
      <c r="H29" s="3"/>
      <c r="I29" s="3"/>
      <c r="J29" s="3">
        <f t="shared" si="1"/>
        <v>0</v>
      </c>
      <c r="K29" s="3"/>
      <c r="L29" s="3"/>
      <c r="M29" s="3">
        <f t="shared" si="2"/>
        <v>0</v>
      </c>
    </row>
    <row r="30" spans="3:13" x14ac:dyDescent="0.25">
      <c r="C30" s="3" t="s">
        <v>84</v>
      </c>
      <c r="D30" s="3"/>
      <c r="E30" s="3"/>
      <c r="F30" s="3">
        <f t="shared" si="0"/>
        <v>0</v>
      </c>
      <c r="G30" s="3"/>
      <c r="H30" s="3"/>
      <c r="I30" s="3"/>
      <c r="J30" s="3">
        <f t="shared" si="1"/>
        <v>0</v>
      </c>
      <c r="K30" s="3"/>
      <c r="L30" s="3"/>
      <c r="M30" s="3">
        <f t="shared" si="2"/>
        <v>0</v>
      </c>
    </row>
    <row r="31" spans="3:13" x14ac:dyDescent="0.25">
      <c r="C31" s="3" t="s">
        <v>85</v>
      </c>
      <c r="D31" s="3"/>
      <c r="E31" s="3"/>
      <c r="F31" s="3">
        <f t="shared" si="0"/>
        <v>0</v>
      </c>
      <c r="G31" s="3"/>
      <c r="H31" s="3"/>
      <c r="I31" s="3"/>
      <c r="J31" s="3">
        <f t="shared" si="1"/>
        <v>0</v>
      </c>
      <c r="K31" s="3"/>
      <c r="L31" s="3"/>
      <c r="M31" s="3">
        <f t="shared" si="2"/>
        <v>0</v>
      </c>
    </row>
    <row r="32" spans="3:13" x14ac:dyDescent="0.25">
      <c r="C32" s="3"/>
      <c r="D32" s="3"/>
      <c r="E32" s="3"/>
      <c r="F32" s="3">
        <f t="shared" si="0"/>
        <v>0</v>
      </c>
      <c r="G32" s="3"/>
      <c r="H32" s="3"/>
      <c r="I32" s="3"/>
      <c r="J32" s="3">
        <f t="shared" si="1"/>
        <v>0</v>
      </c>
      <c r="K32" s="3"/>
      <c r="L32" s="3"/>
      <c r="M32" s="3">
        <f t="shared" si="2"/>
        <v>0</v>
      </c>
    </row>
    <row r="33" spans="3:13" x14ac:dyDescent="0.25">
      <c r="C33" s="3"/>
      <c r="D33" s="3"/>
      <c r="E33" s="3"/>
      <c r="F33" s="3">
        <f t="shared" si="0"/>
        <v>0</v>
      </c>
      <c r="G33" s="3"/>
      <c r="H33" s="3"/>
      <c r="I33" s="3"/>
      <c r="J33" s="3">
        <f t="shared" si="1"/>
        <v>0</v>
      </c>
      <c r="K33" s="3"/>
      <c r="L33" s="3"/>
      <c r="M33" s="3">
        <f t="shared" si="2"/>
        <v>0</v>
      </c>
    </row>
    <row r="34" spans="3:13" x14ac:dyDescent="0.25">
      <c r="C34" s="3"/>
      <c r="D34" s="3"/>
      <c r="E34" s="3"/>
      <c r="F34" s="3">
        <f t="shared" si="0"/>
        <v>0</v>
      </c>
      <c r="G34" s="3"/>
      <c r="H34" s="3"/>
      <c r="I34" s="3"/>
      <c r="J34" s="3">
        <f t="shared" si="1"/>
        <v>0</v>
      </c>
      <c r="K34" s="3"/>
      <c r="L34" s="3"/>
      <c r="M34" s="3">
        <f t="shared" si="2"/>
        <v>0</v>
      </c>
    </row>
    <row r="35" spans="3:13" x14ac:dyDescent="0.25">
      <c r="C35" s="3" t="s">
        <v>89</v>
      </c>
      <c r="D35" s="3"/>
      <c r="E35" s="3">
        <f>F35*10.764</f>
        <v>0</v>
      </c>
      <c r="F35" s="3">
        <f>SUM(F7:F34)</f>
        <v>0</v>
      </c>
      <c r="G35" s="3"/>
      <c r="H35" s="3"/>
      <c r="I35" s="3">
        <f>J35*10.764</f>
        <v>0</v>
      </c>
      <c r="J35" s="3">
        <f>SUM(J7:J34)</f>
        <v>0</v>
      </c>
      <c r="K35" s="3"/>
      <c r="L35" s="3">
        <f>M35*10.764</f>
        <v>0</v>
      </c>
      <c r="M35" s="3">
        <f>SUM(M7:M34)</f>
        <v>0</v>
      </c>
    </row>
  </sheetData>
  <mergeCells count="4">
    <mergeCell ref="D3:E3"/>
    <mergeCell ref="D5:F5"/>
    <mergeCell ref="H5:J5"/>
    <mergeCell ref="K5:M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N35"/>
  <sheetViews>
    <sheetView workbookViewId="0">
      <selection activeCell="H7" sqref="H7:H8"/>
    </sheetView>
  </sheetViews>
  <sheetFormatPr defaultRowHeight="15" x14ac:dyDescent="0.25"/>
  <sheetData>
    <row r="3" spans="3:14" x14ac:dyDescent="0.25">
      <c r="D3" s="6" t="s">
        <v>90</v>
      </c>
      <c r="E3" s="226"/>
      <c r="F3" s="226"/>
    </row>
    <row r="4" spans="3:14" x14ac:dyDescent="0.25">
      <c r="F4" s="5"/>
      <c r="G4" s="5"/>
      <c r="H4" s="5"/>
      <c r="I4" s="5"/>
      <c r="J4" s="5"/>
      <c r="K4" s="5"/>
    </row>
    <row r="5" spans="3:14" x14ac:dyDescent="0.25">
      <c r="C5" s="6" t="s">
        <v>91</v>
      </c>
      <c r="D5" s="4" t="s">
        <v>71</v>
      </c>
      <c r="E5" s="227" t="s">
        <v>72</v>
      </c>
      <c r="F5" s="227"/>
      <c r="G5" s="227"/>
      <c r="H5" s="7"/>
      <c r="I5" s="227" t="s">
        <v>73</v>
      </c>
      <c r="J5" s="227"/>
      <c r="K5" s="227"/>
      <c r="L5" s="227" t="s">
        <v>74</v>
      </c>
      <c r="M5" s="227"/>
      <c r="N5" s="227"/>
    </row>
    <row r="6" spans="3:14" x14ac:dyDescent="0.25">
      <c r="C6" s="6">
        <v>1</v>
      </c>
      <c r="D6" s="4"/>
      <c r="E6" s="4" t="s">
        <v>75</v>
      </c>
      <c r="F6" s="4" t="s">
        <v>76</v>
      </c>
      <c r="G6" s="4" t="s">
        <v>77</v>
      </c>
      <c r="H6" s="4"/>
      <c r="I6" s="4" t="s">
        <v>75</v>
      </c>
      <c r="J6" s="4" t="s">
        <v>76</v>
      </c>
      <c r="K6" s="4" t="s">
        <v>77</v>
      </c>
      <c r="L6" s="4" t="s">
        <v>75</v>
      </c>
      <c r="M6" s="4" t="s">
        <v>76</v>
      </c>
      <c r="N6" s="4" t="s">
        <v>77</v>
      </c>
    </row>
    <row r="7" spans="3:14" x14ac:dyDescent="0.25">
      <c r="D7" s="3" t="s">
        <v>78</v>
      </c>
      <c r="E7" s="3"/>
      <c r="F7" s="3"/>
      <c r="G7" s="3">
        <f>E7*F7</f>
        <v>0</v>
      </c>
      <c r="H7" s="3" t="s">
        <v>92</v>
      </c>
      <c r="I7" s="3"/>
      <c r="J7" s="3"/>
      <c r="K7" s="3">
        <f>I7*J7</f>
        <v>0</v>
      </c>
      <c r="L7" s="3"/>
      <c r="M7" s="3"/>
      <c r="N7" s="3">
        <f>L7*M7</f>
        <v>0</v>
      </c>
    </row>
    <row r="8" spans="3:14" x14ac:dyDescent="0.25">
      <c r="D8" s="3"/>
      <c r="E8" s="3"/>
      <c r="F8" s="3"/>
      <c r="G8" s="3">
        <f t="shared" ref="G8:G34" si="0">E8*F8</f>
        <v>0</v>
      </c>
      <c r="H8" s="3" t="s">
        <v>93</v>
      </c>
      <c r="I8" s="3"/>
      <c r="J8" s="3"/>
      <c r="K8" s="3">
        <f t="shared" ref="K8:K34" si="1">I8*J8</f>
        <v>0</v>
      </c>
      <c r="L8" s="3"/>
      <c r="M8" s="3"/>
      <c r="N8" s="3">
        <f t="shared" ref="N8:N34" si="2">L8*M8</f>
        <v>0</v>
      </c>
    </row>
    <row r="9" spans="3:14" x14ac:dyDescent="0.25">
      <c r="D9" s="3"/>
      <c r="E9" s="3"/>
      <c r="F9" s="3"/>
      <c r="G9" s="3">
        <f t="shared" si="0"/>
        <v>0</v>
      </c>
      <c r="H9" s="3"/>
      <c r="I9" s="3"/>
      <c r="J9" s="3"/>
      <c r="K9" s="3">
        <f t="shared" si="1"/>
        <v>0</v>
      </c>
      <c r="L9" s="3"/>
      <c r="M9" s="3"/>
      <c r="N9" s="3">
        <f t="shared" si="2"/>
        <v>0</v>
      </c>
    </row>
    <row r="10" spans="3:14" x14ac:dyDescent="0.25">
      <c r="D10" s="3" t="s">
        <v>81</v>
      </c>
      <c r="E10" s="3"/>
      <c r="F10" s="3"/>
      <c r="G10" s="3">
        <f t="shared" si="0"/>
        <v>0</v>
      </c>
      <c r="H10" s="3" t="s">
        <v>92</v>
      </c>
      <c r="I10" s="3"/>
      <c r="J10" s="3"/>
      <c r="K10" s="3">
        <f t="shared" si="1"/>
        <v>0</v>
      </c>
      <c r="L10" s="3"/>
      <c r="M10" s="3"/>
      <c r="N10" s="3">
        <f t="shared" si="2"/>
        <v>0</v>
      </c>
    </row>
    <row r="11" spans="3:14" x14ac:dyDescent="0.25">
      <c r="D11" s="3"/>
      <c r="E11" s="3"/>
      <c r="F11" s="3"/>
      <c r="G11" s="3">
        <f t="shared" si="0"/>
        <v>0</v>
      </c>
      <c r="H11" s="3" t="s">
        <v>93</v>
      </c>
      <c r="I11" s="3"/>
      <c r="J11" s="3"/>
      <c r="K11" s="3">
        <f t="shared" si="1"/>
        <v>0</v>
      </c>
      <c r="L11" s="3"/>
      <c r="M11" s="3"/>
      <c r="N11" s="3">
        <f t="shared" si="2"/>
        <v>0</v>
      </c>
    </row>
    <row r="12" spans="3:14" x14ac:dyDescent="0.25">
      <c r="D12" s="3"/>
      <c r="E12" s="3"/>
      <c r="F12" s="3"/>
      <c r="G12" s="3">
        <f t="shared" si="0"/>
        <v>0</v>
      </c>
      <c r="H12" s="3"/>
      <c r="I12" s="3"/>
      <c r="J12" s="3"/>
      <c r="K12" s="3">
        <f t="shared" si="1"/>
        <v>0</v>
      </c>
      <c r="L12" s="3"/>
      <c r="M12" s="3"/>
      <c r="N12" s="3">
        <f t="shared" si="2"/>
        <v>0</v>
      </c>
    </row>
    <row r="13" spans="3:14" x14ac:dyDescent="0.25">
      <c r="D13" s="3"/>
      <c r="E13" s="3"/>
      <c r="F13" s="3"/>
      <c r="G13" s="3">
        <f t="shared" si="0"/>
        <v>0</v>
      </c>
      <c r="H13" s="3"/>
      <c r="I13" s="3"/>
      <c r="J13" s="3"/>
      <c r="K13" s="3">
        <f t="shared" si="1"/>
        <v>0</v>
      </c>
      <c r="L13" s="3"/>
      <c r="M13" s="3"/>
      <c r="N13" s="3">
        <f t="shared" si="2"/>
        <v>0</v>
      </c>
    </row>
    <row r="14" spans="3:14" x14ac:dyDescent="0.25">
      <c r="D14" s="3" t="s">
        <v>79</v>
      </c>
      <c r="E14" s="3"/>
      <c r="F14" s="3"/>
      <c r="G14" s="3">
        <f t="shared" si="0"/>
        <v>0</v>
      </c>
      <c r="H14" s="3" t="s">
        <v>92</v>
      </c>
      <c r="I14" s="3"/>
      <c r="J14" s="3"/>
      <c r="K14" s="3">
        <f t="shared" si="1"/>
        <v>0</v>
      </c>
      <c r="L14" s="3"/>
      <c r="M14" s="3"/>
      <c r="N14" s="3">
        <f t="shared" si="2"/>
        <v>0</v>
      </c>
    </row>
    <row r="15" spans="3:14" x14ac:dyDescent="0.25">
      <c r="D15" s="3"/>
      <c r="E15" s="3"/>
      <c r="F15" s="3"/>
      <c r="G15" s="3">
        <f t="shared" si="0"/>
        <v>0</v>
      </c>
      <c r="H15" s="3" t="s">
        <v>93</v>
      </c>
      <c r="I15" s="3"/>
      <c r="J15" s="3"/>
      <c r="K15" s="3">
        <f t="shared" si="1"/>
        <v>0</v>
      </c>
      <c r="L15" s="3"/>
      <c r="M15" s="3"/>
      <c r="N15" s="3">
        <f t="shared" si="2"/>
        <v>0</v>
      </c>
    </row>
    <row r="16" spans="3:14" x14ac:dyDescent="0.25">
      <c r="D16" s="3"/>
      <c r="E16" s="3"/>
      <c r="F16" s="3"/>
      <c r="G16" s="3">
        <f t="shared" si="0"/>
        <v>0</v>
      </c>
      <c r="H16" s="3"/>
      <c r="I16" s="3"/>
      <c r="J16" s="3"/>
      <c r="K16" s="3">
        <f t="shared" si="1"/>
        <v>0</v>
      </c>
      <c r="L16" s="3"/>
      <c r="M16" s="3"/>
      <c r="N16" s="3">
        <f t="shared" si="2"/>
        <v>0</v>
      </c>
    </row>
    <row r="17" spans="4:14" x14ac:dyDescent="0.25">
      <c r="D17" s="3"/>
      <c r="E17" s="3"/>
      <c r="F17" s="3"/>
      <c r="G17" s="3">
        <f t="shared" si="0"/>
        <v>0</v>
      </c>
      <c r="H17" s="3"/>
      <c r="I17" s="3"/>
      <c r="J17" s="3"/>
      <c r="K17" s="3">
        <f t="shared" si="1"/>
        <v>0</v>
      </c>
      <c r="L17" s="3"/>
      <c r="M17" s="3"/>
      <c r="N17" s="3">
        <f t="shared" si="2"/>
        <v>0</v>
      </c>
    </row>
    <row r="18" spans="4:14" x14ac:dyDescent="0.25">
      <c r="D18" s="3" t="s">
        <v>80</v>
      </c>
      <c r="E18" s="3"/>
      <c r="F18" s="3"/>
      <c r="G18" s="3">
        <f t="shared" si="0"/>
        <v>0</v>
      </c>
      <c r="H18" s="3" t="s">
        <v>92</v>
      </c>
      <c r="I18" s="3"/>
      <c r="J18" s="3"/>
      <c r="K18" s="3">
        <f t="shared" si="1"/>
        <v>0</v>
      </c>
      <c r="L18" s="3"/>
      <c r="M18" s="3"/>
      <c r="N18" s="3">
        <f t="shared" si="2"/>
        <v>0</v>
      </c>
    </row>
    <row r="19" spans="4:14" x14ac:dyDescent="0.25">
      <c r="D19" s="3"/>
      <c r="E19" s="3"/>
      <c r="F19" s="3"/>
      <c r="G19" s="3">
        <f t="shared" si="0"/>
        <v>0</v>
      </c>
      <c r="H19" s="3" t="s">
        <v>93</v>
      </c>
      <c r="I19" s="3"/>
      <c r="J19" s="3"/>
      <c r="K19" s="3">
        <f t="shared" si="1"/>
        <v>0</v>
      </c>
      <c r="L19" s="3"/>
      <c r="M19" s="3"/>
      <c r="N19" s="3">
        <f t="shared" si="2"/>
        <v>0</v>
      </c>
    </row>
    <row r="20" spans="4:14" x14ac:dyDescent="0.25">
      <c r="D20" s="3"/>
      <c r="E20" s="3"/>
      <c r="F20" s="3"/>
      <c r="G20" s="3">
        <f t="shared" si="0"/>
        <v>0</v>
      </c>
      <c r="H20" s="3"/>
      <c r="I20" s="3"/>
      <c r="J20" s="3"/>
      <c r="K20" s="3">
        <f t="shared" si="1"/>
        <v>0</v>
      </c>
      <c r="L20" s="3"/>
      <c r="M20" s="3"/>
      <c r="N20" s="3">
        <f t="shared" si="2"/>
        <v>0</v>
      </c>
    </row>
    <row r="21" spans="4:14" x14ac:dyDescent="0.25">
      <c r="D21" s="3" t="s">
        <v>80</v>
      </c>
      <c r="E21" s="3"/>
      <c r="F21" s="3"/>
      <c r="G21" s="3">
        <f t="shared" si="0"/>
        <v>0</v>
      </c>
      <c r="H21" s="3" t="s">
        <v>92</v>
      </c>
      <c r="I21" s="3"/>
      <c r="J21" s="3"/>
      <c r="K21" s="3">
        <f t="shared" si="1"/>
        <v>0</v>
      </c>
      <c r="L21" s="3"/>
      <c r="M21" s="3"/>
      <c r="N21" s="3">
        <f t="shared" si="2"/>
        <v>0</v>
      </c>
    </row>
    <row r="22" spans="4:14" x14ac:dyDescent="0.25">
      <c r="D22" s="3"/>
      <c r="E22" s="3"/>
      <c r="F22" s="3"/>
      <c r="G22" s="3">
        <f t="shared" si="0"/>
        <v>0</v>
      </c>
      <c r="H22" s="3" t="s">
        <v>93</v>
      </c>
      <c r="I22" s="3"/>
      <c r="J22" s="3"/>
      <c r="K22" s="3">
        <f t="shared" si="1"/>
        <v>0</v>
      </c>
      <c r="L22" s="3"/>
      <c r="M22" s="3"/>
      <c r="N22" s="3">
        <f t="shared" si="2"/>
        <v>0</v>
      </c>
    </row>
    <row r="23" spans="4:14" x14ac:dyDescent="0.25">
      <c r="D23" s="3"/>
      <c r="E23" s="3"/>
      <c r="F23" s="3"/>
      <c r="G23" s="3">
        <f t="shared" si="0"/>
        <v>0</v>
      </c>
      <c r="H23" s="3"/>
      <c r="I23" s="3"/>
      <c r="J23" s="3"/>
      <c r="K23" s="3">
        <f t="shared" si="1"/>
        <v>0</v>
      </c>
      <c r="L23" s="3"/>
      <c r="M23" s="3"/>
      <c r="N23" s="3">
        <f t="shared" si="2"/>
        <v>0</v>
      </c>
    </row>
    <row r="24" spans="4:14" x14ac:dyDescent="0.25">
      <c r="D24" s="3" t="s">
        <v>86</v>
      </c>
      <c r="E24" s="3"/>
      <c r="F24" s="3"/>
      <c r="G24" s="3">
        <f t="shared" si="0"/>
        <v>0</v>
      </c>
      <c r="H24" s="3" t="s">
        <v>94</v>
      </c>
      <c r="I24" s="3"/>
      <c r="J24" s="3"/>
      <c r="K24" s="3">
        <f t="shared" si="1"/>
        <v>0</v>
      </c>
      <c r="L24" s="3"/>
      <c r="M24" s="3"/>
      <c r="N24" s="3">
        <f t="shared" si="2"/>
        <v>0</v>
      </c>
    </row>
    <row r="25" spans="4:14" x14ac:dyDescent="0.25">
      <c r="D25" s="3" t="s">
        <v>87</v>
      </c>
      <c r="E25" s="3"/>
      <c r="F25" s="3"/>
      <c r="G25" s="3">
        <f t="shared" si="0"/>
        <v>0</v>
      </c>
      <c r="H25" s="3" t="s">
        <v>94</v>
      </c>
      <c r="I25" s="3"/>
      <c r="J25" s="3"/>
      <c r="K25" s="3">
        <f t="shared" si="1"/>
        <v>0</v>
      </c>
      <c r="L25" s="3"/>
      <c r="M25" s="3"/>
      <c r="N25" s="3">
        <f t="shared" si="2"/>
        <v>0</v>
      </c>
    </row>
    <row r="26" spans="4:14" x14ac:dyDescent="0.25">
      <c r="D26" s="3" t="s">
        <v>88</v>
      </c>
      <c r="E26" s="3"/>
      <c r="F26" s="3"/>
      <c r="G26" s="3">
        <f t="shared" si="0"/>
        <v>0</v>
      </c>
      <c r="H26" s="3" t="s">
        <v>94</v>
      </c>
      <c r="I26" s="3"/>
      <c r="J26" s="3"/>
      <c r="K26" s="3">
        <f t="shared" si="1"/>
        <v>0</v>
      </c>
      <c r="L26" s="3"/>
      <c r="M26" s="3"/>
      <c r="N26" s="3">
        <f t="shared" si="2"/>
        <v>0</v>
      </c>
    </row>
    <row r="27" spans="4:14" x14ac:dyDescent="0.25">
      <c r="D27" s="3"/>
      <c r="E27" s="3"/>
      <c r="F27" s="3"/>
      <c r="G27" s="3">
        <f t="shared" si="0"/>
        <v>0</v>
      </c>
      <c r="H27" s="3"/>
      <c r="I27" s="3"/>
      <c r="J27" s="3"/>
      <c r="K27" s="3">
        <f t="shared" si="1"/>
        <v>0</v>
      </c>
      <c r="L27" s="3"/>
      <c r="M27" s="3"/>
      <c r="N27" s="3">
        <f t="shared" si="2"/>
        <v>0</v>
      </c>
    </row>
    <row r="28" spans="4:14" x14ac:dyDescent="0.25">
      <c r="D28" s="3" t="s">
        <v>82</v>
      </c>
      <c r="E28" s="3"/>
      <c r="F28" s="3"/>
      <c r="G28" s="3">
        <f t="shared" si="0"/>
        <v>0</v>
      </c>
      <c r="H28" s="3"/>
      <c r="I28" s="3"/>
      <c r="J28" s="3"/>
      <c r="K28" s="3">
        <f t="shared" si="1"/>
        <v>0</v>
      </c>
      <c r="L28" s="3"/>
      <c r="M28" s="3"/>
      <c r="N28" s="3">
        <f t="shared" si="2"/>
        <v>0</v>
      </c>
    </row>
    <row r="29" spans="4:14" x14ac:dyDescent="0.25">
      <c r="D29" s="3" t="s">
        <v>83</v>
      </c>
      <c r="E29" s="3"/>
      <c r="F29" s="3"/>
      <c r="G29" s="3">
        <f t="shared" si="0"/>
        <v>0</v>
      </c>
      <c r="H29" s="3"/>
      <c r="I29" s="3"/>
      <c r="J29" s="3"/>
      <c r="K29" s="3">
        <f t="shared" si="1"/>
        <v>0</v>
      </c>
      <c r="L29" s="3"/>
      <c r="M29" s="3"/>
      <c r="N29" s="3">
        <f t="shared" si="2"/>
        <v>0</v>
      </c>
    </row>
    <row r="30" spans="4:14" x14ac:dyDescent="0.25">
      <c r="D30" s="3" t="s">
        <v>84</v>
      </c>
      <c r="E30" s="3"/>
      <c r="F30" s="3"/>
      <c r="G30" s="3">
        <f t="shared" si="0"/>
        <v>0</v>
      </c>
      <c r="H30" s="3"/>
      <c r="I30" s="3"/>
      <c r="J30" s="3"/>
      <c r="K30" s="3">
        <f t="shared" si="1"/>
        <v>0</v>
      </c>
      <c r="L30" s="3"/>
      <c r="M30" s="3"/>
      <c r="N30" s="3">
        <f t="shared" si="2"/>
        <v>0</v>
      </c>
    </row>
    <row r="31" spans="4:14" x14ac:dyDescent="0.25">
      <c r="D31" s="3" t="s">
        <v>85</v>
      </c>
      <c r="E31" s="3"/>
      <c r="F31" s="3"/>
      <c r="G31" s="3">
        <f t="shared" si="0"/>
        <v>0</v>
      </c>
      <c r="H31" s="3"/>
      <c r="I31" s="3"/>
      <c r="J31" s="3"/>
      <c r="K31" s="3">
        <f t="shared" si="1"/>
        <v>0</v>
      </c>
      <c r="L31" s="3"/>
      <c r="M31" s="3"/>
      <c r="N31" s="3">
        <f t="shared" si="2"/>
        <v>0</v>
      </c>
    </row>
    <row r="32" spans="4:14" x14ac:dyDescent="0.25">
      <c r="D32" s="3"/>
      <c r="E32" s="3"/>
      <c r="F32" s="3"/>
      <c r="G32" s="3">
        <f t="shared" si="0"/>
        <v>0</v>
      </c>
      <c r="H32" s="3"/>
      <c r="I32" s="3"/>
      <c r="J32" s="3"/>
      <c r="K32" s="3">
        <f t="shared" si="1"/>
        <v>0</v>
      </c>
      <c r="L32" s="3"/>
      <c r="M32" s="3"/>
      <c r="N32" s="3">
        <f t="shared" si="2"/>
        <v>0</v>
      </c>
    </row>
    <row r="33" spans="4:14" x14ac:dyDescent="0.25">
      <c r="D33" s="3"/>
      <c r="E33" s="3"/>
      <c r="F33" s="3"/>
      <c r="G33" s="3">
        <f t="shared" si="0"/>
        <v>0</v>
      </c>
      <c r="H33" s="3"/>
      <c r="I33" s="3"/>
      <c r="J33" s="3"/>
      <c r="K33" s="3">
        <f t="shared" si="1"/>
        <v>0</v>
      </c>
      <c r="L33" s="3"/>
      <c r="M33" s="3"/>
      <c r="N33" s="3">
        <f t="shared" si="2"/>
        <v>0</v>
      </c>
    </row>
    <row r="34" spans="4:14" x14ac:dyDescent="0.25">
      <c r="D34" s="3"/>
      <c r="E34" s="3"/>
      <c r="F34" s="3"/>
      <c r="G34" s="3">
        <f t="shared" si="0"/>
        <v>0</v>
      </c>
      <c r="H34" s="3"/>
      <c r="I34" s="3"/>
      <c r="J34" s="3"/>
      <c r="K34" s="3">
        <f t="shared" si="1"/>
        <v>0</v>
      </c>
      <c r="L34" s="3"/>
      <c r="M34" s="3"/>
      <c r="N34" s="3">
        <f t="shared" si="2"/>
        <v>0</v>
      </c>
    </row>
    <row r="35" spans="4:14" x14ac:dyDescent="0.25">
      <c r="D35" s="3" t="s">
        <v>89</v>
      </c>
      <c r="E35" s="3"/>
      <c r="F35" s="3">
        <f>G35*10.764</f>
        <v>0</v>
      </c>
      <c r="G35" s="3">
        <f>SUM(G7:G34)</f>
        <v>0</v>
      </c>
      <c r="H35" s="3"/>
      <c r="I35" s="3"/>
      <c r="J35" s="3">
        <f>K35*10.764</f>
        <v>0</v>
      </c>
      <c r="K35" s="3">
        <f>SUM(K7:K34)</f>
        <v>0</v>
      </c>
      <c r="L35" s="3"/>
      <c r="M35" s="3">
        <f>N35*10.764</f>
        <v>0</v>
      </c>
      <c r="N35" s="3">
        <f>SUM(N7:N34)</f>
        <v>0</v>
      </c>
    </row>
  </sheetData>
  <mergeCells count="4">
    <mergeCell ref="E3:F3"/>
    <mergeCell ref="E5:G5"/>
    <mergeCell ref="I5:K5"/>
    <mergeCell ref="L5:N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Sheet1</vt:lpstr>
      <vt:lpstr>VALUATION</vt:lpstr>
      <vt:lpstr>Construction %</vt:lpstr>
      <vt:lpstr>Note</vt:lpstr>
      <vt:lpstr>Wing A</vt:lpstr>
      <vt:lpstr>Wing B</vt:lpstr>
      <vt:lpstr>Wing C</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VSJC-06</cp:lastModifiedBy>
  <cp:lastPrinted>2025-07-09T10:23:21Z</cp:lastPrinted>
  <dcterms:created xsi:type="dcterms:W3CDTF">2013-11-23T05:32:33Z</dcterms:created>
  <dcterms:modified xsi:type="dcterms:W3CDTF">2025-07-09T12:53:36Z</dcterms:modified>
</cp:coreProperties>
</file>