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PF\25-26\Sep 2025\AXIS\Dump Revised\"/>
    </mc:Choice>
  </mc:AlternateContent>
  <bookViews>
    <workbookView xWindow="0" yWindow="0" windowWidth="20490" windowHeight="73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C89" i="1"/>
  <c r="C75" i="1"/>
  <c r="C76" i="1" l="1"/>
  <c r="C90" i="1"/>
  <c r="C77" i="1" l="1"/>
  <c r="C91" i="1"/>
  <c r="AC38" i="4" l="1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D28" i="4"/>
  <c r="D27" i="4"/>
  <c r="D26" i="4"/>
  <c r="D25" i="4"/>
  <c r="D20" i="4"/>
  <c r="D14" i="4"/>
  <c r="D38" i="4"/>
  <c r="D37" i="4"/>
  <c r="D36" i="4"/>
  <c r="D35" i="4"/>
  <c r="D34" i="4"/>
  <c r="D33" i="4"/>
  <c r="D32" i="4"/>
  <c r="D31" i="4"/>
  <c r="D30" i="4"/>
  <c r="D29" i="4"/>
  <c r="D24" i="4"/>
  <c r="D23" i="4"/>
  <c r="D22" i="4"/>
  <c r="D21" i="4"/>
  <c r="D19" i="4"/>
  <c r="D18" i="4"/>
  <c r="D17" i="4"/>
  <c r="D16" i="4"/>
  <c r="D15" i="4"/>
  <c r="D13" i="4"/>
  <c r="D12" i="4"/>
  <c r="D11" i="4"/>
  <c r="D10" i="4"/>
  <c r="D9" i="4"/>
  <c r="D8" i="4"/>
  <c r="D7" i="4"/>
  <c r="D6" i="4"/>
  <c r="AC39" i="4" l="1"/>
  <c r="AC41" i="4" s="1"/>
  <c r="X39" i="4"/>
  <c r="X41" i="4" s="1"/>
  <c r="S39" i="4"/>
  <c r="R39" i="4" s="1"/>
  <c r="N39" i="4"/>
  <c r="M39" i="4" s="1"/>
  <c r="I39" i="4"/>
  <c r="I41" i="4" s="1"/>
  <c r="D39" i="4"/>
  <c r="C39" i="4" s="1"/>
  <c r="C41" i="4" l="1"/>
  <c r="D127" i="1"/>
  <c r="D132" i="1" s="1"/>
  <c r="R41" i="4"/>
  <c r="D144" i="1"/>
  <c r="D147" i="1" s="1"/>
  <c r="M41" i="4"/>
  <c r="D126" i="1"/>
  <c r="AB39" i="4"/>
  <c r="W39" i="4"/>
  <c r="S41" i="4"/>
  <c r="N41" i="4"/>
  <c r="H39" i="4"/>
  <c r="D41" i="4"/>
  <c r="AB41" i="4" l="1"/>
  <c r="D141" i="1"/>
  <c r="F141" i="1" s="1"/>
  <c r="D140" i="1"/>
  <c r="F140" i="1" s="1"/>
  <c r="D130" i="1"/>
  <c r="F130" i="1" s="1"/>
  <c r="I130" i="1" s="1"/>
  <c r="H41" i="4"/>
  <c r="D131" i="1"/>
  <c r="W41" i="4"/>
  <c r="D145" i="1"/>
  <c r="D146" i="1" s="1"/>
  <c r="F146" i="1" s="1"/>
  <c r="F147" i="1"/>
  <c r="A145" i="1"/>
  <c r="A146" i="1" s="1"/>
  <c r="A147" i="1" s="1"/>
  <c r="G144" i="1"/>
  <c r="F144" i="1"/>
  <c r="A141" i="1"/>
  <c r="G140" i="1"/>
  <c r="F132" i="1"/>
  <c r="I132" i="1" s="1"/>
  <c r="A131" i="1"/>
  <c r="A132" i="1" s="1"/>
  <c r="G130" i="1"/>
  <c r="C113" i="1" l="1"/>
  <c r="F131" i="1"/>
  <c r="I131" i="1" s="1"/>
  <c r="E114" i="1"/>
  <c r="C114" i="1"/>
  <c r="F145" i="1"/>
  <c r="I145" i="1" s="1"/>
  <c r="E113" i="1"/>
  <c r="E42" i="1"/>
  <c r="E43" i="1" s="1"/>
  <c r="E115" i="1" l="1"/>
  <c r="C115" i="1"/>
  <c r="G114" i="1"/>
  <c r="C14" i="1"/>
  <c r="E29" i="1" l="1"/>
  <c r="F127" i="1" l="1"/>
  <c r="F126" i="1"/>
  <c r="A127" i="1"/>
  <c r="G126" i="1"/>
  <c r="G113" i="1" l="1"/>
  <c r="G115" i="1" s="1"/>
  <c r="F110" i="1"/>
  <c r="B15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7" i="1"/>
  <c r="J94" i="1"/>
  <c r="J93" i="1"/>
  <c r="J92" i="1"/>
  <c r="C83" i="1"/>
  <c r="J80" i="1"/>
  <c r="J79" i="1"/>
  <c r="J78" i="1"/>
  <c r="C69" i="1"/>
  <c r="D57" i="1"/>
  <c r="G49" i="1"/>
  <c r="C49" i="1"/>
  <c r="E26" i="1"/>
  <c r="E24" i="1"/>
  <c r="E7" i="1"/>
  <c r="E3" i="1"/>
  <c r="H70" i="1"/>
  <c r="H84" i="1"/>
  <c r="D63" i="1" l="1"/>
  <c r="D94" i="1"/>
  <c r="D95" i="1"/>
  <c r="D96" i="1"/>
  <c r="D90" i="1"/>
  <c r="D91" i="1"/>
  <c r="D92" i="1"/>
  <c r="D93" i="1"/>
  <c r="J83" i="1"/>
  <c r="J85" i="1" s="1"/>
  <c r="D82" i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J81" i="1" s="1"/>
  <c r="J89" i="1"/>
  <c r="J90" i="1" s="1"/>
  <c r="J95" i="1" s="1"/>
  <c r="J87" i="1"/>
  <c r="J88" i="1"/>
  <c r="C87" i="1" s="1"/>
  <c r="J86" i="1"/>
  <c r="J91" i="1" l="1"/>
  <c r="J96" i="1" s="1"/>
  <c r="C88" i="1" s="1"/>
  <c r="J77" i="1"/>
  <c r="J82" i="1" s="1"/>
  <c r="C74" i="1" s="1"/>
  <c r="D89" i="1"/>
  <c r="D75" i="1"/>
  <c r="J71" i="1"/>
  <c r="D73" i="1"/>
  <c r="D87" i="1"/>
  <c r="G87" i="1" l="1"/>
  <c r="E87" i="1"/>
  <c r="D88" i="1"/>
  <c r="I84" i="1" s="1"/>
  <c r="J84" i="1"/>
  <c r="D74" i="1"/>
  <c r="I70" i="1" s="1"/>
  <c r="G73" i="1"/>
  <c r="D67" i="1" s="1"/>
  <c r="D68" i="1" s="1"/>
  <c r="E73" i="1"/>
  <c r="J70" i="1"/>
  <c r="F68" i="1" l="1"/>
  <c r="I71" i="1"/>
  <c r="I69" i="1" s="1"/>
  <c r="C71" i="1" s="1"/>
  <c r="I85" i="1"/>
  <c r="I83" i="1" s="1"/>
  <c r="C85" i="1" s="1"/>
</calcChain>
</file>

<file path=xl/sharedStrings.xml><?xml version="1.0" encoding="utf-8"?>
<sst xmlns="http://schemas.openxmlformats.org/spreadsheetml/2006/main" count="457" uniqueCount="271">
  <si>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</si>
  <si>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</si>
  <si>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</si>
  <si>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</si>
  <si>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</si>
  <si>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</si>
  <si>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</si>
  <si>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</si>
  <si>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</si>
  <si>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</si>
  <si>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</si>
  <si>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</si>
  <si>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</si>
  <si>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</si>
  <si>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</si>
  <si>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</si>
  <si>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</si>
  <si>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</si>
  <si>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</si>
  <si>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</si>
  <si>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</si>
  <si>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</si>
  <si>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</si>
  <si>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</si>
  <si>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</si>
  <si>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</si>
  <si>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</si>
  <si>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</si>
  <si>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</si>
  <si>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</si>
  <si>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</si>
  <si>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</si>
  <si>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</si>
  <si>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</si>
  <si>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</si>
  <si>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</si>
  <si>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</si>
  <si>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</si>
  <si>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</si>
  <si>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</si>
  <si>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</si>
  <si>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</si>
  <si>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</si>
  <si>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</si>
  <si>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</si>
  <si>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</si>
  <si>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</si>
  <si>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</si>
  <si>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</si>
  <si>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</si>
  <si>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</si>
  <si>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</si>
  <si>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</si>
  <si>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</si>
  <si>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</si>
  <si>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</si>
  <si>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</si>
  <si>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</si>
  <si>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</si>
  <si>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</si>
  <si>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</si>
  <si>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</si>
  <si>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</si>
  <si>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</si>
  <si>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</si>
  <si>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</si>
  <si>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</si>
  <si>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</si>
  <si>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</si>
  <si>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</si>
  <si>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</si>
  <si>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</si>
  <si>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</si>
  <si>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</si>
  <si>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</si>
  <si>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</si>
  <si>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</si>
  <si>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</si>
  <si>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</si>
  <si>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</si>
  <si>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</si>
  <si>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</si>
  <si>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</si>
  <si>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</si>
  <si>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</si>
  <si>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</si>
  <si>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</si>
  <si>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</si>
  <si>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</si>
  <si>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</si>
  <si>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</si>
  <si>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</si>
  <si>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</si>
  <si>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</si>
  <si>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</si>
  <si>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</si>
  <si>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</si>
  <si>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</si>
  <si>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</si>
  <si>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</si>
  <si>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</si>
  <si>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</si>
  <si>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</si>
  <si>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</si>
  <si>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</si>
  <si>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</si>
  <si>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</si>
  <si>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</si>
  <si>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</si>
  <si>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</si>
  <si>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</si>
  <si>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</si>
  <si>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</si>
  <si>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</si>
  <si>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</si>
  <si>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</si>
  <si>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</si>
  <si>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</si>
  <si>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</si>
  <si>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</si>
  <si>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</si>
  <si>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</si>
  <si>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</si>
  <si>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</si>
  <si>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</si>
  <si>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</si>
  <si>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</si>
  <si>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</si>
  <si>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</si>
  <si>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</si>
  <si>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</si>
  <si>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</si>
  <si>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</si>
  <si>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</si>
  <si>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</si>
  <si>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</si>
  <si>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</si>
  <si>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</si>
  <si>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</si>
  <si>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</si>
  <si>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</si>
  <si>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</si>
  <si>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</si>
  <si>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</si>
  <si>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</si>
  <si>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</si>
  <si>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</si>
  <si>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</si>
  <si>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</si>
  <si>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</si>
  <si>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</si>
  <si>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</si>
  <si>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</si>
  <si>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</si>
  <si>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</si>
  <si>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</si>
  <si>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</si>
  <si>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</si>
  <si>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</si>
  <si>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</si>
  <si>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</si>
  <si>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</si>
  <si>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</si>
  <si>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</si>
  <si>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</si>
  <si>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</si>
  <si>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</si>
  <si>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</si>
  <si>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</si>
  <si>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</si>
  <si>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</si>
  <si>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Goregaon</t>
  </si>
  <si>
    <t>K Raheja Corp Private Limited</t>
  </si>
  <si>
    <t>Ms.Ritinha - 9167059638</t>
  </si>
  <si>
    <t>C.S. No</t>
  </si>
  <si>
    <t>7/1895</t>
  </si>
  <si>
    <t>Byculla</t>
  </si>
  <si>
    <t>Mumbai</t>
  </si>
  <si>
    <t>Municipal Corporation of Greater Mumbai</t>
  </si>
  <si>
    <t>EB/6794/E/A</t>
  </si>
  <si>
    <t>EB/6794/E/A/FCC/2/Amend</t>
  </si>
  <si>
    <t>This CC is endorsed and further extended for Tower-1 upto 40th habitable floors and for Tower-2 for portion marked in pink wash in accompanying plan upto 30th floor, as per amended approved plans dated 06/01/2022.</t>
  </si>
  <si>
    <t>RTO Colony</t>
  </si>
  <si>
    <t>Sane Guruji Marg</t>
  </si>
  <si>
    <t>New Shirin Talkies</t>
  </si>
  <si>
    <t>0.70 KM from Mahalaxmi Railway Station</t>
  </si>
  <si>
    <t>Airport Authority of India
NOC No.</t>
  </si>
  <si>
    <t>JUHU/WEST/B/060118/311408
Valid Upto : 216.54 AMSL</t>
  </si>
  <si>
    <t>02 Building</t>
  </si>
  <si>
    <t>https://goo.gl/maps/339g33PNmjRz2Mkz5</t>
  </si>
  <si>
    <t>Mahalaxmi Heights</t>
  </si>
  <si>
    <t>Aakash Horizon Co-Op Society</t>
  </si>
  <si>
    <t>Tower 1</t>
  </si>
  <si>
    <t>Basement 02 &amp; 01 floor for Parking</t>
  </si>
  <si>
    <t>Ground Floor for Parking</t>
  </si>
  <si>
    <t>1st to 6th Podium Floor for Parking</t>
  </si>
  <si>
    <t>Amenity Floor between 6th Podium Floor &amp; 1st Resi. Floor</t>
  </si>
  <si>
    <t>1st, 8th, 15th, 22nd, 29th &amp; 36th Floor for Residential (Part Refuge Area)</t>
  </si>
  <si>
    <t>4BHK</t>
  </si>
  <si>
    <t>2nd to 7th, 9th to 14th, 16th to 21st, 23rd to 28th, 30th to 35th, 37th to 40th Floor</t>
  </si>
  <si>
    <t>3.5BHK</t>
  </si>
  <si>
    <t>Service Floor between 22nd &amp; 23rd Floor</t>
  </si>
  <si>
    <t>Service Floor between 40th &amp; Terrace Floor</t>
  </si>
  <si>
    <t>Tower 2</t>
  </si>
  <si>
    <t>1st, 8th, 15th, 22nd, 29th Floor for Residential (Part Refuge Area)</t>
  </si>
  <si>
    <t>2nd to 7th, 9th to 14th, 16th to 21st, 23rd to 28th &amp; 30th Floor</t>
  </si>
  <si>
    <t>5BHK</t>
  </si>
  <si>
    <t>3BHK</t>
  </si>
  <si>
    <t>Service Floor between 30th &amp; Terrace Floor</t>
  </si>
  <si>
    <t>Flats - 224</t>
  </si>
  <si>
    <t>We refer Airport Authority of India NOC from MCGM site.</t>
  </si>
  <si>
    <t>Karan Misal</t>
  </si>
  <si>
    <t>Dated
Valid upto</t>
  </si>
  <si>
    <t>30/07/2018
30/07/2026</t>
  </si>
  <si>
    <t>Tower 1 (North Tower)
Tower 2 (South Tower)</t>
  </si>
  <si>
    <t>Approved Plans &amp; CC</t>
  </si>
  <si>
    <t>Tower 1 (North Tower)- P51900034289
Tower 2 (South Tower) - P51900034288</t>
  </si>
  <si>
    <t>Latitude, Longitude</t>
  </si>
  <si>
    <t>Railway track(Above 50m distance)</t>
  </si>
  <si>
    <t>Tower 1 (North Tower)</t>
  </si>
  <si>
    <t>Discription</t>
  </si>
  <si>
    <t>Carpet</t>
  </si>
  <si>
    <t>L</t>
  </si>
  <si>
    <t>W</t>
  </si>
  <si>
    <t>A</t>
  </si>
  <si>
    <t>Hall</t>
  </si>
  <si>
    <t>kitch</t>
  </si>
  <si>
    <t>Bed1</t>
  </si>
  <si>
    <t>Bed2</t>
  </si>
  <si>
    <t>toilet1</t>
  </si>
  <si>
    <t>toilet3</t>
  </si>
  <si>
    <t>passage1</t>
  </si>
  <si>
    <t>passage4</t>
  </si>
  <si>
    <t>Bed4</t>
  </si>
  <si>
    <t>DECK</t>
  </si>
  <si>
    <t>North 1</t>
  </si>
  <si>
    <t xml:space="preserve">Flat No </t>
  </si>
  <si>
    <t>North 2</t>
  </si>
  <si>
    <t>North 3</t>
  </si>
  <si>
    <t>Bed3</t>
  </si>
  <si>
    <t>South 1 &amp; 4</t>
  </si>
  <si>
    <t>South 2 &amp; 3</t>
  </si>
  <si>
    <t>South Refuge</t>
  </si>
  <si>
    <t>Bed5</t>
  </si>
  <si>
    <t>Study</t>
  </si>
  <si>
    <t>Tower 1 = 2B + Gr/Stilt + P1 to P6 + Amentity Floor + 1st to 40th Floor
Tower 2 = 2B + Gr/Stilt + P1 to P6 + Amentity Floor + 1st to 30th Floor</t>
  </si>
  <si>
    <t>Tower 1 = 2B + Gr/Stilt + P1 to P6 + Amentity Floor + 1st to 40th Floor</t>
  </si>
  <si>
    <t>Tower 2 = 2B + Gr/Stilt + P1 to P6 + Amentity Floor + 1st to 41st Floor</t>
  </si>
  <si>
    <t>Please provide Railway NOC.</t>
  </si>
  <si>
    <t>We considered Gross carpet area = Net carpet + Deck Area</t>
  </si>
  <si>
    <t>https://mail.google.com/mail/u/0/?tab=rm&amp;ogbl#search/morden/FMfcgzGslbPSKGtGgcWCcNhXSrZQGCQV</t>
  </si>
  <si>
    <t>Railway NOC remark is removed due to letter from builder</t>
  </si>
  <si>
    <t xml:space="preserve">As per RERA - North Tower = 31/03/2028
                        South Tower = 30/09/2028
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</si>
  <si>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</si>
  <si>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18.9790715,72.8238138</t>
  </si>
  <si>
    <t>We have updated revised approved CC From MCGM Site (on 22/03/2024).</t>
  </si>
  <si>
    <t>Raheja Modern Vivarea</t>
  </si>
  <si>
    <t>habitable</t>
  </si>
  <si>
    <t xml:space="preserve">EB/6794/E/A/FCC/4/Amend
</t>
  </si>
  <si>
    <t>This CC is endorsed and extended for the entire work for Tower–1 comprising of 2 basements + Ground /stilt + 6 podiums (P1to P6) + stilt/ Yogalaya + 40 habitable floors + 2 service floors and Tower -2 comprising of 2 basements + ground /stilt+6 podiums (P1to P6) +stilt / Yogalaya + 41 habitable + 2 service floors for as per amended plan approval dated 28/08/2024.</t>
  </si>
  <si>
    <t>change this statement during every visit on 
changes made by shruti dtd 25/07/2024.
(Basement slabs + Gr Slab + Pod Slab + Floor Slabs)</t>
  </si>
  <si>
    <t>We have updated revised approved CC From MCGM Site (on 14/01/2025).</t>
  </si>
  <si>
    <t>As per site visit dtd. 09/10/2024, construction work progress of towers is given below
Tower 1(North Tower) = 2B + Gr + 6P + Amenity + 39 habitable Floors completed (i.e 47th slabs completed as per architect).
Tower 2(South Tower) = 2B + Gr + 6P + Amenity + 23 habitable Floors completed (i.e 31th slabs completed as per architect).</t>
  </si>
  <si>
    <t xml:space="preserve">Validity of CC is expired on 21/06/2025. Please provide revised CC.
</t>
  </si>
  <si>
    <t>Pranita Mhatre</t>
  </si>
  <si>
    <t>Fasade &amp; Plumbing</t>
  </si>
  <si>
    <t>Raheja Modern Vivarea (North &amp; South Tower)</t>
  </si>
  <si>
    <t>Construction Work is in procress at the time of visit. (Internal Photo was not allowed)</t>
  </si>
  <si>
    <t>Floor Rise Rate (from 4th Floor)</t>
  </si>
  <si>
    <t xml:space="preserve">Recommended Rates &amp; Other Charges of the Property have been revised on 29/09/2025
</t>
  </si>
  <si>
    <r>
      <t xml:space="preserve">46K TO </t>
    </r>
    <r>
      <rPr>
        <b/>
        <sz val="12"/>
        <color theme="1"/>
        <rFont val="Times New Roman"/>
        <family val="1"/>
      </rPr>
      <t xml:space="preserve">Rate 50000 </t>
    </r>
    <r>
      <rPr>
        <sz val="12"/>
        <color theme="1"/>
        <rFont val="Times New Roman"/>
        <family val="1"/>
      </rPr>
      <t>FR 150 from 4th Floor Shailesh Index2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</si>
</sst>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4" fontId="7" fillId="0" borderId="0" xfId="1" applyNumberFormat="1" applyFont="1" applyAlignment="1">
      <alignment horizontal="left" vertical="top"/>
    </xf>
    <xf numFmtId="1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4" fontId="7" fillId="0" borderId="0" xfId="1" applyNumberFormat="1" applyFont="1" applyAlignment="1">
      <alignment horizontal="left" vertical="top" wrapText="1"/>
    </xf>
    <xf numFmtId="0" fontId="0" fillId="2" borderId="1" xfId="0" applyFill="1" applyBorder="1"/>
    <xf numFmtId="0" fontId="0" fillId="0" borderId="31" xfId="0" applyBorder="1"/>
    <xf numFmtId="0" fontId="9" fillId="0" borderId="1" xfId="0" applyFont="1" applyBorder="1"/>
    <xf numFmtId="0" fontId="0" fillId="0" borderId="1" xfId="0" applyBorder="1"/>
    <xf numFmtId="0" fontId="26" fillId="0" borderId="0" xfId="10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15" fillId="2" borderId="2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9" fillId="0" borderId="1" xfId="5" applyFont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233793</xdr:colOff>
      <xdr:row>281</xdr:row>
      <xdr:rowOff>31173</xdr:rowOff>
    </xdr:from>
    <xdr:to>
      <xdr:col>7</xdr:col>
      <xdr:colOff>664770</xdr:colOff>
      <xdr:row>301</xdr:row>
      <xdr:rowOff>158264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3793" y="58757927"/>
          <a:ext cx="6280792" cy="41129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593793</xdr:colOff>
      <xdr:row>261</xdr:row>
      <xdr:rowOff>51954</xdr:rowOff>
    </xdr:from>
    <xdr:to>
      <xdr:col>7</xdr:col>
      <xdr:colOff>304770</xdr:colOff>
      <xdr:row>279</xdr:row>
      <xdr:rowOff>196585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793" y="63765545"/>
          <a:ext cx="5400000" cy="37294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67551</xdr:colOff>
      <xdr:row>286</xdr:row>
      <xdr:rowOff>182569</xdr:rowOff>
    </xdr:from>
    <xdr:to>
      <xdr:col>4</xdr:col>
      <xdr:colOff>38110</xdr:colOff>
      <xdr:row>298</xdr:row>
      <xdr:rowOff>147896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496497">
          <a:off x="2474778" y="68875137"/>
          <a:ext cx="914400" cy="2355236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427892</xdr:colOff>
      <xdr:row>283</xdr:row>
      <xdr:rowOff>147204</xdr:rowOff>
    </xdr:from>
    <xdr:to>
      <xdr:col>3</xdr:col>
      <xdr:colOff>207818</xdr:colOff>
      <xdr:row>301</xdr:row>
      <xdr:rowOff>181708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213338" y="59272542"/>
          <a:ext cx="1468049" cy="362176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668215</xdr:colOff>
      <xdr:row>284</xdr:row>
      <xdr:rowOff>25977</xdr:rowOff>
    </xdr:from>
    <xdr:to>
      <xdr:col>2</xdr:col>
      <xdr:colOff>597479</xdr:colOff>
      <xdr:row>301</xdr:row>
      <xdr:rowOff>164123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668215" y="59350608"/>
          <a:ext cx="1535326" cy="352611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208373</xdr:colOff>
      <xdr:row>296</xdr:row>
      <xdr:rowOff>16763</xdr:rowOff>
    </xdr:from>
    <xdr:ext cx="311496" cy="1213153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rot="17462869">
          <a:off x="519544" y="71151751"/>
          <a:ext cx="12131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Railway Track</a:t>
          </a:r>
        </a:p>
      </xdr:txBody>
    </xdr:sp>
    <xdr:clientData/>
  </xdr:oneCellAnchor>
  <xdr:oneCellAnchor>
    <xdr:from>
      <xdr:col>4</xdr:col>
      <xdr:colOff>571499</xdr:colOff>
      <xdr:row>285</xdr:row>
      <xdr:rowOff>129886</xdr:rowOff>
    </xdr:from>
    <xdr:ext cx="703141" cy="280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922567" y="68623295"/>
          <a:ext cx="703141" cy="28020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Tower 1</a:t>
          </a:r>
        </a:p>
      </xdr:txBody>
    </xdr:sp>
    <xdr:clientData/>
  </xdr:oneCellAnchor>
  <xdr:twoCellAnchor>
    <xdr:from>
      <xdr:col>3</xdr:col>
      <xdr:colOff>935183</xdr:colOff>
      <xdr:row>286</xdr:row>
      <xdr:rowOff>60614</xdr:rowOff>
    </xdr:from>
    <xdr:to>
      <xdr:col>4</xdr:col>
      <xdr:colOff>571500</xdr:colOff>
      <xdr:row>289</xdr:row>
      <xdr:rowOff>51955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3342410" y="68753182"/>
          <a:ext cx="580158" cy="588818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285746</xdr:colOff>
      <xdr:row>296</xdr:row>
      <xdr:rowOff>152400</xdr:rowOff>
    </xdr:from>
    <xdr:ext cx="703141" cy="28020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636814" y="70836559"/>
          <a:ext cx="703141" cy="28020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Tower 2</a:t>
          </a:r>
        </a:p>
      </xdr:txBody>
    </xdr:sp>
    <xdr:clientData/>
  </xdr:oneCellAnchor>
  <xdr:twoCellAnchor>
    <xdr:from>
      <xdr:col>3</xdr:col>
      <xdr:colOff>536865</xdr:colOff>
      <xdr:row>295</xdr:row>
      <xdr:rowOff>8660</xdr:rowOff>
    </xdr:from>
    <xdr:to>
      <xdr:col>4</xdr:col>
      <xdr:colOff>285746</xdr:colOff>
      <xdr:row>297</xdr:row>
      <xdr:rowOff>93344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stCxn id="23" idx="1"/>
        </xdr:cNvCxnSpPr>
      </xdr:nvCxnSpPr>
      <xdr:spPr>
        <a:xfrm flipH="1" flipV="1">
          <a:off x="2944092" y="70493660"/>
          <a:ext cx="692722" cy="483002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220</xdr:row>
      <xdr:rowOff>104775</xdr:rowOff>
    </xdr:from>
    <xdr:to>
      <xdr:col>7</xdr:col>
      <xdr:colOff>761775</xdr:colOff>
      <xdr:row>230</xdr:row>
      <xdr:rowOff>128948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" y="53692425"/>
          <a:ext cx="6372000" cy="20244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130592</xdr:colOff>
      <xdr:row>232</xdr:row>
      <xdr:rowOff>142888</xdr:rowOff>
    </xdr:from>
    <xdr:to>
      <xdr:col>6</xdr:col>
      <xdr:colOff>735959</xdr:colOff>
      <xdr:row>249</xdr:row>
      <xdr:rowOff>146063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2592" y="56130838"/>
          <a:ext cx="4758267" cy="3403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28575</xdr:colOff>
      <xdr:row>244</xdr:row>
      <xdr:rowOff>28575</xdr:rowOff>
    </xdr:from>
    <xdr:to>
      <xdr:col>5</xdr:col>
      <xdr:colOff>457200</xdr:colOff>
      <xdr:row>244</xdr:row>
      <xdr:rowOff>38100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381375" y="58416825"/>
          <a:ext cx="1209675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892592</xdr:colOff>
      <xdr:row>245</xdr:row>
      <xdr:rowOff>171450</xdr:rowOff>
    </xdr:from>
    <xdr:to>
      <xdr:col>5</xdr:col>
      <xdr:colOff>457200</xdr:colOff>
      <xdr:row>245</xdr:row>
      <xdr:rowOff>180988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3302417" y="58759725"/>
          <a:ext cx="1288633" cy="9538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244</xdr:row>
      <xdr:rowOff>47625</xdr:rowOff>
    </xdr:from>
    <xdr:to>
      <xdr:col>5</xdr:col>
      <xdr:colOff>457200</xdr:colOff>
      <xdr:row>245</xdr:row>
      <xdr:rowOff>171450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591050" y="58435875"/>
          <a:ext cx="0" cy="3238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752475</xdr:colOff>
      <xdr:row>244</xdr:row>
      <xdr:rowOff>133350</xdr:rowOff>
    </xdr:from>
    <xdr:to>
      <xdr:col>3</xdr:col>
      <xdr:colOff>923925</xdr:colOff>
      <xdr:row>246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3162300" y="58521600"/>
          <a:ext cx="171450" cy="2667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723900</xdr:colOff>
      <xdr:row>244</xdr:row>
      <xdr:rowOff>19050</xdr:rowOff>
    </xdr:from>
    <xdr:to>
      <xdr:col>4</xdr:col>
      <xdr:colOff>38100</xdr:colOff>
      <xdr:row>244</xdr:row>
      <xdr:rowOff>133350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3133725" y="58407300"/>
          <a:ext cx="257175" cy="1143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438150</xdr:colOff>
      <xdr:row>220</xdr:row>
      <xdr:rowOff>152400</xdr:rowOff>
    </xdr:from>
    <xdr:ext cx="703141" cy="280205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200150" y="53740050"/>
          <a:ext cx="703141" cy="28020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Tower 1</a:t>
          </a:r>
        </a:p>
      </xdr:txBody>
    </xdr:sp>
    <xdr:clientData/>
  </xdr:oneCellAnchor>
  <xdr:twoCellAnchor>
    <xdr:from>
      <xdr:col>1</xdr:col>
      <xdr:colOff>789721</xdr:colOff>
      <xdr:row>222</xdr:row>
      <xdr:rowOff>32555</xdr:rowOff>
    </xdr:from>
    <xdr:to>
      <xdr:col>2</xdr:col>
      <xdr:colOff>647700</xdr:colOff>
      <xdr:row>224</xdr:row>
      <xdr:rowOff>152400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stCxn id="33" idx="2"/>
        </xdr:cNvCxnSpPr>
      </xdr:nvCxnSpPr>
      <xdr:spPr>
        <a:xfrm>
          <a:off x="1551721" y="54020255"/>
          <a:ext cx="658079" cy="519895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638175</xdr:colOff>
      <xdr:row>220</xdr:row>
      <xdr:rowOff>161925</xdr:rowOff>
    </xdr:from>
    <xdr:ext cx="703141" cy="280205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553075" y="53749575"/>
          <a:ext cx="703141" cy="28020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Tower 2</a:t>
          </a:r>
        </a:p>
      </xdr:txBody>
    </xdr:sp>
    <xdr:clientData/>
  </xdr:oneCellAnchor>
  <xdr:twoCellAnchor>
    <xdr:from>
      <xdr:col>6</xdr:col>
      <xdr:colOff>85727</xdr:colOff>
      <xdr:row>222</xdr:row>
      <xdr:rowOff>42080</xdr:rowOff>
    </xdr:from>
    <xdr:to>
      <xdr:col>7</xdr:col>
      <xdr:colOff>208696</xdr:colOff>
      <xdr:row>225</xdr:row>
      <xdr:rowOff>28575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stCxn id="38" idx="2"/>
        </xdr:cNvCxnSpPr>
      </xdr:nvCxnSpPr>
      <xdr:spPr>
        <a:xfrm flipH="1">
          <a:off x="5000627" y="54029780"/>
          <a:ext cx="904019" cy="586570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187</xdr:row>
      <xdr:rowOff>28575</xdr:rowOff>
    </xdr:from>
    <xdr:to>
      <xdr:col>10</xdr:col>
      <xdr:colOff>419100</xdr:colOff>
      <xdr:row>188</xdr:row>
      <xdr:rowOff>139179</xdr:rowOff>
    </xdr:to>
    <xdr:sp macro="" textlink="">
      <xdr:nvSpPr>
        <xdr:cNvPr id="42" name="TextBox 22">
          <a:extLst>
            <a:ext uri="{FF2B5EF4-FFF2-40B4-BE49-F238E27FC236}">
              <a16:creationId xmlns:a16="http://schemas.microsoft.com/office/drawing/2014/main" id="{FD10A150-3D35-9340-441B-BE87A032C7D3}"/>
            </a:ext>
          </a:extLst>
        </xdr:cNvPr>
        <xdr:cNvSpPr txBox="1"/>
      </xdr:nvSpPr>
      <xdr:spPr>
        <a:xfrm>
          <a:off x="7696200" y="41005125"/>
          <a:ext cx="1171575" cy="3106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1">
              <a:solidFill>
                <a:srgbClr val="C00000"/>
              </a:solidFill>
            </a:rPr>
            <a:t>1st Floor</a:t>
          </a:r>
        </a:p>
      </xdr:txBody>
    </xdr:sp>
    <xdr:clientData/>
  </xdr:twoCellAnchor>
  <xdr:twoCellAnchor>
    <xdr:from>
      <xdr:col>8</xdr:col>
      <xdr:colOff>797923</xdr:colOff>
      <xdr:row>176</xdr:row>
      <xdr:rowOff>175260</xdr:rowOff>
    </xdr:from>
    <xdr:to>
      <xdr:col>16</xdr:col>
      <xdr:colOff>247737</xdr:colOff>
      <xdr:row>213</xdr:row>
      <xdr:rowOff>135064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FC36D7E-8803-79F9-B856-251BA68BCEF0}"/>
            </a:ext>
          </a:extLst>
        </xdr:cNvPr>
        <xdr:cNvGrpSpPr/>
      </xdr:nvGrpSpPr>
      <xdr:grpSpPr>
        <a:xfrm>
          <a:off x="7322548" y="41970960"/>
          <a:ext cx="5850614" cy="7351204"/>
          <a:chOff x="195097" y="120584"/>
          <a:chExt cx="6015532" cy="728262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EDEE1765-C450-D1C8-EEA7-3D1FD2A918B1}"/>
              </a:ext>
            </a:extLst>
          </xdr:cNvPr>
          <xdr:cNvGrpSpPr/>
        </xdr:nvGrpSpPr>
        <xdr:grpSpPr>
          <a:xfrm>
            <a:off x="310832" y="5603208"/>
            <a:ext cx="5784062" cy="1800000"/>
            <a:chOff x="370751" y="5603208"/>
            <a:chExt cx="5784062" cy="1800000"/>
          </a:xfrm>
        </xdr:grpSpPr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008A9596-1CEF-A166-6912-37EB5559336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r="27495"/>
            <a:stretch/>
          </xdr:blipFill>
          <xdr:spPr>
            <a:xfrm>
              <a:off x="370751" y="5603208"/>
              <a:ext cx="1738502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D619C1AB-19B9-DC20-0E53-DFE2EDED9E8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8847" y="560320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5C1278D6-24BD-7162-5AA6-BF5AC45E61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57035" y="5603208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ED7B9D14-CEBF-5D8C-6415-21C80AC9D507}"/>
              </a:ext>
            </a:extLst>
          </xdr:cNvPr>
          <xdr:cNvGrpSpPr/>
        </xdr:nvGrpSpPr>
        <xdr:grpSpPr>
          <a:xfrm>
            <a:off x="195097" y="2869822"/>
            <a:ext cx="6015532" cy="2538200"/>
            <a:chOff x="195097" y="2869822"/>
            <a:chExt cx="6015532" cy="25382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6AA0282A-4AD2-49AB-42C8-B17869E035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8848" y="288802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1C7D776A-D01F-ABE5-CEC8-34DB85463F5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5097" y="288802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97E437AE-B1F2-EEEB-49A4-EDF792135B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2598" y="288802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0" name="TextBox 23">
              <a:extLst>
                <a:ext uri="{FF2B5EF4-FFF2-40B4-BE49-F238E27FC236}">
                  <a16:creationId xmlns:a16="http://schemas.microsoft.com/office/drawing/2014/main" id="{5A50CD91-276C-8E5C-245C-472F1D0EAA97}"/>
                </a:ext>
              </a:extLst>
            </xdr:cNvPr>
            <xdr:cNvSpPr txBox="1"/>
          </xdr:nvSpPr>
          <xdr:spPr>
            <a:xfrm>
              <a:off x="2885236" y="3227141"/>
              <a:ext cx="744114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South</a:t>
              </a:r>
              <a:endParaRPr lang="en-IN" b="1"/>
            </a:p>
          </xdr:txBody>
        </xdr:sp>
        <xdr:sp macro="" textlink="">
          <xdr:nvSpPr>
            <xdr:cNvPr id="31" name="TextBox 24">
              <a:extLst>
                <a:ext uri="{FF2B5EF4-FFF2-40B4-BE49-F238E27FC236}">
                  <a16:creationId xmlns:a16="http://schemas.microsoft.com/office/drawing/2014/main" id="{5E70F547-D5FB-13ED-84A5-00C62CF06EDC}"/>
                </a:ext>
              </a:extLst>
            </xdr:cNvPr>
            <xdr:cNvSpPr txBox="1"/>
          </xdr:nvSpPr>
          <xdr:spPr>
            <a:xfrm>
              <a:off x="4926370" y="2869822"/>
              <a:ext cx="744114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South</a:t>
              </a:r>
              <a:endParaRPr lang="en-IN" b="1"/>
            </a:p>
          </xdr:txBody>
        </xdr:sp>
        <xdr:sp macro="" textlink="">
          <xdr:nvSpPr>
            <xdr:cNvPr id="32" name="TextBox 25">
              <a:extLst>
                <a:ext uri="{FF2B5EF4-FFF2-40B4-BE49-F238E27FC236}">
                  <a16:creationId xmlns:a16="http://schemas.microsoft.com/office/drawing/2014/main" id="{D1281382-81F8-3D8D-0D7B-3C7384E47739}"/>
                </a:ext>
              </a:extLst>
            </xdr:cNvPr>
            <xdr:cNvSpPr txBox="1"/>
          </xdr:nvSpPr>
          <xdr:spPr>
            <a:xfrm>
              <a:off x="1187516" y="3056709"/>
              <a:ext cx="744114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South</a:t>
              </a:r>
              <a:endParaRPr lang="en-IN" b="1"/>
            </a:p>
          </xdr:txBody>
        </xdr:sp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F74582FB-D481-75DB-B2DE-64270311E9C8}"/>
              </a:ext>
            </a:extLst>
          </xdr:cNvPr>
          <xdr:cNvGrpSpPr/>
        </xdr:nvGrpSpPr>
        <xdr:grpSpPr>
          <a:xfrm>
            <a:off x="195097" y="120584"/>
            <a:ext cx="6015532" cy="2572252"/>
            <a:chOff x="195097" y="120584"/>
            <a:chExt cx="6015532" cy="2572252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8459E181-2A2E-CF33-CB44-CFEAEFC93CE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5097" y="17283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037163C3-739F-B934-E272-582F927D0C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8847" y="17283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50159AA6-77A5-B6F2-B6F1-706368246F4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2598" y="17283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2" name="TextBox 26">
              <a:extLst>
                <a:ext uri="{FF2B5EF4-FFF2-40B4-BE49-F238E27FC236}">
                  <a16:creationId xmlns:a16="http://schemas.microsoft.com/office/drawing/2014/main" id="{480DCA74-5925-C594-867A-90734DB18ED7}"/>
                </a:ext>
              </a:extLst>
            </xdr:cNvPr>
            <xdr:cNvSpPr txBox="1"/>
          </xdr:nvSpPr>
          <xdr:spPr>
            <a:xfrm>
              <a:off x="5397636" y="120584"/>
              <a:ext cx="745717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North</a:t>
              </a:r>
              <a:endParaRPr lang="en-IN" b="1"/>
            </a:p>
          </xdr:txBody>
        </xdr:sp>
      </xdr:grpSp>
    </xdr:grpSp>
    <xdr:clientData/>
  </xdr:twoCellAnchor>
  <xdr:twoCellAnchor>
    <xdr:from>
      <xdr:col>0</xdr:col>
      <xdr:colOff>258534</xdr:colOff>
      <xdr:row>177</xdr:row>
      <xdr:rowOff>54429</xdr:rowOff>
    </xdr:from>
    <xdr:to>
      <xdr:col>7</xdr:col>
      <xdr:colOff>653142</xdr:colOff>
      <xdr:row>215</xdr:row>
      <xdr:rowOff>27215</xdr:rowOff>
    </xdr:to>
    <xdr:grpSp>
      <xdr:nvGrpSpPr>
        <xdr:cNvPr id="40" name="Group 39"/>
        <xdr:cNvGrpSpPr/>
      </xdr:nvGrpSpPr>
      <xdr:grpSpPr>
        <a:xfrm>
          <a:off x="258534" y="42050154"/>
          <a:ext cx="6090558" cy="7564211"/>
          <a:chOff x="258534" y="42154929"/>
          <a:chExt cx="6068787" cy="7715250"/>
        </a:xfrm>
      </xdr:grpSpPr>
      <xdr:grpSp>
        <xdr:nvGrpSpPr>
          <xdr:cNvPr id="65" name="Group 64"/>
          <xdr:cNvGrpSpPr/>
        </xdr:nvGrpSpPr>
        <xdr:grpSpPr>
          <a:xfrm>
            <a:off x="258534" y="42154929"/>
            <a:ext cx="6068787" cy="7715250"/>
            <a:chOff x="721433" y="584422"/>
            <a:chExt cx="5064150" cy="6689944"/>
          </a:xfrm>
        </xdr:grpSpPr>
        <xdr:pic>
          <xdr:nvPicPr>
            <xdr:cNvPr id="66" name="Picture 65" descr="https://vsjcllp.vsjadon.com/upload/insp-239724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58113" y="5114366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" name="Picture 66" descr="https://vsjcllp.vsjadon.com/upload/insp-239724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67270" y="584422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8" name="Picture 67" descr="https://vsjcllp.vsjadon.com/upload/insp-239724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67270" y="2849394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9" name="Picture 68" descr="https://vsjcllp.vsjadon.com/upload/insp-239724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21433" y="584422"/>
              <a:ext cx="3315273" cy="442497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0" name="Picture 69" descr="https://vsjcllp.vsjadon.com/upload/insp-239724-151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25984" y="5114366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1" name="TextBox 23">
            <a:extLst>
              <a:ext uri="{FF2B5EF4-FFF2-40B4-BE49-F238E27FC236}">
                <a16:creationId xmlns:a16="http://schemas.microsoft.com/office/drawing/2014/main" id="{5A50CD91-276C-8E5C-245C-472F1D0EAA97}"/>
              </a:ext>
            </a:extLst>
          </xdr:cNvPr>
          <xdr:cNvSpPr txBox="1"/>
        </xdr:nvSpPr>
        <xdr:spPr>
          <a:xfrm>
            <a:off x="2513239" y="43541497"/>
            <a:ext cx="1628775" cy="37689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South Tower</a:t>
            </a:r>
            <a:endParaRPr lang="en-IN" b="1"/>
          </a:p>
        </xdr:txBody>
      </xdr:sp>
      <xdr:sp macro="" textlink="">
        <xdr:nvSpPr>
          <xdr:cNvPr id="72" name="TextBox 23">
            <a:extLst>
              <a:ext uri="{FF2B5EF4-FFF2-40B4-BE49-F238E27FC236}">
                <a16:creationId xmlns:a16="http://schemas.microsoft.com/office/drawing/2014/main" id="{5A50CD91-276C-8E5C-245C-472F1D0EAA97}"/>
              </a:ext>
            </a:extLst>
          </xdr:cNvPr>
          <xdr:cNvSpPr txBox="1"/>
        </xdr:nvSpPr>
        <xdr:spPr>
          <a:xfrm rot="620739">
            <a:off x="1039583" y="42667918"/>
            <a:ext cx="1607006" cy="37689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North</a:t>
            </a:r>
            <a:r>
              <a:rPr lang="en-US" b="1" baseline="0"/>
              <a:t> </a:t>
            </a:r>
            <a:r>
              <a:rPr lang="en-US" b="1"/>
              <a:t>Tower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il.google.com/mail/u/0/?tab=rm&amp;ogbl" TargetMode="External"/><Relationship Id="rId1" Type="http://schemas.openxmlformats.org/officeDocument/2006/relationships/hyperlink" Target="https://goo.gl/maps/339g33PNmjRz2Mkz5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02"/>
  <sheetViews>
    <sheetView tabSelected="1" view="pageBreakPreview" topLeftCell="A92" zoomScaleNormal="100" zoomScaleSheetLayoutView="100" workbookViewId="0">
      <selection activeCell="L111" sqref="L111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9" ht="46.5" customHeight="1" x14ac:dyDescent="0.25">
      <c r="A1" s="172" t="s">
        <v>253</v>
      </c>
      <c r="B1" s="172"/>
      <c r="C1" s="172"/>
      <c r="D1" s="172"/>
      <c r="E1" s="172"/>
      <c r="F1" s="172"/>
      <c r="G1" s="172"/>
      <c r="H1" s="172"/>
    </row>
    <row r="2" spans="1:9" ht="16.5" customHeight="1" x14ac:dyDescent="0.25">
      <c r="A2" s="104" t="s">
        <v>0</v>
      </c>
      <c r="B2" s="104"/>
      <c r="C2" s="104"/>
      <c r="D2" s="104"/>
      <c r="E2" s="104"/>
      <c r="F2" s="104"/>
      <c r="G2" s="104"/>
      <c r="H2" s="104"/>
    </row>
    <row r="3" spans="1:9" x14ac:dyDescent="0.25">
      <c r="A3" s="137" t="s">
        <v>1</v>
      </c>
      <c r="B3" s="137"/>
      <c r="C3" s="137"/>
      <c r="D3" s="137"/>
      <c r="E3" s="137" t="str">
        <f ca="1">TEXT(TODAY(),"DD/MM/YYYY")</f>
        <v>29/09/2025</v>
      </c>
      <c r="F3" s="137"/>
      <c r="G3" s="137"/>
      <c r="H3" s="137"/>
    </row>
    <row r="4" spans="1:9" ht="15" customHeight="1" x14ac:dyDescent="0.25">
      <c r="A4" s="137" t="s">
        <v>2</v>
      </c>
      <c r="B4" s="137"/>
      <c r="C4" s="137"/>
      <c r="D4" s="137"/>
      <c r="E4" s="137" t="s">
        <v>171</v>
      </c>
      <c r="F4" s="137"/>
      <c r="G4" s="137"/>
      <c r="H4" s="137"/>
    </row>
    <row r="5" spans="1:9" x14ac:dyDescent="0.25">
      <c r="A5" s="137" t="s">
        <v>3</v>
      </c>
      <c r="B5" s="137"/>
      <c r="C5" s="137"/>
      <c r="D5" s="137"/>
      <c r="E5" s="171">
        <v>45846</v>
      </c>
      <c r="F5" s="137"/>
      <c r="G5" s="137"/>
      <c r="H5" s="137"/>
    </row>
    <row r="6" spans="1:9" ht="16.5" customHeight="1" x14ac:dyDescent="0.25">
      <c r="A6" s="137" t="s">
        <v>4</v>
      </c>
      <c r="B6" s="137"/>
      <c r="C6" s="137"/>
      <c r="D6" s="137"/>
      <c r="E6" s="137" t="s">
        <v>172</v>
      </c>
      <c r="F6" s="137"/>
      <c r="G6" s="137"/>
      <c r="H6" s="137"/>
    </row>
    <row r="7" spans="1:9" ht="15" customHeight="1" x14ac:dyDescent="0.25">
      <c r="A7" s="137" t="s">
        <v>5</v>
      </c>
      <c r="B7" s="137"/>
      <c r="C7" s="137"/>
      <c r="D7" s="137"/>
      <c r="E7" s="137" t="str">
        <f>E6</f>
        <v>K Raheja Corp Private Limited</v>
      </c>
      <c r="F7" s="137"/>
      <c r="G7" s="137"/>
      <c r="H7" s="137"/>
    </row>
    <row r="8" spans="1:9" x14ac:dyDescent="0.25">
      <c r="A8" s="137" t="s">
        <v>6</v>
      </c>
      <c r="B8" s="137"/>
      <c r="C8" s="137"/>
      <c r="D8" s="137"/>
      <c r="E8" s="109" t="s">
        <v>256</v>
      </c>
      <c r="F8" s="108"/>
      <c r="G8" s="108"/>
      <c r="H8" s="108"/>
      <c r="I8" s="21" t="s">
        <v>266</v>
      </c>
    </row>
    <row r="9" spans="1:9" x14ac:dyDescent="0.25">
      <c r="A9" s="137" t="s">
        <v>167</v>
      </c>
      <c r="B9" s="137"/>
      <c r="C9" s="137"/>
      <c r="D9" s="137"/>
      <c r="E9" s="137" t="s">
        <v>173</v>
      </c>
      <c r="F9" s="137"/>
      <c r="G9" s="137"/>
      <c r="H9" s="137"/>
    </row>
    <row r="10" spans="1:9" hidden="1" x14ac:dyDescent="0.25">
      <c r="A10" s="137" t="s">
        <v>168</v>
      </c>
      <c r="B10" s="137"/>
      <c r="C10" s="137"/>
      <c r="D10" s="137"/>
      <c r="E10" s="137"/>
      <c r="F10" s="137"/>
      <c r="G10" s="137"/>
      <c r="H10" s="137"/>
    </row>
    <row r="11" spans="1:9" ht="36" customHeight="1" x14ac:dyDescent="0.25">
      <c r="A11" s="137" t="s">
        <v>7</v>
      </c>
      <c r="B11" s="137"/>
      <c r="C11" s="137"/>
      <c r="D11" s="137"/>
      <c r="E11" s="167" t="s">
        <v>214</v>
      </c>
      <c r="F11" s="137"/>
      <c r="G11" s="137"/>
      <c r="H11" s="137"/>
    </row>
    <row r="12" spans="1:9" x14ac:dyDescent="0.25">
      <c r="A12" s="103" t="s">
        <v>8</v>
      </c>
      <c r="B12" s="103"/>
      <c r="C12" s="103"/>
      <c r="D12" s="103"/>
      <c r="E12" s="167" t="s">
        <v>215</v>
      </c>
      <c r="F12" s="167"/>
      <c r="G12" s="167"/>
      <c r="H12" s="167"/>
    </row>
    <row r="13" spans="1:9" ht="31.5" customHeight="1" x14ac:dyDescent="0.25">
      <c r="A13" s="103" t="s">
        <v>9</v>
      </c>
      <c r="B13" s="103"/>
      <c r="C13" s="103"/>
      <c r="D13" s="103"/>
      <c r="E13" s="167" t="s">
        <v>216</v>
      </c>
      <c r="F13" s="137"/>
      <c r="G13" s="137"/>
      <c r="H13" s="137"/>
    </row>
    <row r="14" spans="1:9" ht="34.5" customHeight="1" x14ac:dyDescent="0.25">
      <c r="A14" s="148" t="s">
        <v>10</v>
      </c>
      <c r="B14" s="148"/>
      <c r="C14" s="14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Raheja Modern Vivarea, C.S. No.7/1895, near New Shirin Talkies, Sane Guruji Marg, RTO Colony, , Byculla, Mumbai, Mumbai - 400011.</v>
      </c>
      <c r="D14" s="148"/>
      <c r="E14" s="148"/>
      <c r="F14" s="148"/>
      <c r="G14" s="148"/>
      <c r="H14" s="148"/>
    </row>
    <row r="15" spans="1:9" x14ac:dyDescent="0.25">
      <c r="A15" s="167" t="s">
        <v>174</v>
      </c>
      <c r="B15" s="167"/>
      <c r="C15" s="167" t="s">
        <v>175</v>
      </c>
      <c r="D15" s="167"/>
      <c r="E15" s="167"/>
      <c r="F15" s="167"/>
      <c r="G15" s="167"/>
      <c r="H15" s="167"/>
    </row>
    <row r="16" spans="1:9" ht="15.75" customHeight="1" x14ac:dyDescent="0.25">
      <c r="A16" s="167" t="s">
        <v>166</v>
      </c>
      <c r="B16" s="167"/>
      <c r="C16" s="167" t="s">
        <v>182</v>
      </c>
      <c r="D16" s="167"/>
      <c r="E16" s="167"/>
      <c r="F16" s="167"/>
      <c r="G16" s="167"/>
      <c r="H16" s="167"/>
    </row>
    <row r="17" spans="1:8" ht="15.75" customHeight="1" x14ac:dyDescent="0.25">
      <c r="A17" s="148" t="s">
        <v>11</v>
      </c>
      <c r="B17" s="148"/>
      <c r="C17" s="137" t="s">
        <v>183</v>
      </c>
      <c r="D17" s="137"/>
      <c r="E17" s="148" t="s">
        <v>75</v>
      </c>
      <c r="F17" s="148"/>
      <c r="G17" s="167" t="s">
        <v>30</v>
      </c>
      <c r="H17" s="167"/>
    </row>
    <row r="18" spans="1:8" x14ac:dyDescent="0.25">
      <c r="A18" s="103" t="s">
        <v>13</v>
      </c>
      <c r="B18" s="103"/>
      <c r="C18" s="167" t="s">
        <v>176</v>
      </c>
      <c r="D18" s="167"/>
      <c r="E18" s="148" t="s">
        <v>12</v>
      </c>
      <c r="F18" s="148"/>
      <c r="G18" s="170" t="s">
        <v>177</v>
      </c>
      <c r="H18" s="170"/>
    </row>
    <row r="19" spans="1:8" x14ac:dyDescent="0.25">
      <c r="A19" s="103" t="s">
        <v>76</v>
      </c>
      <c r="B19" s="103"/>
      <c r="C19" s="167" t="s">
        <v>177</v>
      </c>
      <c r="D19" s="167"/>
      <c r="E19" s="148" t="s">
        <v>14</v>
      </c>
      <c r="F19" s="148"/>
      <c r="G19" s="167">
        <v>400011</v>
      </c>
      <c r="H19" s="167"/>
    </row>
    <row r="20" spans="1:8" ht="33.75" customHeight="1" x14ac:dyDescent="0.25">
      <c r="A20" s="103" t="s">
        <v>125</v>
      </c>
      <c r="B20" s="103"/>
      <c r="C20" s="167" t="s">
        <v>184</v>
      </c>
      <c r="D20" s="167"/>
      <c r="E20" s="148" t="s">
        <v>15</v>
      </c>
      <c r="F20" s="148"/>
      <c r="G20" s="167" t="s">
        <v>185</v>
      </c>
      <c r="H20" s="167"/>
    </row>
    <row r="21" spans="1:8" ht="15" customHeight="1" x14ac:dyDescent="0.25">
      <c r="A21" s="148" t="s">
        <v>78</v>
      </c>
      <c r="B21" s="148"/>
      <c r="C21" s="148"/>
      <c r="D21" s="148"/>
      <c r="E21" s="137" t="s">
        <v>16</v>
      </c>
      <c r="F21" s="137"/>
      <c r="G21" s="137"/>
      <c r="H21" s="137"/>
    </row>
    <row r="22" spans="1:8" ht="18.75" customHeight="1" x14ac:dyDescent="0.25">
      <c r="A22" s="148"/>
      <c r="B22" s="148"/>
      <c r="C22" s="148"/>
      <c r="D22" s="148"/>
      <c r="E22" s="137"/>
      <c r="F22" s="137"/>
      <c r="G22" s="137"/>
      <c r="H22" s="137"/>
    </row>
    <row r="23" spans="1:8" ht="15" customHeight="1" x14ac:dyDescent="0.25">
      <c r="A23" s="148" t="s">
        <v>17</v>
      </c>
      <c r="B23" s="148"/>
      <c r="C23" s="148"/>
      <c r="D23" s="148"/>
      <c r="E23" s="167" t="s">
        <v>18</v>
      </c>
      <c r="F23" s="167"/>
      <c r="G23" s="167"/>
      <c r="H23" s="167"/>
    </row>
    <row r="24" spans="1:8" ht="15" customHeight="1" x14ac:dyDescent="0.25">
      <c r="A24" s="103" t="s">
        <v>19</v>
      </c>
      <c r="B24" s="103"/>
      <c r="C24" s="103"/>
      <c r="D24" s="103"/>
      <c r="E24" s="167" t="str">
        <f>IF(AND(G18="Mumbai"),"Upper Class","Middle Class")</f>
        <v>Upper Class</v>
      </c>
      <c r="F24" s="167"/>
      <c r="G24" s="167"/>
      <c r="H24" s="167"/>
    </row>
    <row r="25" spans="1:8" x14ac:dyDescent="0.25">
      <c r="A25" s="103" t="s">
        <v>20</v>
      </c>
      <c r="B25" s="103"/>
      <c r="C25" s="103"/>
      <c r="D25" s="103"/>
      <c r="E25" s="167" t="s">
        <v>21</v>
      </c>
      <c r="F25" s="167"/>
      <c r="G25" s="167"/>
      <c r="H25" s="167"/>
    </row>
    <row r="26" spans="1:8" ht="15.75" customHeight="1" x14ac:dyDescent="0.25">
      <c r="A26" s="103" t="s">
        <v>22</v>
      </c>
      <c r="B26" s="103"/>
      <c r="C26" s="103"/>
      <c r="D26" s="103"/>
      <c r="E26" s="167" t="str">
        <f>IF(AND(G18="Mumbai"),"Developed","Developing")</f>
        <v>Developed</v>
      </c>
      <c r="F26" s="167"/>
      <c r="G26" s="167"/>
      <c r="H26" s="167"/>
    </row>
    <row r="27" spans="1:8" x14ac:dyDescent="0.25">
      <c r="A27" s="103" t="s">
        <v>23</v>
      </c>
      <c r="B27" s="103"/>
      <c r="C27" s="103"/>
      <c r="D27" s="103"/>
      <c r="E27" s="167" t="s">
        <v>24</v>
      </c>
      <c r="F27" s="167"/>
      <c r="G27" s="167"/>
      <c r="H27" s="167"/>
    </row>
    <row r="28" spans="1:8" ht="15.75" customHeight="1" x14ac:dyDescent="0.25">
      <c r="A28" s="103" t="s">
        <v>83</v>
      </c>
      <c r="B28" s="103"/>
      <c r="C28" s="103"/>
      <c r="D28" s="103"/>
      <c r="E28" s="167" t="s">
        <v>84</v>
      </c>
      <c r="F28" s="167"/>
      <c r="G28" s="167"/>
      <c r="H28" s="167"/>
    </row>
    <row r="29" spans="1:8" ht="15" customHeight="1" x14ac:dyDescent="0.25">
      <c r="A29" s="103" t="s">
        <v>33</v>
      </c>
      <c r="B29" s="103"/>
      <c r="C29" s="103"/>
      <c r="D29" s="103"/>
      <c r="E29" s="167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29" s="167"/>
      <c r="G29" s="167"/>
      <c r="H29" s="167"/>
    </row>
    <row r="30" spans="1:8" ht="15.75" customHeight="1" x14ac:dyDescent="0.25">
      <c r="A30" s="103" t="s">
        <v>95</v>
      </c>
      <c r="B30" s="103"/>
      <c r="C30" s="103"/>
      <c r="D30" s="103"/>
      <c r="E30" s="167" t="s">
        <v>34</v>
      </c>
      <c r="F30" s="167"/>
      <c r="G30" s="167"/>
      <c r="H30" s="167"/>
    </row>
    <row r="31" spans="1:8" s="22" customFormat="1" x14ac:dyDescent="0.25">
      <c r="A31" s="169" t="s">
        <v>96</v>
      </c>
      <c r="B31" s="169"/>
      <c r="C31" s="168" t="s">
        <v>29</v>
      </c>
      <c r="D31" s="168"/>
      <c r="E31" s="168"/>
      <c r="F31" s="168" t="s">
        <v>31</v>
      </c>
      <c r="G31" s="168"/>
      <c r="H31" s="168"/>
    </row>
    <row r="32" spans="1:8" s="22" customFormat="1" x14ac:dyDescent="0.25">
      <c r="A32" s="149" t="s">
        <v>25</v>
      </c>
      <c r="B32" s="149" t="s">
        <v>30</v>
      </c>
      <c r="C32" s="150" t="s">
        <v>30</v>
      </c>
      <c r="D32" s="150"/>
      <c r="E32" s="150"/>
      <c r="F32" s="150" t="s">
        <v>184</v>
      </c>
      <c r="G32" s="150"/>
      <c r="H32" s="150"/>
    </row>
    <row r="33" spans="1:8" x14ac:dyDescent="0.25">
      <c r="A33" s="149" t="s">
        <v>26</v>
      </c>
      <c r="B33" s="149" t="s">
        <v>30</v>
      </c>
      <c r="C33" s="150" t="s">
        <v>30</v>
      </c>
      <c r="D33" s="150"/>
      <c r="E33" s="150"/>
      <c r="F33" s="150" t="s">
        <v>218</v>
      </c>
      <c r="G33" s="150"/>
      <c r="H33" s="150"/>
    </row>
    <row r="34" spans="1:8" s="22" customFormat="1" x14ac:dyDescent="0.25">
      <c r="A34" s="149" t="s">
        <v>28</v>
      </c>
      <c r="B34" s="149" t="s">
        <v>30</v>
      </c>
      <c r="C34" s="150" t="s">
        <v>30</v>
      </c>
      <c r="D34" s="150"/>
      <c r="E34" s="150"/>
      <c r="F34" s="150" t="s">
        <v>190</v>
      </c>
      <c r="G34" s="150"/>
      <c r="H34" s="150"/>
    </row>
    <row r="35" spans="1:8" x14ac:dyDescent="0.25">
      <c r="A35" s="149" t="s">
        <v>27</v>
      </c>
      <c r="B35" s="149" t="s">
        <v>30</v>
      </c>
      <c r="C35" s="150" t="s">
        <v>30</v>
      </c>
      <c r="D35" s="150"/>
      <c r="E35" s="150"/>
      <c r="F35" s="150" t="s">
        <v>191</v>
      </c>
      <c r="G35" s="150"/>
      <c r="H35" s="150"/>
    </row>
    <row r="36" spans="1:8" x14ac:dyDescent="0.25">
      <c r="A36" s="103" t="s">
        <v>32</v>
      </c>
      <c r="B36" s="103"/>
      <c r="C36" s="103"/>
      <c r="D36" s="103"/>
      <c r="E36" s="103"/>
      <c r="F36" s="103"/>
      <c r="G36" s="103"/>
      <c r="H36" s="103"/>
    </row>
    <row r="37" spans="1:8" ht="15.75" customHeight="1" x14ac:dyDescent="0.25">
      <c r="A37" s="103" t="s">
        <v>217</v>
      </c>
      <c r="B37" s="103"/>
      <c r="C37" s="77" t="s">
        <v>254</v>
      </c>
      <c r="D37" s="78"/>
      <c r="E37" s="78"/>
      <c r="F37" s="78"/>
      <c r="G37" s="78"/>
      <c r="H37" s="79"/>
    </row>
    <row r="38" spans="1:8" x14ac:dyDescent="0.25">
      <c r="A38" s="103" t="s">
        <v>165</v>
      </c>
      <c r="B38" s="103"/>
      <c r="C38" s="153" t="s">
        <v>189</v>
      </c>
      <c r="D38" s="154"/>
      <c r="E38" s="154"/>
      <c r="F38" s="154"/>
      <c r="G38" s="154"/>
      <c r="H38" s="154"/>
    </row>
    <row r="39" spans="1:8" x14ac:dyDescent="0.25">
      <c r="A39" s="152" t="s">
        <v>35</v>
      </c>
      <c r="B39" s="152"/>
      <c r="C39" s="152"/>
      <c r="D39" s="152"/>
      <c r="E39" s="152"/>
      <c r="F39" s="152"/>
      <c r="G39" s="152"/>
      <c r="H39" s="152"/>
    </row>
    <row r="40" spans="1:8" x14ac:dyDescent="0.25">
      <c r="A40" s="103" t="s">
        <v>36</v>
      </c>
      <c r="B40" s="103"/>
      <c r="C40" s="103"/>
      <c r="D40" s="103"/>
      <c r="E40" s="151">
        <v>13765.31</v>
      </c>
      <c r="F40" s="151"/>
      <c r="G40" s="151"/>
      <c r="H40" s="151"/>
    </row>
    <row r="41" spans="1:8" x14ac:dyDescent="0.25">
      <c r="A41" s="103" t="s">
        <v>37</v>
      </c>
      <c r="B41" s="103"/>
      <c r="C41" s="103"/>
      <c r="D41" s="103"/>
      <c r="E41" s="136">
        <v>1.33</v>
      </c>
      <c r="F41" s="136"/>
      <c r="G41" s="136"/>
      <c r="H41" s="136"/>
    </row>
    <row r="42" spans="1:8" x14ac:dyDescent="0.25">
      <c r="A42" s="103" t="s">
        <v>38</v>
      </c>
      <c r="B42" s="103"/>
      <c r="C42" s="103"/>
      <c r="D42" s="103"/>
      <c r="E42" s="135">
        <f>E44/E40-E41</f>
        <v>1.8806883172264195</v>
      </c>
      <c r="F42" s="135"/>
      <c r="G42" s="135"/>
      <c r="H42" s="135"/>
    </row>
    <row r="43" spans="1:8" x14ac:dyDescent="0.25">
      <c r="A43" s="103" t="s">
        <v>39</v>
      </c>
      <c r="B43" s="103"/>
      <c r="C43" s="103"/>
      <c r="D43" s="103"/>
      <c r="E43" s="135">
        <f>E41+E42</f>
        <v>3.2106883172264196</v>
      </c>
      <c r="F43" s="135"/>
      <c r="G43" s="135"/>
      <c r="H43" s="135"/>
    </row>
    <row r="44" spans="1:8" x14ac:dyDescent="0.25">
      <c r="A44" s="103" t="s">
        <v>94</v>
      </c>
      <c r="B44" s="103"/>
      <c r="C44" s="103"/>
      <c r="D44" s="103"/>
      <c r="E44" s="136">
        <v>44196.12</v>
      </c>
      <c r="F44" s="136"/>
      <c r="G44" s="136"/>
      <c r="H44" s="136"/>
    </row>
    <row r="45" spans="1:8" x14ac:dyDescent="0.25">
      <c r="A45" s="137" t="s">
        <v>40</v>
      </c>
      <c r="B45" s="137"/>
      <c r="C45" s="137"/>
      <c r="D45" s="137"/>
      <c r="E45" s="137" t="s">
        <v>188</v>
      </c>
      <c r="F45" s="137"/>
      <c r="G45" s="137"/>
      <c r="H45" s="137"/>
    </row>
    <row r="46" spans="1:8" x14ac:dyDescent="0.25">
      <c r="A46" s="152" t="s">
        <v>41</v>
      </c>
      <c r="B46" s="152"/>
      <c r="C46" s="152"/>
      <c r="D46" s="152"/>
      <c r="E46" s="152"/>
      <c r="F46" s="152"/>
      <c r="G46" s="152"/>
      <c r="H46" s="152"/>
    </row>
    <row r="47" spans="1:8" ht="33.75" customHeight="1" x14ac:dyDescent="0.25">
      <c r="A47" s="138" t="s">
        <v>154</v>
      </c>
      <c r="B47" s="139"/>
      <c r="C47" s="140" t="s">
        <v>178</v>
      </c>
      <c r="D47" s="141"/>
      <c r="E47" s="141"/>
      <c r="F47" s="141"/>
      <c r="G47" s="141"/>
      <c r="H47" s="142"/>
    </row>
    <row r="48" spans="1:8" ht="15.75" customHeight="1" x14ac:dyDescent="0.25">
      <c r="A48" s="138" t="s">
        <v>42</v>
      </c>
      <c r="B48" s="139"/>
      <c r="C48" s="138" t="s">
        <v>179</v>
      </c>
      <c r="D48" s="166"/>
      <c r="E48" s="139"/>
      <c r="F48" s="18" t="s">
        <v>43</v>
      </c>
      <c r="G48" s="160">
        <v>44567</v>
      </c>
      <c r="H48" s="139"/>
    </row>
    <row r="49" spans="1:15" x14ac:dyDescent="0.25">
      <c r="A49" s="138" t="s">
        <v>44</v>
      </c>
      <c r="B49" s="139"/>
      <c r="C49" s="138" t="str">
        <f>C48</f>
        <v>EB/6794/E/A</v>
      </c>
      <c r="D49" s="166"/>
      <c r="E49" s="139"/>
      <c r="F49" s="18" t="s">
        <v>43</v>
      </c>
      <c r="G49" s="160">
        <f>G48</f>
        <v>44567</v>
      </c>
      <c r="H49" s="161"/>
    </row>
    <row r="50" spans="1:15" s="23" customFormat="1" ht="15.75" customHeight="1" x14ac:dyDescent="0.25">
      <c r="A50" s="162" t="s">
        <v>158</v>
      </c>
      <c r="B50" s="163"/>
      <c r="C50" s="138" t="s">
        <v>180</v>
      </c>
      <c r="D50" s="166"/>
      <c r="E50" s="139"/>
      <c r="F50" s="18" t="s">
        <v>43</v>
      </c>
      <c r="G50" s="160">
        <v>44889</v>
      </c>
      <c r="H50" s="161"/>
    </row>
    <row r="51" spans="1:15" s="23" customFormat="1" ht="96" customHeight="1" x14ac:dyDescent="0.25">
      <c r="A51" s="164"/>
      <c r="B51" s="165"/>
      <c r="C51" s="138" t="s">
        <v>181</v>
      </c>
      <c r="D51" s="166"/>
      <c r="E51" s="139"/>
      <c r="F51" s="18" t="s">
        <v>124</v>
      </c>
      <c r="G51" s="160">
        <v>45098</v>
      </c>
      <c r="H51" s="161"/>
    </row>
    <row r="52" spans="1:15" s="23" customFormat="1" ht="15.75" customHeight="1" x14ac:dyDescent="0.25">
      <c r="A52" s="162" t="s">
        <v>158</v>
      </c>
      <c r="B52" s="163"/>
      <c r="C52" s="138" t="s">
        <v>258</v>
      </c>
      <c r="D52" s="166"/>
      <c r="E52" s="139"/>
      <c r="F52" s="18" t="s">
        <v>43</v>
      </c>
      <c r="G52" s="160">
        <v>45576</v>
      </c>
      <c r="H52" s="161"/>
    </row>
    <row r="53" spans="1:15" s="23" customFormat="1" ht="141" customHeight="1" x14ac:dyDescent="0.25">
      <c r="A53" s="164"/>
      <c r="B53" s="165"/>
      <c r="C53" s="138" t="s">
        <v>259</v>
      </c>
      <c r="D53" s="166"/>
      <c r="E53" s="139"/>
      <c r="F53" s="18" t="s">
        <v>124</v>
      </c>
      <c r="G53" s="160">
        <v>45829</v>
      </c>
      <c r="H53" s="161"/>
    </row>
    <row r="54" spans="1:15" ht="34.5" customHeight="1" x14ac:dyDescent="0.25">
      <c r="A54" s="138" t="s">
        <v>186</v>
      </c>
      <c r="B54" s="139"/>
      <c r="C54" s="138" t="s">
        <v>187</v>
      </c>
      <c r="D54" s="166"/>
      <c r="E54" s="139"/>
      <c r="F54" s="62" t="s">
        <v>212</v>
      </c>
      <c r="G54" s="160" t="s">
        <v>213</v>
      </c>
      <c r="H54" s="203"/>
      <c r="L54" s="61" t="s">
        <v>43</v>
      </c>
      <c r="M54" s="52">
        <v>43311</v>
      </c>
      <c r="N54" s="60"/>
      <c r="O54" s="53">
        <v>46233</v>
      </c>
    </row>
    <row r="55" spans="1:15" x14ac:dyDescent="0.25">
      <c r="A55" s="196" t="s">
        <v>45</v>
      </c>
      <c r="B55" s="197"/>
      <c r="C55" s="196" t="s">
        <v>108</v>
      </c>
      <c r="D55" s="198"/>
      <c r="E55" s="197"/>
      <c r="F55" s="46" t="s">
        <v>43</v>
      </c>
      <c r="G55" s="201" t="s">
        <v>30</v>
      </c>
      <c r="H55" s="202"/>
    </row>
    <row r="56" spans="1:15" x14ac:dyDescent="0.25">
      <c r="A56" s="199" t="s">
        <v>47</v>
      </c>
      <c r="B56" s="199"/>
      <c r="C56" s="199"/>
      <c r="D56" s="199"/>
      <c r="E56" s="199"/>
      <c r="F56" s="199"/>
      <c r="G56" s="199"/>
      <c r="H56" s="199"/>
    </row>
    <row r="57" spans="1:15" x14ac:dyDescent="0.25">
      <c r="A57" s="148" t="s">
        <v>93</v>
      </c>
      <c r="B57" s="148"/>
      <c r="C57" s="148"/>
      <c r="D57" s="103">
        <f>E44</f>
        <v>44196.12</v>
      </c>
      <c r="E57" s="103"/>
      <c r="F57" s="103"/>
      <c r="G57" s="103"/>
      <c r="H57" s="103"/>
    </row>
    <row r="58" spans="1:15" x14ac:dyDescent="0.25">
      <c r="A58" s="167" t="s">
        <v>48</v>
      </c>
      <c r="B58" s="137"/>
      <c r="C58" s="137"/>
      <c r="D58" s="200" t="s">
        <v>209</v>
      </c>
      <c r="E58" s="200"/>
      <c r="F58" s="200"/>
      <c r="G58" s="200"/>
      <c r="H58" s="200"/>
      <c r="I58" s="24"/>
    </row>
    <row r="59" spans="1:15" ht="64.5" customHeight="1" x14ac:dyDescent="0.25">
      <c r="A59" s="157" t="s">
        <v>49</v>
      </c>
      <c r="B59" s="158"/>
      <c r="C59" s="159"/>
      <c r="D59" s="155" t="s">
        <v>245</v>
      </c>
      <c r="E59" s="156"/>
      <c r="F59" s="156"/>
      <c r="G59" s="156"/>
      <c r="H59" s="156"/>
    </row>
    <row r="60" spans="1:15" ht="15.75" customHeight="1" x14ac:dyDescent="0.25">
      <c r="A60" s="157" t="s">
        <v>91</v>
      </c>
      <c r="B60" s="158"/>
      <c r="C60" s="158"/>
      <c r="D60" s="137" t="s">
        <v>246</v>
      </c>
      <c r="E60" s="137"/>
      <c r="F60" s="137"/>
      <c r="G60" s="137"/>
      <c r="H60" s="137"/>
    </row>
    <row r="61" spans="1:15" ht="15.75" customHeight="1" x14ac:dyDescent="0.25">
      <c r="A61" s="194"/>
      <c r="B61" s="195"/>
      <c r="C61" s="195"/>
      <c r="D61" s="167" t="s">
        <v>247</v>
      </c>
      <c r="E61" s="137"/>
      <c r="F61" s="137"/>
      <c r="G61" s="137"/>
      <c r="H61" s="137"/>
    </row>
    <row r="62" spans="1:15" ht="33" customHeight="1" x14ac:dyDescent="0.25">
      <c r="A62" s="103" t="s">
        <v>46</v>
      </c>
      <c r="B62" s="103"/>
      <c r="C62" s="103"/>
      <c r="D62" s="120" t="s">
        <v>252</v>
      </c>
      <c r="E62" s="120"/>
      <c r="F62" s="120"/>
      <c r="G62" s="120"/>
      <c r="H62" s="120"/>
      <c r="J62" s="25"/>
      <c r="K62" s="24"/>
      <c r="N62" s="24"/>
    </row>
    <row r="63" spans="1:15" ht="15.75" customHeight="1" x14ac:dyDescent="0.25">
      <c r="A63" s="103" t="s">
        <v>89</v>
      </c>
      <c r="B63" s="103"/>
      <c r="C63" s="103"/>
      <c r="D63" s="134" t="str">
        <f>(IF(G55="NA","60 Years After Completion",IF(G55&lt;&gt;"NA",""&amp;60-ROUNDDOWN((E3-G55)/360,0)&amp;" Years"," ")))</f>
        <v>60 Years After Completion</v>
      </c>
      <c r="E63" s="134"/>
      <c r="F63" s="134"/>
      <c r="G63" s="134"/>
      <c r="H63" s="134"/>
      <c r="N63" s="24"/>
    </row>
    <row r="64" spans="1:15" ht="15.75" customHeight="1" x14ac:dyDescent="0.25">
      <c r="A64" s="103" t="s">
        <v>90</v>
      </c>
      <c r="B64" s="103"/>
      <c r="C64" s="103"/>
      <c r="D64" s="148" t="s">
        <v>24</v>
      </c>
      <c r="E64" s="148"/>
      <c r="F64" s="148"/>
      <c r="G64" s="148"/>
      <c r="H64" s="148"/>
      <c r="J64" s="26"/>
      <c r="K64" s="26"/>
    </row>
    <row r="65" spans="1:14" ht="30" customHeight="1" x14ac:dyDescent="0.25">
      <c r="A65" s="103" t="s">
        <v>77</v>
      </c>
      <c r="B65" s="103"/>
      <c r="C65" s="103"/>
      <c r="D65" s="167" t="s">
        <v>170</v>
      </c>
      <c r="E65" s="148"/>
      <c r="F65" s="148"/>
      <c r="G65" s="148"/>
      <c r="H65" s="148"/>
    </row>
    <row r="66" spans="1:14" x14ac:dyDescent="0.25">
      <c r="A66" s="148" t="s">
        <v>151</v>
      </c>
      <c r="B66" s="148"/>
      <c r="C66" s="148"/>
      <c r="D66" s="148" t="s">
        <v>30</v>
      </c>
      <c r="E66" s="148"/>
      <c r="F66" s="148"/>
      <c r="G66" s="148"/>
      <c r="H66" s="148"/>
      <c r="I66" s="27"/>
      <c r="J66" s="27"/>
      <c r="K66" s="27"/>
      <c r="L66" s="27"/>
      <c r="M66" s="27"/>
      <c r="N66" s="27"/>
    </row>
    <row r="67" spans="1:14" ht="15.75" customHeight="1" x14ac:dyDescent="0.25">
      <c r="A67" s="178" t="s">
        <v>88</v>
      </c>
      <c r="B67" s="178"/>
      <c r="C67" s="178"/>
      <c r="D67" s="177" t="str">
        <f ca="1">(IF(G73&gt;95%,"Nothing",IF(G73&gt;0%,"Cement, Aggregate, Steel, etc",IF(G73=0%,"Work not yet Started"))))</f>
        <v>Cement, Aggregate, Steel, etc</v>
      </c>
      <c r="E67" s="177"/>
      <c r="F67" s="177"/>
      <c r="G67" s="177"/>
      <c r="H67" s="177"/>
      <c r="J67" s="26"/>
    </row>
    <row r="68" spans="1:14" ht="33.75" customHeight="1" thickBot="1" x14ac:dyDescent="0.3">
      <c r="A68" s="176" t="s">
        <v>121</v>
      </c>
      <c r="B68" s="176"/>
      <c r="C68" s="176"/>
      <c r="D68" s="177" t="str">
        <f ca="1">(IF(D67="Nothing","Yes",IF(D67="Cement, Aggregate, Steel, etc","Under Construction",IF(D67="Work not yet Started","Work not yet Started"))))</f>
        <v>Under Construction</v>
      </c>
      <c r="E68" s="177"/>
      <c r="F68" s="177" t="str">
        <f ca="1">(IF(D67="Nothing","Yes",IF(D67="Cement, Aggregate, Steel, etc","Under Construction",IF(D67="Work not yet Started","Work not yet Started"))))</f>
        <v>Under Construction</v>
      </c>
      <c r="G68" s="177"/>
      <c r="H68" s="177"/>
    </row>
    <row r="69" spans="1:14" ht="15.75" customHeight="1" x14ac:dyDescent="0.25">
      <c r="A69" s="143" t="s">
        <v>143</v>
      </c>
      <c r="B69" s="144"/>
      <c r="C69" s="145" t="str">
        <f>D60</f>
        <v>Tower 1 = 2B + Gr/Stilt + P1 to P6 + Amentity Floor + 1st to 40th Floor</v>
      </c>
      <c r="D69" s="146"/>
      <c r="E69" s="146"/>
      <c r="F69" s="146"/>
      <c r="G69" s="146"/>
      <c r="H69" s="147"/>
      <c r="I69" s="48" t="str">
        <f ca="1">IF(D82=100%,"All work Completed. Possession granted to the Building.",IF(D81=100%,"All work Completed, Waiting for OC",I70&amp;""&amp;I71&amp;""&amp;J70&amp;""&amp;J69&amp;" "&amp;J71))</f>
        <v>Excavation, Plinth, RCC Slab, Brickwork Completed, Internal Plaster upto 38 Floor, External Plaster upto 33 Floor, Flooring upto 26 Floor, Painting upto 24 Floor Completed</v>
      </c>
      <c r="J69" s="49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Internal Plaster upto 38 Floor, External Plaster upto 33 Floor, Flooring upto 26 Floor, Painting upto 24 Floor</v>
      </c>
    </row>
    <row r="70" spans="1:14" x14ac:dyDescent="0.25">
      <c r="A70" s="16" t="s">
        <v>145</v>
      </c>
      <c r="B70" s="72">
        <v>2</v>
      </c>
      <c r="C70" s="72" t="s">
        <v>74</v>
      </c>
      <c r="D70" s="72">
        <v>1</v>
      </c>
      <c r="E70" s="72" t="s">
        <v>73</v>
      </c>
      <c r="F70" s="72">
        <v>7</v>
      </c>
      <c r="G70" s="72" t="s">
        <v>82</v>
      </c>
      <c r="H70" s="17">
        <f ca="1">--TRIM(RIGHT(SUBSTITUTE(LEFT(C69,_xlfn.AGGREGATE(16,6,FIND({0,1,2,3,4,5,6,7,8,9},C69,ROW(INDIRECT("1:"&amp;LEN(C69)))),1))," ",REPT(" ",LEN(C69))),LEN(C69)))</f>
        <v>40</v>
      </c>
      <c r="I70" s="50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</v>
      </c>
      <c r="J70" s="51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49.5" customHeight="1" x14ac:dyDescent="0.25">
      <c r="A71" s="107" t="s">
        <v>92</v>
      </c>
      <c r="B71" s="108"/>
      <c r="C71" s="109" t="str">
        <f ca="1">I69</f>
        <v>Excavation, Plinth, RCC Slab, Brickwork Completed, Internal Plaster upto 38 Floor, External Plaster upto 33 Floor, Flooring upto 26 Floor, Painting upto 24 Floor Completed</v>
      </c>
      <c r="D71" s="109"/>
      <c r="E71" s="109"/>
      <c r="F71" s="109"/>
      <c r="G71" s="109"/>
      <c r="H71" s="110"/>
      <c r="I71" s="50" t="str">
        <f ca="1">IF(I70&lt;&gt;""," Completed","")</f>
        <v xml:space="preserve"> Completed</v>
      </c>
      <c r="J71" s="51" t="str">
        <f ca="1">IF(J69&lt;&gt;"","Completed","")</f>
        <v>Completed</v>
      </c>
    </row>
    <row r="72" spans="1:14" ht="15.75" customHeight="1" x14ac:dyDescent="0.25">
      <c r="A72" s="130" t="s">
        <v>50</v>
      </c>
      <c r="B72" s="131"/>
      <c r="C72" s="70" t="s">
        <v>142</v>
      </c>
      <c r="D72" s="70" t="s">
        <v>85</v>
      </c>
      <c r="E72" s="131" t="s">
        <v>87</v>
      </c>
      <c r="F72" s="131"/>
      <c r="G72" s="131" t="s">
        <v>86</v>
      </c>
      <c r="H72" s="179"/>
      <c r="I72" s="14" t="s">
        <v>144</v>
      </c>
      <c r="J72" s="28">
        <f ca="1">H70*25%</f>
        <v>10</v>
      </c>
    </row>
    <row r="73" spans="1:14" x14ac:dyDescent="0.25">
      <c r="A73" s="130" t="s">
        <v>131</v>
      </c>
      <c r="B73" s="131"/>
      <c r="C73" s="70">
        <f ca="1">J74</f>
        <v>40</v>
      </c>
      <c r="D73" s="58">
        <f ca="1">((100/H70)*C73)/100</f>
        <v>1</v>
      </c>
      <c r="E73" s="121">
        <f ca="1">(((C74/H70*10)+(40/(D70+F70+H70)*C75)+(7.5/(H70)*C76)+(7.5/(H70)*C77)+(10/H70*C78)+(10/H70*C79)+(5/H70*C80)+(5/H70*C81)+(5/H70*C82))/100)</f>
        <v>0.82374999999999998</v>
      </c>
      <c r="F73" s="122"/>
      <c r="G73" s="121">
        <f ca="1">((((C73/H70)*20)+((C74/H70)*25)+(30/(H70+F70+D70)*C75)+(5/H70*C76)+(5/H70*C77)+(5/H70*C78)+(5/H70*C79)+(0/H70*C80)+(0/H70*C81)+(5/H70*C82))/100)</f>
        <v>0.92125000000000001</v>
      </c>
      <c r="H73" s="127"/>
      <c r="I73" s="14" t="s">
        <v>103</v>
      </c>
      <c r="J73" s="29">
        <f ca="1">H70*50%</f>
        <v>20</v>
      </c>
    </row>
    <row r="74" spans="1:14" x14ac:dyDescent="0.25">
      <c r="A74" s="130" t="s">
        <v>51</v>
      </c>
      <c r="B74" s="131"/>
      <c r="C74" s="70">
        <f ca="1">J82</f>
        <v>40</v>
      </c>
      <c r="D74" s="58">
        <f ca="1">((100/H70)*C74)/100</f>
        <v>1</v>
      </c>
      <c r="E74" s="123"/>
      <c r="F74" s="124"/>
      <c r="G74" s="123"/>
      <c r="H74" s="128"/>
      <c r="I74" s="14" t="s">
        <v>104</v>
      </c>
      <c r="J74" s="29">
        <f ca="1">H70</f>
        <v>40</v>
      </c>
    </row>
    <row r="75" spans="1:14" ht="15.75" customHeight="1" x14ac:dyDescent="0.25">
      <c r="A75" s="130" t="s">
        <v>132</v>
      </c>
      <c r="B75" s="131"/>
      <c r="C75" s="70">
        <f>D70+F70+40</f>
        <v>48</v>
      </c>
      <c r="D75" s="58">
        <f ca="1">((100/(D70+F70+H70))*C75)/100</f>
        <v>1</v>
      </c>
      <c r="E75" s="123"/>
      <c r="F75" s="124"/>
      <c r="G75" s="123"/>
      <c r="H75" s="128"/>
      <c r="I75" s="14" t="s">
        <v>105</v>
      </c>
      <c r="J75" s="30">
        <f ca="1">(IF(B70&gt;1,(H70/(B70+2)),H70/4))</f>
        <v>10</v>
      </c>
    </row>
    <row r="76" spans="1:14" ht="15.75" customHeight="1" x14ac:dyDescent="0.25">
      <c r="A76" s="130" t="s">
        <v>139</v>
      </c>
      <c r="B76" s="131" t="s">
        <v>133</v>
      </c>
      <c r="C76" s="70">
        <f>C75-D70-F70</f>
        <v>40</v>
      </c>
      <c r="D76" s="58">
        <f ca="1">((100/H70)*C76)/100</f>
        <v>1</v>
      </c>
      <c r="E76" s="123"/>
      <c r="F76" s="124"/>
      <c r="G76" s="123"/>
      <c r="H76" s="128"/>
      <c r="I76" s="14" t="s">
        <v>106</v>
      </c>
      <c r="J76" s="30">
        <f ca="1">(IF(B70&gt;1,(H70/(B70+2)+J75),H70/4+J75))</f>
        <v>20</v>
      </c>
    </row>
    <row r="77" spans="1:14" ht="15.75" customHeight="1" x14ac:dyDescent="0.25">
      <c r="A77" s="130" t="s">
        <v>140</v>
      </c>
      <c r="B77" s="131" t="s">
        <v>133</v>
      </c>
      <c r="C77" s="68">
        <f>C76*0.95</f>
        <v>38</v>
      </c>
      <c r="D77" s="58">
        <f ca="1">((100/H70)*C77)/100</f>
        <v>0.95</v>
      </c>
      <c r="E77" s="123"/>
      <c r="F77" s="124"/>
      <c r="G77" s="123"/>
      <c r="H77" s="128"/>
      <c r="I77" s="14" t="s">
        <v>149</v>
      </c>
      <c r="J77" s="30">
        <f ca="1">(IF(B70&gt;1,(H70/(B70+2)+J76),0))</f>
        <v>30</v>
      </c>
    </row>
    <row r="78" spans="1:14" ht="15" customHeight="1" x14ac:dyDescent="0.25">
      <c r="A78" s="130" t="s">
        <v>265</v>
      </c>
      <c r="B78" s="131" t="s">
        <v>135</v>
      </c>
      <c r="C78" s="68">
        <v>33</v>
      </c>
      <c r="D78" s="58">
        <f ca="1">((100/(H70))*C78)/100</f>
        <v>0.82499999999999996</v>
      </c>
      <c r="E78" s="123"/>
      <c r="F78" s="124"/>
      <c r="G78" s="123"/>
      <c r="H78" s="128"/>
      <c r="I78" s="14" t="s">
        <v>146</v>
      </c>
      <c r="J78" s="30">
        <f>(IF(B70&gt;2,(H70/(B70+2)+J77),0))</f>
        <v>0</v>
      </c>
    </row>
    <row r="79" spans="1:14" ht="15.75" customHeight="1" x14ac:dyDescent="0.25">
      <c r="A79" s="130" t="s">
        <v>134</v>
      </c>
      <c r="B79" s="131" t="s">
        <v>134</v>
      </c>
      <c r="C79" s="70">
        <v>26</v>
      </c>
      <c r="D79" s="58">
        <f ca="1">((100/H70)*C79)/100</f>
        <v>0.65</v>
      </c>
      <c r="E79" s="123"/>
      <c r="F79" s="124"/>
      <c r="G79" s="123"/>
      <c r="H79" s="128"/>
      <c r="I79" s="14" t="s">
        <v>147</v>
      </c>
      <c r="J79" s="31">
        <f>(IF(B70&gt;3,(H70/(B70+2)+J78),0))</f>
        <v>0</v>
      </c>
    </row>
    <row r="80" spans="1:14" ht="15.75" customHeight="1" x14ac:dyDescent="0.25">
      <c r="A80" s="130" t="s">
        <v>141</v>
      </c>
      <c r="B80" s="131"/>
      <c r="C80" s="70">
        <v>24</v>
      </c>
      <c r="D80" s="58">
        <f ca="1">((100/H70)*C80)/100</f>
        <v>0.6</v>
      </c>
      <c r="E80" s="123"/>
      <c r="F80" s="124"/>
      <c r="G80" s="123"/>
      <c r="H80" s="128"/>
      <c r="I80" s="14" t="s">
        <v>148</v>
      </c>
      <c r="J80" s="30">
        <f>(IF(B70&gt;4,(H70/(B70+2)+J79),0))</f>
        <v>0</v>
      </c>
    </row>
    <row r="81" spans="1:10" ht="15.75" customHeight="1" x14ac:dyDescent="0.25">
      <c r="A81" s="130" t="s">
        <v>136</v>
      </c>
      <c r="B81" s="131" t="s">
        <v>136</v>
      </c>
      <c r="C81" s="70">
        <v>0</v>
      </c>
      <c r="D81" s="58">
        <f ca="1">((100/(H70))*C81)/100</f>
        <v>0</v>
      </c>
      <c r="E81" s="123"/>
      <c r="F81" s="124"/>
      <c r="G81" s="123"/>
      <c r="H81" s="128"/>
      <c r="I81" s="14" t="s">
        <v>150</v>
      </c>
      <c r="J81" s="30">
        <f>(IF(B70=1,(H70/(B70+3)+J76),IF(B70=0,(H70/4+J76),IF(B70&gt;1,0))))</f>
        <v>0</v>
      </c>
    </row>
    <row r="82" spans="1:10" ht="16.5" thickBot="1" x14ac:dyDescent="0.3">
      <c r="A82" s="132" t="s">
        <v>137</v>
      </c>
      <c r="B82" s="133"/>
      <c r="C82" s="71">
        <v>0</v>
      </c>
      <c r="D82" s="59">
        <f ca="1">((100/(H70))*C82)/100</f>
        <v>0</v>
      </c>
      <c r="E82" s="125"/>
      <c r="F82" s="126"/>
      <c r="G82" s="125"/>
      <c r="H82" s="129"/>
      <c r="I82" s="15" t="s">
        <v>107</v>
      </c>
      <c r="J82" s="32">
        <f ca="1">(IF(B70&gt;1.5,(H70/(B70+2)+J76+MAX(0,J77-J76)+MAX(0,J78-J77)+MAX(0,J79-J78)+MAX(0,J80-J79)+MAX(0,J81-J80)),IF(B70=1,(H70/(B70+3)+J81),IF(B70=0,H70/4+J81))))</f>
        <v>40</v>
      </c>
    </row>
    <row r="83" spans="1:10" ht="15.75" customHeight="1" x14ac:dyDescent="0.25">
      <c r="A83" s="143" t="s">
        <v>143</v>
      </c>
      <c r="B83" s="144"/>
      <c r="C83" s="145" t="str">
        <f>D61</f>
        <v>Tower 2 = 2B + Gr/Stilt + P1 to P6 + Amentity Floor + 1st to 41st Floor</v>
      </c>
      <c r="D83" s="146"/>
      <c r="E83" s="146"/>
      <c r="F83" s="146"/>
      <c r="G83" s="146"/>
      <c r="H83" s="147"/>
      <c r="I83" s="48" t="str">
        <f ca="1">IF(D96=100%,"All work Completed. Possession granted to the Building.",IF(D95=100%,"All work Completed, Waiting for OC",I84&amp;""&amp;I85&amp;""&amp;J84&amp;""&amp;J83&amp;" "&amp;J85))</f>
        <v>Excavation, Plinth Completed, RCC upto 37 Slab, Brickwork upto 29 Floor, Internal Plaster upto 23.2 Floor, External Plaster upto 20.3 Floor, Flooring upto 12 Floor Completed</v>
      </c>
      <c r="J83" s="49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37 Slab, Brickwork upto 29 Floor, Internal Plaster upto 23.2 Floor, External Plaster upto 20.3 Floor, Flooring upto 12 Floor</v>
      </c>
    </row>
    <row r="84" spans="1:10" x14ac:dyDescent="0.25">
      <c r="A84" s="16" t="s">
        <v>145</v>
      </c>
      <c r="B84" s="54">
        <v>2</v>
      </c>
      <c r="C84" s="54" t="s">
        <v>74</v>
      </c>
      <c r="D84" s="54">
        <v>1</v>
      </c>
      <c r="E84" s="54" t="s">
        <v>73</v>
      </c>
      <c r="F84" s="54">
        <v>7</v>
      </c>
      <c r="G84" s="54" t="s">
        <v>82</v>
      </c>
      <c r="H84" s="17">
        <f ca="1">--TRIM(RIGHT(SUBSTITUTE(LEFT(C83,_xlfn.AGGREGATE(16,6,FIND({0,1,2,3,4,5,6,7,8,9},C83,ROW(INDIRECT("1:"&amp;LEN(C83)))),1))," ",REPT(" ",LEN(C83))),LEN(C83)))</f>
        <v>41</v>
      </c>
      <c r="I84" s="50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51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50.45" customHeight="1" x14ac:dyDescent="0.25">
      <c r="A85" s="107" t="s">
        <v>92</v>
      </c>
      <c r="B85" s="108"/>
      <c r="C85" s="109" t="str">
        <f ca="1">(IF($G$55="NA",I83,"All work Completed. OC Received."))</f>
        <v>Excavation, Plinth Completed, RCC upto 37 Slab, Brickwork upto 29 Floor, Internal Plaster upto 23.2 Floor, External Plaster upto 20.3 Floor, Flooring upto 12 Floor Completed</v>
      </c>
      <c r="D85" s="109"/>
      <c r="E85" s="109"/>
      <c r="F85" s="109"/>
      <c r="G85" s="109"/>
      <c r="H85" s="110"/>
      <c r="I85" s="50" t="str">
        <f ca="1">IF(I84&lt;&gt;""," Completed","")</f>
        <v xml:space="preserve"> Completed</v>
      </c>
      <c r="J85" s="51" t="str">
        <f ca="1">IF(J83&lt;&gt;"","Completed","")</f>
        <v>Completed</v>
      </c>
    </row>
    <row r="86" spans="1:10" ht="15.75" customHeight="1" x14ac:dyDescent="0.25">
      <c r="A86" s="111" t="s">
        <v>50</v>
      </c>
      <c r="B86" s="112"/>
      <c r="C86" s="44" t="s">
        <v>142</v>
      </c>
      <c r="D86" s="44" t="s">
        <v>85</v>
      </c>
      <c r="E86" s="112" t="s">
        <v>87</v>
      </c>
      <c r="F86" s="112"/>
      <c r="G86" s="112" t="s">
        <v>86</v>
      </c>
      <c r="H86" s="113"/>
      <c r="I86" s="14" t="s">
        <v>144</v>
      </c>
      <c r="J86" s="28">
        <f ca="1">H84*25%</f>
        <v>10.25</v>
      </c>
    </row>
    <row r="87" spans="1:10" x14ac:dyDescent="0.25">
      <c r="A87" s="111" t="s">
        <v>131</v>
      </c>
      <c r="B87" s="112"/>
      <c r="C87" s="44">
        <f ca="1">J88</f>
        <v>41</v>
      </c>
      <c r="D87" s="19">
        <f ca="1">((100/H84)*C87)/100</f>
        <v>1</v>
      </c>
      <c r="E87" s="114">
        <f ca="1">(((C88/H84*10)+(40/(D84+F84+H84)*C89)+(7.5/(H84)*C90)+(7.5/(H84)*C91)+(10/H84*C92)+(10/H84*C93)+(5/H84*C94)+(5/H84*C95)+(5/H84*C96))/100)</f>
        <v>0.57630910900945742</v>
      </c>
      <c r="F87" s="180"/>
      <c r="G87" s="114">
        <f ca="1">((((C87/H84)*20)+((C88/H84)*25)+(30/(H84+F84+D84)*C89)+(5/H84*C90)+(5/H84*C91)+(5/H84*C92)+(5/H84*C93)+(0/H84*C94)+(0/H84*C95)+(5/H84*C96))/100)</f>
        <v>0.77957939273270271</v>
      </c>
      <c r="H87" s="115"/>
      <c r="I87" s="14" t="s">
        <v>103</v>
      </c>
      <c r="J87" s="29">
        <f ca="1">H84*50%</f>
        <v>20.5</v>
      </c>
    </row>
    <row r="88" spans="1:10" x14ac:dyDescent="0.25">
      <c r="A88" s="111" t="s">
        <v>51</v>
      </c>
      <c r="B88" s="112"/>
      <c r="C88" s="44">
        <f ca="1">J96</f>
        <v>41</v>
      </c>
      <c r="D88" s="19">
        <f ca="1">((100/H84)*C88)/100</f>
        <v>1</v>
      </c>
      <c r="E88" s="116"/>
      <c r="F88" s="181"/>
      <c r="G88" s="116"/>
      <c r="H88" s="117"/>
      <c r="I88" s="14" t="s">
        <v>104</v>
      </c>
      <c r="J88" s="29">
        <f ca="1">H84</f>
        <v>41</v>
      </c>
    </row>
    <row r="89" spans="1:10" ht="15.75" customHeight="1" x14ac:dyDescent="0.25">
      <c r="A89" s="111" t="s">
        <v>132</v>
      </c>
      <c r="B89" s="112"/>
      <c r="C89" s="44">
        <f>D84+F84+29</f>
        <v>37</v>
      </c>
      <c r="D89" s="19">
        <f ca="1">((100/(D84+F84+H84))*C89)/100</f>
        <v>0.75510204081632648</v>
      </c>
      <c r="E89" s="116"/>
      <c r="F89" s="181"/>
      <c r="G89" s="116"/>
      <c r="H89" s="117"/>
      <c r="I89" s="14" t="s">
        <v>105</v>
      </c>
      <c r="J89" s="30">
        <f ca="1">(IF(B84&gt;1,(H84/(B84+2)),H84/4))</f>
        <v>10.25</v>
      </c>
    </row>
    <row r="90" spans="1:10" ht="15.75" customHeight="1" x14ac:dyDescent="0.25">
      <c r="A90" s="111" t="s">
        <v>139</v>
      </c>
      <c r="B90" s="112" t="s">
        <v>133</v>
      </c>
      <c r="C90" s="44">
        <f>C89-D84-F84</f>
        <v>29</v>
      </c>
      <c r="D90" s="19">
        <f ca="1">((100/H84)*C90)/100</f>
        <v>0.70731707317073178</v>
      </c>
      <c r="E90" s="116"/>
      <c r="F90" s="181"/>
      <c r="G90" s="116"/>
      <c r="H90" s="117"/>
      <c r="I90" s="14" t="s">
        <v>106</v>
      </c>
      <c r="J90" s="30">
        <f ca="1">(IF(B84&gt;1,(H84/(B84+2)+J89),H84/4+J89))</f>
        <v>20.5</v>
      </c>
    </row>
    <row r="91" spans="1:10" ht="15.75" customHeight="1" x14ac:dyDescent="0.25">
      <c r="A91" s="111" t="s">
        <v>140</v>
      </c>
      <c r="B91" s="112" t="s">
        <v>133</v>
      </c>
      <c r="C91" s="68">
        <f>C90*0.8</f>
        <v>23.200000000000003</v>
      </c>
      <c r="D91" s="19">
        <f ca="1">((100/H84)*C91)/100</f>
        <v>0.56585365853658542</v>
      </c>
      <c r="E91" s="116"/>
      <c r="F91" s="181"/>
      <c r="G91" s="116"/>
      <c r="H91" s="117"/>
      <c r="I91" s="14" t="s">
        <v>149</v>
      </c>
      <c r="J91" s="30">
        <f ca="1">(IF(B84&gt;1,(H84/(B84+2)+J90),0))</f>
        <v>30.75</v>
      </c>
    </row>
    <row r="92" spans="1:10" ht="15" customHeight="1" x14ac:dyDescent="0.25">
      <c r="A92" s="211" t="s">
        <v>138</v>
      </c>
      <c r="B92" s="212" t="s">
        <v>135</v>
      </c>
      <c r="C92" s="68">
        <f>C90*0.7</f>
        <v>20.299999999999997</v>
      </c>
      <c r="D92" s="19">
        <f ca="1">((100/(H84))*C92)/100</f>
        <v>0.49512195121951208</v>
      </c>
      <c r="E92" s="116"/>
      <c r="F92" s="181"/>
      <c r="G92" s="116"/>
      <c r="H92" s="117"/>
      <c r="I92" s="14" t="s">
        <v>146</v>
      </c>
      <c r="J92" s="30">
        <f>(IF(B84&gt;2,(H84/(B84+2)+J91),0))</f>
        <v>0</v>
      </c>
    </row>
    <row r="93" spans="1:10" ht="15.75" customHeight="1" x14ac:dyDescent="0.25">
      <c r="A93" s="111" t="s">
        <v>134</v>
      </c>
      <c r="B93" s="112" t="s">
        <v>134</v>
      </c>
      <c r="C93" s="44">
        <v>12</v>
      </c>
      <c r="D93" s="19">
        <f ca="1">((100/H84)*C93)/100</f>
        <v>0.29268292682926828</v>
      </c>
      <c r="E93" s="116"/>
      <c r="F93" s="181"/>
      <c r="G93" s="116"/>
      <c r="H93" s="117"/>
      <c r="I93" s="14" t="s">
        <v>147</v>
      </c>
      <c r="J93" s="31">
        <f>(IF(B84&gt;3,(H84/(B84+2)+J92),0))</f>
        <v>0</v>
      </c>
    </row>
    <row r="94" spans="1:10" ht="15.75" customHeight="1" x14ac:dyDescent="0.25">
      <c r="A94" s="111" t="s">
        <v>141</v>
      </c>
      <c r="B94" s="112"/>
      <c r="C94" s="44">
        <v>0</v>
      </c>
      <c r="D94" s="19">
        <f ca="1">((100/H84)*C94)/100</f>
        <v>0</v>
      </c>
      <c r="E94" s="116"/>
      <c r="F94" s="181"/>
      <c r="G94" s="116"/>
      <c r="H94" s="117"/>
      <c r="I94" s="14" t="s">
        <v>148</v>
      </c>
      <c r="J94" s="30">
        <f>(IF(B84&gt;4,(H84/(B84+2)+J93),0))</f>
        <v>0</v>
      </c>
    </row>
    <row r="95" spans="1:10" ht="15.75" customHeight="1" x14ac:dyDescent="0.25">
      <c r="A95" s="111" t="s">
        <v>136</v>
      </c>
      <c r="B95" s="112" t="s">
        <v>136</v>
      </c>
      <c r="C95" s="44">
        <v>0</v>
      </c>
      <c r="D95" s="19">
        <f ca="1">((100/(H84))*C95)/100</f>
        <v>0</v>
      </c>
      <c r="E95" s="116"/>
      <c r="F95" s="181"/>
      <c r="G95" s="116"/>
      <c r="H95" s="117"/>
      <c r="I95" s="14" t="s">
        <v>150</v>
      </c>
      <c r="J95" s="30">
        <f>(IF(B84=1,(H84/(B84+3)+J90),IF(B84=0,(H84/4+J90),IF(B84&gt;1,0))))</f>
        <v>0</v>
      </c>
    </row>
    <row r="96" spans="1:10" ht="16.5" thickBot="1" x14ac:dyDescent="0.3">
      <c r="A96" s="105" t="s">
        <v>137</v>
      </c>
      <c r="B96" s="106"/>
      <c r="C96" s="45">
        <v>0</v>
      </c>
      <c r="D96" s="20">
        <f ca="1">((100/(H84))*C96)/100</f>
        <v>0</v>
      </c>
      <c r="E96" s="118"/>
      <c r="F96" s="182"/>
      <c r="G96" s="118"/>
      <c r="H96" s="119"/>
      <c r="I96" s="15" t="s">
        <v>107</v>
      </c>
      <c r="J96" s="32">
        <f ca="1">(IF(B84&gt;1.5,(H84/(B84+2)+J90+MAX(0,J91-J90)+MAX(0,J92-J91)+MAX(0,J93-J92)+MAX(0,J94-J93)+MAX(0,J95-J94)),IF(B84=1,(H84/(B84+3)+J95),IF(B84=0,H84/4+J95))))</f>
        <v>41</v>
      </c>
    </row>
    <row r="97" spans="1:9" x14ac:dyDescent="0.25">
      <c r="A97" s="92" t="s">
        <v>159</v>
      </c>
      <c r="B97" s="92"/>
      <c r="C97" s="92"/>
      <c r="D97" s="92"/>
      <c r="E97" s="92"/>
      <c r="F97" s="99" t="s">
        <v>163</v>
      </c>
      <c r="G97" s="99"/>
      <c r="H97" s="99"/>
    </row>
    <row r="98" spans="1:9" x14ac:dyDescent="0.25">
      <c r="A98" s="103" t="s">
        <v>161</v>
      </c>
      <c r="B98" s="103"/>
      <c r="C98" s="103"/>
      <c r="D98" s="103"/>
      <c r="E98" s="103"/>
      <c r="F98" s="93">
        <v>50000</v>
      </c>
      <c r="G98" s="93"/>
      <c r="H98" s="93"/>
      <c r="I98" s="21" t="s">
        <v>270</v>
      </c>
    </row>
    <row r="99" spans="1:9" hidden="1" x14ac:dyDescent="0.25">
      <c r="A99" s="103" t="s">
        <v>160</v>
      </c>
      <c r="B99" s="103"/>
      <c r="C99" s="103"/>
      <c r="D99" s="103"/>
      <c r="E99" s="103"/>
      <c r="F99" s="93"/>
      <c r="G99" s="93"/>
      <c r="H99" s="93"/>
    </row>
    <row r="100" spans="1:9" hidden="1" x14ac:dyDescent="0.25">
      <c r="A100" s="103" t="s">
        <v>162</v>
      </c>
      <c r="B100" s="103"/>
      <c r="C100" s="103"/>
      <c r="D100" s="103"/>
      <c r="E100" s="103"/>
      <c r="F100" s="93"/>
      <c r="G100" s="93"/>
      <c r="H100" s="93"/>
    </row>
    <row r="101" spans="1:9" s="33" customFormat="1" x14ac:dyDescent="0.25">
      <c r="A101" s="103" t="s">
        <v>268</v>
      </c>
      <c r="B101" s="103"/>
      <c r="C101" s="103"/>
      <c r="D101" s="103"/>
      <c r="E101" s="103"/>
      <c r="F101" s="93">
        <v>150</v>
      </c>
      <c r="G101" s="93"/>
      <c r="H101" s="93"/>
    </row>
    <row r="102" spans="1:9" s="33" customFormat="1" hidden="1" x14ac:dyDescent="0.25">
      <c r="A102" s="103" t="s">
        <v>97</v>
      </c>
      <c r="B102" s="103"/>
      <c r="C102" s="103"/>
      <c r="D102" s="103"/>
      <c r="E102" s="103"/>
      <c r="F102" s="93"/>
      <c r="G102" s="93"/>
      <c r="H102" s="93"/>
    </row>
    <row r="103" spans="1:9" s="33" customFormat="1" hidden="1" x14ac:dyDescent="0.25">
      <c r="A103" s="103" t="s">
        <v>98</v>
      </c>
      <c r="B103" s="103"/>
      <c r="C103" s="103"/>
      <c r="D103" s="103"/>
      <c r="E103" s="103"/>
      <c r="F103" s="93"/>
      <c r="G103" s="93"/>
      <c r="H103" s="93"/>
    </row>
    <row r="104" spans="1:9" s="33" customFormat="1" hidden="1" x14ac:dyDescent="0.25">
      <c r="A104" s="103" t="s">
        <v>164</v>
      </c>
      <c r="B104" s="103"/>
      <c r="C104" s="103"/>
      <c r="D104" s="103"/>
      <c r="E104" s="103"/>
      <c r="F104" s="93"/>
      <c r="G104" s="93"/>
      <c r="H104" s="93"/>
    </row>
    <row r="105" spans="1:9" s="33" customFormat="1" hidden="1" x14ac:dyDescent="0.25">
      <c r="A105" s="103" t="s">
        <v>99</v>
      </c>
      <c r="B105" s="103"/>
      <c r="C105" s="103"/>
      <c r="D105" s="103"/>
      <c r="E105" s="103"/>
      <c r="F105" s="93"/>
      <c r="G105" s="93"/>
      <c r="H105" s="93"/>
    </row>
    <row r="106" spans="1:9" s="33" customFormat="1" hidden="1" x14ac:dyDescent="0.25">
      <c r="A106" s="103" t="s">
        <v>100</v>
      </c>
      <c r="B106" s="103"/>
      <c r="C106" s="103"/>
      <c r="D106" s="103"/>
      <c r="E106" s="103"/>
      <c r="F106" s="93"/>
      <c r="G106" s="93"/>
      <c r="H106" s="93"/>
    </row>
    <row r="107" spans="1:9" s="33" customFormat="1" hidden="1" x14ac:dyDescent="0.25">
      <c r="A107" s="103" t="s">
        <v>101</v>
      </c>
      <c r="B107" s="103"/>
      <c r="C107" s="103"/>
      <c r="D107" s="103"/>
      <c r="E107" s="103"/>
      <c r="F107" s="93"/>
      <c r="G107" s="93"/>
      <c r="H107" s="93"/>
    </row>
    <row r="108" spans="1:9" s="33" customFormat="1" hidden="1" x14ac:dyDescent="0.25">
      <c r="A108" s="103" t="s">
        <v>102</v>
      </c>
      <c r="B108" s="103"/>
      <c r="C108" s="103"/>
      <c r="D108" s="103"/>
      <c r="E108" s="103"/>
      <c r="F108" s="93"/>
      <c r="G108" s="93"/>
      <c r="H108" s="93"/>
    </row>
    <row r="109" spans="1:9" x14ac:dyDescent="0.25">
      <c r="A109" s="103" t="s">
        <v>52</v>
      </c>
      <c r="B109" s="103"/>
      <c r="C109" s="103"/>
      <c r="D109" s="103"/>
      <c r="E109" s="103"/>
      <c r="F109" s="93">
        <v>1500000</v>
      </c>
      <c r="G109" s="93"/>
      <c r="H109" s="93"/>
    </row>
    <row r="110" spans="1:9" s="34" customFormat="1" x14ac:dyDescent="0.25">
      <c r="A110" s="152" t="s">
        <v>53</v>
      </c>
      <c r="B110" s="152"/>
      <c r="C110" s="152"/>
      <c r="D110" s="152"/>
      <c r="E110" s="152"/>
      <c r="F110" s="93">
        <f>F98*0.8</f>
        <v>40000</v>
      </c>
      <c r="G110" s="93"/>
      <c r="H110" s="93"/>
    </row>
    <row r="111" spans="1:9" s="35" customFormat="1" x14ac:dyDescent="0.25">
      <c r="A111" s="100" t="s">
        <v>72</v>
      </c>
      <c r="B111" s="100"/>
      <c r="C111" s="100"/>
      <c r="D111" s="100"/>
      <c r="E111" s="100"/>
      <c r="F111" s="100"/>
      <c r="G111" s="100"/>
      <c r="H111" s="100"/>
    </row>
    <row r="112" spans="1:9" s="35" customFormat="1" ht="15.75" customHeight="1" x14ac:dyDescent="0.25">
      <c r="A112" s="98" t="s">
        <v>54</v>
      </c>
      <c r="B112" s="98"/>
      <c r="C112" s="97" t="s">
        <v>80</v>
      </c>
      <c r="D112" s="97"/>
      <c r="E112" s="102" t="s">
        <v>55</v>
      </c>
      <c r="F112" s="102"/>
      <c r="G112" s="98" t="s">
        <v>56</v>
      </c>
      <c r="H112" s="98"/>
    </row>
    <row r="113" spans="1:14" s="35" customFormat="1" x14ac:dyDescent="0.25">
      <c r="A113" s="95" t="s">
        <v>192</v>
      </c>
      <c r="B113" s="95"/>
      <c r="C113" s="96">
        <f>COUNT(D126:D127)*6+COUNT(D130:D132)*34</f>
        <v>114</v>
      </c>
      <c r="D113" s="96"/>
      <c r="E113" s="94">
        <f>SUM(D126:D127)*6+SUM(D130:D132)*34</f>
        <v>308917.72056599997</v>
      </c>
      <c r="F113" s="94"/>
      <c r="G113" s="94">
        <f>SUM(F126:F127)*6+SUM(F130:F132)*34</f>
        <v>478822.4668773</v>
      </c>
      <c r="H113" s="94"/>
    </row>
    <row r="114" spans="1:14" s="35" customFormat="1" x14ac:dyDescent="0.25">
      <c r="A114" s="95" t="s">
        <v>203</v>
      </c>
      <c r="B114" s="95"/>
      <c r="C114" s="96">
        <f>COUNT(D140:D141)*5+COUNT(D144:D147)*25</f>
        <v>110</v>
      </c>
      <c r="D114" s="96"/>
      <c r="E114" s="94">
        <f>SUM(D140:D141)*5+SUM(D144:D147)*25</f>
        <v>205519.36625999995</v>
      </c>
      <c r="F114" s="94"/>
      <c r="G114" s="94">
        <f>SUM(F140:F141)*5+SUM(F144:F147)*25</f>
        <v>318555.01770299999</v>
      </c>
      <c r="H114" s="94"/>
    </row>
    <row r="115" spans="1:14" s="35" customFormat="1" x14ac:dyDescent="0.25">
      <c r="A115" s="100" t="s">
        <v>153</v>
      </c>
      <c r="B115" s="100"/>
      <c r="C115" s="188">
        <f>SUM(C113:C114)</f>
        <v>224</v>
      </c>
      <c r="D115" s="97"/>
      <c r="E115" s="101">
        <f>SUM(E113:E114)</f>
        <v>514437.0868259999</v>
      </c>
      <c r="F115" s="102"/>
      <c r="G115" s="98">
        <f>SUM(G113:G114)</f>
        <v>797377.48458030005</v>
      </c>
      <c r="H115" s="98"/>
    </row>
    <row r="116" spans="1:14" s="34" customFormat="1" x14ac:dyDescent="0.25">
      <c r="A116" s="104" t="s">
        <v>57</v>
      </c>
      <c r="B116" s="104"/>
      <c r="C116" s="104"/>
      <c r="D116" s="104"/>
      <c r="E116" s="104"/>
      <c r="F116" s="104"/>
      <c r="G116" s="104"/>
      <c r="H116" s="104"/>
    </row>
    <row r="117" spans="1:14" x14ac:dyDescent="0.25">
      <c r="A117" s="104" t="s">
        <v>58</v>
      </c>
      <c r="B117" s="104"/>
      <c r="C117" s="104"/>
      <c r="D117" s="104"/>
      <c r="E117" s="104"/>
      <c r="F117" s="104"/>
      <c r="G117" s="104"/>
      <c r="H117" s="104"/>
    </row>
    <row r="118" spans="1:14" ht="47.25" customHeight="1" x14ac:dyDescent="0.25">
      <c r="A118" s="192" t="s">
        <v>122</v>
      </c>
      <c r="B118" s="192" t="s">
        <v>123</v>
      </c>
      <c r="C118" s="189" t="s">
        <v>59</v>
      </c>
      <c r="D118" s="189" t="s">
        <v>60</v>
      </c>
      <c r="E118" s="207" t="s">
        <v>61</v>
      </c>
      <c r="F118" s="43" t="s">
        <v>152</v>
      </c>
      <c r="G118" s="192" t="s">
        <v>62</v>
      </c>
      <c r="H118" s="209"/>
      <c r="I118" s="36"/>
    </row>
    <row r="119" spans="1:14" s="37" customFormat="1" x14ac:dyDescent="0.25">
      <c r="A119" s="193"/>
      <c r="B119" s="193"/>
      <c r="C119" s="190"/>
      <c r="D119" s="190"/>
      <c r="E119" s="208"/>
      <c r="F119" s="13">
        <v>0.55000000000000004</v>
      </c>
      <c r="G119" s="193"/>
      <c r="H119" s="210"/>
      <c r="I119" s="36"/>
    </row>
    <row r="120" spans="1:14" s="37" customFormat="1" x14ac:dyDescent="0.25">
      <c r="A120" s="89" t="s">
        <v>219</v>
      </c>
      <c r="B120" s="90"/>
      <c r="C120" s="90"/>
      <c r="D120" s="90"/>
      <c r="E120" s="90"/>
      <c r="F120" s="90"/>
      <c r="G120" s="90"/>
      <c r="H120" s="91"/>
      <c r="J120" s="36"/>
    </row>
    <row r="121" spans="1:14" s="37" customFormat="1" x14ac:dyDescent="0.25">
      <c r="A121" s="89" t="s">
        <v>193</v>
      </c>
      <c r="B121" s="90"/>
      <c r="C121" s="90"/>
      <c r="D121" s="90"/>
      <c r="E121" s="90"/>
      <c r="F121" s="90"/>
      <c r="G121" s="90"/>
      <c r="H121" s="91"/>
      <c r="J121" s="36"/>
    </row>
    <row r="122" spans="1:14" s="37" customFormat="1" x14ac:dyDescent="0.25">
      <c r="A122" s="89" t="s">
        <v>194</v>
      </c>
      <c r="B122" s="90"/>
      <c r="C122" s="90"/>
      <c r="D122" s="90"/>
      <c r="E122" s="90"/>
      <c r="F122" s="90"/>
      <c r="G122" s="90"/>
      <c r="H122" s="91"/>
      <c r="J122" s="36"/>
    </row>
    <row r="123" spans="1:14" s="37" customFormat="1" x14ac:dyDescent="0.25">
      <c r="A123" s="89" t="s">
        <v>195</v>
      </c>
      <c r="B123" s="90"/>
      <c r="C123" s="90"/>
      <c r="D123" s="90"/>
      <c r="E123" s="90"/>
      <c r="F123" s="90"/>
      <c r="G123" s="90"/>
      <c r="H123" s="91"/>
      <c r="J123" s="36"/>
    </row>
    <row r="124" spans="1:14" s="37" customFormat="1" x14ac:dyDescent="0.25">
      <c r="A124" s="89" t="s">
        <v>196</v>
      </c>
      <c r="B124" s="90"/>
      <c r="C124" s="90"/>
      <c r="D124" s="90"/>
      <c r="E124" s="90"/>
      <c r="F124" s="90"/>
      <c r="G124" s="90"/>
      <c r="H124" s="91"/>
      <c r="J124" s="36"/>
    </row>
    <row r="125" spans="1:14" s="37" customFormat="1" x14ac:dyDescent="0.25">
      <c r="A125" s="89" t="s">
        <v>197</v>
      </c>
      <c r="B125" s="90"/>
      <c r="C125" s="90"/>
      <c r="D125" s="90"/>
      <c r="E125" s="90"/>
      <c r="F125" s="90"/>
      <c r="G125" s="90"/>
      <c r="H125" s="91"/>
      <c r="J125" s="36"/>
    </row>
    <row r="126" spans="1:14" s="37" customFormat="1" ht="27.75" customHeight="1" x14ac:dyDescent="0.25">
      <c r="A126" s="81">
        <v>1</v>
      </c>
      <c r="B126" s="82"/>
      <c r="C126" s="42" t="s">
        <v>198</v>
      </c>
      <c r="D126" s="55">
        <f>Note!M39</f>
        <v>2865.4168958999999</v>
      </c>
      <c r="E126" s="55">
        <v>0</v>
      </c>
      <c r="F126" s="42">
        <f>D126*(($F$119)+1)+(IF(E126&lt;101,E126,IF(E126&lt;201,E126/2,IF(E126&lt;=301,E126/3,E126/4))))</f>
        <v>4441.3961886449997</v>
      </c>
      <c r="G126" s="83" t="str">
        <f>A125</f>
        <v>1st, 8th, 15th, 22nd, 29th &amp; 36th Floor for Residential (Part Refuge Area)</v>
      </c>
      <c r="H126" s="84"/>
      <c r="I126" s="36"/>
      <c r="J126" s="55">
        <v>10.763999999999999</v>
      </c>
      <c r="L126" s="80"/>
      <c r="M126" s="80"/>
      <c r="N126" s="36"/>
    </row>
    <row r="127" spans="1:14" s="37" customFormat="1" ht="31.5" customHeight="1" x14ac:dyDescent="0.25">
      <c r="A127" s="81">
        <f t="shared" ref="A127" si="0">A126+1</f>
        <v>2</v>
      </c>
      <c r="B127" s="82"/>
      <c r="C127" s="42" t="s">
        <v>198</v>
      </c>
      <c r="D127" s="55">
        <f>Note!C39</f>
        <v>3027.0491198999998</v>
      </c>
      <c r="E127" s="55">
        <v>0</v>
      </c>
      <c r="F127" s="42">
        <f>D127*(($F$119)+1)+(IF(E127&lt;101,E127,IF(E127&lt;201,E127/2,IF(E127&lt;=301,E127/3,E127/4))))</f>
        <v>4691.9261358449994</v>
      </c>
      <c r="G127" s="87"/>
      <c r="H127" s="88"/>
      <c r="I127" s="36"/>
      <c r="L127" s="80"/>
      <c r="M127" s="80"/>
      <c r="N127" s="36"/>
    </row>
    <row r="128" spans="1:14" s="37" customFormat="1" x14ac:dyDescent="0.25">
      <c r="A128" s="89" t="s">
        <v>201</v>
      </c>
      <c r="B128" s="90"/>
      <c r="C128" s="90"/>
      <c r="D128" s="90"/>
      <c r="E128" s="90"/>
      <c r="F128" s="90"/>
      <c r="G128" s="90"/>
      <c r="H128" s="91"/>
      <c r="J128" s="36"/>
    </row>
    <row r="129" spans="1:14" s="37" customFormat="1" x14ac:dyDescent="0.25">
      <c r="A129" s="89" t="s">
        <v>199</v>
      </c>
      <c r="B129" s="90"/>
      <c r="C129" s="90"/>
      <c r="D129" s="90"/>
      <c r="E129" s="90"/>
      <c r="F129" s="90"/>
      <c r="G129" s="90"/>
      <c r="H129" s="91"/>
      <c r="J129" s="36"/>
    </row>
    <row r="130" spans="1:14" s="37" customFormat="1" ht="23.25" customHeight="1" x14ac:dyDescent="0.25">
      <c r="A130" s="81">
        <v>1</v>
      </c>
      <c r="B130" s="82"/>
      <c r="C130" s="42" t="s">
        <v>198</v>
      </c>
      <c r="D130" s="55">
        <f>D126</f>
        <v>2865.4168958999999</v>
      </c>
      <c r="E130" s="55">
        <v>0</v>
      </c>
      <c r="F130" s="42">
        <f>D130*(($F$119)+1)+(IF(E130&lt;101,E130,IF(E130&lt;201,E130/2,IF(E130&lt;=301,E130/3,E130/4))))</f>
        <v>4441.3961886449997</v>
      </c>
      <c r="G130" s="83" t="str">
        <f>A129</f>
        <v>2nd to 7th, 9th to 14th, 16th to 21st, 23rd to 28th, 30th to 35th, 37th to 40th Floor</v>
      </c>
      <c r="H130" s="84"/>
      <c r="I130" s="36">
        <f>210000000/F130</f>
        <v>47282.42901115014</v>
      </c>
      <c r="L130" s="80"/>
      <c r="M130" s="80"/>
      <c r="N130" s="36"/>
    </row>
    <row r="131" spans="1:14" s="37" customFormat="1" ht="23.25" customHeight="1" x14ac:dyDescent="0.25">
      <c r="A131" s="81">
        <f t="shared" ref="A131:A132" si="1">A130+1</f>
        <v>2</v>
      </c>
      <c r="B131" s="82"/>
      <c r="C131" s="42" t="s">
        <v>200</v>
      </c>
      <c r="D131" s="55">
        <f>Note!H39</f>
        <v>2153.5023509999996</v>
      </c>
      <c r="E131" s="55">
        <v>0</v>
      </c>
      <c r="F131" s="42">
        <f>D131*(($F$119)+1)+(IF(E131&lt;101,E131,IF(E131&lt;201,E131/2,IF(E131&lt;=301,E131/3,E131/4))))</f>
        <v>3337.9286440499995</v>
      </c>
      <c r="G131" s="85"/>
      <c r="H131" s="86"/>
      <c r="I131" s="36">
        <f t="shared" ref="I131:I132" si="2">210000000/F131</f>
        <v>62913.26819533245</v>
      </c>
      <c r="L131" s="80"/>
      <c r="M131" s="80"/>
      <c r="N131" s="36"/>
    </row>
    <row r="132" spans="1:14" s="37" customFormat="1" ht="23.25" customHeight="1" x14ac:dyDescent="0.25">
      <c r="A132" s="81">
        <f t="shared" si="1"/>
        <v>3</v>
      </c>
      <c r="B132" s="82"/>
      <c r="C132" s="42" t="s">
        <v>198</v>
      </c>
      <c r="D132" s="55">
        <f>D127</f>
        <v>3027.0491198999998</v>
      </c>
      <c r="E132" s="55">
        <v>0</v>
      </c>
      <c r="F132" s="42">
        <f>D132*(($F$119)+1)+(IF(E132&lt;101,E132,IF(E132&lt;201,E132/2,IF(E132&lt;=301,E132/3,E132/4))))</f>
        <v>4691.9261358449994</v>
      </c>
      <c r="G132" s="87"/>
      <c r="H132" s="88"/>
      <c r="I132" s="36">
        <f t="shared" si="2"/>
        <v>44757.737850060963</v>
      </c>
      <c r="L132" s="80"/>
      <c r="M132" s="80"/>
      <c r="N132" s="36"/>
    </row>
    <row r="133" spans="1:14" s="37" customFormat="1" x14ac:dyDescent="0.25">
      <c r="A133" s="89" t="s">
        <v>202</v>
      </c>
      <c r="B133" s="90"/>
      <c r="C133" s="90"/>
      <c r="D133" s="90"/>
      <c r="E133" s="90"/>
      <c r="F133" s="90"/>
      <c r="G133" s="90"/>
      <c r="H133" s="91"/>
      <c r="J133" s="36"/>
    </row>
    <row r="134" spans="1:14" s="37" customFormat="1" x14ac:dyDescent="0.25">
      <c r="A134" s="89" t="s">
        <v>203</v>
      </c>
      <c r="B134" s="90"/>
      <c r="C134" s="90"/>
      <c r="D134" s="90"/>
      <c r="E134" s="90"/>
      <c r="F134" s="90"/>
      <c r="G134" s="90"/>
      <c r="H134" s="91"/>
      <c r="J134" s="36"/>
    </row>
    <row r="135" spans="1:14" s="37" customFormat="1" x14ac:dyDescent="0.25">
      <c r="A135" s="89" t="s">
        <v>193</v>
      </c>
      <c r="B135" s="90"/>
      <c r="C135" s="90"/>
      <c r="D135" s="90"/>
      <c r="E135" s="90"/>
      <c r="F135" s="90"/>
      <c r="G135" s="90"/>
      <c r="H135" s="91"/>
      <c r="J135" s="36"/>
    </row>
    <row r="136" spans="1:14" s="37" customFormat="1" x14ac:dyDescent="0.25">
      <c r="A136" s="89" t="s">
        <v>194</v>
      </c>
      <c r="B136" s="90"/>
      <c r="C136" s="90"/>
      <c r="D136" s="90"/>
      <c r="E136" s="90"/>
      <c r="F136" s="90"/>
      <c r="G136" s="90"/>
      <c r="H136" s="91"/>
      <c r="J136" s="36"/>
    </row>
    <row r="137" spans="1:14" s="37" customFormat="1" x14ac:dyDescent="0.25">
      <c r="A137" s="89" t="s">
        <v>195</v>
      </c>
      <c r="B137" s="90"/>
      <c r="C137" s="90"/>
      <c r="D137" s="90"/>
      <c r="E137" s="90"/>
      <c r="F137" s="90"/>
      <c r="G137" s="90"/>
      <c r="H137" s="91"/>
      <c r="J137" s="36"/>
    </row>
    <row r="138" spans="1:14" s="37" customFormat="1" x14ac:dyDescent="0.25">
      <c r="A138" s="89" t="s">
        <v>196</v>
      </c>
      <c r="B138" s="90"/>
      <c r="C138" s="90"/>
      <c r="D138" s="90"/>
      <c r="E138" s="90"/>
      <c r="F138" s="90"/>
      <c r="G138" s="90"/>
      <c r="H138" s="91"/>
      <c r="J138" s="36"/>
    </row>
    <row r="139" spans="1:14" s="37" customFormat="1" x14ac:dyDescent="0.25">
      <c r="A139" s="89" t="s">
        <v>204</v>
      </c>
      <c r="B139" s="90"/>
      <c r="C139" s="90"/>
      <c r="D139" s="90"/>
      <c r="E139" s="90"/>
      <c r="F139" s="90"/>
      <c r="G139" s="90"/>
      <c r="H139" s="91"/>
      <c r="J139" s="36"/>
    </row>
    <row r="140" spans="1:14" s="37" customFormat="1" ht="27.75" customHeight="1" x14ac:dyDescent="0.25">
      <c r="A140" s="81">
        <v>1</v>
      </c>
      <c r="B140" s="82"/>
      <c r="C140" s="42" t="s">
        <v>206</v>
      </c>
      <c r="D140" s="55">
        <f>Note!AB39</f>
        <v>2590.0874999999996</v>
      </c>
      <c r="E140" s="55">
        <v>0</v>
      </c>
      <c r="F140" s="42">
        <f>D140*(($F$119)+1)+(IF(E140&lt;101,E140,IF(E140&lt;201,E140/2,IF(E140&lt;=301,E140/3,E140/4))))</f>
        <v>4014.6356249999994</v>
      </c>
      <c r="G140" s="83" t="str">
        <f>A139</f>
        <v>1st, 8th, 15th, 22nd, 29th Floor for Residential (Part Refuge Area)</v>
      </c>
      <c r="H140" s="84"/>
      <c r="I140" s="36"/>
      <c r="L140" s="80"/>
      <c r="M140" s="80"/>
      <c r="N140" s="36"/>
    </row>
    <row r="141" spans="1:14" s="37" customFormat="1" ht="31.5" customHeight="1" x14ac:dyDescent="0.25">
      <c r="A141" s="81">
        <f t="shared" ref="A141" si="3">A140+1</f>
        <v>2</v>
      </c>
      <c r="B141" s="82"/>
      <c r="C141" s="42" t="s">
        <v>206</v>
      </c>
      <c r="D141" s="55">
        <f>Note!AB39</f>
        <v>2590.0874999999996</v>
      </c>
      <c r="E141" s="55">
        <v>0</v>
      </c>
      <c r="F141" s="42">
        <f>D141*(($F$119)+1)+(IF(E141&lt;101,E141,IF(E141&lt;201,E141/2,IF(E141&lt;=301,E141/3,E141/4))))</f>
        <v>4014.6356249999994</v>
      </c>
      <c r="G141" s="87"/>
      <c r="H141" s="88"/>
      <c r="I141" s="36"/>
      <c r="L141" s="80"/>
      <c r="M141" s="80"/>
      <c r="N141" s="36"/>
    </row>
    <row r="142" spans="1:14" s="37" customFormat="1" x14ac:dyDescent="0.25">
      <c r="A142" s="89" t="s">
        <v>201</v>
      </c>
      <c r="B142" s="90"/>
      <c r="C142" s="90"/>
      <c r="D142" s="90"/>
      <c r="E142" s="90"/>
      <c r="F142" s="90"/>
      <c r="G142" s="90"/>
      <c r="H142" s="91"/>
      <c r="J142" s="36"/>
    </row>
    <row r="143" spans="1:14" s="37" customFormat="1" x14ac:dyDescent="0.25">
      <c r="A143" s="89" t="s">
        <v>205</v>
      </c>
      <c r="B143" s="90"/>
      <c r="C143" s="90"/>
      <c r="D143" s="90"/>
      <c r="E143" s="90"/>
      <c r="F143" s="90"/>
      <c r="G143" s="90"/>
      <c r="H143" s="91"/>
      <c r="J143" s="36"/>
    </row>
    <row r="144" spans="1:14" s="37" customFormat="1" ht="15.75" customHeight="1" x14ac:dyDescent="0.25">
      <c r="A144" s="81">
        <v>1</v>
      </c>
      <c r="B144" s="82"/>
      <c r="C144" s="42" t="s">
        <v>198</v>
      </c>
      <c r="D144" s="55">
        <f>Note!R39</f>
        <v>2040.1924139999992</v>
      </c>
      <c r="E144" s="55">
        <v>0</v>
      </c>
      <c r="F144" s="42">
        <f>D144*(($F$119)+1)+(IF(E144&lt;101,E144,IF(E144&lt;201,E144/2,IF(E144&lt;=301,E144/3,E144/4))))</f>
        <v>3162.2982416999989</v>
      </c>
      <c r="G144" s="83" t="str">
        <f>A143</f>
        <v>2nd to 7th, 9th to 14th, 16th to 21st, 23rd to 28th &amp; 30th Floor</v>
      </c>
      <c r="H144" s="84"/>
      <c r="I144" s="36"/>
      <c r="L144" s="80"/>
      <c r="M144" s="80"/>
      <c r="N144" s="36"/>
    </row>
    <row r="145" spans="1:14" s="37" customFormat="1" x14ac:dyDescent="0.25">
      <c r="A145" s="81">
        <f t="shared" ref="A145:A147" si="4">A144+1</f>
        <v>2</v>
      </c>
      <c r="B145" s="82"/>
      <c r="C145" s="42" t="s">
        <v>207</v>
      </c>
      <c r="D145" s="55">
        <f>Note!W39</f>
        <v>1552.1774111999998</v>
      </c>
      <c r="E145" s="55">
        <v>0</v>
      </c>
      <c r="F145" s="42">
        <f>D145*(($F$119)+1)+(IF(E145&lt;101,E145,IF(E145&lt;201,E145/2,IF(E145&lt;=301,E145/3,E145/4))))</f>
        <v>2405.87498736</v>
      </c>
      <c r="G145" s="85"/>
      <c r="H145" s="86"/>
      <c r="I145" s="36">
        <f>12000000/F145</f>
        <v>4987.7903311874761</v>
      </c>
      <c r="L145" s="80"/>
      <c r="M145" s="80"/>
      <c r="N145" s="36"/>
    </row>
    <row r="146" spans="1:14" s="37" customFormat="1" x14ac:dyDescent="0.25">
      <c r="A146" s="81">
        <f t="shared" si="4"/>
        <v>3</v>
      </c>
      <c r="B146" s="82"/>
      <c r="C146" s="42" t="s">
        <v>207</v>
      </c>
      <c r="D146" s="55">
        <f>D145</f>
        <v>1552.1774111999998</v>
      </c>
      <c r="E146" s="55">
        <v>0</v>
      </c>
      <c r="F146" s="42">
        <f>D146*(($F$119)+1)+(IF(E146&lt;101,E146,IF(E146&lt;201,E146/2,IF(E146&lt;=301,E146/3,E146/4))))</f>
        <v>2405.87498736</v>
      </c>
      <c r="G146" s="85"/>
      <c r="H146" s="86"/>
      <c r="I146" s="36"/>
      <c r="L146" s="80"/>
      <c r="M146" s="80"/>
      <c r="N146" s="36"/>
    </row>
    <row r="147" spans="1:14" s="37" customFormat="1" x14ac:dyDescent="0.25">
      <c r="A147" s="81">
        <f t="shared" si="4"/>
        <v>4</v>
      </c>
      <c r="B147" s="82"/>
      <c r="C147" s="42" t="s">
        <v>198</v>
      </c>
      <c r="D147" s="55">
        <f>D144</f>
        <v>2040.1924139999992</v>
      </c>
      <c r="E147" s="55">
        <v>0</v>
      </c>
      <c r="F147" s="42">
        <f>D147*(($F$119)+1)+(IF(E147&lt;101,E147,IF(E147&lt;201,E147/2,IF(E147&lt;=301,E147/3,E147/4))))</f>
        <v>3162.2982416999989</v>
      </c>
      <c r="G147" s="87"/>
      <c r="H147" s="88"/>
      <c r="I147" s="36"/>
      <c r="L147" s="80"/>
      <c r="M147" s="80"/>
      <c r="N147" s="36"/>
    </row>
    <row r="148" spans="1:14" s="37" customFormat="1" x14ac:dyDescent="0.25">
      <c r="A148" s="89" t="s">
        <v>208</v>
      </c>
      <c r="B148" s="90"/>
      <c r="C148" s="90"/>
      <c r="D148" s="90"/>
      <c r="E148" s="90"/>
      <c r="F148" s="90"/>
      <c r="G148" s="90"/>
      <c r="H148" s="91"/>
      <c r="J148" s="36"/>
    </row>
    <row r="149" spans="1:14" s="35" customFormat="1" x14ac:dyDescent="0.25">
      <c r="A149" s="191" t="s">
        <v>70</v>
      </c>
      <c r="B149" s="191"/>
      <c r="C149" s="191"/>
      <c r="D149" s="191"/>
      <c r="E149" s="191"/>
      <c r="F149" s="191"/>
      <c r="G149" s="191"/>
      <c r="H149" s="191"/>
    </row>
    <row r="150" spans="1:14" s="57" customFormat="1" x14ac:dyDescent="0.25">
      <c r="A150" s="56" t="s">
        <v>156</v>
      </c>
      <c r="B150" s="183" t="s">
        <v>267</v>
      </c>
      <c r="C150" s="184"/>
      <c r="D150" s="184"/>
      <c r="E150" s="184"/>
      <c r="F150" s="184"/>
      <c r="G150" s="184"/>
      <c r="H150" s="185"/>
    </row>
    <row r="151" spans="1:14" s="57" customFormat="1" ht="83.25" customHeight="1" x14ac:dyDescent="0.25">
      <c r="A151" s="56" t="s">
        <v>156</v>
      </c>
      <c r="B151" s="183" t="s">
        <v>262</v>
      </c>
      <c r="C151" s="184"/>
      <c r="D151" s="184"/>
      <c r="E151" s="184"/>
      <c r="F151" s="184"/>
      <c r="G151" s="184"/>
      <c r="H151" s="185"/>
      <c r="I151" s="204" t="s">
        <v>260</v>
      </c>
      <c r="J151" s="205"/>
      <c r="K151" s="205"/>
      <c r="L151" s="205"/>
      <c r="M151" s="205"/>
    </row>
    <row r="152" spans="1:14" s="35" customFormat="1" x14ac:dyDescent="0.25">
      <c r="A152" s="47" t="s">
        <v>156</v>
      </c>
      <c r="B152" s="183" t="str">
        <f>(IF(F118="Saleable area Loading :","We have considered Saleable area of Flats as per our Calculation.","We considered Saleable area of Flat as per Builder area Sheet."))</f>
        <v>We have considered Saleable area of Flats as per our Calculation.</v>
      </c>
      <c r="C152" s="184"/>
      <c r="D152" s="184"/>
      <c r="E152" s="184"/>
      <c r="F152" s="184"/>
      <c r="G152" s="184"/>
      <c r="H152" s="185"/>
      <c r="I152" s="35" t="s">
        <v>257</v>
      </c>
    </row>
    <row r="153" spans="1:14" s="35" customFormat="1" x14ac:dyDescent="0.25">
      <c r="A153" s="47" t="s">
        <v>156</v>
      </c>
      <c r="B153" s="173" t="s">
        <v>126</v>
      </c>
      <c r="C153" s="174"/>
      <c r="D153" s="174"/>
      <c r="E153" s="174"/>
      <c r="F153" s="174"/>
      <c r="G153" s="174"/>
      <c r="H153" s="175"/>
    </row>
    <row r="154" spans="1:14" s="35" customFormat="1" x14ac:dyDescent="0.25">
      <c r="A154" s="47" t="s">
        <v>156</v>
      </c>
      <c r="B154" s="173" t="s">
        <v>249</v>
      </c>
      <c r="C154" s="174"/>
      <c r="D154" s="174"/>
      <c r="E154" s="174"/>
      <c r="F154" s="174"/>
      <c r="G154" s="174"/>
      <c r="H154" s="175"/>
    </row>
    <row r="155" spans="1:14" s="35" customFormat="1" x14ac:dyDescent="0.25">
      <c r="A155" s="47" t="s">
        <v>156</v>
      </c>
      <c r="B155" s="173" t="s">
        <v>155</v>
      </c>
      <c r="C155" s="174"/>
      <c r="D155" s="174"/>
      <c r="E155" s="174"/>
      <c r="F155" s="174"/>
      <c r="G155" s="174"/>
      <c r="H155" s="175"/>
    </row>
    <row r="156" spans="1:14" s="35" customFormat="1" x14ac:dyDescent="0.25">
      <c r="A156" s="47" t="s">
        <v>156</v>
      </c>
      <c r="B156" s="173" t="s">
        <v>127</v>
      </c>
      <c r="C156" s="174"/>
      <c r="D156" s="174"/>
      <c r="E156" s="174"/>
      <c r="F156" s="174"/>
      <c r="G156" s="174"/>
      <c r="H156" s="175"/>
    </row>
    <row r="157" spans="1:14" s="35" customFormat="1" ht="34.5" customHeight="1" x14ac:dyDescent="0.25">
      <c r="A157" s="47" t="s">
        <v>156</v>
      </c>
      <c r="B157" s="173" t="s">
        <v>157</v>
      </c>
      <c r="C157" s="174"/>
      <c r="D157" s="174"/>
      <c r="E157" s="174"/>
      <c r="F157" s="174"/>
      <c r="G157" s="174"/>
      <c r="H157" s="175"/>
    </row>
    <row r="158" spans="1:14" s="35" customFormat="1" x14ac:dyDescent="0.25">
      <c r="A158" s="47" t="s">
        <v>156</v>
      </c>
      <c r="B158" s="173" t="s">
        <v>128</v>
      </c>
      <c r="C158" s="174"/>
      <c r="D158" s="174"/>
      <c r="E158" s="174"/>
      <c r="F158" s="174"/>
      <c r="G158" s="174"/>
      <c r="H158" s="175"/>
    </row>
    <row r="159" spans="1:14" s="35" customFormat="1" x14ac:dyDescent="0.25">
      <c r="A159" s="47" t="s">
        <v>156</v>
      </c>
      <c r="B159" s="74" t="s">
        <v>210</v>
      </c>
      <c r="C159" s="75"/>
      <c r="D159" s="75"/>
      <c r="E159" s="75"/>
      <c r="F159" s="75"/>
      <c r="G159" s="75"/>
      <c r="H159" s="76"/>
      <c r="I159" s="35" t="s">
        <v>251</v>
      </c>
      <c r="J159" s="67" t="s">
        <v>250</v>
      </c>
    </row>
    <row r="160" spans="1:14" s="35" customFormat="1" hidden="1" x14ac:dyDescent="0.25">
      <c r="A160" s="47" t="s">
        <v>156</v>
      </c>
      <c r="B160" s="74" t="s">
        <v>248</v>
      </c>
      <c r="C160" s="75"/>
      <c r="D160" s="75"/>
      <c r="E160" s="75"/>
      <c r="F160" s="75"/>
      <c r="G160" s="75"/>
      <c r="H160" s="76"/>
    </row>
    <row r="161" spans="1:10" s="35" customFormat="1" hidden="1" x14ac:dyDescent="0.25">
      <c r="A161" s="47" t="s">
        <v>156</v>
      </c>
      <c r="B161" s="74" t="s">
        <v>255</v>
      </c>
      <c r="C161" s="75"/>
      <c r="D161" s="75"/>
      <c r="E161" s="75"/>
      <c r="F161" s="75"/>
      <c r="G161" s="75"/>
      <c r="H161" s="76"/>
      <c r="J161" s="67"/>
    </row>
    <row r="162" spans="1:10" s="35" customFormat="1" x14ac:dyDescent="0.25">
      <c r="A162" s="47" t="s">
        <v>156</v>
      </c>
      <c r="B162" s="74" t="s">
        <v>261</v>
      </c>
      <c r="C162" s="75"/>
      <c r="D162" s="75"/>
      <c r="E162" s="75"/>
      <c r="F162" s="75"/>
      <c r="G162" s="75"/>
      <c r="H162" s="76"/>
      <c r="J162" s="67"/>
    </row>
    <row r="163" spans="1:10" s="35" customFormat="1" x14ac:dyDescent="0.25">
      <c r="A163" s="69" t="s">
        <v>156</v>
      </c>
      <c r="B163" s="74" t="s">
        <v>263</v>
      </c>
      <c r="C163" s="75"/>
      <c r="D163" s="75"/>
      <c r="E163" s="75"/>
      <c r="F163" s="75"/>
      <c r="G163" s="75"/>
      <c r="H163" s="76"/>
      <c r="J163" s="67"/>
    </row>
    <row r="164" spans="1:10" s="35" customFormat="1" x14ac:dyDescent="0.25">
      <c r="A164" s="73" t="s">
        <v>156</v>
      </c>
      <c r="B164" s="74" t="s">
        <v>269</v>
      </c>
      <c r="C164" s="75"/>
      <c r="D164" s="75"/>
      <c r="E164" s="75"/>
      <c r="F164" s="75"/>
      <c r="G164" s="75"/>
      <c r="H164" s="76"/>
      <c r="J164" s="67"/>
    </row>
    <row r="165" spans="1:10" x14ac:dyDescent="0.25">
      <c r="A165" s="152" t="s">
        <v>63</v>
      </c>
      <c r="B165" s="152"/>
      <c r="C165" s="152"/>
      <c r="D165" s="152"/>
      <c r="E165" s="152"/>
      <c r="F165" s="152"/>
      <c r="G165" s="152"/>
      <c r="H165" s="152"/>
    </row>
    <row r="166" spans="1:10" x14ac:dyDescent="0.25">
      <c r="A166" s="103" t="s">
        <v>64</v>
      </c>
      <c r="B166" s="103"/>
      <c r="C166" s="103"/>
      <c r="D166" s="103"/>
      <c r="E166" s="103"/>
      <c r="F166" s="103"/>
      <c r="G166" s="103"/>
      <c r="H166" s="103"/>
    </row>
    <row r="167" spans="1:10" ht="15.75" customHeight="1" x14ac:dyDescent="0.25">
      <c r="A167" s="206" t="s">
        <v>65</v>
      </c>
      <c r="B167" s="206"/>
      <c r="C167" s="206"/>
      <c r="D167" s="206"/>
      <c r="E167" s="206"/>
      <c r="F167" s="206"/>
      <c r="G167" s="206"/>
      <c r="H167" s="206"/>
    </row>
    <row r="168" spans="1:10" x14ac:dyDescent="0.25">
      <c r="A168" s="103" t="s">
        <v>66</v>
      </c>
      <c r="B168" s="103"/>
      <c r="C168" s="103"/>
      <c r="D168" s="103"/>
      <c r="E168" s="103"/>
      <c r="F168" s="103"/>
      <c r="G168" s="103"/>
      <c r="H168" s="103"/>
    </row>
    <row r="169" spans="1:10" x14ac:dyDescent="0.25">
      <c r="A169" s="103" t="s">
        <v>67</v>
      </c>
      <c r="B169" s="103"/>
      <c r="C169" s="103"/>
      <c r="D169" s="103"/>
      <c r="E169" s="103"/>
      <c r="F169" s="103"/>
      <c r="G169" s="103"/>
      <c r="H169" s="103"/>
    </row>
    <row r="170" spans="1:10" x14ac:dyDescent="0.25">
      <c r="A170" s="103" t="s">
        <v>129</v>
      </c>
      <c r="B170" s="103"/>
      <c r="C170" s="103"/>
      <c r="D170" s="103"/>
      <c r="E170" s="103"/>
      <c r="F170" s="103"/>
      <c r="G170" s="103"/>
      <c r="H170" s="103"/>
    </row>
    <row r="171" spans="1:10" x14ac:dyDescent="0.25">
      <c r="A171" s="148" t="s">
        <v>130</v>
      </c>
      <c r="B171" s="148"/>
      <c r="C171" s="148"/>
      <c r="D171" s="148"/>
      <c r="E171" s="148"/>
      <c r="F171" s="148"/>
      <c r="G171" s="148"/>
      <c r="H171" s="148"/>
    </row>
    <row r="172" spans="1:10" x14ac:dyDescent="0.25">
      <c r="A172" s="187" t="s">
        <v>79</v>
      </c>
      <c r="B172" s="187"/>
      <c r="C172" s="187" t="s">
        <v>211</v>
      </c>
      <c r="D172" s="187"/>
      <c r="E172" s="187" t="s">
        <v>109</v>
      </c>
      <c r="F172" s="187"/>
      <c r="G172" s="187" t="s">
        <v>264</v>
      </c>
      <c r="H172" s="187"/>
    </row>
    <row r="173" spans="1:10" x14ac:dyDescent="0.25">
      <c r="A173" s="186" t="s">
        <v>81</v>
      </c>
      <c r="B173" s="186"/>
      <c r="C173" s="186"/>
      <c r="D173" s="186"/>
      <c r="E173" s="186"/>
      <c r="F173" s="186"/>
      <c r="G173" s="186"/>
      <c r="H173" s="186"/>
    </row>
    <row r="174" spans="1:10" x14ac:dyDescent="0.25">
      <c r="A174" s="186"/>
      <c r="B174" s="186"/>
      <c r="C174" s="186"/>
      <c r="D174" s="186"/>
      <c r="E174" s="186"/>
      <c r="F174" s="186"/>
      <c r="G174" s="186"/>
      <c r="H174" s="186"/>
    </row>
    <row r="175" spans="1:10" x14ac:dyDescent="0.25">
      <c r="A175" s="186"/>
      <c r="B175" s="186"/>
      <c r="C175" s="186"/>
      <c r="D175" s="186"/>
      <c r="E175" s="186"/>
      <c r="F175" s="186"/>
      <c r="G175" s="186"/>
      <c r="H175" s="186"/>
    </row>
    <row r="176" spans="1:10" x14ac:dyDescent="0.25">
      <c r="A176" s="186"/>
      <c r="B176" s="186"/>
      <c r="C176" s="186"/>
      <c r="D176" s="186"/>
      <c r="E176" s="186"/>
      <c r="F176" s="186"/>
      <c r="G176" s="186"/>
      <c r="H176" s="186"/>
    </row>
    <row r="177" spans="1:8" x14ac:dyDescent="0.25">
      <c r="A177" s="38" t="s">
        <v>68</v>
      </c>
      <c r="B177" s="39"/>
      <c r="C177" s="39"/>
      <c r="D177" s="38" t="str">
        <f>E8</f>
        <v>Raheja Modern Vivarea</v>
      </c>
      <c r="F177" s="39"/>
      <c r="G177" s="39"/>
      <c r="H177" s="39"/>
    </row>
    <row r="178" spans="1:8" x14ac:dyDescent="0.25">
      <c r="A178" s="39"/>
      <c r="B178" s="39"/>
      <c r="C178" s="39"/>
      <c r="D178" s="39"/>
      <c r="E178" s="39"/>
      <c r="F178" s="39"/>
      <c r="G178" s="39"/>
      <c r="H178" s="39"/>
    </row>
    <row r="179" spans="1:8" x14ac:dyDescent="0.25">
      <c r="A179" s="39"/>
      <c r="B179" s="39"/>
      <c r="C179" s="39"/>
      <c r="D179" s="39"/>
      <c r="E179" s="39"/>
      <c r="F179" s="39"/>
      <c r="G179" s="39"/>
      <c r="H179" s="39"/>
    </row>
    <row r="180" spans="1:8" ht="15" customHeight="1" x14ac:dyDescent="0.25"/>
    <row r="219" spans="1:1" x14ac:dyDescent="0.25">
      <c r="A219" s="41" t="s">
        <v>169</v>
      </c>
    </row>
    <row r="261" spans="1:1" x14ac:dyDescent="0.25">
      <c r="A261" s="41" t="s">
        <v>69</v>
      </c>
    </row>
    <row r="302" ht="23.45" customHeight="1" x14ac:dyDescent="0.25"/>
  </sheetData>
  <mergeCells count="310">
    <mergeCell ref="B164:H164"/>
    <mergeCell ref="B163:H163"/>
    <mergeCell ref="A165:H165"/>
    <mergeCell ref="I151:M151"/>
    <mergeCell ref="A16:B16"/>
    <mergeCell ref="C16:H16"/>
    <mergeCell ref="E41:H41"/>
    <mergeCell ref="A41:D41"/>
    <mergeCell ref="A170:H170"/>
    <mergeCell ref="A167:H167"/>
    <mergeCell ref="A112:B112"/>
    <mergeCell ref="D118:D119"/>
    <mergeCell ref="E118:E119"/>
    <mergeCell ref="G118:H119"/>
    <mergeCell ref="A91:B91"/>
    <mergeCell ref="A92:B92"/>
    <mergeCell ref="A93:B93"/>
    <mergeCell ref="A83:B83"/>
    <mergeCell ref="C83:H83"/>
    <mergeCell ref="A78:B78"/>
    <mergeCell ref="F98:H98"/>
    <mergeCell ref="G113:H113"/>
    <mergeCell ref="A48:B48"/>
    <mergeCell ref="C48:E48"/>
    <mergeCell ref="A142:H142"/>
    <mergeCell ref="A148:H148"/>
    <mergeCell ref="B162:H162"/>
    <mergeCell ref="B160:H160"/>
    <mergeCell ref="D57:H57"/>
    <mergeCell ref="C50:E50"/>
    <mergeCell ref="A60:C61"/>
    <mergeCell ref="D60:H60"/>
    <mergeCell ref="D61:H61"/>
    <mergeCell ref="C49:E49"/>
    <mergeCell ref="A55:B55"/>
    <mergeCell ref="C55:E55"/>
    <mergeCell ref="A49:B49"/>
    <mergeCell ref="A56:H56"/>
    <mergeCell ref="A57:C57"/>
    <mergeCell ref="A58:C58"/>
    <mergeCell ref="D58:H58"/>
    <mergeCell ref="G55:H55"/>
    <mergeCell ref="A54:B54"/>
    <mergeCell ref="G54:H54"/>
    <mergeCell ref="C54:E54"/>
    <mergeCell ref="A52:B53"/>
    <mergeCell ref="C52:E52"/>
    <mergeCell ref="G52:H52"/>
    <mergeCell ref="C53:E53"/>
    <mergeCell ref="G53:H53"/>
    <mergeCell ref="B156:H156"/>
    <mergeCell ref="B151:H151"/>
    <mergeCell ref="B152:H152"/>
    <mergeCell ref="C118:C119"/>
    <mergeCell ref="A125:H125"/>
    <mergeCell ref="B159:H159"/>
    <mergeCell ref="A149:H149"/>
    <mergeCell ref="A123:H123"/>
    <mergeCell ref="A124:H124"/>
    <mergeCell ref="G126:H127"/>
    <mergeCell ref="A129:H129"/>
    <mergeCell ref="A118:A119"/>
    <mergeCell ref="B157:H157"/>
    <mergeCell ref="B155:H155"/>
    <mergeCell ref="A131:B131"/>
    <mergeCell ref="A146:B146"/>
    <mergeCell ref="B118:B119"/>
    <mergeCell ref="A130:B130"/>
    <mergeCell ref="A126:B126"/>
    <mergeCell ref="A120:H120"/>
    <mergeCell ref="A121:H121"/>
    <mergeCell ref="A122:H122"/>
    <mergeCell ref="A136:H136"/>
    <mergeCell ref="A135:H135"/>
    <mergeCell ref="B150:H150"/>
    <mergeCell ref="A173:H176"/>
    <mergeCell ref="A172:B172"/>
    <mergeCell ref="E172:F172"/>
    <mergeCell ref="C172:D172"/>
    <mergeCell ref="G172:H172"/>
    <mergeCell ref="A109:E109"/>
    <mergeCell ref="F109:H109"/>
    <mergeCell ref="A110:E110"/>
    <mergeCell ref="F110:H110"/>
    <mergeCell ref="A134:H134"/>
    <mergeCell ref="A113:B113"/>
    <mergeCell ref="A144:B144"/>
    <mergeCell ref="A168:H168"/>
    <mergeCell ref="A111:H111"/>
    <mergeCell ref="A171:H171"/>
    <mergeCell ref="A169:H169"/>
    <mergeCell ref="B153:H153"/>
    <mergeCell ref="B154:H154"/>
    <mergeCell ref="A117:H117"/>
    <mergeCell ref="C115:D115"/>
    <mergeCell ref="A166:H166"/>
    <mergeCell ref="E112:F112"/>
    <mergeCell ref="B158:H158"/>
    <mergeCell ref="C71:H71"/>
    <mergeCell ref="A74:B74"/>
    <mergeCell ref="A76:B76"/>
    <mergeCell ref="E72:F72"/>
    <mergeCell ref="A65:C65"/>
    <mergeCell ref="D65:H65"/>
    <mergeCell ref="A68:C68"/>
    <mergeCell ref="D68:H68"/>
    <mergeCell ref="A66:C66"/>
    <mergeCell ref="D66:H66"/>
    <mergeCell ref="A67:C67"/>
    <mergeCell ref="D67:H67"/>
    <mergeCell ref="A73:B73"/>
    <mergeCell ref="G72:H72"/>
    <mergeCell ref="A80:B80"/>
    <mergeCell ref="C113:D113"/>
    <mergeCell ref="E113:F113"/>
    <mergeCell ref="F104:H104"/>
    <mergeCell ref="A98:E98"/>
    <mergeCell ref="A87:B87"/>
    <mergeCell ref="E87:F96"/>
    <mergeCell ref="A94:B94"/>
    <mergeCell ref="A95:B9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2:C62"/>
    <mergeCell ref="F35:H35"/>
    <mergeCell ref="A37:B37"/>
    <mergeCell ref="A38:B38"/>
    <mergeCell ref="C38:H38"/>
    <mergeCell ref="A44:D44"/>
    <mergeCell ref="A45:D45"/>
    <mergeCell ref="A46:H46"/>
    <mergeCell ref="D59:H59"/>
    <mergeCell ref="A59:C59"/>
    <mergeCell ref="G49:H49"/>
    <mergeCell ref="A50:B51"/>
    <mergeCell ref="C51:E51"/>
    <mergeCell ref="G51:H51"/>
    <mergeCell ref="G48:H48"/>
    <mergeCell ref="G50:H50"/>
    <mergeCell ref="A63:C63"/>
    <mergeCell ref="D62:H62"/>
    <mergeCell ref="E73:F82"/>
    <mergeCell ref="G73:H82"/>
    <mergeCell ref="A81:B81"/>
    <mergeCell ref="A82:B82"/>
    <mergeCell ref="D63:H63"/>
    <mergeCell ref="A42:D42"/>
    <mergeCell ref="E42:H42"/>
    <mergeCell ref="E43:H43"/>
    <mergeCell ref="E44:H44"/>
    <mergeCell ref="E45:H45"/>
    <mergeCell ref="A43:D43"/>
    <mergeCell ref="A47:B47"/>
    <mergeCell ref="C47:H47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A96:B96"/>
    <mergeCell ref="F108:H108"/>
    <mergeCell ref="F106:H106"/>
    <mergeCell ref="A107:E107"/>
    <mergeCell ref="F107:H107"/>
    <mergeCell ref="A85:B85"/>
    <mergeCell ref="C85:H85"/>
    <mergeCell ref="A86:B86"/>
    <mergeCell ref="E86:F86"/>
    <mergeCell ref="G86:H86"/>
    <mergeCell ref="A103:E103"/>
    <mergeCell ref="F103:H103"/>
    <mergeCell ref="A104:E104"/>
    <mergeCell ref="A106:E106"/>
    <mergeCell ref="F100:H100"/>
    <mergeCell ref="G87:H96"/>
    <mergeCell ref="A88:B88"/>
    <mergeCell ref="A89:B89"/>
    <mergeCell ref="A90:B90"/>
    <mergeCell ref="F99:H99"/>
    <mergeCell ref="A99:E99"/>
    <mergeCell ref="A101:E101"/>
    <mergeCell ref="A102:E102"/>
    <mergeCell ref="A100:E100"/>
    <mergeCell ref="L130:M130"/>
    <mergeCell ref="A97:E97"/>
    <mergeCell ref="F101:H101"/>
    <mergeCell ref="G114:H114"/>
    <mergeCell ref="A114:B114"/>
    <mergeCell ref="C114:D114"/>
    <mergeCell ref="E114:F114"/>
    <mergeCell ref="C112:D112"/>
    <mergeCell ref="G112:H112"/>
    <mergeCell ref="F97:H97"/>
    <mergeCell ref="F102:H102"/>
    <mergeCell ref="F105:H105"/>
    <mergeCell ref="A115:B115"/>
    <mergeCell ref="E115:F115"/>
    <mergeCell ref="A108:E108"/>
    <mergeCell ref="G115:H115"/>
    <mergeCell ref="L126:M126"/>
    <mergeCell ref="A127:B127"/>
    <mergeCell ref="L127:M127"/>
    <mergeCell ref="A105:E105"/>
    <mergeCell ref="A116:H116"/>
    <mergeCell ref="B161:H161"/>
    <mergeCell ref="C37:H37"/>
    <mergeCell ref="L144:M144"/>
    <mergeCell ref="A145:B145"/>
    <mergeCell ref="L145:M145"/>
    <mergeCell ref="L146:M146"/>
    <mergeCell ref="A147:B147"/>
    <mergeCell ref="L147:M147"/>
    <mergeCell ref="G144:H147"/>
    <mergeCell ref="A137:H137"/>
    <mergeCell ref="A138:H138"/>
    <mergeCell ref="A139:H139"/>
    <mergeCell ref="A140:B140"/>
    <mergeCell ref="G140:H141"/>
    <mergeCell ref="L140:M140"/>
    <mergeCell ref="A141:B141"/>
    <mergeCell ref="L141:M141"/>
    <mergeCell ref="A143:H143"/>
    <mergeCell ref="L131:M131"/>
    <mergeCell ref="A132:B132"/>
    <mergeCell ref="L132:M132"/>
    <mergeCell ref="G130:H132"/>
    <mergeCell ref="A128:H128"/>
    <mergeCell ref="A133:H133"/>
  </mergeCells>
  <hyperlinks>
    <hyperlink ref="C38" r:id="rId1"/>
    <hyperlink ref="J159" r:id="rId2" location="search/morden/FMfcgzGslbPSKGtGgcWCcNhXSrZQGCQV"/>
  </hyperlinks>
  <printOptions horizontalCentered="1"/>
  <pageMargins left="0.39370078740157483" right="0.39370078740157483" top="0.82677165354330717" bottom="0.78740157480314965" header="0.15748031496062992" footer="0.19685039370078741"/>
  <pageSetup paperSize="9" scale="97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6" manualBreakCount="6">
    <brk id="36" max="16383" man="1"/>
    <brk id="59" max="7" man="1"/>
    <brk id="96" max="7" man="1"/>
    <brk id="176" max="16383" man="1"/>
    <brk id="218" max="16383" man="1"/>
    <brk id="260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3" t="s">
        <v>110</v>
      </c>
      <c r="C3" s="213"/>
      <c r="D3" s="213"/>
      <c r="E3" s="213"/>
      <c r="F3" s="213"/>
      <c r="G3" s="213"/>
      <c r="H3" s="213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C41"/>
  <sheetViews>
    <sheetView topLeftCell="H25" zoomScaleNormal="100" workbookViewId="0">
      <selection activeCell="AB34" sqref="AB34"/>
    </sheetView>
  </sheetViews>
  <sheetFormatPr defaultRowHeight="15" x14ac:dyDescent="0.25"/>
  <cols>
    <col min="1" max="1" width="12.28515625" customWidth="1"/>
    <col min="5" max="5" width="3" customWidth="1"/>
    <col min="6" max="6" width="12.28515625" customWidth="1"/>
    <col min="10" max="10" width="2.85546875" customWidth="1"/>
    <col min="11" max="11" width="12.28515625" customWidth="1"/>
    <col min="15" max="15" width="3.28515625" customWidth="1"/>
    <col min="16" max="16" width="12.28515625" customWidth="1"/>
    <col min="20" max="20" width="3.28515625" customWidth="1"/>
    <col min="21" max="21" width="12.28515625" customWidth="1"/>
    <col min="25" max="25" width="3.28515625" customWidth="1"/>
    <col min="26" max="26" width="12.28515625" customWidth="1"/>
  </cols>
  <sheetData>
    <row r="2" spans="1:29" x14ac:dyDescent="0.25">
      <c r="A2" s="63" t="s">
        <v>236</v>
      </c>
      <c r="B2" s="214" t="s">
        <v>238</v>
      </c>
      <c r="C2" s="214"/>
      <c r="F2" s="63" t="s">
        <v>236</v>
      </c>
      <c r="G2" s="214" t="s">
        <v>237</v>
      </c>
      <c r="H2" s="214"/>
      <c r="K2" s="63" t="s">
        <v>236</v>
      </c>
      <c r="L2" s="214" t="s">
        <v>235</v>
      </c>
      <c r="M2" s="214"/>
      <c r="P2" s="63" t="s">
        <v>236</v>
      </c>
      <c r="Q2" s="214" t="s">
        <v>240</v>
      </c>
      <c r="R2" s="214"/>
      <c r="U2" s="63" t="s">
        <v>236</v>
      </c>
      <c r="V2" s="214" t="s">
        <v>241</v>
      </c>
      <c r="W2" s="214"/>
      <c r="Z2" s="63" t="s">
        <v>236</v>
      </c>
      <c r="AA2" s="214" t="s">
        <v>242</v>
      </c>
      <c r="AB2" s="214"/>
    </row>
    <row r="3" spans="1:29" x14ac:dyDescent="0.25">
      <c r="C3" s="64"/>
      <c r="D3" s="64"/>
      <c r="H3" s="64"/>
      <c r="I3" s="64"/>
      <c r="M3" s="64"/>
      <c r="N3" s="64"/>
      <c r="R3" s="64"/>
      <c r="S3" s="64"/>
      <c r="W3" s="64"/>
      <c r="X3" s="64"/>
      <c r="AB3" s="64"/>
      <c r="AC3" s="64"/>
    </row>
    <row r="4" spans="1:29" x14ac:dyDescent="0.25">
      <c r="A4" s="65" t="s">
        <v>220</v>
      </c>
      <c r="B4" s="215" t="s">
        <v>221</v>
      </c>
      <c r="C4" s="215"/>
      <c r="D4" s="215"/>
      <c r="F4" s="65" t="s">
        <v>220</v>
      </c>
      <c r="G4" s="215" t="s">
        <v>221</v>
      </c>
      <c r="H4" s="215"/>
      <c r="I4" s="215"/>
      <c r="K4" s="65" t="s">
        <v>220</v>
      </c>
      <c r="L4" s="215" t="s">
        <v>221</v>
      </c>
      <c r="M4" s="215"/>
      <c r="N4" s="215"/>
      <c r="P4" s="65" t="s">
        <v>220</v>
      </c>
      <c r="Q4" s="215" t="s">
        <v>221</v>
      </c>
      <c r="R4" s="215"/>
      <c r="S4" s="215"/>
      <c r="U4" s="65" t="s">
        <v>220</v>
      </c>
      <c r="V4" s="215" t="s">
        <v>221</v>
      </c>
      <c r="W4" s="215"/>
      <c r="X4" s="215"/>
      <c r="Z4" s="65" t="s">
        <v>220</v>
      </c>
      <c r="AA4" s="215" t="s">
        <v>221</v>
      </c>
      <c r="AB4" s="215"/>
      <c r="AC4" s="215"/>
    </row>
    <row r="5" spans="1:29" x14ac:dyDescent="0.25">
      <c r="A5" s="65"/>
      <c r="B5" s="65" t="s">
        <v>222</v>
      </c>
      <c r="C5" s="65" t="s">
        <v>223</v>
      </c>
      <c r="D5" s="65" t="s">
        <v>224</v>
      </c>
      <c r="F5" s="65"/>
      <c r="G5" s="65" t="s">
        <v>222</v>
      </c>
      <c r="H5" s="65" t="s">
        <v>223</v>
      </c>
      <c r="I5" s="65" t="s">
        <v>224</v>
      </c>
      <c r="K5" s="65"/>
      <c r="L5" s="65" t="s">
        <v>222</v>
      </c>
      <c r="M5" s="65" t="s">
        <v>223</v>
      </c>
      <c r="N5" s="65" t="s">
        <v>224</v>
      </c>
      <c r="P5" s="65"/>
      <c r="Q5" s="65" t="s">
        <v>222</v>
      </c>
      <c r="R5" s="65" t="s">
        <v>223</v>
      </c>
      <c r="S5" s="65" t="s">
        <v>224</v>
      </c>
      <c r="U5" s="65"/>
      <c r="V5" s="65" t="s">
        <v>222</v>
      </c>
      <c r="W5" s="65" t="s">
        <v>223</v>
      </c>
      <c r="X5" s="65" t="s">
        <v>224</v>
      </c>
      <c r="Z5" s="65"/>
      <c r="AA5" s="65" t="s">
        <v>222</v>
      </c>
      <c r="AB5" s="65" t="s">
        <v>223</v>
      </c>
      <c r="AC5" s="65" t="s">
        <v>224</v>
      </c>
    </row>
    <row r="6" spans="1:29" x14ac:dyDescent="0.25">
      <c r="A6" s="66" t="s">
        <v>225</v>
      </c>
      <c r="B6" s="66">
        <v>1.8</v>
      </c>
      <c r="C6" s="66">
        <v>3.05</v>
      </c>
      <c r="D6" s="66">
        <f>B6*C6</f>
        <v>5.49</v>
      </c>
      <c r="F6" s="66" t="s">
        <v>225</v>
      </c>
      <c r="G6" s="66">
        <v>3.65</v>
      </c>
      <c r="H6" s="66">
        <v>3.2</v>
      </c>
      <c r="I6" s="66">
        <f>G6*H6</f>
        <v>11.68</v>
      </c>
      <c r="K6" s="66" t="s">
        <v>225</v>
      </c>
      <c r="L6" s="66">
        <v>2.4</v>
      </c>
      <c r="M6" s="66">
        <v>3.05</v>
      </c>
      <c r="N6" s="66">
        <f>L6*M6</f>
        <v>7.3199999999999994</v>
      </c>
      <c r="P6" s="66" t="s">
        <v>225</v>
      </c>
      <c r="Q6" s="66">
        <v>1.41</v>
      </c>
      <c r="R6" s="66">
        <v>1.28</v>
      </c>
      <c r="S6" s="66">
        <f>Q6*R6</f>
        <v>1.8048</v>
      </c>
      <c r="U6" s="66" t="s">
        <v>225</v>
      </c>
      <c r="V6" s="66">
        <v>2.25</v>
      </c>
      <c r="W6" s="66">
        <v>4.01</v>
      </c>
      <c r="X6" s="66">
        <f>V6*W6</f>
        <v>9.0224999999999991</v>
      </c>
      <c r="Z6" s="66" t="s">
        <v>225</v>
      </c>
      <c r="AA6" s="66">
        <v>1.41</v>
      </c>
      <c r="AB6" s="66">
        <v>1.28</v>
      </c>
      <c r="AC6" s="66">
        <f>AA6*AB6</f>
        <v>1.8048</v>
      </c>
    </row>
    <row r="7" spans="1:29" x14ac:dyDescent="0.25">
      <c r="A7" s="66"/>
      <c r="B7" s="66">
        <v>5.1100000000000003</v>
      </c>
      <c r="C7" s="66">
        <v>2.4750000000000001</v>
      </c>
      <c r="D7" s="66">
        <f t="shared" ref="D7:D38" si="0">B7*C7</f>
        <v>12.647250000000001</v>
      </c>
      <c r="F7" s="66"/>
      <c r="G7" s="66">
        <v>4.9000000000000004</v>
      </c>
      <c r="H7" s="66">
        <v>8.125</v>
      </c>
      <c r="I7" s="66">
        <f t="shared" ref="I7:I38" si="1">G7*H7</f>
        <v>39.8125</v>
      </c>
      <c r="K7" s="66"/>
      <c r="L7" s="66">
        <v>5.1100000000000003</v>
      </c>
      <c r="M7" s="66">
        <v>2.4750000000000001</v>
      </c>
      <c r="N7" s="66">
        <f t="shared" ref="N7:N38" si="2">L7*M7</f>
        <v>12.647250000000001</v>
      </c>
      <c r="P7" s="66"/>
      <c r="Q7" s="66">
        <v>5.26</v>
      </c>
      <c r="R7" s="66">
        <v>1.52</v>
      </c>
      <c r="S7" s="66">
        <f t="shared" ref="S7:S38" si="3">Q7*R7</f>
        <v>7.9951999999999996</v>
      </c>
      <c r="U7" s="66"/>
      <c r="V7" s="66">
        <v>3.97</v>
      </c>
      <c r="W7" s="66">
        <v>8.33</v>
      </c>
      <c r="X7" s="66">
        <f t="shared" ref="X7:X38" si="4">V7*W7</f>
        <v>33.070100000000004</v>
      </c>
      <c r="Z7" s="66"/>
      <c r="AA7" s="66">
        <v>5.26</v>
      </c>
      <c r="AB7" s="66">
        <v>1.52</v>
      </c>
      <c r="AC7" s="66">
        <f t="shared" ref="AC7:AC38" si="5">AA7*AB7</f>
        <v>7.9951999999999996</v>
      </c>
    </row>
    <row r="8" spans="1:29" x14ac:dyDescent="0.25">
      <c r="A8" s="66"/>
      <c r="B8" s="66">
        <v>5.18</v>
      </c>
      <c r="C8" s="66">
        <v>10.5</v>
      </c>
      <c r="D8" s="66">
        <f t="shared" si="0"/>
        <v>54.39</v>
      </c>
      <c r="F8" s="66"/>
      <c r="G8" s="66">
        <v>1.45</v>
      </c>
      <c r="H8" s="66">
        <v>3.2349999999999999</v>
      </c>
      <c r="I8" s="66">
        <f t="shared" si="1"/>
        <v>4.6907499999999995</v>
      </c>
      <c r="K8" s="66"/>
      <c r="L8" s="66">
        <v>5.18</v>
      </c>
      <c r="M8" s="66">
        <v>10.5</v>
      </c>
      <c r="N8" s="66">
        <f t="shared" si="2"/>
        <v>54.39</v>
      </c>
      <c r="P8" s="66"/>
      <c r="Q8" s="66">
        <v>4.32</v>
      </c>
      <c r="R8" s="66">
        <v>9.43</v>
      </c>
      <c r="S8" s="66">
        <f t="shared" si="3"/>
        <v>40.7376</v>
      </c>
      <c r="U8" s="66"/>
      <c r="V8" s="66">
        <v>1.5</v>
      </c>
      <c r="W8" s="66">
        <v>1.82</v>
      </c>
      <c r="X8" s="66">
        <f t="shared" si="4"/>
        <v>2.73</v>
      </c>
      <c r="Z8" s="66"/>
      <c r="AA8" s="66">
        <v>4.32</v>
      </c>
      <c r="AB8" s="66">
        <v>9.43</v>
      </c>
      <c r="AC8" s="66">
        <f t="shared" si="5"/>
        <v>40.7376</v>
      </c>
    </row>
    <row r="9" spans="1:29" x14ac:dyDescent="0.25">
      <c r="A9" s="66" t="s">
        <v>226</v>
      </c>
      <c r="B9" s="66">
        <v>3.66</v>
      </c>
      <c r="C9" s="66">
        <v>4.2549999999999999</v>
      </c>
      <c r="D9" s="66">
        <f t="shared" si="0"/>
        <v>15.5733</v>
      </c>
      <c r="F9" s="66" t="s">
        <v>226</v>
      </c>
      <c r="G9" s="66">
        <v>3.3</v>
      </c>
      <c r="H9" s="66">
        <v>3.6949999999999998</v>
      </c>
      <c r="I9" s="66">
        <f t="shared" si="1"/>
        <v>12.193499999999998</v>
      </c>
      <c r="K9" s="66" t="s">
        <v>226</v>
      </c>
      <c r="L9" s="66">
        <v>3.66</v>
      </c>
      <c r="M9" s="66">
        <v>4.2549999999999999</v>
      </c>
      <c r="N9" s="66">
        <f t="shared" si="2"/>
        <v>15.5733</v>
      </c>
      <c r="P9" s="66" t="s">
        <v>226</v>
      </c>
      <c r="Q9" s="66">
        <v>3.05</v>
      </c>
      <c r="R9" s="66">
        <v>3.8</v>
      </c>
      <c r="S9" s="66">
        <f t="shared" si="3"/>
        <v>11.589999999999998</v>
      </c>
      <c r="U9" s="66" t="s">
        <v>226</v>
      </c>
      <c r="V9" s="66">
        <v>2.74</v>
      </c>
      <c r="W9" s="66">
        <v>3.66</v>
      </c>
      <c r="X9" s="66">
        <f t="shared" si="4"/>
        <v>10.028400000000001</v>
      </c>
      <c r="Z9" s="66" t="s">
        <v>226</v>
      </c>
      <c r="AA9" s="66">
        <v>3.05</v>
      </c>
      <c r="AB9" s="66">
        <v>3.8</v>
      </c>
      <c r="AC9" s="66">
        <f t="shared" si="5"/>
        <v>11.589999999999998</v>
      </c>
    </row>
    <row r="10" spans="1:29" x14ac:dyDescent="0.25">
      <c r="A10" s="66"/>
      <c r="B10" s="66">
        <v>4.1100000000000003</v>
      </c>
      <c r="C10" s="66">
        <v>1.52</v>
      </c>
      <c r="D10" s="66">
        <f t="shared" si="0"/>
        <v>6.2472000000000003</v>
      </c>
      <c r="F10" s="66"/>
      <c r="G10" s="66">
        <v>2.25</v>
      </c>
      <c r="H10" s="66">
        <v>1.67</v>
      </c>
      <c r="I10" s="66">
        <f t="shared" si="1"/>
        <v>3.7574999999999998</v>
      </c>
      <c r="K10" s="66"/>
      <c r="L10" s="66">
        <v>4.1100000000000003</v>
      </c>
      <c r="M10" s="66">
        <v>1.52</v>
      </c>
      <c r="N10" s="66">
        <f t="shared" si="2"/>
        <v>6.2472000000000003</v>
      </c>
      <c r="P10" s="66"/>
      <c r="Q10" s="66">
        <v>2.64</v>
      </c>
      <c r="R10" s="66">
        <v>1.4</v>
      </c>
      <c r="S10" s="66">
        <f t="shared" si="3"/>
        <v>3.6959999999999997</v>
      </c>
      <c r="U10" s="66"/>
      <c r="V10" s="66">
        <v>2.74</v>
      </c>
      <c r="W10" s="66">
        <v>1.48</v>
      </c>
      <c r="X10" s="66">
        <f t="shared" si="4"/>
        <v>4.0552000000000001</v>
      </c>
      <c r="Z10" s="66"/>
      <c r="AA10" s="66">
        <v>2.64</v>
      </c>
      <c r="AB10" s="66">
        <v>1.4</v>
      </c>
      <c r="AC10" s="66">
        <f t="shared" si="5"/>
        <v>3.6959999999999997</v>
      </c>
    </row>
    <row r="11" spans="1:29" x14ac:dyDescent="0.25">
      <c r="A11" s="66"/>
      <c r="B11" s="66">
        <v>1.5</v>
      </c>
      <c r="C11" s="66">
        <v>2.7</v>
      </c>
      <c r="D11" s="66">
        <f t="shared" si="0"/>
        <v>4.0500000000000007</v>
      </c>
      <c r="F11" s="66"/>
      <c r="G11" s="66">
        <v>2.5</v>
      </c>
      <c r="H11" s="66">
        <v>1.825</v>
      </c>
      <c r="I11" s="66">
        <f t="shared" si="1"/>
        <v>4.5625</v>
      </c>
      <c r="K11" s="66"/>
      <c r="L11" s="66">
        <v>1.5</v>
      </c>
      <c r="M11" s="66">
        <v>2.7</v>
      </c>
      <c r="N11" s="66">
        <f t="shared" si="2"/>
        <v>4.0500000000000007</v>
      </c>
      <c r="P11" s="66"/>
      <c r="Q11" s="66">
        <v>1.82</v>
      </c>
      <c r="R11" s="66">
        <v>2.75</v>
      </c>
      <c r="S11" s="66">
        <f t="shared" si="3"/>
        <v>5.0049999999999999</v>
      </c>
      <c r="U11" s="66"/>
      <c r="V11" s="66">
        <v>1.69</v>
      </c>
      <c r="W11" s="66">
        <v>1.22</v>
      </c>
      <c r="X11" s="66">
        <f t="shared" si="4"/>
        <v>2.0617999999999999</v>
      </c>
      <c r="Z11" s="66"/>
      <c r="AA11" s="66">
        <v>1.82</v>
      </c>
      <c r="AB11" s="66">
        <v>2.75</v>
      </c>
      <c r="AC11" s="66">
        <f t="shared" si="5"/>
        <v>5.0049999999999999</v>
      </c>
    </row>
    <row r="12" spans="1:29" x14ac:dyDescent="0.25">
      <c r="A12" s="66"/>
      <c r="B12" s="66">
        <v>1.36</v>
      </c>
      <c r="C12" s="66">
        <v>1.2250000000000001</v>
      </c>
      <c r="D12" s="66">
        <f t="shared" si="0"/>
        <v>1.6660000000000001</v>
      </c>
      <c r="F12" s="66"/>
      <c r="G12" s="66">
        <v>1.05</v>
      </c>
      <c r="H12" s="66">
        <v>1.2250000000000001</v>
      </c>
      <c r="I12" s="66">
        <f t="shared" si="1"/>
        <v>1.2862500000000001</v>
      </c>
      <c r="K12" s="66"/>
      <c r="L12" s="66">
        <v>1.36</v>
      </c>
      <c r="M12" s="66">
        <v>1.2250000000000001</v>
      </c>
      <c r="N12" s="66">
        <f t="shared" si="2"/>
        <v>1.6660000000000001</v>
      </c>
      <c r="P12" s="66"/>
      <c r="Q12" s="66">
        <v>1.82</v>
      </c>
      <c r="R12" s="66">
        <v>1.08</v>
      </c>
      <c r="S12" s="66">
        <f t="shared" si="3"/>
        <v>1.9656000000000002</v>
      </c>
      <c r="U12" s="66"/>
      <c r="V12" s="66">
        <v>1.69</v>
      </c>
      <c r="W12" s="66">
        <v>1.2</v>
      </c>
      <c r="X12" s="66">
        <f t="shared" si="4"/>
        <v>2.028</v>
      </c>
      <c r="Z12" s="66"/>
      <c r="AA12" s="66">
        <v>1.82</v>
      </c>
      <c r="AB12" s="66">
        <v>1.08</v>
      </c>
      <c r="AC12" s="66">
        <f t="shared" si="5"/>
        <v>1.9656000000000002</v>
      </c>
    </row>
    <row r="13" spans="1:29" x14ac:dyDescent="0.25">
      <c r="A13" s="66" t="s">
        <v>227</v>
      </c>
      <c r="B13" s="66">
        <v>3.66</v>
      </c>
      <c r="C13" s="66">
        <v>5.625</v>
      </c>
      <c r="D13" s="66">
        <f t="shared" si="0"/>
        <v>20.587500000000002</v>
      </c>
      <c r="F13" s="66"/>
      <c r="G13" s="66">
        <v>1.3</v>
      </c>
      <c r="H13" s="66">
        <v>1.35</v>
      </c>
      <c r="I13" s="66">
        <f t="shared" si="1"/>
        <v>1.7550000000000001</v>
      </c>
      <c r="K13" s="66" t="s">
        <v>227</v>
      </c>
      <c r="L13" s="66">
        <v>3.66</v>
      </c>
      <c r="M13" s="66">
        <v>5.625</v>
      </c>
      <c r="N13" s="66">
        <f t="shared" si="2"/>
        <v>20.587500000000002</v>
      </c>
      <c r="P13" s="66" t="s">
        <v>227</v>
      </c>
      <c r="Q13" s="66">
        <v>1.96</v>
      </c>
      <c r="R13" s="66">
        <v>2.8</v>
      </c>
      <c r="S13" s="66">
        <f t="shared" si="3"/>
        <v>5.4879999999999995</v>
      </c>
      <c r="U13" s="66"/>
      <c r="V13" s="66">
        <v>2.74</v>
      </c>
      <c r="W13" s="66">
        <v>1.4</v>
      </c>
      <c r="X13" s="66">
        <f t="shared" si="4"/>
        <v>3.8359999999999999</v>
      </c>
      <c r="Z13" s="66" t="s">
        <v>227</v>
      </c>
      <c r="AA13" s="66">
        <v>4.26</v>
      </c>
      <c r="AB13" s="66">
        <v>3.55</v>
      </c>
      <c r="AC13" s="66">
        <f t="shared" si="5"/>
        <v>15.122999999999999</v>
      </c>
    </row>
    <row r="14" spans="1:29" x14ac:dyDescent="0.25">
      <c r="A14" s="66"/>
      <c r="B14" s="66">
        <v>3.66</v>
      </c>
      <c r="C14" s="66">
        <v>5.625</v>
      </c>
      <c r="D14" s="66">
        <f t="shared" si="0"/>
        <v>20.587500000000002</v>
      </c>
      <c r="F14" s="66" t="s">
        <v>227</v>
      </c>
      <c r="G14" s="66">
        <v>3.65</v>
      </c>
      <c r="H14" s="66">
        <v>4.2750000000000004</v>
      </c>
      <c r="I14" s="66">
        <f t="shared" si="1"/>
        <v>15.603750000000002</v>
      </c>
      <c r="K14" s="66"/>
      <c r="L14" s="66">
        <v>1.76</v>
      </c>
      <c r="M14" s="66">
        <v>2.4249999999999998</v>
      </c>
      <c r="N14" s="66">
        <f t="shared" si="2"/>
        <v>4.2679999999999998</v>
      </c>
      <c r="P14" s="66"/>
      <c r="Q14" s="66">
        <v>3.66</v>
      </c>
      <c r="R14" s="66">
        <v>4.5599999999999996</v>
      </c>
      <c r="S14" s="66">
        <f t="shared" si="3"/>
        <v>16.689599999999999</v>
      </c>
      <c r="U14" s="66" t="s">
        <v>228</v>
      </c>
      <c r="V14" s="66">
        <v>1.67</v>
      </c>
      <c r="W14" s="66">
        <v>2.4300000000000002</v>
      </c>
      <c r="X14" s="66">
        <f t="shared" si="4"/>
        <v>4.0581000000000005</v>
      </c>
      <c r="Z14" s="66"/>
      <c r="AA14" s="66">
        <v>1.83</v>
      </c>
      <c r="AB14" s="66">
        <v>2.75</v>
      </c>
      <c r="AC14" s="66">
        <f t="shared" si="5"/>
        <v>5.0325000000000006</v>
      </c>
    </row>
    <row r="15" spans="1:29" x14ac:dyDescent="0.25">
      <c r="A15" s="66"/>
      <c r="B15" s="66">
        <v>2.4500000000000002</v>
      </c>
      <c r="C15" s="66">
        <v>2.2749999999999999</v>
      </c>
      <c r="D15" s="66">
        <f t="shared" si="0"/>
        <v>5.5737500000000004</v>
      </c>
      <c r="F15" s="66"/>
      <c r="G15" s="66">
        <v>1.85</v>
      </c>
      <c r="H15" s="66">
        <v>2.4249999999999998</v>
      </c>
      <c r="I15" s="66">
        <f t="shared" si="1"/>
        <v>4.4862500000000001</v>
      </c>
      <c r="K15" s="66"/>
      <c r="L15" s="66">
        <v>2.4500000000000002</v>
      </c>
      <c r="M15" s="66">
        <v>2.2749999999999999</v>
      </c>
      <c r="N15" s="66">
        <f t="shared" si="2"/>
        <v>5.5737500000000004</v>
      </c>
      <c r="P15" s="66"/>
      <c r="Q15" s="66">
        <v>1.67</v>
      </c>
      <c r="R15" s="66">
        <v>2.65</v>
      </c>
      <c r="S15" s="66">
        <f t="shared" si="3"/>
        <v>4.4254999999999995</v>
      </c>
      <c r="U15" s="66"/>
      <c r="V15" s="66">
        <v>3.35</v>
      </c>
      <c r="W15" s="66">
        <v>3.72</v>
      </c>
      <c r="X15" s="66">
        <f t="shared" si="4"/>
        <v>12.462000000000002</v>
      </c>
      <c r="Z15" s="66" t="s">
        <v>228</v>
      </c>
      <c r="AA15" s="66">
        <v>1.22</v>
      </c>
      <c r="AB15" s="66">
        <v>2.2799999999999998</v>
      </c>
      <c r="AC15" s="66">
        <f t="shared" si="5"/>
        <v>2.7815999999999996</v>
      </c>
    </row>
    <row r="16" spans="1:29" x14ac:dyDescent="0.25">
      <c r="A16" s="66"/>
      <c r="B16" s="66"/>
      <c r="C16" s="66"/>
      <c r="D16" s="66">
        <f t="shared" si="0"/>
        <v>0</v>
      </c>
      <c r="F16" s="66"/>
      <c r="G16" s="66">
        <v>1.2250000000000001</v>
      </c>
      <c r="H16" s="66">
        <v>2.2749999999999999</v>
      </c>
      <c r="I16" s="66">
        <f t="shared" si="1"/>
        <v>2.7868750000000002</v>
      </c>
      <c r="K16" s="66"/>
      <c r="L16" s="66"/>
      <c r="M16" s="66"/>
      <c r="N16" s="66">
        <f t="shared" si="2"/>
        <v>0</v>
      </c>
      <c r="P16" s="66"/>
      <c r="Q16" s="66">
        <v>0.98</v>
      </c>
      <c r="R16" s="66">
        <v>1.07</v>
      </c>
      <c r="S16" s="66">
        <f t="shared" si="3"/>
        <v>1.0486</v>
      </c>
      <c r="U16" s="66"/>
      <c r="V16" s="66">
        <v>0.9</v>
      </c>
      <c r="W16" s="66">
        <v>2.2799999999999998</v>
      </c>
      <c r="X16" s="66">
        <f t="shared" si="4"/>
        <v>2.052</v>
      </c>
      <c r="Z16" s="66"/>
      <c r="AA16" s="66">
        <v>3.66</v>
      </c>
      <c r="AB16" s="66">
        <v>4.26</v>
      </c>
      <c r="AC16" s="66">
        <f t="shared" si="5"/>
        <v>15.5916</v>
      </c>
    </row>
    <row r="17" spans="1:29" x14ac:dyDescent="0.25">
      <c r="A17" s="66" t="s">
        <v>228</v>
      </c>
      <c r="B17" s="66">
        <v>3.95</v>
      </c>
      <c r="C17" s="66">
        <v>5.0250000000000004</v>
      </c>
      <c r="D17" s="66">
        <f t="shared" si="0"/>
        <v>19.848750000000003</v>
      </c>
      <c r="F17" s="66"/>
      <c r="G17" s="66">
        <v>1.2250000000000001</v>
      </c>
      <c r="H17" s="66">
        <v>1.4750000000000001</v>
      </c>
      <c r="I17" s="66">
        <f t="shared" si="1"/>
        <v>1.8068750000000002</v>
      </c>
      <c r="K17" s="66" t="s">
        <v>228</v>
      </c>
      <c r="L17" s="66">
        <v>1.875</v>
      </c>
      <c r="M17" s="66">
        <v>2.4249999999999998</v>
      </c>
      <c r="N17" s="66">
        <f t="shared" si="2"/>
        <v>4.546875</v>
      </c>
      <c r="P17" s="66" t="s">
        <v>228</v>
      </c>
      <c r="Q17" s="66">
        <v>1.72</v>
      </c>
      <c r="R17" s="66">
        <v>2.2799999999999998</v>
      </c>
      <c r="S17" s="66">
        <f t="shared" si="3"/>
        <v>3.9215999999999998</v>
      </c>
      <c r="U17" s="66"/>
      <c r="V17" s="66">
        <v>1.22</v>
      </c>
      <c r="W17" s="66">
        <v>1.48</v>
      </c>
      <c r="X17" s="66">
        <f t="shared" si="4"/>
        <v>1.8055999999999999</v>
      </c>
      <c r="Z17" s="66"/>
      <c r="AA17" s="66">
        <v>2.89</v>
      </c>
      <c r="AB17" s="66">
        <v>1.52</v>
      </c>
      <c r="AC17" s="66">
        <f t="shared" si="5"/>
        <v>4.3928000000000003</v>
      </c>
    </row>
    <row r="18" spans="1:29" x14ac:dyDescent="0.25">
      <c r="A18" s="66"/>
      <c r="B18" s="66">
        <v>1.875</v>
      </c>
      <c r="C18" s="66">
        <v>2.4249999999999998</v>
      </c>
      <c r="D18" s="66">
        <f t="shared" si="0"/>
        <v>4.546875</v>
      </c>
      <c r="F18" s="66" t="s">
        <v>228</v>
      </c>
      <c r="G18" s="66">
        <v>3.6749999999999998</v>
      </c>
      <c r="H18" s="66">
        <v>4.2750000000000004</v>
      </c>
      <c r="I18" s="66">
        <f t="shared" si="1"/>
        <v>15.710625</v>
      </c>
      <c r="K18" s="66"/>
      <c r="L18" s="66">
        <v>3.95</v>
      </c>
      <c r="M18" s="66">
        <v>5.0250000000000004</v>
      </c>
      <c r="N18" s="66">
        <f t="shared" si="2"/>
        <v>19.848750000000003</v>
      </c>
      <c r="P18" s="66"/>
      <c r="Q18" s="66">
        <v>3.66</v>
      </c>
      <c r="R18" s="66">
        <v>4.26</v>
      </c>
      <c r="S18" s="66">
        <f t="shared" si="3"/>
        <v>15.5916</v>
      </c>
      <c r="U18" s="66" t="s">
        <v>239</v>
      </c>
      <c r="V18" s="66">
        <v>1.07</v>
      </c>
      <c r="W18" s="66">
        <v>2.4300000000000002</v>
      </c>
      <c r="X18" s="66">
        <f t="shared" si="4"/>
        <v>2.6001000000000003</v>
      </c>
      <c r="Z18" s="66"/>
      <c r="AA18" s="66">
        <v>2.89</v>
      </c>
      <c r="AB18" s="66">
        <v>1.83</v>
      </c>
      <c r="AC18" s="66">
        <f t="shared" si="5"/>
        <v>5.2887000000000004</v>
      </c>
    </row>
    <row r="19" spans="1:29" x14ac:dyDescent="0.25">
      <c r="A19" s="66"/>
      <c r="B19" s="66">
        <v>1.2</v>
      </c>
      <c r="C19" s="66">
        <v>2.2749999999999999</v>
      </c>
      <c r="D19" s="66">
        <f t="shared" si="0"/>
        <v>2.73</v>
      </c>
      <c r="F19" s="66"/>
      <c r="G19" s="66">
        <v>1.875</v>
      </c>
      <c r="H19" s="66">
        <v>2.4249999999999998</v>
      </c>
      <c r="I19" s="66">
        <f t="shared" si="1"/>
        <v>4.546875</v>
      </c>
      <c r="K19" s="66"/>
      <c r="L19" s="66">
        <v>1.2</v>
      </c>
      <c r="M19" s="66">
        <v>2.75</v>
      </c>
      <c r="N19" s="66">
        <f t="shared" si="2"/>
        <v>3.3</v>
      </c>
      <c r="P19" s="66"/>
      <c r="Q19" s="66">
        <v>0.99</v>
      </c>
      <c r="R19" s="66">
        <v>2.13</v>
      </c>
      <c r="S19" s="66">
        <f t="shared" si="3"/>
        <v>2.1086999999999998</v>
      </c>
      <c r="U19" s="66"/>
      <c r="V19" s="66">
        <v>3.35</v>
      </c>
      <c r="W19" s="66">
        <v>3.72</v>
      </c>
      <c r="X19" s="66">
        <f t="shared" si="4"/>
        <v>12.462000000000002</v>
      </c>
      <c r="Z19" s="66" t="s">
        <v>228</v>
      </c>
      <c r="AA19" s="66">
        <v>1.72</v>
      </c>
      <c r="AB19" s="66">
        <v>2.2799999999999998</v>
      </c>
      <c r="AC19" s="66">
        <f t="shared" si="5"/>
        <v>3.9215999999999998</v>
      </c>
    </row>
    <row r="20" spans="1:29" x14ac:dyDescent="0.25">
      <c r="A20" s="66"/>
      <c r="B20" s="66">
        <v>1.25</v>
      </c>
      <c r="C20" s="66">
        <v>1.575</v>
      </c>
      <c r="D20" s="66">
        <f t="shared" si="0"/>
        <v>1.96875</v>
      </c>
      <c r="F20" s="66"/>
      <c r="G20" s="66">
        <v>1.2250000000000001</v>
      </c>
      <c r="H20" s="66">
        <v>2.2749999999999999</v>
      </c>
      <c r="I20" s="66">
        <f t="shared" si="1"/>
        <v>2.7868750000000002</v>
      </c>
      <c r="K20" s="66"/>
      <c r="L20" s="66">
        <v>1.25</v>
      </c>
      <c r="M20" s="66">
        <v>1.575</v>
      </c>
      <c r="N20" s="66">
        <f t="shared" si="2"/>
        <v>1.96875</v>
      </c>
      <c r="P20" s="66"/>
      <c r="Q20" s="66">
        <v>1.43</v>
      </c>
      <c r="R20" s="66">
        <v>1.25</v>
      </c>
      <c r="S20" s="66">
        <f t="shared" si="3"/>
        <v>1.7874999999999999</v>
      </c>
      <c r="U20" s="66"/>
      <c r="V20" s="66">
        <v>0.9</v>
      </c>
      <c r="W20" s="66">
        <v>2.2799999999999998</v>
      </c>
      <c r="X20" s="66">
        <f t="shared" si="4"/>
        <v>2.052</v>
      </c>
      <c r="Z20" s="66"/>
      <c r="AA20" s="66">
        <v>3.66</v>
      </c>
      <c r="AB20" s="66">
        <v>4.26</v>
      </c>
      <c r="AC20" s="66">
        <f t="shared" si="5"/>
        <v>15.5916</v>
      </c>
    </row>
    <row r="21" spans="1:29" x14ac:dyDescent="0.25">
      <c r="A21" s="66" t="s">
        <v>228</v>
      </c>
      <c r="B21" s="66">
        <v>3.95</v>
      </c>
      <c r="C21" s="66">
        <v>6.1</v>
      </c>
      <c r="D21" s="66">
        <f t="shared" si="0"/>
        <v>24.094999999999999</v>
      </c>
      <c r="F21" s="66"/>
      <c r="G21" s="66">
        <v>1.2250000000000001</v>
      </c>
      <c r="H21" s="66">
        <v>1.4750000000000001</v>
      </c>
      <c r="I21" s="66">
        <f t="shared" si="1"/>
        <v>1.8068750000000002</v>
      </c>
      <c r="K21" s="66" t="s">
        <v>228</v>
      </c>
      <c r="L21" s="66">
        <v>3.95</v>
      </c>
      <c r="M21" s="66">
        <v>6.1</v>
      </c>
      <c r="N21" s="66">
        <f t="shared" si="2"/>
        <v>24.094999999999999</v>
      </c>
      <c r="P21" s="66" t="s">
        <v>228</v>
      </c>
      <c r="Q21" s="66">
        <v>1.22</v>
      </c>
      <c r="R21" s="66">
        <v>2.2799999999999998</v>
      </c>
      <c r="S21" s="66">
        <f t="shared" si="3"/>
        <v>2.7815999999999996</v>
      </c>
      <c r="U21" s="66"/>
      <c r="V21" s="66">
        <v>1.22</v>
      </c>
      <c r="W21" s="66">
        <v>1.48</v>
      </c>
      <c r="X21" s="66">
        <f t="shared" si="4"/>
        <v>1.8055999999999999</v>
      </c>
      <c r="Z21" s="66"/>
      <c r="AA21" s="66">
        <v>0.99</v>
      </c>
      <c r="AB21" s="66">
        <v>2.13</v>
      </c>
      <c r="AC21" s="66">
        <f t="shared" si="5"/>
        <v>2.1086999999999998</v>
      </c>
    </row>
    <row r="22" spans="1:29" x14ac:dyDescent="0.25">
      <c r="A22" s="66"/>
      <c r="B22" s="66">
        <v>3.4750000000000001</v>
      </c>
      <c r="C22" s="66">
        <v>2.415</v>
      </c>
      <c r="D22" s="66">
        <f t="shared" si="0"/>
        <v>8.3921250000000001</v>
      </c>
      <c r="F22" s="66" t="s">
        <v>233</v>
      </c>
      <c r="G22" s="66">
        <v>0.45</v>
      </c>
      <c r="H22" s="66">
        <v>1.2749999999999999</v>
      </c>
      <c r="I22" s="66">
        <f t="shared" si="1"/>
        <v>0.57374999999999998</v>
      </c>
      <c r="K22" s="66"/>
      <c r="L22" s="66">
        <v>2.2250000000000001</v>
      </c>
      <c r="M22" s="66">
        <v>2</v>
      </c>
      <c r="N22" s="66">
        <f t="shared" si="2"/>
        <v>4.45</v>
      </c>
      <c r="P22" s="66"/>
      <c r="Q22" s="66">
        <v>3.66</v>
      </c>
      <c r="R22" s="66">
        <v>4.26</v>
      </c>
      <c r="S22" s="66">
        <f t="shared" si="3"/>
        <v>15.5916</v>
      </c>
      <c r="U22" s="66" t="s">
        <v>239</v>
      </c>
      <c r="V22" s="66">
        <v>1.66</v>
      </c>
      <c r="W22" s="66">
        <v>2.8</v>
      </c>
      <c r="X22" s="66">
        <f t="shared" si="4"/>
        <v>4.6479999999999997</v>
      </c>
      <c r="Z22" s="66"/>
      <c r="AA22" s="66">
        <v>1.25</v>
      </c>
      <c r="AB22" s="66">
        <v>1.43</v>
      </c>
      <c r="AC22" s="66">
        <f t="shared" si="5"/>
        <v>1.7874999999999999</v>
      </c>
    </row>
    <row r="23" spans="1:29" x14ac:dyDescent="0.25">
      <c r="A23" s="66"/>
      <c r="B23" s="66">
        <v>2.5249999999999999</v>
      </c>
      <c r="C23" s="66">
        <v>2.2349999999999999</v>
      </c>
      <c r="D23" s="66">
        <f t="shared" si="0"/>
        <v>5.6433749999999998</v>
      </c>
      <c r="F23" s="66"/>
      <c r="G23" s="66">
        <v>1.2</v>
      </c>
      <c r="H23" s="66">
        <v>2.9449999999999998</v>
      </c>
      <c r="I23" s="66">
        <f t="shared" si="1"/>
        <v>3.5339999999999998</v>
      </c>
      <c r="K23" s="66"/>
      <c r="L23" s="66">
        <v>3.4750000000000001</v>
      </c>
      <c r="M23" s="66">
        <v>1.75</v>
      </c>
      <c r="N23" s="66">
        <f t="shared" si="2"/>
        <v>6.0812499999999998</v>
      </c>
      <c r="P23" s="66"/>
      <c r="Q23" s="66">
        <v>1.52</v>
      </c>
      <c r="R23" s="66">
        <v>2.89</v>
      </c>
      <c r="S23" s="66">
        <f t="shared" si="3"/>
        <v>4.3928000000000003</v>
      </c>
      <c r="U23" s="66"/>
      <c r="V23" s="66">
        <v>3.65</v>
      </c>
      <c r="W23" s="66">
        <v>4.5599999999999996</v>
      </c>
      <c r="X23" s="66">
        <f t="shared" si="4"/>
        <v>16.643999999999998</v>
      </c>
      <c r="Z23" s="66" t="s">
        <v>233</v>
      </c>
      <c r="AA23" s="66">
        <v>1.96</v>
      </c>
      <c r="AB23" s="66">
        <v>2.8</v>
      </c>
      <c r="AC23" s="66">
        <f t="shared" si="5"/>
        <v>5.4879999999999995</v>
      </c>
    </row>
    <row r="24" spans="1:29" x14ac:dyDescent="0.25">
      <c r="A24" s="66"/>
      <c r="B24" s="66">
        <v>2</v>
      </c>
      <c r="C24" s="66">
        <v>2.645</v>
      </c>
      <c r="D24" s="66">
        <f t="shared" si="0"/>
        <v>5.29</v>
      </c>
      <c r="F24" s="66" t="s">
        <v>233</v>
      </c>
      <c r="G24" s="66">
        <v>3.9750000000000001</v>
      </c>
      <c r="H24" s="66">
        <v>5.18</v>
      </c>
      <c r="I24" s="66">
        <f t="shared" si="1"/>
        <v>20.590499999999999</v>
      </c>
      <c r="K24" s="66"/>
      <c r="L24" s="66">
        <v>2.15</v>
      </c>
      <c r="M24" s="66">
        <v>3.5449999999999999</v>
      </c>
      <c r="N24" s="66">
        <f t="shared" si="2"/>
        <v>7.6217499999999996</v>
      </c>
      <c r="P24" s="66"/>
      <c r="Q24" s="66">
        <v>2.89</v>
      </c>
      <c r="R24" s="66">
        <v>1.83</v>
      </c>
      <c r="S24" s="66">
        <f t="shared" si="3"/>
        <v>5.2887000000000004</v>
      </c>
      <c r="U24" s="66"/>
      <c r="V24" s="66">
        <v>1.68</v>
      </c>
      <c r="W24" s="66">
        <v>2.65</v>
      </c>
      <c r="X24" s="66">
        <f t="shared" si="4"/>
        <v>4.452</v>
      </c>
      <c r="Z24" s="66"/>
      <c r="AA24" s="66">
        <v>3.66</v>
      </c>
      <c r="AB24" s="66">
        <v>4.5599999999999996</v>
      </c>
      <c r="AC24" s="66">
        <f t="shared" si="5"/>
        <v>16.689599999999999</v>
      </c>
    </row>
    <row r="25" spans="1:29" x14ac:dyDescent="0.25">
      <c r="A25" s="66" t="s">
        <v>233</v>
      </c>
      <c r="B25" s="66">
        <v>4.0449999999999999</v>
      </c>
      <c r="C25" s="66">
        <v>4.25</v>
      </c>
      <c r="D25" s="66">
        <f t="shared" ref="D25:D28" si="6">B25*C25</f>
        <v>17.19125</v>
      </c>
      <c r="F25" s="66"/>
      <c r="G25" s="66">
        <v>2.625</v>
      </c>
      <c r="H25" s="66">
        <v>2.7949999999999999</v>
      </c>
      <c r="I25" s="66">
        <f t="shared" si="1"/>
        <v>7.336875</v>
      </c>
      <c r="K25" s="66" t="s">
        <v>233</v>
      </c>
      <c r="L25" s="66">
        <v>4.3</v>
      </c>
      <c r="M25" s="66">
        <v>1.2</v>
      </c>
      <c r="N25" s="66">
        <f t="shared" si="2"/>
        <v>5.1599999999999993</v>
      </c>
      <c r="P25" s="66" t="s">
        <v>233</v>
      </c>
      <c r="Q25" s="66">
        <v>4.26</v>
      </c>
      <c r="R25" s="66">
        <v>3.55</v>
      </c>
      <c r="S25" s="66">
        <f t="shared" si="3"/>
        <v>15.122999999999999</v>
      </c>
      <c r="U25" s="66" t="s">
        <v>233</v>
      </c>
      <c r="V25" s="66"/>
      <c r="W25" s="66"/>
      <c r="X25" s="66">
        <f t="shared" si="4"/>
        <v>0</v>
      </c>
      <c r="Z25" s="66"/>
      <c r="AA25" s="66">
        <v>1.67</v>
      </c>
      <c r="AB25" s="66">
        <v>2.65</v>
      </c>
      <c r="AC25" s="66">
        <f t="shared" si="5"/>
        <v>4.4254999999999995</v>
      </c>
    </row>
    <row r="26" spans="1:29" x14ac:dyDescent="0.25">
      <c r="A26" s="66"/>
      <c r="B26" s="66">
        <v>4.3</v>
      </c>
      <c r="C26" s="66">
        <v>1.2</v>
      </c>
      <c r="D26" s="66">
        <f t="shared" si="6"/>
        <v>5.1599999999999993</v>
      </c>
      <c r="F26" s="66"/>
      <c r="G26" s="66">
        <v>2.7</v>
      </c>
      <c r="H26" s="66">
        <v>3.6949999999999998</v>
      </c>
      <c r="I26" s="66">
        <f t="shared" si="1"/>
        <v>9.9764999999999997</v>
      </c>
      <c r="K26" s="66"/>
      <c r="L26" s="66">
        <v>4.0449999999999999</v>
      </c>
      <c r="M26" s="66">
        <v>4.25</v>
      </c>
      <c r="N26" s="66">
        <f t="shared" si="2"/>
        <v>17.19125</v>
      </c>
      <c r="P26" s="66"/>
      <c r="Q26" s="66">
        <v>1.83</v>
      </c>
      <c r="R26" s="66">
        <v>2.75</v>
      </c>
      <c r="S26" s="66">
        <f t="shared" si="3"/>
        <v>5.0325000000000006</v>
      </c>
      <c r="U26" s="66"/>
      <c r="V26" s="66"/>
      <c r="W26" s="66"/>
      <c r="X26" s="66">
        <f t="shared" si="4"/>
        <v>0</v>
      </c>
      <c r="Z26" s="66" t="s">
        <v>244</v>
      </c>
      <c r="AA26" s="66">
        <v>2.89</v>
      </c>
      <c r="AB26" s="66">
        <v>2.8</v>
      </c>
      <c r="AC26" s="66">
        <f t="shared" si="5"/>
        <v>8.0920000000000005</v>
      </c>
    </row>
    <row r="27" spans="1:29" x14ac:dyDescent="0.25">
      <c r="A27" s="66"/>
      <c r="B27" s="66">
        <v>1.8</v>
      </c>
      <c r="C27" s="66">
        <v>2.6</v>
      </c>
      <c r="D27" s="66">
        <f t="shared" si="6"/>
        <v>4.6800000000000006</v>
      </c>
      <c r="F27" s="66"/>
      <c r="G27" s="66"/>
      <c r="H27" s="66"/>
      <c r="I27" s="66">
        <f t="shared" si="1"/>
        <v>0</v>
      </c>
      <c r="K27" s="66"/>
      <c r="L27" s="66">
        <v>2.6</v>
      </c>
      <c r="M27" s="66">
        <v>1.8</v>
      </c>
      <c r="N27" s="66">
        <f t="shared" si="2"/>
        <v>4.6800000000000006</v>
      </c>
      <c r="P27" s="66"/>
      <c r="Q27" s="66"/>
      <c r="R27" s="66"/>
      <c r="S27" s="66">
        <f t="shared" si="3"/>
        <v>0</v>
      </c>
      <c r="U27" s="66"/>
      <c r="V27" s="66"/>
      <c r="W27" s="66"/>
      <c r="X27" s="66">
        <f t="shared" si="4"/>
        <v>0</v>
      </c>
      <c r="Z27" s="66"/>
      <c r="AA27" s="66">
        <v>3.65</v>
      </c>
      <c r="AB27" s="66">
        <v>4.5599999999999996</v>
      </c>
      <c r="AC27" s="66">
        <f t="shared" si="5"/>
        <v>16.643999999999998</v>
      </c>
    </row>
    <row r="28" spans="1:29" x14ac:dyDescent="0.25">
      <c r="A28" s="66"/>
      <c r="B28" s="66">
        <v>2.2000000000000002</v>
      </c>
      <c r="C28" s="66">
        <v>2.6</v>
      </c>
      <c r="D28" s="66">
        <f t="shared" si="6"/>
        <v>5.7200000000000006</v>
      </c>
      <c r="F28" s="66" t="s">
        <v>229</v>
      </c>
      <c r="G28" s="66">
        <v>1.75</v>
      </c>
      <c r="H28" s="66">
        <v>1.61</v>
      </c>
      <c r="I28" s="66">
        <f t="shared" si="1"/>
        <v>2.8175000000000003</v>
      </c>
      <c r="K28" s="66"/>
      <c r="L28" s="66">
        <v>2.2000000000000002</v>
      </c>
      <c r="M28" s="66">
        <v>2.6</v>
      </c>
      <c r="N28" s="66">
        <f t="shared" si="2"/>
        <v>5.7200000000000006</v>
      </c>
      <c r="P28" s="66"/>
      <c r="Q28" s="66"/>
      <c r="R28" s="66"/>
      <c r="S28" s="66">
        <f t="shared" si="3"/>
        <v>0</v>
      </c>
      <c r="U28" s="66"/>
      <c r="V28" s="66"/>
      <c r="W28" s="66"/>
      <c r="X28" s="66">
        <f t="shared" si="4"/>
        <v>0</v>
      </c>
      <c r="Z28" s="66" t="s">
        <v>243</v>
      </c>
      <c r="AA28" s="66">
        <v>3.35</v>
      </c>
      <c r="AB28" s="66">
        <v>5.35</v>
      </c>
      <c r="AC28" s="66">
        <f t="shared" si="5"/>
        <v>17.922499999999999</v>
      </c>
    </row>
    <row r="29" spans="1:29" x14ac:dyDescent="0.25">
      <c r="A29" s="66" t="s">
        <v>229</v>
      </c>
      <c r="B29" s="66">
        <v>2.2549999999999999</v>
      </c>
      <c r="C29" s="66">
        <v>1.52</v>
      </c>
      <c r="D29" s="66">
        <f t="shared" si="0"/>
        <v>3.4276</v>
      </c>
      <c r="F29" s="66" t="s">
        <v>231</v>
      </c>
      <c r="G29" s="66">
        <v>8.7750000000000004</v>
      </c>
      <c r="H29" s="66">
        <v>1.2749999999999999</v>
      </c>
      <c r="I29" s="66">
        <f t="shared" si="1"/>
        <v>11.188124999999999</v>
      </c>
      <c r="K29" s="66" t="s">
        <v>229</v>
      </c>
      <c r="L29" s="66">
        <v>2.3050000000000002</v>
      </c>
      <c r="M29" s="66">
        <v>1.52</v>
      </c>
      <c r="N29" s="66">
        <f t="shared" si="2"/>
        <v>3.5036000000000005</v>
      </c>
      <c r="P29" s="66" t="s">
        <v>229</v>
      </c>
      <c r="Q29" s="66">
        <v>1.52</v>
      </c>
      <c r="R29" s="66">
        <v>1.8</v>
      </c>
      <c r="S29" s="66">
        <f t="shared" si="3"/>
        <v>2.7360000000000002</v>
      </c>
      <c r="U29" s="66" t="s">
        <v>229</v>
      </c>
      <c r="V29" s="66"/>
      <c r="W29" s="66"/>
      <c r="X29" s="66">
        <f t="shared" si="4"/>
        <v>0</v>
      </c>
      <c r="Z29" s="66"/>
      <c r="AA29" s="66">
        <v>1.23</v>
      </c>
      <c r="AB29" s="66">
        <v>1.48</v>
      </c>
      <c r="AC29" s="66">
        <f t="shared" si="5"/>
        <v>1.8204</v>
      </c>
    </row>
    <row r="30" spans="1:29" x14ac:dyDescent="0.25">
      <c r="A30" s="66" t="s">
        <v>230</v>
      </c>
      <c r="B30" s="66"/>
      <c r="C30" s="66"/>
      <c r="D30" s="66">
        <f t="shared" si="0"/>
        <v>0</v>
      </c>
      <c r="F30" s="66"/>
      <c r="G30" s="66">
        <v>1.45</v>
      </c>
      <c r="H30" s="66">
        <v>1.2</v>
      </c>
      <c r="I30" s="66">
        <f t="shared" si="1"/>
        <v>1.74</v>
      </c>
      <c r="K30" s="66" t="s">
        <v>231</v>
      </c>
      <c r="L30" s="66">
        <v>4.625</v>
      </c>
      <c r="M30" s="66">
        <v>1.2</v>
      </c>
      <c r="N30" s="66">
        <f t="shared" si="2"/>
        <v>5.55</v>
      </c>
      <c r="P30" s="66" t="s">
        <v>231</v>
      </c>
      <c r="Q30" s="66">
        <v>6.13</v>
      </c>
      <c r="R30" s="66">
        <v>1.22</v>
      </c>
      <c r="S30" s="66">
        <f t="shared" si="3"/>
        <v>7.4786000000000001</v>
      </c>
      <c r="U30" s="66" t="s">
        <v>231</v>
      </c>
      <c r="V30" s="66">
        <v>5.35</v>
      </c>
      <c r="W30" s="66">
        <v>1.06</v>
      </c>
      <c r="X30" s="66">
        <f t="shared" si="4"/>
        <v>5.6710000000000003</v>
      </c>
      <c r="Z30" s="66"/>
      <c r="AA30" s="66">
        <v>2.72</v>
      </c>
      <c r="AB30" s="66">
        <v>1.86</v>
      </c>
      <c r="AC30" s="66">
        <f t="shared" si="5"/>
        <v>5.0592000000000006</v>
      </c>
    </row>
    <row r="31" spans="1:29" x14ac:dyDescent="0.25">
      <c r="A31" s="66"/>
      <c r="B31" s="66"/>
      <c r="C31" s="66"/>
      <c r="D31" s="66">
        <f t="shared" si="0"/>
        <v>0</v>
      </c>
      <c r="F31" s="66" t="s">
        <v>231</v>
      </c>
      <c r="G31" s="66">
        <v>2.75</v>
      </c>
      <c r="H31" s="66">
        <v>4.74</v>
      </c>
      <c r="I31" s="66">
        <f t="shared" si="1"/>
        <v>13.035</v>
      </c>
      <c r="K31" s="66"/>
      <c r="L31" s="66"/>
      <c r="M31" s="66"/>
      <c r="N31" s="66">
        <f t="shared" si="2"/>
        <v>0</v>
      </c>
      <c r="P31" s="66"/>
      <c r="Q31" s="66"/>
      <c r="R31" s="66"/>
      <c r="S31" s="66">
        <f t="shared" si="3"/>
        <v>0</v>
      </c>
      <c r="U31" s="66"/>
      <c r="V31" s="66"/>
      <c r="W31" s="66"/>
      <c r="X31" s="66">
        <f t="shared" si="4"/>
        <v>0</v>
      </c>
      <c r="Z31" s="66"/>
      <c r="AA31" s="66">
        <v>2.4500000000000002</v>
      </c>
      <c r="AB31" s="66">
        <v>1.06</v>
      </c>
      <c r="AC31" s="66">
        <f t="shared" si="5"/>
        <v>2.5970000000000004</v>
      </c>
    </row>
    <row r="32" spans="1:29" x14ac:dyDescent="0.25">
      <c r="A32" s="66" t="s">
        <v>231</v>
      </c>
      <c r="B32" s="66">
        <v>4.625</v>
      </c>
      <c r="C32" s="66">
        <v>1.2</v>
      </c>
      <c r="D32" s="66">
        <f t="shared" si="0"/>
        <v>5.55</v>
      </c>
      <c r="F32" s="66" t="s">
        <v>234</v>
      </c>
      <c r="G32" s="66"/>
      <c r="H32" s="66"/>
      <c r="I32" s="66">
        <f t="shared" si="1"/>
        <v>0</v>
      </c>
      <c r="K32" s="66" t="s">
        <v>231</v>
      </c>
      <c r="L32" s="66"/>
      <c r="M32" s="66"/>
      <c r="N32" s="66">
        <f t="shared" si="2"/>
        <v>0</v>
      </c>
      <c r="P32" s="66" t="s">
        <v>231</v>
      </c>
      <c r="Q32" s="66"/>
      <c r="R32" s="66"/>
      <c r="S32" s="66">
        <f t="shared" si="3"/>
        <v>0</v>
      </c>
      <c r="U32" s="66" t="s">
        <v>231</v>
      </c>
      <c r="V32" s="66"/>
      <c r="W32" s="66"/>
      <c r="X32" s="66">
        <f t="shared" si="4"/>
        <v>0</v>
      </c>
      <c r="Z32" s="66" t="s">
        <v>231</v>
      </c>
      <c r="AA32" s="66">
        <v>6.13</v>
      </c>
      <c r="AB32" s="66">
        <v>1.22</v>
      </c>
      <c r="AC32" s="66">
        <f t="shared" si="5"/>
        <v>7.4786000000000001</v>
      </c>
    </row>
    <row r="33" spans="1:29" x14ac:dyDescent="0.25">
      <c r="A33" s="66" t="s">
        <v>234</v>
      </c>
      <c r="B33" s="66">
        <v>4.28</v>
      </c>
      <c r="C33" s="66">
        <v>2.4500000000000002</v>
      </c>
      <c r="D33" s="66">
        <f t="shared" si="0"/>
        <v>10.486000000000001</v>
      </c>
      <c r="F33" s="66" t="s">
        <v>234</v>
      </c>
      <c r="G33" s="66"/>
      <c r="H33" s="66"/>
      <c r="I33" s="66">
        <f t="shared" si="1"/>
        <v>0</v>
      </c>
      <c r="K33" s="66" t="s">
        <v>234</v>
      </c>
      <c r="L33" s="66">
        <v>3.95</v>
      </c>
      <c r="M33" s="66">
        <v>2.4500000000000002</v>
      </c>
      <c r="N33" s="66">
        <f t="shared" si="2"/>
        <v>9.677500000000002</v>
      </c>
      <c r="P33" s="66" t="s">
        <v>234</v>
      </c>
      <c r="Q33" s="66">
        <v>4.22</v>
      </c>
      <c r="R33" s="66">
        <v>1.72</v>
      </c>
      <c r="S33" s="66">
        <f t="shared" si="3"/>
        <v>7.2583999999999991</v>
      </c>
      <c r="U33" s="66" t="s">
        <v>234</v>
      </c>
      <c r="V33" s="66">
        <v>3.87</v>
      </c>
      <c r="W33" s="66">
        <v>1.72</v>
      </c>
      <c r="X33" s="66">
        <f t="shared" si="4"/>
        <v>6.6563999999999997</v>
      </c>
      <c r="Z33" s="66" t="s">
        <v>234</v>
      </c>
      <c r="AA33" s="66">
        <v>4.22</v>
      </c>
      <c r="AB33" s="66">
        <v>1.72</v>
      </c>
      <c r="AC33" s="66">
        <f t="shared" si="5"/>
        <v>7.2583999999999991</v>
      </c>
    </row>
    <row r="34" spans="1:29" x14ac:dyDescent="0.25">
      <c r="A34" s="66" t="s">
        <v>234</v>
      </c>
      <c r="B34" s="66">
        <v>3.95</v>
      </c>
      <c r="C34" s="66">
        <v>2.4500000000000002</v>
      </c>
      <c r="D34" s="66">
        <f t="shared" si="0"/>
        <v>9.677500000000002</v>
      </c>
      <c r="F34" s="66" t="s">
        <v>232</v>
      </c>
      <c r="G34" s="66"/>
      <c r="H34" s="66"/>
      <c r="I34" s="66">
        <f t="shared" si="1"/>
        <v>0</v>
      </c>
      <c r="K34" s="66" t="s">
        <v>234</v>
      </c>
      <c r="L34" s="66">
        <v>4.28</v>
      </c>
      <c r="M34" s="66">
        <v>2.4500000000000002</v>
      </c>
      <c r="N34" s="66">
        <f t="shared" si="2"/>
        <v>10.486000000000001</v>
      </c>
      <c r="P34" s="66" t="s">
        <v>234</v>
      </c>
      <c r="Q34" s="66"/>
      <c r="R34" s="66"/>
      <c r="S34" s="66">
        <f t="shared" si="3"/>
        <v>0</v>
      </c>
      <c r="U34" s="66" t="s">
        <v>234</v>
      </c>
      <c r="V34" s="66"/>
      <c r="W34" s="66"/>
      <c r="X34" s="66">
        <f t="shared" si="4"/>
        <v>0</v>
      </c>
      <c r="Z34" s="66" t="s">
        <v>234</v>
      </c>
      <c r="AA34" s="66"/>
      <c r="AB34" s="66"/>
      <c r="AC34" s="66">
        <f t="shared" si="5"/>
        <v>0</v>
      </c>
    </row>
    <row r="35" spans="1:29" x14ac:dyDescent="0.25">
      <c r="A35" s="66" t="s">
        <v>232</v>
      </c>
      <c r="B35" s="66"/>
      <c r="C35" s="66"/>
      <c r="D35" s="66">
        <f t="shared" si="0"/>
        <v>0</v>
      </c>
      <c r="F35" s="66"/>
      <c r="G35" s="66"/>
      <c r="H35" s="66"/>
      <c r="I35" s="66">
        <f t="shared" si="1"/>
        <v>0</v>
      </c>
      <c r="K35" s="66" t="s">
        <v>232</v>
      </c>
      <c r="L35" s="66"/>
      <c r="M35" s="66"/>
      <c r="N35" s="66">
        <f t="shared" si="2"/>
        <v>0</v>
      </c>
      <c r="P35" s="66" t="s">
        <v>232</v>
      </c>
      <c r="Q35" s="66"/>
      <c r="R35" s="66"/>
      <c r="S35" s="66">
        <f t="shared" si="3"/>
        <v>0</v>
      </c>
      <c r="U35" s="66" t="s">
        <v>232</v>
      </c>
      <c r="V35" s="66"/>
      <c r="W35" s="66"/>
      <c r="X35" s="66">
        <f t="shared" si="4"/>
        <v>0</v>
      </c>
      <c r="Z35" s="66" t="s">
        <v>229</v>
      </c>
      <c r="AA35" s="66">
        <v>1.52</v>
      </c>
      <c r="AB35" s="66">
        <v>1.8</v>
      </c>
      <c r="AC35" s="66">
        <f t="shared" si="5"/>
        <v>2.7360000000000002</v>
      </c>
    </row>
    <row r="36" spans="1:29" x14ac:dyDescent="0.25">
      <c r="A36" s="66"/>
      <c r="B36" s="66"/>
      <c r="C36" s="66"/>
      <c r="D36" s="66">
        <f t="shared" si="0"/>
        <v>0</v>
      </c>
      <c r="F36" s="66"/>
      <c r="G36" s="66"/>
      <c r="H36" s="66"/>
      <c r="I36" s="66">
        <f t="shared" si="1"/>
        <v>0</v>
      </c>
      <c r="K36" s="66"/>
      <c r="L36" s="66"/>
      <c r="M36" s="66"/>
      <c r="N36" s="66">
        <f t="shared" si="2"/>
        <v>0</v>
      </c>
      <c r="P36" s="66"/>
      <c r="Q36" s="66"/>
      <c r="R36" s="66"/>
      <c r="S36" s="66">
        <f t="shared" si="3"/>
        <v>0</v>
      </c>
      <c r="U36" s="66"/>
      <c r="V36" s="66"/>
      <c r="W36" s="66"/>
      <c r="X36" s="66">
        <f t="shared" si="4"/>
        <v>0</v>
      </c>
      <c r="Z36" s="66"/>
      <c r="AA36" s="66"/>
      <c r="AB36" s="66"/>
      <c r="AC36" s="66">
        <f t="shared" si="5"/>
        <v>0</v>
      </c>
    </row>
    <row r="37" spans="1:29" x14ac:dyDescent="0.25">
      <c r="A37" s="66"/>
      <c r="B37" s="66"/>
      <c r="C37" s="66"/>
      <c r="D37" s="66">
        <f t="shared" si="0"/>
        <v>0</v>
      </c>
      <c r="F37" s="66"/>
      <c r="G37" s="66"/>
      <c r="H37" s="66"/>
      <c r="I37" s="66">
        <f t="shared" si="1"/>
        <v>0</v>
      </c>
      <c r="K37" s="66"/>
      <c r="L37" s="66"/>
      <c r="M37" s="66"/>
      <c r="N37" s="66">
        <f t="shared" si="2"/>
        <v>0</v>
      </c>
      <c r="P37" s="66"/>
      <c r="Q37" s="66"/>
      <c r="R37" s="66"/>
      <c r="S37" s="66">
        <f t="shared" si="3"/>
        <v>0</v>
      </c>
      <c r="U37" s="66"/>
      <c r="V37" s="66"/>
      <c r="W37" s="66"/>
      <c r="X37" s="66">
        <f t="shared" si="4"/>
        <v>0</v>
      </c>
      <c r="Z37" s="66"/>
      <c r="AA37" s="66"/>
      <c r="AB37" s="66"/>
      <c r="AC37" s="66">
        <f t="shared" si="5"/>
        <v>0</v>
      </c>
    </row>
    <row r="38" spans="1:29" x14ac:dyDescent="0.25">
      <c r="A38" s="66"/>
      <c r="B38" s="66"/>
      <c r="C38" s="66"/>
      <c r="D38" s="66">
        <f t="shared" si="0"/>
        <v>0</v>
      </c>
      <c r="F38" s="66" t="s">
        <v>153</v>
      </c>
      <c r="G38" s="66"/>
      <c r="H38" s="66"/>
      <c r="I38" s="66">
        <f t="shared" si="1"/>
        <v>0</v>
      </c>
      <c r="K38" s="66"/>
      <c r="L38" s="66"/>
      <c r="M38" s="66"/>
      <c r="N38" s="66">
        <f t="shared" si="2"/>
        <v>0</v>
      </c>
      <c r="P38" s="66"/>
      <c r="Q38" s="66"/>
      <c r="R38" s="66"/>
      <c r="S38" s="66">
        <f t="shared" si="3"/>
        <v>0</v>
      </c>
      <c r="U38" s="66"/>
      <c r="V38" s="66"/>
      <c r="W38" s="66"/>
      <c r="X38" s="66">
        <f t="shared" si="4"/>
        <v>0</v>
      </c>
      <c r="Z38" s="66"/>
      <c r="AA38" s="66"/>
      <c r="AB38" s="66"/>
      <c r="AC38" s="66">
        <f t="shared" si="5"/>
        <v>0</v>
      </c>
    </row>
    <row r="39" spans="1:29" x14ac:dyDescent="0.25">
      <c r="A39" s="66" t="s">
        <v>153</v>
      </c>
      <c r="B39" s="66"/>
      <c r="C39" s="66">
        <f>D39*10.764</f>
        <v>3027.0491198999998</v>
      </c>
      <c r="D39" s="66">
        <f>SUM(D6:D38)</f>
        <v>281.21972499999998</v>
      </c>
      <c r="G39" s="66"/>
      <c r="H39" s="66">
        <f>I39*10.764</f>
        <v>2153.5023509999996</v>
      </c>
      <c r="I39" s="66">
        <f>SUM(I6:I38)</f>
        <v>200.06524999999996</v>
      </c>
      <c r="K39" s="66" t="s">
        <v>153</v>
      </c>
      <c r="L39" s="66"/>
      <c r="M39" s="66">
        <f>N39*10.764</f>
        <v>2865.4168958999999</v>
      </c>
      <c r="N39" s="66">
        <f>SUM(N6:N38)</f>
        <v>266.20372500000002</v>
      </c>
      <c r="P39" s="66" t="s">
        <v>153</v>
      </c>
      <c r="Q39" s="66"/>
      <c r="R39" s="66">
        <f>S39*10.764</f>
        <v>2040.1924139999992</v>
      </c>
      <c r="S39" s="66">
        <f>SUM(S6:S38)</f>
        <v>189.53849999999994</v>
      </c>
      <c r="U39" s="66" t="s">
        <v>153</v>
      </c>
      <c r="V39" s="66"/>
      <c r="W39" s="66">
        <f>X39*10.764</f>
        <v>1552.1774111999998</v>
      </c>
      <c r="X39" s="66">
        <f>SUM(X6:X38)</f>
        <v>144.20079999999999</v>
      </c>
      <c r="Z39" s="66" t="s">
        <v>153</v>
      </c>
      <c r="AA39" s="66"/>
      <c r="AB39" s="66">
        <f>AC39*10.764</f>
        <v>2590.0874999999996</v>
      </c>
      <c r="AC39" s="66">
        <f>SUM(AC6:AC38)</f>
        <v>240.62499999999997</v>
      </c>
    </row>
    <row r="41" spans="1:29" x14ac:dyDescent="0.25">
      <c r="C41" t="e">
        <f>C39+#REF!</f>
        <v>#REF!</v>
      </c>
      <c r="D41" t="e">
        <f>D39+#REF!</f>
        <v>#REF!</v>
      </c>
      <c r="H41" t="e">
        <f>H39+#REF!</f>
        <v>#REF!</v>
      </c>
      <c r="I41" t="e">
        <f>I39+#REF!</f>
        <v>#REF!</v>
      </c>
      <c r="M41" t="e">
        <f>M39+#REF!</f>
        <v>#REF!</v>
      </c>
      <c r="N41" t="e">
        <f>N39+#REF!</f>
        <v>#REF!</v>
      </c>
      <c r="R41" t="e">
        <f>R39+#REF!</f>
        <v>#REF!</v>
      </c>
      <c r="S41" t="e">
        <f>S39+#REF!</f>
        <v>#REF!</v>
      </c>
      <c r="W41" t="e">
        <f>W39+#REF!</f>
        <v>#REF!</v>
      </c>
      <c r="X41" t="e">
        <f>X39+#REF!</f>
        <v>#REF!</v>
      </c>
      <c r="AB41" t="e">
        <f>AB39+#REF!</f>
        <v>#REF!</v>
      </c>
      <c r="AC41" t="e">
        <f>AC39+#REF!</f>
        <v>#REF!</v>
      </c>
    </row>
  </sheetData>
  <mergeCells count="12">
    <mergeCell ref="Q2:R2"/>
    <mergeCell ref="Q4:S4"/>
    <mergeCell ref="V2:W2"/>
    <mergeCell ref="V4:X4"/>
    <mergeCell ref="AA2:AB2"/>
    <mergeCell ref="AA4:AC4"/>
    <mergeCell ref="B2:C2"/>
    <mergeCell ref="B4:D4"/>
    <mergeCell ref="G4:I4"/>
    <mergeCell ref="G2:H2"/>
    <mergeCell ref="L2:M2"/>
    <mergeCell ref="L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2025-09-29T05:45:48Z</cp:lastPrinted>
  <dcterms:created xsi:type="dcterms:W3CDTF">2019-07-16T09:29:46Z</dcterms:created>
  <dcterms:modified xsi:type="dcterms:W3CDTF">2025-09-29T05:49:30Z</dcterms:modified>
</cp:coreProperties>
</file>