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1.07 Dump\"/>
    </mc:Choice>
  </mc:AlternateContent>
  <xr:revisionPtr revIDLastSave="0" documentId="13_ncr:1_{3EC27E85-5DF0-4D95-84E4-01BC1D84F80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8" i="1" l="1"/>
  <c r="D147" i="1"/>
  <c r="D146" i="1"/>
  <c r="D145" i="1"/>
  <c r="D144" i="1"/>
  <c r="D143" i="1"/>
  <c r="D140" i="1"/>
  <c r="D138" i="1"/>
  <c r="D137" i="1"/>
  <c r="D136" i="1"/>
  <c r="D135" i="1"/>
  <c r="D134" i="1"/>
  <c r="D133" i="1"/>
  <c r="D132" i="1"/>
  <c r="D130" i="1"/>
  <c r="D128" i="1"/>
  <c r="D127" i="1"/>
  <c r="D126" i="1"/>
  <c r="D125" i="1"/>
  <c r="D124" i="1"/>
  <c r="D123" i="1"/>
  <c r="D122" i="1"/>
  <c r="D121" i="1"/>
  <c r="D120" i="1"/>
  <c r="E101" i="1" l="1"/>
  <c r="C101" i="1"/>
  <c r="I121" i="1"/>
  <c r="I120" i="1"/>
  <c r="F148" i="1" l="1"/>
  <c r="F147" i="1"/>
  <c r="F146" i="1"/>
  <c r="F145" i="1"/>
  <c r="F144" i="1"/>
  <c r="F143" i="1"/>
  <c r="F142" i="1"/>
  <c r="A141" i="1"/>
  <c r="A142" i="1" s="1"/>
  <c r="A143" i="1" s="1"/>
  <c r="A144" i="1" s="1"/>
  <c r="A145" i="1" s="1"/>
  <c r="A146" i="1" s="1"/>
  <c r="A147" i="1" s="1"/>
  <c r="A148" i="1" s="1"/>
  <c r="G140" i="1"/>
  <c r="F140" i="1"/>
  <c r="F138" i="1"/>
  <c r="F137" i="1"/>
  <c r="F136" i="1"/>
  <c r="F135" i="1"/>
  <c r="F134" i="1"/>
  <c r="F133" i="1"/>
  <c r="F132" i="1"/>
  <c r="A131" i="1"/>
  <c r="A132" i="1" s="1"/>
  <c r="A133" i="1" s="1"/>
  <c r="A134" i="1" s="1"/>
  <c r="A135" i="1" s="1"/>
  <c r="A136" i="1" s="1"/>
  <c r="A137" i="1" s="1"/>
  <c r="A138" i="1" s="1"/>
  <c r="G130" i="1"/>
  <c r="F130" i="1"/>
  <c r="F128" i="1" l="1"/>
  <c r="F127" i="1"/>
  <c r="F125" i="1"/>
  <c r="F124" i="1"/>
  <c r="F122" i="1"/>
  <c r="F121" i="1"/>
  <c r="L92" i="1" s="1"/>
  <c r="F120" i="1"/>
  <c r="F126" i="1"/>
  <c r="F123" i="1"/>
  <c r="A121" i="1"/>
  <c r="A122" i="1" s="1"/>
  <c r="A123" i="1" s="1"/>
  <c r="A124" i="1" s="1"/>
  <c r="A125" i="1" s="1"/>
  <c r="A126" i="1" s="1"/>
  <c r="A127" i="1" s="1"/>
  <c r="A128" i="1" s="1"/>
  <c r="G120" i="1"/>
  <c r="G101" i="1" l="1"/>
  <c r="J92" i="1"/>
  <c r="K92" i="1"/>
  <c r="L93" i="1"/>
  <c r="J93" i="1"/>
  <c r="Z12" i="1"/>
  <c r="I14" i="1"/>
  <c r="F110" i="1" l="1"/>
  <c r="G104" i="1" l="1"/>
  <c r="E104" i="1"/>
  <c r="C104" i="1"/>
  <c r="E43" i="1" l="1"/>
  <c r="E44" i="1" s="1"/>
  <c r="C15" i="1" l="1"/>
  <c r="E30" i="1" l="1"/>
  <c r="F93" i="1" l="1"/>
  <c r="F111" i="1" l="1"/>
  <c r="F112" i="1"/>
  <c r="F113" i="1"/>
  <c r="B151" i="1" l="1"/>
  <c r="B15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4" i="1"/>
  <c r="A111" i="1"/>
  <c r="A112" i="1" s="1"/>
  <c r="A113" i="1" s="1"/>
  <c r="G110" i="1"/>
  <c r="G111" i="1" s="1"/>
  <c r="G112" i="1" s="1"/>
  <c r="G113" i="1" s="1"/>
  <c r="C66" i="1"/>
  <c r="B67" i="1" s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<sst xmlns="http://schemas.openxmlformats.org/spreadsheetml/2006/main" count="410" uniqueCount="284">
  <si>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</si>
  <si>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</si>
  <si>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</si>
  <si>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</si>
  <si>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</si>
  <si>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</si>
  <si>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</si>
  <si>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</si>
  <si>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</si>
  <si>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</si>
  <si>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</si>
  <si>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</si>
  <si>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</si>
  <si>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</si>
  <si>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</si>
  <si>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</si>
  <si>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</si>
  <si>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</si>
  <si>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</si>
  <si>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</si>
  <si>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</si>
  <si>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</si>
  <si>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</si>
  <si>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</si>
  <si>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</si>
  <si>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</si>
  <si>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</si>
  <si>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</si>
  <si>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</si>
  <si>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</si>
  <si>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</si>
  <si>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</si>
  <si>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</si>
  <si>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</si>
  <si>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</si>
  <si>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</si>
  <si>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</si>
  <si>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</si>
  <si>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</si>
  <si>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</si>
  <si>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</si>
  <si>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</si>
  <si>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</si>
  <si>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</si>
  <si>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</si>
  <si>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</si>
  <si>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</si>
  <si>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</si>
  <si>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</si>
  <si>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</si>
  <si>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</si>
  <si>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</si>
  <si>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</si>
  <si>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</si>
  <si>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</si>
  <si>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</si>
  <si>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</si>
  <si>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</si>
  <si>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</si>
  <si>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</si>
  <si>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</si>
  <si>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</si>
  <si>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</si>
  <si>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</si>
  <si>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</si>
  <si>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</si>
  <si>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</si>
  <si>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</si>
  <si>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</si>
  <si>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</si>
  <si>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</si>
  <si>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</si>
  <si>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</si>
  <si>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</si>
  <si>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</si>
  <si>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</si>
  <si>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</si>
  <si>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</si>
  <si>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</si>
  <si>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</si>
  <si>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</si>
  <si>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</si>
  <si>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</si>
  <si>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</si>
  <si>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</si>
  <si>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</si>
  <si>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</si>
  <si>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</si>
  <si>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</si>
  <si>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</si>
  <si>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</si>
  <si>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</si>
  <si>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</si>
  <si>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</si>
  <si>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</si>
  <si>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</si>
  <si>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</si>
  <si>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</si>
  <si>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</si>
  <si>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</si>
  <si>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</si>
  <si>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</si>
  <si>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</si>
  <si>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</si>
  <si>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</si>
  <si>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</si>
  <si>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</si>
  <si>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</si>
  <si>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</si>
  <si>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</si>
  <si>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</si>
  <si>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</si>
  <si>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</si>
  <si>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</si>
  <si>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</si>
  <si>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</si>
  <si>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</si>
  <si>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</si>
  <si>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</si>
  <si>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</si>
  <si>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</si>
  <si>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</si>
  <si>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</si>
  <si>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</si>
  <si>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</si>
  <si>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</si>
  <si>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</si>
  <si>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</si>
  <si>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</si>
  <si>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</si>
  <si>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</si>
  <si>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</si>
  <si>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</si>
  <si>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</si>
  <si>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</si>
  <si>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</si>
  <si>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</si>
  <si>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</si>
  <si>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</si>
  <si>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</si>
  <si>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</si>
  <si>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</si>
  <si>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</si>
  <si>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</si>
  <si>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</si>
  <si>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</si>
  <si>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</si>
  <si>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</si>
  <si>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</si>
  <si>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</si>
  <si>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</si>
  <si>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</si>
  <si>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</si>
  <si>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</si>
  <si>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</si>
  <si>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</si>
  <si>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</si>
  <si>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</si>
  <si>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</si>
  <si>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</si>
  <si>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</si>
  <si>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</si>
  <si>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</si>
  <si>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</si>
  <si>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</si>
  <si>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</si>
  <si>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</si>
  <si>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</si>
  <si>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</si>
  <si>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</si>
  <si>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</si>
  <si>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</si>
  <si>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</si>
  <si>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</si>
  <si>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</si>
  <si>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</si>
  <si>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</si>
  <si>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>Floor Rise Rate from    Floor</t>
  </si>
  <si>
    <t>CTS No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</si>
  <si>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</si>
  <si>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</si>
  <si>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</si>
  <si>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</si>
  <si>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</si>
  <si>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</si>
  <si>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</si>
  <si>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</si>
  <si>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</si>
  <si>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</si>
  <si>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</si>
  <si>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</si>
  <si>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</si>
  <si>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</si>
  <si>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</si>
  <si>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</si>
  <si>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</si>
  <si>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</si>
  <si>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</si>
  <si>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</si>
  <si>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</si>
  <si>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</si>
  <si>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</si>
  <si>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</si>
  <si>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</si>
  <si>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</si>
  <si>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</si>
  <si>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</si>
  <si>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</si>
  <si>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</si>
  <si>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</si>
  <si>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</si>
  <si>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</si>
  <si>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</si>
  <si>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</si>
  <si>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</si>
  <si>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</si>
  <si>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</si>
  <si>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</si>
  <si>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</si>
  <si>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</si>
  <si>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</si>
  <si>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</si>
  <si>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</si>
  <si>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</si>
  <si>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</si>
  <si>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</si>
  <si>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</si>
  <si>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</si>
  <si>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</si>
  <si>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</si>
  <si>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</si>
  <si>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</si>
  <si>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</si>
  <si>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</si>
  <si>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Varadvinayak Developers</t>
  </si>
  <si>
    <t>Siddhivinayak Aura Building - 1</t>
  </si>
  <si>
    <t>P51700050502</t>
  </si>
  <si>
    <t>9769948909 / 9321752094</t>
  </si>
  <si>
    <t>Building No. 1</t>
  </si>
  <si>
    <t>As per RERA - 31/05/2029</t>
  </si>
  <si>
    <t>3542/B, 3602/B &amp; 3758/B</t>
  </si>
  <si>
    <t>Mira-Bhayandar Municipal Corporation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</si>
  <si>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</si>
  <si>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Details of Residential in Building   </t>
  </si>
  <si>
    <t>Building No.1</t>
  </si>
  <si>
    <t>Construction work is in process at the time of Visit.</t>
  </si>
  <si>
    <t>We considered Gross carpet area = Net carpet + Enclose balcony.</t>
  </si>
  <si>
    <t>Vitrified Tiles Flooring, Entrance Lobby, Kitchen Platform</t>
  </si>
  <si>
    <t>3.6KM from Dahisar Railway Station</t>
  </si>
  <si>
    <t>Dahisar East</t>
  </si>
  <si>
    <t>Internal Road</t>
  </si>
  <si>
    <t>Salasar Anand</t>
  </si>
  <si>
    <t>Open Plot &amp; Nalla</t>
  </si>
  <si>
    <t>Chawl</t>
  </si>
  <si>
    <t>30m wide Road</t>
  </si>
  <si>
    <t>15m wide Road</t>
  </si>
  <si>
    <t xml:space="preserve">Open Plot </t>
  </si>
  <si>
    <t>19.26502335,72.8791825</t>
  </si>
  <si>
    <t>https://maps.app.goo.gl/wXQSvo9hubxZTPLb8</t>
  </si>
  <si>
    <t>but as per mis above 10000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</si>
  <si>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</si>
  <si>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Nalla is adjacent to the project on West side of building @20m.</t>
  </si>
  <si>
    <t>visitor</t>
  </si>
  <si>
    <t>as per market &amp; visitor max 9000</t>
  </si>
  <si>
    <t>Salasar Anand Building</t>
  </si>
  <si>
    <t>Mire</t>
  </si>
  <si>
    <t>Mahajanwadi</t>
  </si>
  <si>
    <t>MBMC/RB/2023/APL/00007</t>
  </si>
  <si>
    <t>Bulding No.1 = Gr + 1st to 21st Floor</t>
  </si>
  <si>
    <t>Bulding No.1 = Gr + 1st to 30th Floor</t>
  </si>
  <si>
    <t>Ground Floor For Entrance Lobby &amp; Parking</t>
  </si>
  <si>
    <t>1st to 5th, 7th to 10th, 12th to 15th, 17th to 20th Floor</t>
  </si>
  <si>
    <t>2BHK</t>
  </si>
  <si>
    <t>1BHK</t>
  </si>
  <si>
    <t>Refuge Area</t>
  </si>
  <si>
    <t>6th, 11th, 16th Floor (Part Refuge Area)</t>
  </si>
  <si>
    <t>21st Floor (Part Refuge Area, Society Office &amp; Driver Room</t>
  </si>
  <si>
    <t>Society Office &amp; Driver Room</t>
  </si>
  <si>
    <t>Flats - 184</t>
  </si>
  <si>
    <t>We have updated CC &amp; Approved Floor Plan (on 09/01/2024)</t>
  </si>
  <si>
    <t>Mr.Ankur : 9619956286</t>
  </si>
  <si>
    <t>Rahul Salve</t>
  </si>
  <si>
    <t>Pranita Mhatre</t>
  </si>
  <si>
    <t>Construction work is goes beyond approved CC permission &amp; floor plans, Provide revised approved plans &amp;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</si>
</sst>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5" xfId="0" applyFont="1" applyFill="1" applyBorder="1"/>
    <xf numFmtId="0" fontId="25" fillId="0" borderId="26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31" xfId="1" applyFont="1" applyBorder="1" applyAlignment="1" applyProtection="1">
      <alignment horizontal="center" vertical="top" wrapText="1"/>
      <protection locked="0"/>
    </xf>
    <xf numFmtId="9" fontId="7" fillId="0" borderId="31" xfId="8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7" fillId="0" borderId="30" xfId="1" applyFont="1" applyBorder="1" applyAlignment="1" applyProtection="1">
      <alignment horizontal="center" vertical="top" wrapText="1"/>
      <protection locked="0"/>
    </xf>
    <xf numFmtId="0" fontId="7" fillId="0" borderId="31" xfId="1" applyFont="1" applyBorder="1" applyAlignment="1" applyProtection="1">
      <alignment horizontal="center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" fontId="8" fillId="0" borderId="29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6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32" xfId="8" applyFont="1" applyFill="1" applyBorder="1" applyAlignment="1" applyProtection="1">
      <alignment horizontal="center" vertical="center" wrapText="1"/>
      <protection locked="0"/>
    </xf>
    <xf numFmtId="9" fontId="7" fillId="0" borderId="3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7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69" fontId="6" fillId="0" borderId="5" xfId="1" applyNumberFormat="1" applyFont="1" applyBorder="1" applyAlignment="1" applyProtection="1">
      <alignment horizontal="center" vertical="center" wrapText="1"/>
      <protection locked="0"/>
    </xf>
    <xf numFmtId="169" fontId="6" fillId="0" borderId="18" xfId="1" applyNumberFormat="1" applyFont="1" applyBorder="1" applyAlignment="1" applyProtection="1">
      <alignment horizontal="center" vertical="center" wrapText="1"/>
      <protection locked="0"/>
    </xf>
    <xf numFmtId="169" fontId="6" fillId="0" borderId="6" xfId="1" applyNumberFormat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14" fontId="7" fillId="0" borderId="5" xfId="1" applyNumberFormat="1" applyFont="1" applyBorder="1" applyAlignment="1" applyProtection="1">
      <alignment horizontal="left" vertical="top" wrapText="1"/>
      <protection locked="0"/>
    </xf>
    <xf numFmtId="14" fontId="7" fillId="0" borderId="6" xfId="1" applyNumberFormat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10" fillId="0" borderId="18" xfId="1" applyFont="1" applyBorder="1" applyAlignment="1" applyProtection="1">
      <alignment horizontal="left" vertical="top" wrapText="1"/>
      <protection locked="0"/>
    </xf>
    <xf numFmtId="0" fontId="10" fillId="0" borderId="6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10" fillId="0" borderId="5" xfId="1" applyFont="1" applyBorder="1" applyAlignment="1" applyProtection="1">
      <alignment horizontal="left" vertical="top"/>
      <protection locked="0"/>
    </xf>
    <xf numFmtId="0" fontId="10" fillId="0" borderId="6" xfId="1" applyFont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658092</xdr:colOff>
      <xdr:row>214</xdr:row>
      <xdr:rowOff>147205</xdr:rowOff>
    </xdr:from>
    <xdr:to>
      <xdr:col>7</xdr:col>
      <xdr:colOff>26387</xdr:colOff>
      <xdr:row>240</xdr:row>
      <xdr:rowOff>130353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8092" y="35952546"/>
          <a:ext cx="5040000" cy="516128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543138</xdr:colOff>
      <xdr:row>241</xdr:row>
      <xdr:rowOff>16847</xdr:rowOff>
    </xdr:from>
    <xdr:to>
      <xdr:col>5</xdr:col>
      <xdr:colOff>163728</xdr:colOff>
      <xdr:row>254</xdr:row>
      <xdr:rowOff>44451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1438" y="44301747"/>
          <a:ext cx="2319340" cy="25866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329046</xdr:colOff>
      <xdr:row>256</xdr:row>
      <xdr:rowOff>164523</xdr:rowOff>
    </xdr:from>
    <xdr:to>
      <xdr:col>7</xdr:col>
      <xdr:colOff>415636</xdr:colOff>
      <xdr:row>274</xdr:row>
      <xdr:rowOff>155863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30" b="7015"/>
        <a:stretch/>
      </xdr:blipFill>
      <xdr:spPr>
        <a:xfrm>
          <a:off x="329046" y="44732864"/>
          <a:ext cx="5758295" cy="35762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329046</xdr:colOff>
      <xdr:row>275</xdr:row>
      <xdr:rowOff>94847</xdr:rowOff>
    </xdr:from>
    <xdr:to>
      <xdr:col>7</xdr:col>
      <xdr:colOff>417341</xdr:colOff>
      <xdr:row>296</xdr:row>
      <xdr:rowOff>144781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9046" y="51339347"/>
          <a:ext cx="5917595" cy="42104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710045</xdr:colOff>
      <xdr:row>230</xdr:row>
      <xdr:rowOff>17319</xdr:rowOff>
    </xdr:from>
    <xdr:to>
      <xdr:col>7</xdr:col>
      <xdr:colOff>17317</xdr:colOff>
      <xdr:row>238</xdr:row>
      <xdr:rowOff>34637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710045" y="39009205"/>
          <a:ext cx="4978977" cy="1610591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689264</xdr:colOff>
      <xdr:row>228</xdr:row>
      <xdr:rowOff>22513</xdr:rowOff>
    </xdr:from>
    <xdr:to>
      <xdr:col>6</xdr:col>
      <xdr:colOff>758536</xdr:colOff>
      <xdr:row>236</xdr:row>
      <xdr:rowOff>39831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689264" y="38616081"/>
          <a:ext cx="4978977" cy="1610591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216478</xdr:colOff>
      <xdr:row>285</xdr:row>
      <xdr:rowOff>147205</xdr:rowOff>
    </xdr:from>
    <xdr:to>
      <xdr:col>3</xdr:col>
      <xdr:colOff>303069</xdr:colOff>
      <xdr:row>296</xdr:row>
      <xdr:rowOff>95250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775114" y="50491160"/>
          <a:ext cx="935182" cy="2138795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432955</xdr:colOff>
      <xdr:row>285</xdr:row>
      <xdr:rowOff>164521</xdr:rowOff>
    </xdr:from>
    <xdr:to>
      <xdr:col>3</xdr:col>
      <xdr:colOff>467591</xdr:colOff>
      <xdr:row>295</xdr:row>
      <xdr:rowOff>77932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991591" y="50508476"/>
          <a:ext cx="883227" cy="1905001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356656</xdr:colOff>
      <xdr:row>289</xdr:row>
      <xdr:rowOff>105710</xdr:rowOff>
    </xdr:from>
    <xdr:ext cx="264560" cy="48609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rot="3775034">
          <a:off x="1804524" y="51357069"/>
          <a:ext cx="486095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Nalla</a:t>
          </a:r>
        </a:p>
      </xdr:txBody>
    </xdr:sp>
    <xdr:clientData/>
  </xdr:oneCellAnchor>
  <xdr:twoCellAnchor>
    <xdr:from>
      <xdr:col>2</xdr:col>
      <xdr:colOff>808784</xdr:colOff>
      <xdr:row>285</xdr:row>
      <xdr:rowOff>32434</xdr:rowOff>
    </xdr:from>
    <xdr:to>
      <xdr:col>4</xdr:col>
      <xdr:colOff>32687</xdr:colOff>
      <xdr:row>288</xdr:row>
      <xdr:rowOff>167154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19833986">
          <a:off x="2367420" y="50376389"/>
          <a:ext cx="1016335" cy="73219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2</xdr:col>
      <xdr:colOff>504028</xdr:colOff>
      <xdr:row>233</xdr:row>
      <xdr:rowOff>50154</xdr:rowOff>
    </xdr:from>
    <xdr:ext cx="486095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rot="1023245">
          <a:off x="2062664" y="39639518"/>
          <a:ext cx="486095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Nalla</a:t>
          </a:r>
        </a:p>
      </xdr:txBody>
    </xdr:sp>
    <xdr:clientData/>
  </xdr:oneCellAnchor>
  <xdr:twoCellAnchor editAs="oneCell">
    <xdr:from>
      <xdr:col>11</xdr:col>
      <xdr:colOff>168089</xdr:colOff>
      <xdr:row>50</xdr:row>
      <xdr:rowOff>1</xdr:rowOff>
    </xdr:from>
    <xdr:to>
      <xdr:col>15</xdr:col>
      <xdr:colOff>751355</xdr:colOff>
      <xdr:row>73</xdr:row>
      <xdr:rowOff>72615</xdr:rowOff>
    </xdr:to>
    <xdr:pic>
      <xdr:nvPicPr>
        <xdr:cNvPr id="18" name="Picture 17" descr="Gallery Cover Pic of Varadvinayak Siddhivinayak Aura Building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1317942"/>
          <a:ext cx="3586443" cy="516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518160</xdr:colOff>
      <xdr:row>172</xdr:row>
      <xdr:rowOff>106680</xdr:rowOff>
    </xdr:from>
    <xdr:to>
      <xdr:col>18</xdr:col>
      <xdr:colOff>75785</xdr:colOff>
      <xdr:row>208</xdr:row>
      <xdr:rowOff>181980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3F0E4C86-4F5B-1760-6F3C-26AB0961F125}"/>
            </a:ext>
          </a:extLst>
        </xdr:cNvPr>
        <xdr:cNvGrpSpPr/>
      </xdr:nvGrpSpPr>
      <xdr:grpSpPr>
        <a:xfrm>
          <a:off x="8267700" y="31432500"/>
          <a:ext cx="6194645" cy="7200000"/>
          <a:chOff x="357459" y="280307"/>
          <a:chExt cx="6194645" cy="7200000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A5A38E81-E322-3004-A90C-35956DC4834F}"/>
              </a:ext>
            </a:extLst>
          </xdr:cNvPr>
          <xdr:cNvGrpSpPr/>
        </xdr:nvGrpSpPr>
        <xdr:grpSpPr>
          <a:xfrm>
            <a:off x="357459" y="5680307"/>
            <a:ext cx="6194645" cy="1800000"/>
            <a:chOff x="357459" y="5680307"/>
            <a:chExt cx="6194645" cy="180000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9CD6D3AF-DB96-994F-6365-DDE211E4D47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6365" r="9934"/>
            <a:stretch/>
          </xdr:blipFill>
          <xdr:spPr>
            <a:xfrm>
              <a:off x="357459" y="5680307"/>
              <a:ext cx="1998617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76AE7BAF-9A1E-6E35-857A-0C6F90B54B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39218"/>
            <a:stretch/>
          </xdr:blipFill>
          <xdr:spPr>
            <a:xfrm>
              <a:off x="2531817" y="5680307"/>
              <a:ext cx="1456723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2819A96E-5D65-111B-DFAF-B99704A93E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64281" y="5680307"/>
              <a:ext cx="2387823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2236A66A-A54B-FA89-2E1C-8E249CCE9147}"/>
              </a:ext>
            </a:extLst>
          </xdr:cNvPr>
          <xdr:cNvGrpSpPr/>
        </xdr:nvGrpSpPr>
        <xdr:grpSpPr>
          <a:xfrm>
            <a:off x="452413" y="280307"/>
            <a:ext cx="6004736" cy="5220000"/>
            <a:chOff x="357459" y="280307"/>
            <a:chExt cx="6004736" cy="522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B8EA0A5-0212-8336-716E-A98203D8A7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66923" y="280307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286AE924-BEB8-E567-BF0C-B33D7E1F60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7459" y="280307"/>
              <a:ext cx="3925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2462DD4B-6A03-D32A-B97B-C91D138831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66923" y="2980307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464820</xdr:colOff>
      <xdr:row>174</xdr:row>
      <xdr:rowOff>83820</xdr:rowOff>
    </xdr:from>
    <xdr:to>
      <xdr:col>7</xdr:col>
      <xdr:colOff>228600</xdr:colOff>
      <xdr:row>212</xdr:row>
      <xdr:rowOff>99060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4A5C5DAF-6A54-1F6A-7473-54AC215FF6BC}"/>
            </a:ext>
          </a:extLst>
        </xdr:cNvPr>
        <xdr:cNvGrpSpPr/>
      </xdr:nvGrpSpPr>
      <xdr:grpSpPr>
        <a:xfrm>
          <a:off x="464820" y="31805880"/>
          <a:ext cx="5593080" cy="7536180"/>
          <a:chOff x="480107" y="732291"/>
          <a:chExt cx="5365230" cy="7523364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AA813605-A0E5-58D6-A997-CDE892A7B4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5596" y="6704169"/>
            <a:ext cx="2058152" cy="15514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8A6D5791-2D80-BB0A-9315-15D3A95E1D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5249" y="4379866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4C9D038F-AE40-85E2-043C-6753FD5448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5596" y="732291"/>
            <a:ext cx="2619741" cy="348327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CAAF234A-1181-D4B0-50AD-DADFD02C84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107" y="732291"/>
            <a:ext cx="2619741" cy="348327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DEFC9521-89F8-E762-8339-E9AF0165D5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04819" y="4379866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C0F0B032-9624-EF2B-D5B0-CF0B20299E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1222" y="6704169"/>
            <a:ext cx="2065775" cy="15514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100348</xdr:colOff>
      <xdr:row>53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15</xdr:col>
      <xdr:colOff>100348</xdr:colOff>
      <xdr:row>93</xdr:row>
      <xdr:rowOff>75286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10488706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15</xdr:col>
      <xdr:colOff>100348</xdr:colOff>
      <xdr:row>133</xdr:row>
      <xdr:rowOff>75286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706" y="18108706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15</xdr:col>
      <xdr:colOff>100348</xdr:colOff>
      <xdr:row>173</xdr:row>
      <xdr:rowOff>75286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2706" y="25728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wXQSvo9hubxZTPLb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56"/>
  <sheetViews>
    <sheetView tabSelected="1" view="pageBreakPreview" topLeftCell="A105" zoomScaleNormal="100" zoomScaleSheetLayoutView="100" zoomScalePageLayoutView="85" workbookViewId="0">
      <selection activeCell="I123" sqref="I123:J123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6" width="11.6640625" style="39" customWidth="1"/>
    <col min="7" max="7" width="11.44140625" style="39" customWidth="1"/>
    <col min="8" max="8" width="10.554687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26" ht="46.5" customHeight="1" x14ac:dyDescent="0.3">
      <c r="A1" s="137" t="s">
        <v>260</v>
      </c>
      <c r="B1" s="137"/>
      <c r="C1" s="137"/>
      <c r="D1" s="137"/>
      <c r="E1" s="137"/>
      <c r="F1" s="137"/>
      <c r="G1" s="137"/>
      <c r="H1" s="137"/>
    </row>
    <row r="2" spans="1:26" ht="16.5" customHeight="1" x14ac:dyDescent="0.3">
      <c r="A2" s="98" t="s">
        <v>0</v>
      </c>
      <c r="B2" s="98"/>
      <c r="C2" s="98"/>
      <c r="D2" s="98"/>
      <c r="E2" s="98"/>
      <c r="F2" s="98"/>
      <c r="G2" s="98"/>
      <c r="H2" s="98"/>
    </row>
    <row r="3" spans="1:26" x14ac:dyDescent="0.3">
      <c r="A3" s="90" t="s">
        <v>1</v>
      </c>
      <c r="B3" s="90"/>
      <c r="C3" s="90"/>
      <c r="D3" s="90"/>
      <c r="E3" s="90" t="str">
        <f ca="1">TEXT(TODAY(),"DD/MM/YYYY")</f>
        <v>11/07/2025</v>
      </c>
      <c r="F3" s="90"/>
      <c r="G3" s="90"/>
      <c r="H3" s="90"/>
    </row>
    <row r="4" spans="1:26" ht="15" customHeight="1" x14ac:dyDescent="0.3">
      <c r="A4" s="90" t="s">
        <v>2</v>
      </c>
      <c r="B4" s="90"/>
      <c r="C4" s="90"/>
      <c r="D4" s="90"/>
      <c r="E4" s="90" t="s">
        <v>173</v>
      </c>
      <c r="F4" s="90"/>
      <c r="G4" s="90"/>
      <c r="H4" s="90"/>
    </row>
    <row r="5" spans="1:26" x14ac:dyDescent="0.3">
      <c r="A5" s="90" t="s">
        <v>3</v>
      </c>
      <c r="B5" s="90"/>
      <c r="C5" s="90"/>
      <c r="D5" s="90"/>
      <c r="E5" s="139">
        <v>45848</v>
      </c>
      <c r="F5" s="90"/>
      <c r="G5" s="90"/>
      <c r="H5" s="90"/>
    </row>
    <row r="6" spans="1:26" ht="16.5" customHeight="1" x14ac:dyDescent="0.3">
      <c r="A6" s="90" t="s">
        <v>4</v>
      </c>
      <c r="B6" s="90"/>
      <c r="C6" s="90"/>
      <c r="D6" s="90"/>
      <c r="E6" s="90" t="s">
        <v>234</v>
      </c>
      <c r="F6" s="90"/>
      <c r="G6" s="90"/>
      <c r="H6" s="90"/>
    </row>
    <row r="7" spans="1:26" ht="15" customHeight="1" x14ac:dyDescent="0.3">
      <c r="A7" s="90" t="s">
        <v>5</v>
      </c>
      <c r="B7" s="90"/>
      <c r="C7" s="90"/>
      <c r="D7" s="90"/>
      <c r="E7" s="90" t="str">
        <f>E6</f>
        <v>Varadvinayak Developers</v>
      </c>
      <c r="F7" s="90"/>
      <c r="G7" s="90"/>
      <c r="H7" s="90"/>
    </row>
    <row r="8" spans="1:26" x14ac:dyDescent="0.3">
      <c r="A8" s="90" t="s">
        <v>6</v>
      </c>
      <c r="B8" s="90"/>
      <c r="C8" s="90"/>
      <c r="D8" s="90"/>
      <c r="E8" s="138" t="s">
        <v>235</v>
      </c>
      <c r="F8" s="138"/>
      <c r="G8" s="138"/>
      <c r="H8" s="138"/>
    </row>
    <row r="9" spans="1:26" x14ac:dyDescent="0.3">
      <c r="A9" s="90" t="s">
        <v>170</v>
      </c>
      <c r="B9" s="90"/>
      <c r="C9" s="90"/>
      <c r="D9" s="90"/>
      <c r="E9" s="90" t="s">
        <v>237</v>
      </c>
      <c r="F9" s="90"/>
      <c r="G9" s="90"/>
      <c r="H9" s="90"/>
    </row>
    <row r="10" spans="1:26" x14ac:dyDescent="0.3">
      <c r="A10" s="90" t="s">
        <v>171</v>
      </c>
      <c r="B10" s="90"/>
      <c r="C10" s="90"/>
      <c r="D10" s="90"/>
      <c r="E10" s="90" t="s">
        <v>280</v>
      </c>
      <c r="F10" s="90"/>
      <c r="G10" s="90"/>
      <c r="H10" s="90"/>
    </row>
    <row r="11" spans="1:26" x14ac:dyDescent="0.3">
      <c r="A11" s="90" t="s">
        <v>7</v>
      </c>
      <c r="B11" s="90"/>
      <c r="C11" s="90"/>
      <c r="D11" s="90"/>
      <c r="E11" s="90" t="s">
        <v>238</v>
      </c>
      <c r="F11" s="90"/>
      <c r="G11" s="90"/>
      <c r="H11" s="90"/>
    </row>
    <row r="12" spans="1:26" x14ac:dyDescent="0.3">
      <c r="A12" s="90" t="s">
        <v>174</v>
      </c>
      <c r="B12" s="90"/>
      <c r="C12" s="90"/>
      <c r="D12" s="90"/>
      <c r="E12" s="90" t="s">
        <v>29</v>
      </c>
      <c r="F12" s="90"/>
      <c r="G12" s="90"/>
      <c r="H12" s="90"/>
      <c r="S12" s="50" t="s">
        <v>181</v>
      </c>
      <c r="T12" s="50" t="s">
        <v>191</v>
      </c>
      <c r="U12" s="50" t="s">
        <v>175</v>
      </c>
      <c r="V12" s="50" t="s">
        <v>196</v>
      </c>
      <c r="W12" s="50" t="s">
        <v>214</v>
      </c>
      <c r="X12"/>
      <c r="Y12" t="s">
        <v>196</v>
      </c>
      <c r="Z12" t="e">
        <f ca="1">OFFSET($S$12,1,MATCH($G19,$S$12:$W$12,0)-1,15,1)</f>
        <v>#VALUE!</v>
      </c>
    </row>
    <row r="13" spans="1:26" x14ac:dyDescent="0.3">
      <c r="A13" s="75" t="s">
        <v>8</v>
      </c>
      <c r="B13" s="75"/>
      <c r="C13" s="75"/>
      <c r="D13" s="75"/>
      <c r="E13" s="94" t="s">
        <v>229</v>
      </c>
      <c r="F13" s="94"/>
      <c r="G13" s="94"/>
      <c r="H13" s="94"/>
      <c r="S13" s="50" t="s">
        <v>182</v>
      </c>
      <c r="T13" s="50" t="s">
        <v>189</v>
      </c>
      <c r="U13" s="50" t="s">
        <v>211</v>
      </c>
      <c r="V13" s="50" t="s">
        <v>197</v>
      </c>
      <c r="W13" s="50" t="s">
        <v>215</v>
      </c>
      <c r="X13"/>
      <c r="Y13"/>
      <c r="Z13"/>
    </row>
    <row r="14" spans="1:26" x14ac:dyDescent="0.3">
      <c r="A14" s="75" t="s">
        <v>9</v>
      </c>
      <c r="B14" s="75"/>
      <c r="C14" s="75"/>
      <c r="D14" s="75"/>
      <c r="E14" s="94" t="s">
        <v>236</v>
      </c>
      <c r="F14" s="90"/>
      <c r="G14" s="90"/>
      <c r="H14" s="90"/>
      <c r="I14" s="96" t="e">
        <f ca="1">OFFSET($D$4,1,MATCH($J12,$D$4:$H$4,0)-1,15,1)</f>
        <v>#N/A</v>
      </c>
      <c r="J14" s="97"/>
      <c r="K14" s="97"/>
      <c r="L14" s="97"/>
      <c r="M14" s="97"/>
      <c r="N14" s="97"/>
      <c r="O14" s="97"/>
      <c r="P14" s="97"/>
      <c r="S14" s="50" t="s">
        <v>183</v>
      </c>
      <c r="T14" s="50" t="s">
        <v>190</v>
      </c>
      <c r="U14" s="50" t="s">
        <v>212</v>
      </c>
      <c r="V14" s="50" t="s">
        <v>198</v>
      </c>
      <c r="W14" s="50" t="s">
        <v>228</v>
      </c>
      <c r="X14"/>
      <c r="Y14"/>
      <c r="Z14"/>
    </row>
    <row r="15" spans="1:26" ht="48.75" customHeight="1" x14ac:dyDescent="0.3">
      <c r="A15" s="57" t="s">
        <v>10</v>
      </c>
      <c r="B15" s="57"/>
      <c r="C15" s="5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Siddhivinayak Aura Building - 1, CTS No.3542/B, 3602/B &amp; 3758/B, near Salasar Anand Building, Internal Road, Mahajanwadi, Mire, Dahisar East, Thane, Thane  - 401107.</v>
      </c>
      <c r="D15" s="57"/>
      <c r="E15" s="57"/>
      <c r="F15" s="57"/>
      <c r="G15" s="57"/>
      <c r="H15" s="57"/>
      <c r="S15" s="50" t="s">
        <v>184</v>
      </c>
      <c r="T15" s="50" t="s">
        <v>192</v>
      </c>
      <c r="U15" s="50" t="s">
        <v>213</v>
      </c>
      <c r="V15" s="50" t="s">
        <v>199</v>
      </c>
      <c r="W15" s="50" t="s">
        <v>216</v>
      </c>
      <c r="X15"/>
      <c r="Y15"/>
      <c r="Z15"/>
    </row>
    <row r="16" spans="1:26" x14ac:dyDescent="0.3">
      <c r="A16" s="94" t="s">
        <v>178</v>
      </c>
      <c r="B16" s="94"/>
      <c r="C16" s="94" t="s">
        <v>240</v>
      </c>
      <c r="D16" s="94"/>
      <c r="E16" s="94"/>
      <c r="F16" s="94"/>
      <c r="G16" s="94"/>
      <c r="H16" s="94"/>
      <c r="S16" s="50" t="s">
        <v>185</v>
      </c>
      <c r="T16" s="50" t="s">
        <v>193</v>
      </c>
      <c r="U16" s="50"/>
      <c r="V16" s="50" t="s">
        <v>200</v>
      </c>
      <c r="W16" s="50" t="s">
        <v>217</v>
      </c>
      <c r="X16"/>
      <c r="Y16"/>
      <c r="Z16"/>
    </row>
    <row r="17" spans="1:26" ht="15.75" customHeight="1" x14ac:dyDescent="0.3">
      <c r="A17" s="94" t="s">
        <v>166</v>
      </c>
      <c r="B17" s="94"/>
      <c r="C17" s="94" t="s">
        <v>266</v>
      </c>
      <c r="D17" s="94"/>
      <c r="E17" s="94"/>
      <c r="F17" s="94"/>
      <c r="G17" s="94"/>
      <c r="H17" s="94"/>
      <c r="S17" s="50" t="s">
        <v>186</v>
      </c>
      <c r="T17" s="50" t="s">
        <v>191</v>
      </c>
      <c r="U17" s="50"/>
      <c r="V17" s="50" t="s">
        <v>201</v>
      </c>
      <c r="W17" s="50" t="s">
        <v>218</v>
      </c>
      <c r="X17"/>
      <c r="Y17"/>
      <c r="Z17"/>
    </row>
    <row r="18" spans="1:26" ht="15.75" customHeight="1" x14ac:dyDescent="0.3">
      <c r="A18" s="94" t="s">
        <v>11</v>
      </c>
      <c r="B18" s="94"/>
      <c r="C18" s="90" t="s">
        <v>250</v>
      </c>
      <c r="D18" s="90"/>
      <c r="E18" s="94" t="s">
        <v>73</v>
      </c>
      <c r="F18" s="94"/>
      <c r="G18" s="94" t="s">
        <v>265</v>
      </c>
      <c r="H18" s="94"/>
      <c r="S18" s="50" t="s">
        <v>187</v>
      </c>
      <c r="T18" s="50" t="s">
        <v>194</v>
      </c>
      <c r="U18" s="50"/>
      <c r="V18" s="50" t="s">
        <v>202</v>
      </c>
      <c r="W18" s="50" t="s">
        <v>219</v>
      </c>
      <c r="X18"/>
      <c r="Y18"/>
      <c r="Z18"/>
    </row>
    <row r="19" spans="1:26" x14ac:dyDescent="0.3">
      <c r="A19" s="90" t="s">
        <v>13</v>
      </c>
      <c r="B19" s="90"/>
      <c r="C19" s="94" t="s">
        <v>249</v>
      </c>
      <c r="D19" s="94"/>
      <c r="E19" s="94" t="s">
        <v>12</v>
      </c>
      <c r="F19" s="94"/>
      <c r="G19" s="106" t="s">
        <v>181</v>
      </c>
      <c r="H19" s="106"/>
      <c r="S19" s="50" t="s">
        <v>188</v>
      </c>
      <c r="T19" s="50" t="s">
        <v>195</v>
      </c>
      <c r="U19" s="50"/>
      <c r="V19" s="50" t="s">
        <v>203</v>
      </c>
      <c r="W19" s="50" t="s">
        <v>220</v>
      </c>
      <c r="X19"/>
      <c r="Y19"/>
      <c r="Z19"/>
    </row>
    <row r="20" spans="1:26" x14ac:dyDescent="0.3">
      <c r="A20" s="90" t="s">
        <v>74</v>
      </c>
      <c r="B20" s="90"/>
      <c r="C20" s="94" t="s">
        <v>182</v>
      </c>
      <c r="D20" s="94"/>
      <c r="E20" s="94" t="s">
        <v>14</v>
      </c>
      <c r="F20" s="94"/>
      <c r="G20" s="94">
        <v>401107</v>
      </c>
      <c r="H20" s="94"/>
      <c r="S20" s="50"/>
      <c r="T20" s="50"/>
      <c r="U20" s="50"/>
      <c r="V20" s="50" t="s">
        <v>204</v>
      </c>
      <c r="W20" s="50" t="s">
        <v>221</v>
      </c>
      <c r="X20"/>
      <c r="Y20"/>
      <c r="Z20"/>
    </row>
    <row r="21" spans="1:26" ht="32.25" customHeight="1" x14ac:dyDescent="0.3">
      <c r="A21" s="90" t="s">
        <v>124</v>
      </c>
      <c r="B21" s="90"/>
      <c r="C21" s="94" t="s">
        <v>264</v>
      </c>
      <c r="D21" s="94"/>
      <c r="E21" s="94" t="s">
        <v>15</v>
      </c>
      <c r="F21" s="94"/>
      <c r="G21" s="94" t="s">
        <v>248</v>
      </c>
      <c r="H21" s="94"/>
      <c r="S21" s="50"/>
      <c r="T21" s="50"/>
      <c r="U21" s="50"/>
      <c r="V21" s="50" t="s">
        <v>205</v>
      </c>
      <c r="W21" s="50" t="s">
        <v>222</v>
      </c>
      <c r="X21"/>
      <c r="Y21"/>
      <c r="Z21"/>
    </row>
    <row r="22" spans="1:26" ht="15" customHeight="1" x14ac:dyDescent="0.3">
      <c r="A22" s="57" t="s">
        <v>76</v>
      </c>
      <c r="B22" s="57"/>
      <c r="C22" s="57"/>
      <c r="D22" s="57"/>
      <c r="E22" s="90" t="s">
        <v>16</v>
      </c>
      <c r="F22" s="90"/>
      <c r="G22" s="90"/>
      <c r="H22" s="90"/>
      <c r="S22" s="50"/>
      <c r="T22" s="50"/>
      <c r="U22" s="50"/>
      <c r="V22" s="50" t="s">
        <v>206</v>
      </c>
      <c r="W22" s="50" t="s">
        <v>223</v>
      </c>
      <c r="X22"/>
      <c r="Y22"/>
      <c r="Z22"/>
    </row>
    <row r="23" spans="1:26" ht="18.75" customHeight="1" x14ac:dyDescent="0.3">
      <c r="A23" s="57"/>
      <c r="B23" s="57"/>
      <c r="C23" s="57"/>
      <c r="D23" s="57"/>
      <c r="E23" s="90"/>
      <c r="F23" s="90"/>
      <c r="G23" s="90"/>
      <c r="H23" s="90"/>
      <c r="S23" s="50"/>
      <c r="T23" s="50"/>
      <c r="U23" s="50"/>
      <c r="V23" s="50" t="s">
        <v>207</v>
      </c>
      <c r="W23" s="50" t="s">
        <v>224</v>
      </c>
      <c r="X23"/>
      <c r="Y23"/>
      <c r="Z23"/>
    </row>
    <row r="24" spans="1:26" ht="15" customHeight="1" x14ac:dyDescent="0.3">
      <c r="A24" s="57" t="s">
        <v>17</v>
      </c>
      <c r="B24" s="57"/>
      <c r="C24" s="57"/>
      <c r="D24" s="57"/>
      <c r="E24" s="94" t="s">
        <v>18</v>
      </c>
      <c r="F24" s="94"/>
      <c r="G24" s="94"/>
      <c r="H24" s="94"/>
      <c r="S24" s="50"/>
      <c r="T24" s="50"/>
      <c r="U24" s="50"/>
      <c r="V24" s="50" t="s">
        <v>208</v>
      </c>
      <c r="W24" s="50" t="s">
        <v>225</v>
      </c>
      <c r="X24"/>
      <c r="Y24"/>
      <c r="Z24"/>
    </row>
    <row r="25" spans="1:26" ht="15" customHeight="1" x14ac:dyDescent="0.3">
      <c r="A25" s="75" t="s">
        <v>19</v>
      </c>
      <c r="B25" s="75"/>
      <c r="C25" s="75"/>
      <c r="D25" s="75"/>
      <c r="E25" s="94" t="str">
        <f>IF(AND(G19="Mumbai"),"Upper Class","Middle Class")</f>
        <v>Middle Class</v>
      </c>
      <c r="F25" s="94"/>
      <c r="G25" s="94"/>
      <c r="H25" s="94"/>
      <c r="S25" s="50"/>
      <c r="T25" s="50"/>
      <c r="U25" s="50"/>
      <c r="V25" s="50" t="s">
        <v>209</v>
      </c>
      <c r="W25" s="50" t="s">
        <v>226</v>
      </c>
      <c r="X25"/>
      <c r="Y25"/>
      <c r="Z25"/>
    </row>
    <row r="26" spans="1:26" x14ac:dyDescent="0.3">
      <c r="A26" s="75" t="s">
        <v>20</v>
      </c>
      <c r="B26" s="75"/>
      <c r="C26" s="75"/>
      <c r="D26" s="75"/>
      <c r="E26" s="94" t="s">
        <v>21</v>
      </c>
      <c r="F26" s="94"/>
      <c r="G26" s="94"/>
      <c r="H26" s="94"/>
      <c r="S26" s="50"/>
      <c r="T26" s="50"/>
      <c r="U26" s="50"/>
      <c r="V26" s="50" t="s">
        <v>210</v>
      </c>
      <c r="W26" s="50" t="s">
        <v>227</v>
      </c>
      <c r="X26"/>
      <c r="Y26"/>
      <c r="Z26"/>
    </row>
    <row r="27" spans="1:26" ht="15.75" customHeight="1" x14ac:dyDescent="0.3">
      <c r="A27" s="75" t="s">
        <v>22</v>
      </c>
      <c r="B27" s="75"/>
      <c r="C27" s="75"/>
      <c r="D27" s="75"/>
      <c r="E27" s="94" t="str">
        <f>IF(AND(G19="Mumbai"),"Developed","Developing")</f>
        <v>Developing</v>
      </c>
      <c r="F27" s="94"/>
      <c r="G27" s="94"/>
      <c r="H27" s="94"/>
    </row>
    <row r="28" spans="1:26" x14ac:dyDescent="0.3">
      <c r="A28" s="75" t="s">
        <v>23</v>
      </c>
      <c r="B28" s="75"/>
      <c r="C28" s="75"/>
      <c r="D28" s="75"/>
      <c r="E28" s="94" t="s">
        <v>24</v>
      </c>
      <c r="F28" s="94"/>
      <c r="G28" s="94"/>
      <c r="H28" s="94"/>
    </row>
    <row r="29" spans="1:26" ht="15.75" customHeight="1" x14ac:dyDescent="0.3">
      <c r="A29" s="75" t="s">
        <v>81</v>
      </c>
      <c r="B29" s="75"/>
      <c r="C29" s="75"/>
      <c r="D29" s="75"/>
      <c r="E29" s="94" t="s">
        <v>82</v>
      </c>
      <c r="F29" s="94"/>
      <c r="G29" s="94"/>
      <c r="H29" s="94"/>
    </row>
    <row r="30" spans="1:26" ht="15" customHeight="1" x14ac:dyDescent="0.3">
      <c r="A30" s="75" t="s">
        <v>32</v>
      </c>
      <c r="B30" s="75"/>
      <c r="C30" s="75"/>
      <c r="D30" s="75"/>
      <c r="E30" s="9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4"/>
      <c r="G30" s="94"/>
      <c r="H30" s="94"/>
    </row>
    <row r="31" spans="1:26" ht="15.75" customHeight="1" x14ac:dyDescent="0.3">
      <c r="A31" s="75" t="s">
        <v>93</v>
      </c>
      <c r="B31" s="75"/>
      <c r="C31" s="75"/>
      <c r="D31" s="75"/>
      <c r="E31" s="94" t="s">
        <v>33</v>
      </c>
      <c r="F31" s="94"/>
      <c r="G31" s="94"/>
      <c r="H31" s="94"/>
    </row>
    <row r="32" spans="1:26" s="21" customFormat="1" x14ac:dyDescent="0.3">
      <c r="A32" s="150" t="s">
        <v>94</v>
      </c>
      <c r="B32" s="150"/>
      <c r="C32" s="147" t="s">
        <v>176</v>
      </c>
      <c r="D32" s="148"/>
      <c r="E32" s="149"/>
      <c r="F32" s="147" t="s">
        <v>30</v>
      </c>
      <c r="G32" s="148"/>
      <c r="H32" s="149"/>
    </row>
    <row r="33" spans="1:8" s="21" customFormat="1" x14ac:dyDescent="0.3">
      <c r="A33" s="146" t="s">
        <v>25</v>
      </c>
      <c r="B33" s="146" t="s">
        <v>29</v>
      </c>
      <c r="C33" s="77" t="s">
        <v>255</v>
      </c>
      <c r="D33" s="78"/>
      <c r="E33" s="79"/>
      <c r="F33" s="77" t="s">
        <v>250</v>
      </c>
      <c r="G33" s="78"/>
      <c r="H33" s="79"/>
    </row>
    <row r="34" spans="1:8" x14ac:dyDescent="0.3">
      <c r="A34" s="146" t="s">
        <v>26</v>
      </c>
      <c r="B34" s="146" t="s">
        <v>29</v>
      </c>
      <c r="C34" s="77" t="s">
        <v>252</v>
      </c>
      <c r="D34" s="78"/>
      <c r="E34" s="79"/>
      <c r="F34" s="77" t="s">
        <v>252</v>
      </c>
      <c r="G34" s="78"/>
      <c r="H34" s="79"/>
    </row>
    <row r="35" spans="1:8" s="21" customFormat="1" x14ac:dyDescent="0.3">
      <c r="A35" s="146" t="s">
        <v>28</v>
      </c>
      <c r="B35" s="146" t="s">
        <v>29</v>
      </c>
      <c r="C35" s="77" t="s">
        <v>256</v>
      </c>
      <c r="D35" s="78"/>
      <c r="E35" s="79"/>
      <c r="F35" s="77" t="s">
        <v>251</v>
      </c>
      <c r="G35" s="78"/>
      <c r="H35" s="79"/>
    </row>
    <row r="36" spans="1:8" x14ac:dyDescent="0.3">
      <c r="A36" s="146" t="s">
        <v>27</v>
      </c>
      <c r="B36" s="146" t="s">
        <v>29</v>
      </c>
      <c r="C36" s="77" t="s">
        <v>254</v>
      </c>
      <c r="D36" s="78"/>
      <c r="E36" s="79"/>
      <c r="F36" s="77" t="s">
        <v>253</v>
      </c>
      <c r="G36" s="78"/>
      <c r="H36" s="79"/>
    </row>
    <row r="37" spans="1:8" x14ac:dyDescent="0.3">
      <c r="A37" s="75" t="s">
        <v>31</v>
      </c>
      <c r="B37" s="75"/>
      <c r="C37" s="75"/>
      <c r="D37" s="75"/>
      <c r="E37" s="75"/>
      <c r="F37" s="75"/>
      <c r="G37" s="75"/>
      <c r="H37" s="75"/>
    </row>
    <row r="38" spans="1:8" ht="15.75" customHeight="1" x14ac:dyDescent="0.3">
      <c r="A38" s="135" t="s">
        <v>168</v>
      </c>
      <c r="B38" s="135"/>
      <c r="C38" s="75" t="s">
        <v>257</v>
      </c>
      <c r="D38" s="75"/>
      <c r="E38" s="75"/>
      <c r="F38" s="75"/>
      <c r="G38" s="75"/>
      <c r="H38" s="75"/>
    </row>
    <row r="39" spans="1:8" x14ac:dyDescent="0.3">
      <c r="A39" s="135" t="s">
        <v>165</v>
      </c>
      <c r="B39" s="135"/>
      <c r="C39" s="166" t="s">
        <v>258</v>
      </c>
      <c r="D39" s="94"/>
      <c r="E39" s="94"/>
      <c r="F39" s="94"/>
      <c r="G39" s="94"/>
      <c r="H39" s="94"/>
    </row>
    <row r="40" spans="1:8" x14ac:dyDescent="0.3">
      <c r="A40" s="135" t="s">
        <v>34</v>
      </c>
      <c r="B40" s="135"/>
      <c r="C40" s="135"/>
      <c r="D40" s="135"/>
      <c r="E40" s="135"/>
      <c r="F40" s="135"/>
      <c r="G40" s="135"/>
      <c r="H40" s="135"/>
    </row>
    <row r="41" spans="1:8" x14ac:dyDescent="0.3">
      <c r="A41" s="75" t="s">
        <v>35</v>
      </c>
      <c r="B41" s="75"/>
      <c r="C41" s="75"/>
      <c r="D41" s="75"/>
      <c r="E41" s="152">
        <v>2735</v>
      </c>
      <c r="F41" s="152"/>
      <c r="G41" s="152"/>
      <c r="H41" s="152"/>
    </row>
    <row r="42" spans="1:8" x14ac:dyDescent="0.3">
      <c r="A42" s="75" t="s">
        <v>36</v>
      </c>
      <c r="B42" s="75"/>
      <c r="C42" s="75"/>
      <c r="D42" s="75"/>
      <c r="E42" s="100">
        <v>1.1000000000000001</v>
      </c>
      <c r="F42" s="100"/>
      <c r="G42" s="100"/>
      <c r="H42" s="100"/>
    </row>
    <row r="43" spans="1:8" x14ac:dyDescent="0.3">
      <c r="A43" s="75" t="s">
        <v>37</v>
      </c>
      <c r="B43" s="75"/>
      <c r="C43" s="75"/>
      <c r="D43" s="75"/>
      <c r="E43" s="100">
        <f>E45/E41-E42</f>
        <v>3.7057367458866541</v>
      </c>
      <c r="F43" s="100"/>
      <c r="G43" s="100"/>
      <c r="H43" s="100"/>
    </row>
    <row r="44" spans="1:8" x14ac:dyDescent="0.3">
      <c r="A44" s="75" t="s">
        <v>38</v>
      </c>
      <c r="B44" s="75"/>
      <c r="C44" s="75"/>
      <c r="D44" s="75"/>
      <c r="E44" s="100">
        <f>E42+E43</f>
        <v>4.8057367458866542</v>
      </c>
      <c r="F44" s="100"/>
      <c r="G44" s="100"/>
      <c r="H44" s="100"/>
    </row>
    <row r="45" spans="1:8" x14ac:dyDescent="0.3">
      <c r="A45" s="75" t="s">
        <v>92</v>
      </c>
      <c r="B45" s="75"/>
      <c r="C45" s="75"/>
      <c r="D45" s="75"/>
      <c r="E45" s="154">
        <v>13143.69</v>
      </c>
      <c r="F45" s="154"/>
      <c r="G45" s="154"/>
      <c r="H45" s="154"/>
    </row>
    <row r="46" spans="1:8" x14ac:dyDescent="0.3">
      <c r="A46" s="90" t="s">
        <v>39</v>
      </c>
      <c r="B46" s="90"/>
      <c r="C46" s="90"/>
      <c r="D46" s="90"/>
      <c r="E46" s="90" t="s">
        <v>123</v>
      </c>
      <c r="F46" s="90"/>
      <c r="G46" s="90"/>
      <c r="H46" s="90"/>
    </row>
    <row r="47" spans="1:8" x14ac:dyDescent="0.3">
      <c r="A47" s="135" t="s">
        <v>40</v>
      </c>
      <c r="B47" s="135"/>
      <c r="C47" s="135"/>
      <c r="D47" s="135"/>
      <c r="E47" s="135"/>
      <c r="F47" s="135"/>
      <c r="G47" s="135"/>
      <c r="H47" s="135"/>
    </row>
    <row r="48" spans="1:8" ht="33.75" customHeight="1" x14ac:dyDescent="0.3">
      <c r="A48" s="101" t="s">
        <v>153</v>
      </c>
      <c r="B48" s="102"/>
      <c r="C48" s="175" t="s">
        <v>241</v>
      </c>
      <c r="D48" s="176"/>
      <c r="E48" s="176"/>
      <c r="F48" s="176"/>
      <c r="G48" s="176"/>
      <c r="H48" s="177"/>
    </row>
    <row r="49" spans="1:14" ht="15.75" customHeight="1" x14ac:dyDescent="0.3">
      <c r="A49" s="101" t="s">
        <v>41</v>
      </c>
      <c r="B49" s="102"/>
      <c r="C49" s="101" t="s">
        <v>267</v>
      </c>
      <c r="D49" s="103"/>
      <c r="E49" s="102"/>
      <c r="F49" s="18" t="s">
        <v>42</v>
      </c>
      <c r="G49" s="104">
        <v>45232</v>
      </c>
      <c r="H49" s="102"/>
    </row>
    <row r="50" spans="1:14" x14ac:dyDescent="0.3">
      <c r="A50" s="101" t="s">
        <v>43</v>
      </c>
      <c r="B50" s="102"/>
      <c r="C50" s="101" t="s">
        <v>267</v>
      </c>
      <c r="D50" s="103"/>
      <c r="E50" s="102"/>
      <c r="F50" s="18" t="s">
        <v>42</v>
      </c>
      <c r="G50" s="104">
        <v>45232</v>
      </c>
      <c r="H50" s="105"/>
    </row>
    <row r="51" spans="1:14" s="22" customFormat="1" ht="15.75" customHeight="1" x14ac:dyDescent="0.3">
      <c r="A51" s="142" t="s">
        <v>157</v>
      </c>
      <c r="B51" s="143"/>
      <c r="C51" s="185" t="s">
        <v>267</v>
      </c>
      <c r="D51" s="186"/>
      <c r="E51" s="187"/>
      <c r="F51" s="188" t="s">
        <v>42</v>
      </c>
      <c r="G51" s="189">
        <v>45232</v>
      </c>
      <c r="H51" s="190"/>
    </row>
    <row r="52" spans="1:14" s="22" customFormat="1" x14ac:dyDescent="0.3">
      <c r="A52" s="144"/>
      <c r="B52" s="145"/>
      <c r="C52" s="185" t="s">
        <v>268</v>
      </c>
      <c r="D52" s="186"/>
      <c r="E52" s="186"/>
      <c r="F52" s="186"/>
      <c r="G52" s="186"/>
      <c r="H52" s="187"/>
    </row>
    <row r="53" spans="1:14" x14ac:dyDescent="0.3">
      <c r="A53" s="73" t="s">
        <v>44</v>
      </c>
      <c r="B53" s="74"/>
      <c r="C53" s="191" t="s">
        <v>106</v>
      </c>
      <c r="D53" s="192"/>
      <c r="E53" s="193"/>
      <c r="F53" s="194" t="s">
        <v>42</v>
      </c>
      <c r="G53" s="195" t="s">
        <v>29</v>
      </c>
      <c r="H53" s="196"/>
    </row>
    <row r="54" spans="1:14" x14ac:dyDescent="0.3">
      <c r="A54" s="123" t="s">
        <v>46</v>
      </c>
      <c r="B54" s="123"/>
      <c r="C54" s="123"/>
      <c r="D54" s="123"/>
      <c r="E54" s="123"/>
      <c r="F54" s="123"/>
      <c r="G54" s="123"/>
      <c r="H54" s="123"/>
    </row>
    <row r="55" spans="1:14" x14ac:dyDescent="0.3">
      <c r="A55" s="57" t="s">
        <v>91</v>
      </c>
      <c r="B55" s="57"/>
      <c r="C55" s="57"/>
      <c r="D55" s="75">
        <v>1958.82</v>
      </c>
      <c r="E55" s="75"/>
      <c r="F55" s="75"/>
      <c r="G55" s="75"/>
      <c r="H55" s="75"/>
      <c r="M55"/>
    </row>
    <row r="56" spans="1:14" x14ac:dyDescent="0.3">
      <c r="A56" s="94" t="s">
        <v>47</v>
      </c>
      <c r="B56" s="90"/>
      <c r="C56" s="90"/>
      <c r="D56" s="90" t="s">
        <v>278</v>
      </c>
      <c r="E56" s="90"/>
      <c r="F56" s="90"/>
      <c r="G56" s="90"/>
      <c r="H56" s="90"/>
      <c r="I56" s="23"/>
    </row>
    <row r="57" spans="1:14" x14ac:dyDescent="0.3">
      <c r="A57" s="107" t="s">
        <v>48</v>
      </c>
      <c r="B57" s="108"/>
      <c r="C57" s="141"/>
      <c r="D57" s="56" t="s">
        <v>268</v>
      </c>
      <c r="E57" s="140"/>
      <c r="F57" s="140"/>
      <c r="G57" s="140"/>
      <c r="H57" s="140"/>
    </row>
    <row r="58" spans="1:14" ht="15.75" customHeight="1" x14ac:dyDescent="0.3">
      <c r="A58" s="107" t="s">
        <v>89</v>
      </c>
      <c r="B58" s="108"/>
      <c r="C58" s="108"/>
      <c r="D58" s="109" t="s">
        <v>269</v>
      </c>
      <c r="E58" s="110"/>
      <c r="F58" s="110"/>
      <c r="G58" s="110"/>
      <c r="H58" s="111"/>
    </row>
    <row r="59" spans="1:14" ht="15.75" customHeight="1" x14ac:dyDescent="0.3">
      <c r="A59" s="75" t="s">
        <v>45</v>
      </c>
      <c r="B59" s="75"/>
      <c r="C59" s="75"/>
      <c r="D59" s="153" t="s">
        <v>239</v>
      </c>
      <c r="E59" s="153"/>
      <c r="F59" s="153"/>
      <c r="G59" s="153"/>
      <c r="H59" s="153"/>
      <c r="J59" s="24"/>
      <c r="K59" s="23"/>
      <c r="N59" s="23"/>
    </row>
    <row r="60" spans="1:14" ht="15.75" customHeight="1" x14ac:dyDescent="0.3">
      <c r="A60" s="75" t="s">
        <v>87</v>
      </c>
      <c r="B60" s="75"/>
      <c r="C60" s="75"/>
      <c r="D60" s="152" t="str">
        <f>(IF(G53="NA","60 Years After Completion",IF(G53&lt;&gt;"NA",""&amp;60-ROUNDDOWN((E3-G53)/360,0)&amp;" Years"," ")))</f>
        <v>60 Years After Completion</v>
      </c>
      <c r="E60" s="152"/>
      <c r="F60" s="152"/>
      <c r="G60" s="152"/>
      <c r="H60" s="152"/>
      <c r="N60" s="23"/>
    </row>
    <row r="61" spans="1:14" ht="15.75" customHeight="1" x14ac:dyDescent="0.3">
      <c r="A61" s="75" t="s">
        <v>88</v>
      </c>
      <c r="B61" s="75"/>
      <c r="C61" s="75"/>
      <c r="D61" s="57" t="s">
        <v>24</v>
      </c>
      <c r="E61" s="57"/>
      <c r="F61" s="57"/>
      <c r="G61" s="57"/>
      <c r="H61" s="57"/>
      <c r="J61" s="25"/>
      <c r="K61" s="25"/>
    </row>
    <row r="62" spans="1:14" x14ac:dyDescent="0.3">
      <c r="A62" s="90" t="s">
        <v>242</v>
      </c>
      <c r="B62" s="90"/>
      <c r="C62" s="90"/>
      <c r="D62" s="94" t="s">
        <v>247</v>
      </c>
      <c r="E62" s="57"/>
      <c r="F62" s="57"/>
      <c r="G62" s="57"/>
      <c r="H62" s="57"/>
    </row>
    <row r="63" spans="1:14" x14ac:dyDescent="0.3">
      <c r="A63" s="57" t="s">
        <v>150</v>
      </c>
      <c r="B63" s="57"/>
      <c r="C63" s="57"/>
      <c r="D63" s="57" t="s">
        <v>29</v>
      </c>
      <c r="E63" s="57"/>
      <c r="F63" s="57"/>
      <c r="G63" s="57"/>
      <c r="H63" s="57"/>
      <c r="I63" s="26"/>
      <c r="J63" s="26"/>
      <c r="K63" s="26"/>
      <c r="L63" s="26"/>
      <c r="M63" s="26"/>
      <c r="N63" s="26"/>
    </row>
    <row r="64" spans="1:14" ht="15.75" customHeight="1" x14ac:dyDescent="0.3">
      <c r="A64" s="76" t="s">
        <v>86</v>
      </c>
      <c r="B64" s="76"/>
      <c r="C64" s="76"/>
      <c r="D64" s="56" t="str">
        <f ca="1">(IF(G70&gt;95%,"Nothing",IF(G70&gt;0%,"Cement, Aggregate, Steel, etc",IF(G70=0%,"Work not yet Started"))))</f>
        <v>Cement, Aggregate, Steel, etc</v>
      </c>
      <c r="E64" s="56"/>
      <c r="F64" s="56"/>
      <c r="G64" s="56"/>
      <c r="H64" s="56"/>
      <c r="J64" s="25"/>
    </row>
    <row r="65" spans="1:10" ht="33.75" customHeight="1" thickBot="1" x14ac:dyDescent="0.35">
      <c r="A65" s="95" t="s">
        <v>119</v>
      </c>
      <c r="B65" s="95"/>
      <c r="C65" s="95"/>
      <c r="D65" s="56" t="str">
        <f ca="1">(IF(D64="Nothing","Yes",IF(D64="Cement, Aggregate, Steel, etc","Under Construction",IF(D64="Work not yet Started","Work not yet Started"))))</f>
        <v>Under Construction</v>
      </c>
      <c r="E65" s="56"/>
      <c r="F65" s="56" t="str">
        <f ca="1">(IF(D64="Nothing","Yes",IF(D64="Cement, Aggregate, Steel, etc","Under Construction",IF(D64="Work not yet Started","Work not yet Started"))))</f>
        <v>Under Construction</v>
      </c>
      <c r="G65" s="56"/>
      <c r="H65" s="56"/>
    </row>
    <row r="66" spans="1:10" ht="15.75" customHeight="1" x14ac:dyDescent="0.3">
      <c r="A66" s="170" t="s">
        <v>142</v>
      </c>
      <c r="B66" s="171"/>
      <c r="C66" s="172" t="str">
        <f>D58</f>
        <v>Bulding No.1 = Gr + 1st to 30th Floor</v>
      </c>
      <c r="D66" s="173"/>
      <c r="E66" s="173"/>
      <c r="F66" s="173"/>
      <c r="G66" s="173"/>
      <c r="H66" s="174"/>
      <c r="I66" s="44" t="str">
        <f ca="1">IF(D79=100%,"All work Completed. Possession granted to the Building.",IF(D78=100%,"All work Completed, Waiting for OC",I67&amp;""&amp;I68&amp;""&amp;J67&amp;""&amp;J66&amp;" "&amp;J68))</f>
        <v>Excavation, Plinth Completed, RCC upto 23 Slab, Brickwork upto 15 Floor, Internal Plaster upto 13 Floor, External Plaster upto 12 Floor Completed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23 Slab, Brickwork upto 15 Floor, Internal Plaster upto 13 Floor, External Plaster upto 12 Floor</v>
      </c>
    </row>
    <row r="67" spans="1:10" x14ac:dyDescent="0.3">
      <c r="A67" s="16" t="s">
        <v>144</v>
      </c>
      <c r="B67" s="48">
        <f>IF(AND(ISNUMBER(SEARCH("1B",C66))),1,IF(AND(ISNUMBER(SEARCH("2B",C66))),2,IF(AND(ISNUMBER(SEARCH("3B",C66))),3,IF(AND(ISNUMBER(SEARCH("4B",C66))),4,IF(ISNUMBER(SEARCH("5B",C66)),5,0)))))</f>
        <v>0</v>
      </c>
      <c r="C67" s="48" t="s">
        <v>72</v>
      </c>
      <c r="D67" s="48">
        <v>1</v>
      </c>
      <c r="E67" s="48" t="s">
        <v>71</v>
      </c>
      <c r="F67" s="48">
        <v>0</v>
      </c>
      <c r="G67" s="48" t="s">
        <v>80</v>
      </c>
      <c r="H67" s="17">
        <f ca="1">--TRIM(RIGHT(SUBSTITUTE(LEFT(C66,_xlfn.AGGREGATE(16,6,FIND({0,1,2,3,4,5,6,7,8,9},C66,ROW(INDIRECT("1:"&amp;LEN(C66)))),1))," ",REPT(" ",LEN(C66))),LEN(C66)))</f>
        <v>30</v>
      </c>
      <c r="I67" s="4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3">
      <c r="A68" s="151" t="s">
        <v>90</v>
      </c>
      <c r="B68" s="138"/>
      <c r="C68" s="86" t="str">
        <f ca="1">I66</f>
        <v>Excavation, Plinth Completed, RCC upto 23 Slab, Brickwork upto 15 Floor, Internal Plaster upto 13 Floor, External Plaster upto 12 Floor Completed</v>
      </c>
      <c r="D68" s="86"/>
      <c r="E68" s="86"/>
      <c r="F68" s="86"/>
      <c r="G68" s="86"/>
      <c r="H68" s="87"/>
      <c r="I68" s="46" t="str">
        <f ca="1">IF(I67&lt;&gt;""," Completed","")</f>
        <v xml:space="preserve"> Completed</v>
      </c>
      <c r="J68" s="47" t="str">
        <f ca="1">IF(J66&lt;&gt;"","Completed","")</f>
        <v>Completed</v>
      </c>
    </row>
    <row r="69" spans="1:10" ht="15.75" customHeight="1" x14ac:dyDescent="0.3">
      <c r="A69" s="88" t="s">
        <v>49</v>
      </c>
      <c r="B69" s="89"/>
      <c r="C69" s="53" t="s">
        <v>141</v>
      </c>
      <c r="D69" s="53" t="s">
        <v>83</v>
      </c>
      <c r="E69" s="89" t="s">
        <v>85</v>
      </c>
      <c r="F69" s="89"/>
      <c r="G69" s="89" t="s">
        <v>84</v>
      </c>
      <c r="H69" s="112"/>
      <c r="I69" s="14" t="s">
        <v>143</v>
      </c>
      <c r="J69" s="27">
        <f ca="1">H67*25%</f>
        <v>7.5</v>
      </c>
    </row>
    <row r="70" spans="1:10" x14ac:dyDescent="0.3">
      <c r="A70" s="88" t="s">
        <v>130</v>
      </c>
      <c r="B70" s="89"/>
      <c r="C70" s="53">
        <f ca="1">J71</f>
        <v>30</v>
      </c>
      <c r="D70" s="19">
        <f ca="1">((100/H67)*C70)/100</f>
        <v>1</v>
      </c>
      <c r="E70" s="157">
        <f ca="1">(((C71/H67*10)+(40/(D67+F67+H67)*C72)+(7.5/(H67)*C73)+(7.5/(H67)*C74)+(10/H67*C75)+(10/H67*C76)+(5/H67*C77)+(5/H67*C78)+(5/H67*C79))/100)</f>
        <v>0.50677419354838704</v>
      </c>
      <c r="F70" s="158"/>
      <c r="G70" s="157">
        <f ca="1">((((C70/H67)*20)+((C71/H67)*25)+(30/(H67+F67+D67)*C72)+(5/H67*C73)+(5/H67*C74)+(5/H67*C75)+(5/H67*C76)+(0/H67*C77)+(0/H67*C78)+(5/H67*C79))/100)</f>
        <v>0.739247311827957</v>
      </c>
      <c r="H70" s="163"/>
      <c r="I70" s="14" t="s">
        <v>101</v>
      </c>
      <c r="J70" s="28">
        <f ca="1">H67*50%</f>
        <v>15</v>
      </c>
    </row>
    <row r="71" spans="1:10" x14ac:dyDescent="0.3">
      <c r="A71" s="88" t="s">
        <v>50</v>
      </c>
      <c r="B71" s="89"/>
      <c r="C71" s="53">
        <f ca="1">J79</f>
        <v>30</v>
      </c>
      <c r="D71" s="19">
        <f ca="1">((100/H67)*C71)/100</f>
        <v>1</v>
      </c>
      <c r="E71" s="159"/>
      <c r="F71" s="160"/>
      <c r="G71" s="159"/>
      <c r="H71" s="164"/>
      <c r="I71" s="14" t="s">
        <v>102</v>
      </c>
      <c r="J71" s="28">
        <f ca="1">H67</f>
        <v>30</v>
      </c>
    </row>
    <row r="72" spans="1:10" ht="15.75" customHeight="1" x14ac:dyDescent="0.3">
      <c r="A72" s="88" t="s">
        <v>131</v>
      </c>
      <c r="B72" s="89"/>
      <c r="C72" s="53">
        <v>23</v>
      </c>
      <c r="D72" s="19">
        <f ca="1">((100/(D67+F67+H67))*C72)/100</f>
        <v>0.74193548387096764</v>
      </c>
      <c r="E72" s="159"/>
      <c r="F72" s="160"/>
      <c r="G72" s="159"/>
      <c r="H72" s="164"/>
      <c r="I72" s="14" t="s">
        <v>103</v>
      </c>
      <c r="J72" s="29">
        <f ca="1">(IF(B67&gt;1,(H67/(B67+2)),H67/4))</f>
        <v>7.5</v>
      </c>
    </row>
    <row r="73" spans="1:10" ht="15.75" customHeight="1" x14ac:dyDescent="0.3">
      <c r="A73" s="88" t="s">
        <v>138</v>
      </c>
      <c r="B73" s="89" t="s">
        <v>132</v>
      </c>
      <c r="C73" s="53">
        <v>15</v>
      </c>
      <c r="D73" s="19">
        <f ca="1">((100/H67)*C73)/100</f>
        <v>0.5</v>
      </c>
      <c r="E73" s="159"/>
      <c r="F73" s="160"/>
      <c r="G73" s="159"/>
      <c r="H73" s="164"/>
      <c r="I73" s="14" t="s">
        <v>104</v>
      </c>
      <c r="J73" s="29">
        <f ca="1">(IF(B67&gt;1,(H67/(B67+2)+J72),H67/4+J72))</f>
        <v>15</v>
      </c>
    </row>
    <row r="74" spans="1:10" ht="15.75" customHeight="1" x14ac:dyDescent="0.3">
      <c r="A74" s="88" t="s">
        <v>139</v>
      </c>
      <c r="B74" s="89" t="s">
        <v>132</v>
      </c>
      <c r="C74" s="53">
        <v>13</v>
      </c>
      <c r="D74" s="19">
        <f ca="1">((100/H67)*C74)/100</f>
        <v>0.43333333333333335</v>
      </c>
      <c r="E74" s="159"/>
      <c r="F74" s="160"/>
      <c r="G74" s="159"/>
      <c r="H74" s="164"/>
      <c r="I74" s="14" t="s">
        <v>148</v>
      </c>
      <c r="J74" s="29">
        <f>(IF(B67&gt;1,(H67/(B67+2)+J73),0))</f>
        <v>0</v>
      </c>
    </row>
    <row r="75" spans="1:10" ht="15" customHeight="1" x14ac:dyDescent="0.3">
      <c r="A75" s="88" t="s">
        <v>137</v>
      </c>
      <c r="B75" s="89" t="s">
        <v>134</v>
      </c>
      <c r="C75" s="53">
        <v>12</v>
      </c>
      <c r="D75" s="19">
        <f ca="1">((100/(H67))*C75)/100</f>
        <v>0.4</v>
      </c>
      <c r="E75" s="159"/>
      <c r="F75" s="160"/>
      <c r="G75" s="159"/>
      <c r="H75" s="164"/>
      <c r="I75" s="14" t="s">
        <v>145</v>
      </c>
      <c r="J75" s="29">
        <f>(IF(B67&gt;2,(H67/(B67+2)+J74),0))</f>
        <v>0</v>
      </c>
    </row>
    <row r="76" spans="1:10" ht="15.75" customHeight="1" x14ac:dyDescent="0.3">
      <c r="A76" s="88" t="s">
        <v>133</v>
      </c>
      <c r="B76" s="89" t="s">
        <v>133</v>
      </c>
      <c r="C76" s="53">
        <v>0</v>
      </c>
      <c r="D76" s="19">
        <f ca="1">((100/H67)*C76)/100</f>
        <v>0</v>
      </c>
      <c r="E76" s="159"/>
      <c r="F76" s="160"/>
      <c r="G76" s="159"/>
      <c r="H76" s="164"/>
      <c r="I76" s="14" t="s">
        <v>146</v>
      </c>
      <c r="J76" s="30">
        <f>(IF(B67&gt;3,(H67/(B67+2)+J75),0))</f>
        <v>0</v>
      </c>
    </row>
    <row r="77" spans="1:10" ht="15.75" customHeight="1" x14ac:dyDescent="0.3">
      <c r="A77" s="88" t="s">
        <v>140</v>
      </c>
      <c r="B77" s="89"/>
      <c r="C77" s="53">
        <v>0</v>
      </c>
      <c r="D77" s="19">
        <f ca="1">((100/H67)*C77)/100</f>
        <v>0</v>
      </c>
      <c r="E77" s="159"/>
      <c r="F77" s="160"/>
      <c r="G77" s="159"/>
      <c r="H77" s="164"/>
      <c r="I77" s="14" t="s">
        <v>147</v>
      </c>
      <c r="J77" s="29">
        <f>(IF(B67&gt;4,(H67/(B67+2)+J76),0))</f>
        <v>0</v>
      </c>
    </row>
    <row r="78" spans="1:10" ht="15.75" customHeight="1" x14ac:dyDescent="0.3">
      <c r="A78" s="88" t="s">
        <v>135</v>
      </c>
      <c r="B78" s="89" t="s">
        <v>135</v>
      </c>
      <c r="C78" s="53">
        <v>0</v>
      </c>
      <c r="D78" s="19">
        <f ca="1">((100/(H67))*C78)/100</f>
        <v>0</v>
      </c>
      <c r="E78" s="159"/>
      <c r="F78" s="160"/>
      <c r="G78" s="159"/>
      <c r="H78" s="164"/>
      <c r="I78" s="14" t="s">
        <v>149</v>
      </c>
      <c r="J78" s="29">
        <f ca="1">(IF(B67=1,(H67/(B67+3)+J73),IF(B67=0,(H67/4+J73),IF(B67&gt;1,0))))</f>
        <v>22.5</v>
      </c>
    </row>
    <row r="79" spans="1:10" ht="16.2" thickBot="1" x14ac:dyDescent="0.35">
      <c r="A79" s="71" t="s">
        <v>136</v>
      </c>
      <c r="B79" s="72"/>
      <c r="C79" s="54">
        <v>0</v>
      </c>
      <c r="D79" s="55">
        <f ca="1">((100/(H67))*C79)/100</f>
        <v>0</v>
      </c>
      <c r="E79" s="161"/>
      <c r="F79" s="162"/>
      <c r="G79" s="161"/>
      <c r="H79" s="165"/>
      <c r="I79" s="15" t="s">
        <v>105</v>
      </c>
      <c r="J79" s="31">
        <f ca="1">(IF(B67&gt;1.5,(H67/(B67+2)+J73+MAX(0,J74-J73)+MAX(0,J75-J74)+MAX(0,J76-J75)+MAX(0,J77-J76)+MAX(0,J78-J77)),IF(B67=1,(H67/(B67+3)+J78),IF(B67=0,H67/4+J78))))</f>
        <v>30</v>
      </c>
    </row>
    <row r="80" spans="1:10" x14ac:dyDescent="0.3">
      <c r="A80" s="182" t="s">
        <v>159</v>
      </c>
      <c r="B80" s="182"/>
      <c r="C80" s="182"/>
      <c r="D80" s="182"/>
      <c r="E80" s="182"/>
      <c r="F80" s="178" t="s">
        <v>163</v>
      </c>
      <c r="G80" s="178"/>
      <c r="H80" s="178"/>
    </row>
    <row r="81" spans="1:12" x14ac:dyDescent="0.3">
      <c r="A81" s="75" t="s">
        <v>161</v>
      </c>
      <c r="B81" s="75"/>
      <c r="C81" s="75"/>
      <c r="D81" s="75"/>
      <c r="E81" s="75"/>
      <c r="F81" s="91">
        <v>9000</v>
      </c>
      <c r="G81" s="91"/>
      <c r="H81" s="91"/>
      <c r="L81" s="20" t="s">
        <v>262</v>
      </c>
    </row>
    <row r="82" spans="1:12" hidden="1" x14ac:dyDescent="0.3">
      <c r="A82" s="75" t="s">
        <v>160</v>
      </c>
      <c r="B82" s="75"/>
      <c r="C82" s="75"/>
      <c r="D82" s="75"/>
      <c r="E82" s="75"/>
      <c r="F82" s="91"/>
      <c r="G82" s="91"/>
      <c r="H82" s="91"/>
    </row>
    <row r="83" spans="1:12" hidden="1" x14ac:dyDescent="0.3">
      <c r="A83" s="75" t="s">
        <v>162</v>
      </c>
      <c r="B83" s="75"/>
      <c r="C83" s="75"/>
      <c r="D83" s="75"/>
      <c r="E83" s="75"/>
      <c r="F83" s="91"/>
      <c r="G83" s="91"/>
      <c r="H83" s="91"/>
    </row>
    <row r="84" spans="1:12" s="32" customFormat="1" hidden="1" x14ac:dyDescent="0.25">
      <c r="A84" s="75" t="s">
        <v>177</v>
      </c>
      <c r="B84" s="75"/>
      <c r="C84" s="75"/>
      <c r="D84" s="75"/>
      <c r="E84" s="75"/>
      <c r="F84" s="91"/>
      <c r="G84" s="91"/>
      <c r="H84" s="91"/>
    </row>
    <row r="85" spans="1:12" s="32" customFormat="1" hidden="1" x14ac:dyDescent="0.25">
      <c r="A85" s="75" t="s">
        <v>95</v>
      </c>
      <c r="B85" s="75"/>
      <c r="C85" s="75"/>
      <c r="D85" s="75"/>
      <c r="E85" s="75"/>
      <c r="F85" s="91"/>
      <c r="G85" s="91"/>
      <c r="H85" s="91"/>
    </row>
    <row r="86" spans="1:12" s="32" customFormat="1" hidden="1" x14ac:dyDescent="0.25">
      <c r="A86" s="75" t="s">
        <v>96</v>
      </c>
      <c r="B86" s="75"/>
      <c r="C86" s="75"/>
      <c r="D86" s="75"/>
      <c r="E86" s="75"/>
      <c r="F86" s="91"/>
      <c r="G86" s="91"/>
      <c r="H86" s="91"/>
    </row>
    <row r="87" spans="1:12" s="32" customFormat="1" hidden="1" x14ac:dyDescent="0.25">
      <c r="A87" s="75" t="s">
        <v>164</v>
      </c>
      <c r="B87" s="75"/>
      <c r="C87" s="75"/>
      <c r="D87" s="75"/>
      <c r="E87" s="75"/>
      <c r="F87" s="91"/>
      <c r="G87" s="91"/>
      <c r="H87" s="91"/>
    </row>
    <row r="88" spans="1:12" s="32" customFormat="1" hidden="1" x14ac:dyDescent="0.25">
      <c r="A88" s="75" t="s">
        <v>97</v>
      </c>
      <c r="B88" s="75"/>
      <c r="C88" s="75"/>
      <c r="D88" s="75"/>
      <c r="E88" s="75"/>
      <c r="F88" s="91"/>
      <c r="G88" s="91"/>
      <c r="H88" s="91"/>
    </row>
    <row r="89" spans="1:12" s="32" customFormat="1" hidden="1" x14ac:dyDescent="0.25">
      <c r="A89" s="75" t="s">
        <v>98</v>
      </c>
      <c r="B89" s="75"/>
      <c r="C89" s="75"/>
      <c r="D89" s="75"/>
      <c r="E89" s="75"/>
      <c r="F89" s="91"/>
      <c r="G89" s="91"/>
      <c r="H89" s="91"/>
    </row>
    <row r="90" spans="1:12" s="32" customFormat="1" hidden="1" x14ac:dyDescent="0.25">
      <c r="A90" s="75" t="s">
        <v>99</v>
      </c>
      <c r="B90" s="75"/>
      <c r="C90" s="75"/>
      <c r="D90" s="75"/>
      <c r="E90" s="75"/>
      <c r="F90" s="91"/>
      <c r="G90" s="91"/>
      <c r="H90" s="91"/>
    </row>
    <row r="91" spans="1:12" s="32" customFormat="1" hidden="1" x14ac:dyDescent="0.25">
      <c r="A91" s="75" t="s">
        <v>100</v>
      </c>
      <c r="B91" s="75"/>
      <c r="C91" s="75"/>
      <c r="D91" s="75"/>
      <c r="E91" s="75"/>
      <c r="F91" s="91"/>
      <c r="G91" s="91"/>
      <c r="H91" s="91"/>
    </row>
    <row r="92" spans="1:12" x14ac:dyDescent="0.3">
      <c r="A92" s="75" t="s">
        <v>51</v>
      </c>
      <c r="B92" s="75"/>
      <c r="C92" s="75"/>
      <c r="D92" s="75"/>
      <c r="E92" s="75"/>
      <c r="F92" s="91">
        <v>500000</v>
      </c>
      <c r="G92" s="91"/>
      <c r="H92" s="91"/>
      <c r="J92" s="20">
        <f>5300000/F126</f>
        <v>6731.6341504985958</v>
      </c>
      <c r="K92" s="20">
        <f>5900000/F126</f>
        <v>7493.7059411210785</v>
      </c>
      <c r="L92" s="20">
        <f>6300000/F121</f>
        <v>7946.1860668031768</v>
      </c>
    </row>
    <row r="93" spans="1:12" s="33" customFormat="1" x14ac:dyDescent="0.3">
      <c r="A93" s="135" t="s">
        <v>52</v>
      </c>
      <c r="B93" s="135"/>
      <c r="C93" s="135"/>
      <c r="D93" s="135"/>
      <c r="E93" s="135"/>
      <c r="F93" s="91">
        <f>F81*0.8</f>
        <v>7200</v>
      </c>
      <c r="G93" s="91"/>
      <c r="H93" s="91"/>
      <c r="J93" s="33">
        <f>7500000/F120</f>
        <v>6849.4148635294359</v>
      </c>
      <c r="L93" s="33">
        <f>8900000/F120</f>
        <v>8127.9723047215975</v>
      </c>
    </row>
    <row r="94" spans="1:12" s="34" customFormat="1" ht="15.75" hidden="1" customHeight="1" x14ac:dyDescent="0.3">
      <c r="A94" s="134" t="s">
        <v>75</v>
      </c>
      <c r="B94" s="134"/>
      <c r="C94" s="134"/>
      <c r="D94" s="134"/>
      <c r="E94" s="134"/>
      <c r="F94" s="134"/>
      <c r="G94" s="134"/>
      <c r="H94" s="134"/>
    </row>
    <row r="95" spans="1:12" s="34" customFormat="1" ht="15.75" hidden="1" customHeight="1" x14ac:dyDescent="0.3">
      <c r="A95" s="99" t="s">
        <v>53</v>
      </c>
      <c r="B95" s="99"/>
      <c r="C95" s="92" t="s">
        <v>78</v>
      </c>
      <c r="D95" s="92"/>
      <c r="E95" s="121" t="s">
        <v>54</v>
      </c>
      <c r="F95" s="121"/>
      <c r="G95" s="99" t="s">
        <v>55</v>
      </c>
      <c r="H95" s="99"/>
    </row>
    <row r="96" spans="1:12" s="34" customFormat="1" hidden="1" x14ac:dyDescent="0.3">
      <c r="A96" s="122"/>
      <c r="B96" s="122"/>
      <c r="C96" s="155"/>
      <c r="D96" s="155"/>
      <c r="E96" s="169"/>
      <c r="F96" s="169"/>
      <c r="G96" s="113"/>
      <c r="H96" s="113"/>
    </row>
    <row r="97" spans="1:14" s="34" customFormat="1" hidden="1" x14ac:dyDescent="0.3">
      <c r="A97" s="122"/>
      <c r="B97" s="122"/>
      <c r="C97" s="155"/>
      <c r="D97" s="155"/>
      <c r="E97" s="169"/>
      <c r="F97" s="169"/>
      <c r="G97" s="113"/>
      <c r="H97" s="113"/>
    </row>
    <row r="98" spans="1:14" s="34" customFormat="1" hidden="1" x14ac:dyDescent="0.3">
      <c r="A98" s="134" t="s">
        <v>152</v>
      </c>
      <c r="B98" s="134"/>
      <c r="C98" s="92"/>
      <c r="D98" s="92"/>
      <c r="E98" s="121"/>
      <c r="F98" s="121"/>
      <c r="G98" s="99"/>
      <c r="H98" s="99"/>
    </row>
    <row r="99" spans="1:14" s="34" customFormat="1" x14ac:dyDescent="0.3">
      <c r="A99" s="134" t="s">
        <v>70</v>
      </c>
      <c r="B99" s="134"/>
      <c r="C99" s="134"/>
      <c r="D99" s="134"/>
      <c r="E99" s="134"/>
      <c r="F99" s="134"/>
      <c r="G99" s="134"/>
      <c r="H99" s="134"/>
    </row>
    <row r="100" spans="1:14" s="34" customFormat="1" ht="15.75" customHeight="1" x14ac:dyDescent="0.3">
      <c r="A100" s="99" t="s">
        <v>53</v>
      </c>
      <c r="B100" s="99"/>
      <c r="C100" s="92" t="s">
        <v>78</v>
      </c>
      <c r="D100" s="92"/>
      <c r="E100" s="121" t="s">
        <v>54</v>
      </c>
      <c r="F100" s="121"/>
      <c r="G100" s="99" t="s">
        <v>55</v>
      </c>
      <c r="H100" s="99"/>
      <c r="J100" s="34" t="s">
        <v>263</v>
      </c>
    </row>
    <row r="101" spans="1:14" s="34" customFormat="1" x14ac:dyDescent="0.3">
      <c r="A101" s="122" t="s">
        <v>244</v>
      </c>
      <c r="B101" s="122"/>
      <c r="C101" s="155">
        <f>COUNT(D120:D128)*17+COUNT(D130,D132:D138)*3+COUNT(D140,D143:D148)</f>
        <v>184</v>
      </c>
      <c r="D101" s="155"/>
      <c r="E101" s="156">
        <f>SUM(D120:D128)*17+SUM(D130,D132:D138)*3+SUM(D140,D143:D148)</f>
        <v>110431.10519999999</v>
      </c>
      <c r="F101" s="156"/>
      <c r="G101" s="156">
        <f>SUM(F120:F128)*17+SUM(F130,F132:F138)*3+SUM(F140,F143:F148)</f>
        <v>171168.21306000001</v>
      </c>
      <c r="H101" s="156"/>
      <c r="J101" s="34" t="s">
        <v>259</v>
      </c>
    </row>
    <row r="102" spans="1:14" s="34" customFormat="1" hidden="1" x14ac:dyDescent="0.3">
      <c r="A102" s="122"/>
      <c r="B102" s="122"/>
      <c r="C102" s="155"/>
      <c r="D102" s="155"/>
      <c r="E102" s="169"/>
      <c r="F102" s="169"/>
      <c r="G102" s="113"/>
      <c r="H102" s="113"/>
    </row>
    <row r="103" spans="1:14" s="34" customFormat="1" ht="16.2" hidden="1" thickBot="1" x14ac:dyDescent="0.35">
      <c r="A103" s="167" t="s">
        <v>152</v>
      </c>
      <c r="B103" s="167"/>
      <c r="C103" s="93"/>
      <c r="D103" s="93"/>
      <c r="E103" s="168"/>
      <c r="F103" s="168"/>
      <c r="G103" s="183"/>
      <c r="H103" s="183"/>
    </row>
    <row r="104" spans="1:14" s="34" customFormat="1" ht="16.2" hidden="1" thickBot="1" x14ac:dyDescent="0.35">
      <c r="A104" s="80" t="s">
        <v>169</v>
      </c>
      <c r="B104" s="81"/>
      <c r="C104" s="82">
        <f>C98+C103</f>
        <v>0</v>
      </c>
      <c r="D104" s="82"/>
      <c r="E104" s="83">
        <f>E98+E103</f>
        <v>0</v>
      </c>
      <c r="F104" s="83"/>
      <c r="G104" s="84">
        <f>G98+G103</f>
        <v>0</v>
      </c>
      <c r="H104" s="85"/>
    </row>
    <row r="105" spans="1:14" s="33" customFormat="1" x14ac:dyDescent="0.3">
      <c r="A105" s="178" t="s">
        <v>56</v>
      </c>
      <c r="B105" s="178"/>
      <c r="C105" s="178"/>
      <c r="D105" s="178"/>
      <c r="E105" s="178"/>
      <c r="F105" s="178"/>
      <c r="G105" s="178"/>
      <c r="H105" s="178"/>
    </row>
    <row r="106" spans="1:14" x14ac:dyDescent="0.3">
      <c r="A106" s="98" t="s">
        <v>243</v>
      </c>
      <c r="B106" s="98"/>
      <c r="C106" s="98"/>
      <c r="D106" s="98"/>
      <c r="E106" s="98"/>
      <c r="F106" s="98"/>
      <c r="G106" s="98"/>
      <c r="H106" s="98"/>
    </row>
    <row r="107" spans="1:14" ht="47.25" hidden="1" customHeight="1" x14ac:dyDescent="0.3">
      <c r="A107" s="124" t="s">
        <v>121</v>
      </c>
      <c r="B107" s="124" t="s">
        <v>179</v>
      </c>
      <c r="C107" s="124" t="s">
        <v>57</v>
      </c>
      <c r="D107" s="124" t="s">
        <v>58</v>
      </c>
      <c r="E107" s="130" t="s">
        <v>158</v>
      </c>
      <c r="F107" s="42" t="s">
        <v>151</v>
      </c>
      <c r="G107" s="117" t="s">
        <v>60</v>
      </c>
      <c r="H107" s="118"/>
    </row>
    <row r="108" spans="1:14" s="36" customFormat="1" hidden="1" x14ac:dyDescent="0.3">
      <c r="A108" s="125"/>
      <c r="B108" s="125"/>
      <c r="C108" s="125"/>
      <c r="D108" s="125"/>
      <c r="E108" s="131"/>
      <c r="F108" s="13">
        <v>0.45</v>
      </c>
      <c r="G108" s="119"/>
      <c r="H108" s="120"/>
    </row>
    <row r="109" spans="1:14" s="36" customFormat="1" hidden="1" x14ac:dyDescent="0.3">
      <c r="A109" s="59" t="s">
        <v>120</v>
      </c>
      <c r="B109" s="60"/>
      <c r="C109" s="60"/>
      <c r="D109" s="60"/>
      <c r="E109" s="60"/>
      <c r="F109" s="60"/>
      <c r="G109" s="60"/>
      <c r="H109" s="61"/>
      <c r="J109" s="35"/>
    </row>
    <row r="110" spans="1:14" s="36" customFormat="1" hidden="1" x14ac:dyDescent="0.3">
      <c r="A110" s="62">
        <v>1</v>
      </c>
      <c r="B110" s="63"/>
      <c r="C110" s="41"/>
      <c r="D110" s="41"/>
      <c r="E110" s="41">
        <v>0</v>
      </c>
      <c r="F110" s="41">
        <f>(D110+E110)*(($F$108)+1)</f>
        <v>0</v>
      </c>
      <c r="G110" s="62" t="str">
        <f>A109</f>
        <v>Ground Floor</v>
      </c>
      <c r="H110" s="63"/>
      <c r="I110" s="35"/>
      <c r="L110" s="58"/>
      <c r="M110" s="58"/>
      <c r="N110" s="35"/>
    </row>
    <row r="111" spans="1:14" s="36" customFormat="1" hidden="1" x14ac:dyDescent="0.3">
      <c r="A111" s="62">
        <f t="shared" ref="A111:A113" si="0">A110+1</f>
        <v>2</v>
      </c>
      <c r="B111" s="63"/>
      <c r="C111" s="41"/>
      <c r="D111" s="41"/>
      <c r="E111" s="41">
        <v>0</v>
      </c>
      <c r="F111" s="41">
        <f t="shared" ref="F111:F113" si="1">(D111+E111)*(($F$108)+1)</f>
        <v>0</v>
      </c>
      <c r="G111" s="62" t="str">
        <f t="shared" ref="G111:G113" si="2">G110</f>
        <v>Ground Floor</v>
      </c>
      <c r="H111" s="63"/>
      <c r="I111" s="35"/>
      <c r="L111" s="58"/>
      <c r="M111" s="58"/>
      <c r="N111" s="35"/>
    </row>
    <row r="112" spans="1:14" s="36" customFormat="1" hidden="1" x14ac:dyDescent="0.3">
      <c r="A112" s="62">
        <f t="shared" si="0"/>
        <v>3</v>
      </c>
      <c r="B112" s="63"/>
      <c r="C112" s="41"/>
      <c r="D112" s="41"/>
      <c r="E112" s="41">
        <v>0</v>
      </c>
      <c r="F112" s="41">
        <f t="shared" si="1"/>
        <v>0</v>
      </c>
      <c r="G112" s="62" t="str">
        <f t="shared" si="2"/>
        <v>Ground Floor</v>
      </c>
      <c r="H112" s="63"/>
      <c r="I112" s="35"/>
      <c r="L112" s="58"/>
      <c r="M112" s="58"/>
      <c r="N112" s="35"/>
    </row>
    <row r="113" spans="1:14" s="36" customFormat="1" hidden="1" x14ac:dyDescent="0.3">
      <c r="A113" s="62">
        <f t="shared" si="0"/>
        <v>4</v>
      </c>
      <c r="B113" s="63"/>
      <c r="C113" s="41"/>
      <c r="D113" s="41"/>
      <c r="E113" s="41">
        <v>0</v>
      </c>
      <c r="F113" s="41">
        <f t="shared" si="1"/>
        <v>0</v>
      </c>
      <c r="G113" s="62" t="str">
        <f t="shared" si="2"/>
        <v>Ground Floor</v>
      </c>
      <c r="H113" s="63"/>
      <c r="I113" s="35"/>
      <c r="L113" s="58"/>
      <c r="M113" s="58"/>
      <c r="N113" s="35"/>
    </row>
    <row r="114" spans="1:14" s="36" customFormat="1" hidden="1" x14ac:dyDescent="0.3">
      <c r="A114" s="62"/>
      <c r="B114" s="70"/>
      <c r="C114" s="70"/>
      <c r="D114" s="70"/>
      <c r="E114" s="70"/>
      <c r="F114" s="70"/>
      <c r="G114" s="70"/>
      <c r="H114" s="63"/>
      <c r="I114" s="35"/>
      <c r="N114" s="35"/>
    </row>
    <row r="115" spans="1:14" ht="47.25" customHeight="1" x14ac:dyDescent="0.3">
      <c r="A115" s="117" t="s">
        <v>122</v>
      </c>
      <c r="B115" s="124" t="s">
        <v>180</v>
      </c>
      <c r="C115" s="124" t="s">
        <v>57</v>
      </c>
      <c r="D115" s="124" t="s">
        <v>58</v>
      </c>
      <c r="E115" s="130" t="s">
        <v>59</v>
      </c>
      <c r="F115" s="42" t="s">
        <v>151</v>
      </c>
      <c r="G115" s="117" t="s">
        <v>60</v>
      </c>
      <c r="H115" s="118"/>
      <c r="I115" s="35"/>
    </row>
    <row r="116" spans="1:14" s="36" customFormat="1" x14ac:dyDescent="0.3">
      <c r="A116" s="119"/>
      <c r="B116" s="125"/>
      <c r="C116" s="125"/>
      <c r="D116" s="125"/>
      <c r="E116" s="131"/>
      <c r="F116" s="13">
        <v>0.55000000000000004</v>
      </c>
      <c r="G116" s="119"/>
      <c r="H116" s="120"/>
      <c r="I116" s="35"/>
    </row>
    <row r="117" spans="1:14" s="36" customFormat="1" x14ac:dyDescent="0.3">
      <c r="A117" s="59" t="s">
        <v>244</v>
      </c>
      <c r="B117" s="60"/>
      <c r="C117" s="60"/>
      <c r="D117" s="60"/>
      <c r="E117" s="60"/>
      <c r="F117" s="60"/>
      <c r="G117" s="60"/>
      <c r="H117" s="61"/>
    </row>
    <row r="118" spans="1:14" s="36" customFormat="1" x14ac:dyDescent="0.3">
      <c r="A118" s="59" t="s">
        <v>270</v>
      </c>
      <c r="B118" s="60"/>
      <c r="C118" s="60"/>
      <c r="D118" s="60"/>
      <c r="E118" s="60"/>
      <c r="F118" s="60"/>
      <c r="G118" s="60"/>
      <c r="H118" s="61"/>
    </row>
    <row r="119" spans="1:14" s="36" customFormat="1" x14ac:dyDescent="0.3">
      <c r="A119" s="59" t="s">
        <v>271</v>
      </c>
      <c r="B119" s="60"/>
      <c r="C119" s="60"/>
      <c r="D119" s="60"/>
      <c r="E119" s="60"/>
      <c r="F119" s="60"/>
      <c r="G119" s="60"/>
      <c r="H119" s="61"/>
    </row>
    <row r="120" spans="1:14" s="36" customFormat="1" ht="15.75" customHeight="1" x14ac:dyDescent="0.3">
      <c r="A120" s="62">
        <v>1</v>
      </c>
      <c r="B120" s="63"/>
      <c r="C120" s="51" t="s">
        <v>272</v>
      </c>
      <c r="D120" s="52">
        <f>(63.02+2.61)*10.764</f>
        <v>706.44132000000002</v>
      </c>
      <c r="E120" s="41">
        <v>0</v>
      </c>
      <c r="F120" s="41">
        <f t="shared" ref="F120:F128" si="3">D120*(($F$116)+1)+(IF(E120&lt;101,E120,IF(E120&lt;201,E120/2,IF(E120&lt;=301,E120/3,E120/4))))</f>
        <v>1094.984046</v>
      </c>
      <c r="G120" s="64" t="str">
        <f>A119</f>
        <v>1st to 5th, 7th to 10th, 12th to 15th, 17th to 20th Floor</v>
      </c>
      <c r="H120" s="65"/>
      <c r="I120" s="58">
        <f>5.6*4.21+2.45*2.18+3.65*3.6+2.15*1.28+3*3.68+1.35*2.1+0.9*2.1</f>
        <v>60.574000000000005</v>
      </c>
      <c r="J120" s="58"/>
      <c r="K120" s="35"/>
    </row>
    <row r="121" spans="1:14" s="36" customFormat="1" ht="15.75" customHeight="1" x14ac:dyDescent="0.3">
      <c r="A121" s="62">
        <f t="shared" ref="A121:A128" si="4">A120+1</f>
        <v>2</v>
      </c>
      <c r="B121" s="63"/>
      <c r="C121" s="51" t="s">
        <v>273</v>
      </c>
      <c r="D121" s="52">
        <f>(44.82+2.7)*10.764</f>
        <v>511.50528000000003</v>
      </c>
      <c r="E121" s="41">
        <v>0</v>
      </c>
      <c r="F121" s="41">
        <f t="shared" si="3"/>
        <v>792.83318400000007</v>
      </c>
      <c r="G121" s="66"/>
      <c r="H121" s="67"/>
      <c r="I121" s="58">
        <f>5.03*3+2.46*2.1+4.11*3+1.2*2.1+2.1*2.19+0.9*2.1</f>
        <v>41.594999999999999</v>
      </c>
      <c r="J121" s="58"/>
      <c r="K121" s="35"/>
    </row>
    <row r="122" spans="1:14" s="36" customFormat="1" ht="15.75" customHeight="1" x14ac:dyDescent="0.3">
      <c r="A122" s="62">
        <f t="shared" si="4"/>
        <v>3</v>
      </c>
      <c r="B122" s="63"/>
      <c r="C122" s="51" t="s">
        <v>272</v>
      </c>
      <c r="D122" s="52">
        <f>(62.83+2.7)*10.764</f>
        <v>705.36491999999998</v>
      </c>
      <c r="E122" s="41">
        <v>0</v>
      </c>
      <c r="F122" s="41">
        <f t="shared" si="3"/>
        <v>1093.3156260000001</v>
      </c>
      <c r="G122" s="66"/>
      <c r="H122" s="67"/>
      <c r="I122" s="58"/>
      <c r="J122" s="58"/>
      <c r="K122" s="35"/>
    </row>
    <row r="123" spans="1:14" s="36" customFormat="1" ht="15.75" customHeight="1" x14ac:dyDescent="0.3">
      <c r="A123" s="62">
        <f t="shared" si="4"/>
        <v>4</v>
      </c>
      <c r="B123" s="63"/>
      <c r="C123" s="51" t="s">
        <v>273</v>
      </c>
      <c r="D123" s="52">
        <f>(44.8+2.7)*10.764</f>
        <v>511.28999999999996</v>
      </c>
      <c r="E123" s="41">
        <v>0</v>
      </c>
      <c r="F123" s="41">
        <f t="shared" si="3"/>
        <v>792.49950000000001</v>
      </c>
      <c r="G123" s="66"/>
      <c r="H123" s="67"/>
      <c r="I123" s="58"/>
      <c r="J123" s="58"/>
      <c r="K123" s="35"/>
    </row>
    <row r="124" spans="1:14" s="36" customFormat="1" ht="15.75" customHeight="1" x14ac:dyDescent="0.3">
      <c r="A124" s="62">
        <f t="shared" si="4"/>
        <v>5</v>
      </c>
      <c r="B124" s="63"/>
      <c r="C124" s="51" t="s">
        <v>273</v>
      </c>
      <c r="D124" s="52">
        <f>(44.77+2.7)*10.764</f>
        <v>510.96708000000001</v>
      </c>
      <c r="E124" s="41">
        <v>0</v>
      </c>
      <c r="F124" s="41">
        <f t="shared" si="3"/>
        <v>791.99897400000009</v>
      </c>
      <c r="G124" s="66"/>
      <c r="H124" s="67"/>
      <c r="I124" s="35"/>
    </row>
    <row r="125" spans="1:14" s="36" customFormat="1" ht="15.75" customHeight="1" x14ac:dyDescent="0.3">
      <c r="A125" s="62">
        <f t="shared" si="4"/>
        <v>6</v>
      </c>
      <c r="B125" s="63"/>
      <c r="C125" s="51" t="s">
        <v>273</v>
      </c>
      <c r="D125" s="52">
        <f>(44.81+2.7)*10.764</f>
        <v>511.39764000000002</v>
      </c>
      <c r="E125" s="41">
        <v>0</v>
      </c>
      <c r="F125" s="41">
        <f t="shared" si="3"/>
        <v>792.6663420000001</v>
      </c>
      <c r="G125" s="66"/>
      <c r="H125" s="67"/>
      <c r="I125" s="58"/>
      <c r="J125" s="58"/>
      <c r="K125" s="35"/>
    </row>
    <row r="126" spans="1:14" s="36" customFormat="1" ht="15.75" customHeight="1" x14ac:dyDescent="0.3">
      <c r="A126" s="62">
        <f t="shared" si="4"/>
        <v>7</v>
      </c>
      <c r="B126" s="63"/>
      <c r="C126" s="51" t="s">
        <v>273</v>
      </c>
      <c r="D126" s="52">
        <f>(44.41+2.78)*10.764</f>
        <v>507.95315999999997</v>
      </c>
      <c r="E126" s="41">
        <v>0</v>
      </c>
      <c r="F126" s="41">
        <f t="shared" si="3"/>
        <v>787.32739800000002</v>
      </c>
      <c r="G126" s="66"/>
      <c r="H126" s="67"/>
      <c r="I126" s="58"/>
      <c r="J126" s="58"/>
      <c r="K126" s="35"/>
    </row>
    <row r="127" spans="1:14" s="36" customFormat="1" ht="15.75" customHeight="1" x14ac:dyDescent="0.3">
      <c r="A127" s="62">
        <f t="shared" si="4"/>
        <v>8</v>
      </c>
      <c r="B127" s="63"/>
      <c r="C127" s="51" t="s">
        <v>272</v>
      </c>
      <c r="D127" s="52">
        <f>(63.35+2.88)*10.764</f>
        <v>712.89972</v>
      </c>
      <c r="E127" s="41">
        <v>0</v>
      </c>
      <c r="F127" s="41">
        <f t="shared" si="3"/>
        <v>1104.9945660000001</v>
      </c>
      <c r="G127" s="66"/>
      <c r="H127" s="67"/>
      <c r="I127" s="58"/>
      <c r="J127" s="58"/>
      <c r="K127" s="35"/>
    </row>
    <row r="128" spans="1:14" s="36" customFormat="1" ht="15.75" customHeight="1" x14ac:dyDescent="0.3">
      <c r="A128" s="62">
        <f t="shared" si="4"/>
        <v>9</v>
      </c>
      <c r="B128" s="63"/>
      <c r="C128" s="51" t="s">
        <v>272</v>
      </c>
      <c r="D128" s="52">
        <f>(63.25+2.88)*10.764</f>
        <v>711.82331999999985</v>
      </c>
      <c r="E128" s="41">
        <v>0</v>
      </c>
      <c r="F128" s="41">
        <f t="shared" si="3"/>
        <v>1103.3261459999999</v>
      </c>
      <c r="G128" s="68"/>
      <c r="H128" s="69"/>
      <c r="I128" s="58"/>
      <c r="J128" s="58"/>
      <c r="K128" s="35"/>
    </row>
    <row r="129" spans="1:11" s="36" customFormat="1" x14ac:dyDescent="0.3">
      <c r="A129" s="59" t="s">
        <v>275</v>
      </c>
      <c r="B129" s="60"/>
      <c r="C129" s="60"/>
      <c r="D129" s="60"/>
      <c r="E129" s="60"/>
      <c r="F129" s="60"/>
      <c r="G129" s="60"/>
      <c r="H129" s="61"/>
    </row>
    <row r="130" spans="1:11" s="36" customFormat="1" ht="15.75" customHeight="1" x14ac:dyDescent="0.3">
      <c r="A130" s="62">
        <v>1</v>
      </c>
      <c r="B130" s="63"/>
      <c r="C130" s="51" t="s">
        <v>272</v>
      </c>
      <c r="D130" s="52">
        <f>(63.02+2.61)*10.764</f>
        <v>706.44132000000002</v>
      </c>
      <c r="E130" s="41">
        <v>0</v>
      </c>
      <c r="F130" s="41">
        <f t="shared" ref="F130:F138" si="5">D130*(($F$116)+1)+(IF(E130&lt;101,E130,IF(E130&lt;201,E130/2,IF(E130&lt;=301,E130/3,E130/4))))</f>
        <v>1094.984046</v>
      </c>
      <c r="G130" s="64" t="str">
        <f>A129</f>
        <v>6th, 11th, 16th Floor (Part Refuge Area)</v>
      </c>
      <c r="H130" s="65"/>
      <c r="I130" s="58"/>
      <c r="J130" s="58"/>
      <c r="K130" s="35"/>
    </row>
    <row r="131" spans="1:11" s="36" customFormat="1" ht="15.75" customHeight="1" x14ac:dyDescent="0.3">
      <c r="A131" s="62">
        <f t="shared" ref="A131:A138" si="6">A130+1</f>
        <v>2</v>
      </c>
      <c r="B131" s="63"/>
      <c r="C131" s="179" t="s">
        <v>274</v>
      </c>
      <c r="D131" s="180"/>
      <c r="E131" s="180"/>
      <c r="F131" s="181"/>
      <c r="G131" s="66"/>
      <c r="H131" s="67"/>
      <c r="I131" s="58"/>
      <c r="J131" s="58"/>
      <c r="K131" s="35"/>
    </row>
    <row r="132" spans="1:11" s="36" customFormat="1" ht="15.75" customHeight="1" x14ac:dyDescent="0.3">
      <c r="A132" s="62">
        <f t="shared" si="6"/>
        <v>3</v>
      </c>
      <c r="B132" s="63"/>
      <c r="C132" s="51" t="s">
        <v>272</v>
      </c>
      <c r="D132" s="52">
        <f>(62.83+2.7)*10.764</f>
        <v>705.36491999999998</v>
      </c>
      <c r="E132" s="41">
        <v>0</v>
      </c>
      <c r="F132" s="41">
        <f t="shared" si="5"/>
        <v>1093.3156260000001</v>
      </c>
      <c r="G132" s="66"/>
      <c r="H132" s="67"/>
      <c r="I132" s="58"/>
      <c r="J132" s="58"/>
      <c r="K132" s="35"/>
    </row>
    <row r="133" spans="1:11" s="36" customFormat="1" ht="15.75" customHeight="1" x14ac:dyDescent="0.3">
      <c r="A133" s="62">
        <f t="shared" si="6"/>
        <v>4</v>
      </c>
      <c r="B133" s="63"/>
      <c r="C133" s="51" t="s">
        <v>273</v>
      </c>
      <c r="D133" s="52">
        <f>(44.8+2.7)*10.764</f>
        <v>511.28999999999996</v>
      </c>
      <c r="E133" s="41">
        <v>0</v>
      </c>
      <c r="F133" s="41">
        <f t="shared" si="5"/>
        <v>792.49950000000001</v>
      </c>
      <c r="G133" s="66"/>
      <c r="H133" s="67"/>
      <c r="I133" s="58"/>
      <c r="J133" s="58"/>
      <c r="K133" s="35"/>
    </row>
    <row r="134" spans="1:11" s="36" customFormat="1" ht="15.75" customHeight="1" x14ac:dyDescent="0.3">
      <c r="A134" s="62">
        <f t="shared" si="6"/>
        <v>5</v>
      </c>
      <c r="B134" s="63"/>
      <c r="C134" s="51" t="s">
        <v>273</v>
      </c>
      <c r="D134" s="52">
        <f>(44.77+2.7)*10.764</f>
        <v>510.96708000000001</v>
      </c>
      <c r="E134" s="41">
        <v>0</v>
      </c>
      <c r="F134" s="41">
        <f t="shared" si="5"/>
        <v>791.99897400000009</v>
      </c>
      <c r="G134" s="66"/>
      <c r="H134" s="67"/>
      <c r="I134" s="58"/>
      <c r="J134" s="58"/>
      <c r="K134" s="35"/>
    </row>
    <row r="135" spans="1:11" s="36" customFormat="1" ht="15.75" customHeight="1" x14ac:dyDescent="0.3">
      <c r="A135" s="62">
        <f t="shared" si="6"/>
        <v>6</v>
      </c>
      <c r="B135" s="63"/>
      <c r="C135" s="51" t="s">
        <v>273</v>
      </c>
      <c r="D135" s="52">
        <f>(44.81+2.7)*10.764</f>
        <v>511.39764000000002</v>
      </c>
      <c r="E135" s="41">
        <v>0</v>
      </c>
      <c r="F135" s="41">
        <f t="shared" si="5"/>
        <v>792.6663420000001</v>
      </c>
      <c r="G135" s="66"/>
      <c r="H135" s="67"/>
      <c r="I135" s="58"/>
      <c r="J135" s="58"/>
      <c r="K135" s="35"/>
    </row>
    <row r="136" spans="1:11" s="36" customFormat="1" ht="15.75" customHeight="1" x14ac:dyDescent="0.3">
      <c r="A136" s="62">
        <f t="shared" si="6"/>
        <v>7</v>
      </c>
      <c r="B136" s="63"/>
      <c r="C136" s="51" t="s">
        <v>273</v>
      </c>
      <c r="D136" s="52">
        <f>(44.41+2.78)*10.764</f>
        <v>507.95315999999997</v>
      </c>
      <c r="E136" s="41">
        <v>0</v>
      </c>
      <c r="F136" s="41">
        <f t="shared" si="5"/>
        <v>787.32739800000002</v>
      </c>
      <c r="G136" s="66"/>
      <c r="H136" s="67"/>
      <c r="I136" s="58"/>
      <c r="J136" s="58"/>
      <c r="K136" s="35"/>
    </row>
    <row r="137" spans="1:11" s="36" customFormat="1" ht="15.75" customHeight="1" x14ac:dyDescent="0.3">
      <c r="A137" s="62">
        <f t="shared" si="6"/>
        <v>8</v>
      </c>
      <c r="B137" s="63"/>
      <c r="C137" s="51" t="s">
        <v>272</v>
      </c>
      <c r="D137" s="52">
        <f>(63.35+2.88)*10.764</f>
        <v>712.89972</v>
      </c>
      <c r="E137" s="41">
        <v>0</v>
      </c>
      <c r="F137" s="41">
        <f t="shared" si="5"/>
        <v>1104.9945660000001</v>
      </c>
      <c r="G137" s="66"/>
      <c r="H137" s="67"/>
      <c r="I137" s="58"/>
      <c r="J137" s="58"/>
      <c r="K137" s="35"/>
    </row>
    <row r="138" spans="1:11" s="36" customFormat="1" ht="15.75" customHeight="1" x14ac:dyDescent="0.3">
      <c r="A138" s="62">
        <f t="shared" si="6"/>
        <v>9</v>
      </c>
      <c r="B138" s="63"/>
      <c r="C138" s="51" t="s">
        <v>272</v>
      </c>
      <c r="D138" s="52">
        <f>(63.25+2.88)*10.764</f>
        <v>711.82331999999985</v>
      </c>
      <c r="E138" s="41">
        <v>0</v>
      </c>
      <c r="F138" s="41">
        <f t="shared" si="5"/>
        <v>1103.3261459999999</v>
      </c>
      <c r="G138" s="68"/>
      <c r="H138" s="69"/>
      <c r="I138" s="58"/>
      <c r="J138" s="58"/>
      <c r="K138" s="35"/>
    </row>
    <row r="139" spans="1:11" s="36" customFormat="1" x14ac:dyDescent="0.3">
      <c r="A139" s="59" t="s">
        <v>276</v>
      </c>
      <c r="B139" s="60"/>
      <c r="C139" s="60"/>
      <c r="D139" s="60"/>
      <c r="E139" s="60"/>
      <c r="F139" s="60"/>
      <c r="G139" s="60"/>
      <c r="H139" s="61"/>
    </row>
    <row r="140" spans="1:11" s="36" customFormat="1" ht="15.75" customHeight="1" x14ac:dyDescent="0.3">
      <c r="A140" s="62">
        <v>1</v>
      </c>
      <c r="B140" s="63"/>
      <c r="C140" s="51" t="s">
        <v>272</v>
      </c>
      <c r="D140" s="52">
        <f>(63.02+2.61)*10.764</f>
        <v>706.44132000000002</v>
      </c>
      <c r="E140" s="41">
        <v>0</v>
      </c>
      <c r="F140" s="41">
        <f t="shared" ref="F140:F148" si="7">D140*(($F$116)+1)+(IF(E140&lt;101,E140,IF(E140&lt;201,E140/2,IF(E140&lt;=301,E140/3,E140/4))))</f>
        <v>1094.984046</v>
      </c>
      <c r="G140" s="64" t="str">
        <f>A139</f>
        <v>21st Floor (Part Refuge Area, Society Office &amp; Driver Room</v>
      </c>
      <c r="H140" s="65"/>
      <c r="I140" s="58"/>
      <c r="J140" s="58"/>
      <c r="K140" s="35"/>
    </row>
    <row r="141" spans="1:11" s="36" customFormat="1" ht="15.75" customHeight="1" x14ac:dyDescent="0.3">
      <c r="A141" s="62">
        <f t="shared" ref="A141:A148" si="8">A140+1</f>
        <v>2</v>
      </c>
      <c r="B141" s="63"/>
      <c r="C141" s="62" t="s">
        <v>274</v>
      </c>
      <c r="D141" s="70"/>
      <c r="E141" s="70"/>
      <c r="F141" s="63"/>
      <c r="G141" s="66"/>
      <c r="H141" s="67"/>
      <c r="I141" s="58"/>
      <c r="J141" s="58"/>
      <c r="K141" s="35"/>
    </row>
    <row r="142" spans="1:11" s="36" customFormat="1" ht="15.75" customHeight="1" x14ac:dyDescent="0.3">
      <c r="A142" s="62">
        <f t="shared" si="8"/>
        <v>3</v>
      </c>
      <c r="B142" s="63"/>
      <c r="C142" s="62" t="s">
        <v>277</v>
      </c>
      <c r="D142" s="70"/>
      <c r="E142" s="70">
        <v>0</v>
      </c>
      <c r="F142" s="63">
        <f t="shared" si="7"/>
        <v>0</v>
      </c>
      <c r="G142" s="66"/>
      <c r="H142" s="67"/>
      <c r="I142" s="58"/>
      <c r="J142" s="58"/>
      <c r="K142" s="35"/>
    </row>
    <row r="143" spans="1:11" s="36" customFormat="1" ht="15.75" customHeight="1" x14ac:dyDescent="0.3">
      <c r="A143" s="62">
        <f t="shared" si="8"/>
        <v>4</v>
      </c>
      <c r="B143" s="63"/>
      <c r="C143" s="51" t="s">
        <v>273</v>
      </c>
      <c r="D143" s="52">
        <f>(44.8+2.7)*10.764</f>
        <v>511.28999999999996</v>
      </c>
      <c r="E143" s="41">
        <v>0</v>
      </c>
      <c r="F143" s="41">
        <f t="shared" si="7"/>
        <v>792.49950000000001</v>
      </c>
      <c r="G143" s="66"/>
      <c r="H143" s="67"/>
      <c r="I143" s="58"/>
      <c r="J143" s="58"/>
      <c r="K143" s="35"/>
    </row>
    <row r="144" spans="1:11" s="36" customFormat="1" ht="15.75" customHeight="1" x14ac:dyDescent="0.3">
      <c r="A144" s="62">
        <f t="shared" si="8"/>
        <v>5</v>
      </c>
      <c r="B144" s="63"/>
      <c r="C144" s="51" t="s">
        <v>273</v>
      </c>
      <c r="D144" s="52">
        <f>(44.77+2.7)*10.764</f>
        <v>510.96708000000001</v>
      </c>
      <c r="E144" s="41">
        <v>0</v>
      </c>
      <c r="F144" s="41">
        <f t="shared" si="7"/>
        <v>791.99897400000009</v>
      </c>
      <c r="G144" s="66"/>
      <c r="H144" s="67"/>
      <c r="I144" s="58"/>
      <c r="J144" s="58"/>
      <c r="K144" s="35"/>
    </row>
    <row r="145" spans="1:14" s="36" customFormat="1" ht="15.75" customHeight="1" x14ac:dyDescent="0.3">
      <c r="A145" s="62">
        <f t="shared" si="8"/>
        <v>6</v>
      </c>
      <c r="B145" s="63"/>
      <c r="C145" s="51" t="s">
        <v>273</v>
      </c>
      <c r="D145" s="52">
        <f>(44.81+2.7)*10.764</f>
        <v>511.39764000000002</v>
      </c>
      <c r="E145" s="41">
        <v>0</v>
      </c>
      <c r="F145" s="41">
        <f t="shared" si="7"/>
        <v>792.6663420000001</v>
      </c>
      <c r="G145" s="66"/>
      <c r="H145" s="67"/>
      <c r="I145" s="58"/>
      <c r="J145" s="58"/>
      <c r="K145" s="35"/>
    </row>
    <row r="146" spans="1:14" s="36" customFormat="1" ht="15.75" customHeight="1" x14ac:dyDescent="0.3">
      <c r="A146" s="62">
        <f t="shared" si="8"/>
        <v>7</v>
      </c>
      <c r="B146" s="63"/>
      <c r="C146" s="51" t="s">
        <v>273</v>
      </c>
      <c r="D146" s="52">
        <f>(44.41+2.78)*10.764</f>
        <v>507.95315999999997</v>
      </c>
      <c r="E146" s="41">
        <v>0</v>
      </c>
      <c r="F146" s="41">
        <f t="shared" si="7"/>
        <v>787.32739800000002</v>
      </c>
      <c r="G146" s="66"/>
      <c r="H146" s="67"/>
      <c r="I146" s="58"/>
      <c r="J146" s="58"/>
      <c r="K146" s="35"/>
    </row>
    <row r="147" spans="1:14" s="36" customFormat="1" ht="15.75" customHeight="1" x14ac:dyDescent="0.3">
      <c r="A147" s="62">
        <f t="shared" si="8"/>
        <v>8</v>
      </c>
      <c r="B147" s="63"/>
      <c r="C147" s="51" t="s">
        <v>272</v>
      </c>
      <c r="D147" s="52">
        <f>(63.35+2.88)*10.764</f>
        <v>712.89972</v>
      </c>
      <c r="E147" s="41">
        <v>0</v>
      </c>
      <c r="F147" s="41">
        <f t="shared" si="7"/>
        <v>1104.9945660000001</v>
      </c>
      <c r="G147" s="66"/>
      <c r="H147" s="67"/>
      <c r="I147" s="35"/>
      <c r="L147" s="58"/>
      <c r="M147" s="58"/>
      <c r="N147" s="35"/>
    </row>
    <row r="148" spans="1:14" s="36" customFormat="1" ht="15.75" customHeight="1" x14ac:dyDescent="0.3">
      <c r="A148" s="62">
        <f t="shared" si="8"/>
        <v>9</v>
      </c>
      <c r="B148" s="63"/>
      <c r="C148" s="51" t="s">
        <v>272</v>
      </c>
      <c r="D148" s="52">
        <f>(63.25+2.88)*10.764</f>
        <v>711.82331999999985</v>
      </c>
      <c r="E148" s="41">
        <v>0</v>
      </c>
      <c r="F148" s="41">
        <f t="shared" si="7"/>
        <v>1103.3261459999999</v>
      </c>
      <c r="G148" s="68"/>
      <c r="H148" s="69"/>
      <c r="I148" s="35"/>
      <c r="L148" s="58"/>
      <c r="M148" s="58"/>
      <c r="N148" s="35"/>
    </row>
    <row r="149" spans="1:14" s="34" customFormat="1" x14ac:dyDescent="0.3">
      <c r="A149" s="129" t="s">
        <v>68</v>
      </c>
      <c r="B149" s="129"/>
      <c r="C149" s="129"/>
      <c r="D149" s="129"/>
      <c r="E149" s="129"/>
      <c r="F149" s="129"/>
      <c r="G149" s="129"/>
      <c r="H149" s="129"/>
    </row>
    <row r="150" spans="1:14" s="34" customFormat="1" x14ac:dyDescent="0.3">
      <c r="A150" s="43" t="s">
        <v>155</v>
      </c>
      <c r="B150" s="126" t="s">
        <v>245</v>
      </c>
      <c r="C150" s="127"/>
      <c r="D150" s="127"/>
      <c r="E150" s="127"/>
      <c r="F150" s="127"/>
      <c r="G150" s="127"/>
      <c r="H150" s="128"/>
    </row>
    <row r="151" spans="1:14" s="34" customFormat="1" x14ac:dyDescent="0.3">
      <c r="A151" s="43" t="s">
        <v>155</v>
      </c>
      <c r="B151" s="126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151" s="127"/>
      <c r="D151" s="127"/>
      <c r="E151" s="127"/>
      <c r="F151" s="127"/>
      <c r="G151" s="127"/>
      <c r="H151" s="128"/>
    </row>
    <row r="152" spans="1:14" s="34" customFormat="1" hidden="1" x14ac:dyDescent="0.3">
      <c r="A152" s="43" t="s">
        <v>155</v>
      </c>
      <c r="B152" s="126" t="str">
        <f>(IF(F107="Saleable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2" s="127"/>
      <c r="D152" s="127"/>
      <c r="E152" s="127"/>
      <c r="F152" s="127"/>
      <c r="G152" s="127"/>
      <c r="H152" s="128"/>
    </row>
    <row r="153" spans="1:14" s="34" customFormat="1" x14ac:dyDescent="0.3">
      <c r="A153" s="43" t="s">
        <v>155</v>
      </c>
      <c r="B153" s="114" t="s">
        <v>125</v>
      </c>
      <c r="C153" s="115"/>
      <c r="D153" s="115"/>
      <c r="E153" s="115"/>
      <c r="F153" s="115"/>
      <c r="G153" s="115"/>
      <c r="H153" s="116"/>
    </row>
    <row r="154" spans="1:14" s="34" customFormat="1" x14ac:dyDescent="0.3">
      <c r="A154" s="43" t="s">
        <v>155</v>
      </c>
      <c r="B154" s="114" t="s">
        <v>246</v>
      </c>
      <c r="C154" s="115"/>
      <c r="D154" s="115"/>
      <c r="E154" s="115"/>
      <c r="F154" s="115"/>
      <c r="G154" s="115"/>
      <c r="H154" s="116"/>
    </row>
    <row r="155" spans="1:14" s="34" customFormat="1" x14ac:dyDescent="0.3">
      <c r="A155" s="43" t="s">
        <v>155</v>
      </c>
      <c r="B155" s="114" t="s">
        <v>154</v>
      </c>
      <c r="C155" s="115"/>
      <c r="D155" s="115"/>
      <c r="E155" s="115"/>
      <c r="F155" s="115"/>
      <c r="G155" s="115"/>
      <c r="H155" s="116"/>
    </row>
    <row r="156" spans="1:14" s="34" customFormat="1" x14ac:dyDescent="0.3">
      <c r="A156" s="43" t="s">
        <v>155</v>
      </c>
      <c r="B156" s="114" t="s">
        <v>126</v>
      </c>
      <c r="C156" s="115"/>
      <c r="D156" s="115"/>
      <c r="E156" s="115"/>
      <c r="F156" s="115"/>
      <c r="G156" s="115"/>
      <c r="H156" s="116"/>
    </row>
    <row r="157" spans="1:14" s="34" customFormat="1" ht="34.5" customHeight="1" x14ac:dyDescent="0.3">
      <c r="A157" s="43" t="s">
        <v>155</v>
      </c>
      <c r="B157" s="114" t="s">
        <v>156</v>
      </c>
      <c r="C157" s="115"/>
      <c r="D157" s="115"/>
      <c r="E157" s="115"/>
      <c r="F157" s="115"/>
      <c r="G157" s="115"/>
      <c r="H157" s="116"/>
    </row>
    <row r="158" spans="1:14" s="34" customFormat="1" x14ac:dyDescent="0.3">
      <c r="A158" s="43" t="s">
        <v>155</v>
      </c>
      <c r="B158" s="114" t="s">
        <v>127</v>
      </c>
      <c r="C158" s="115"/>
      <c r="D158" s="115"/>
      <c r="E158" s="115"/>
      <c r="F158" s="115"/>
      <c r="G158" s="115"/>
      <c r="H158" s="116"/>
    </row>
    <row r="159" spans="1:14" s="34" customFormat="1" x14ac:dyDescent="0.3">
      <c r="A159" s="43" t="s">
        <v>155</v>
      </c>
      <c r="B159" s="114" t="s">
        <v>261</v>
      </c>
      <c r="C159" s="115"/>
      <c r="D159" s="115"/>
      <c r="E159" s="115"/>
      <c r="F159" s="115"/>
      <c r="G159" s="115"/>
      <c r="H159" s="116"/>
    </row>
    <row r="160" spans="1:14" s="34" customFormat="1" ht="17.25" customHeight="1" x14ac:dyDescent="0.3">
      <c r="A160" s="43" t="s">
        <v>155</v>
      </c>
      <c r="B160" s="114" t="s">
        <v>279</v>
      </c>
      <c r="C160" s="115"/>
      <c r="D160" s="115"/>
      <c r="E160" s="115"/>
      <c r="F160" s="115"/>
      <c r="G160" s="115"/>
      <c r="H160" s="116"/>
    </row>
    <row r="161" spans="1:8" ht="35.4" customHeight="1" x14ac:dyDescent="0.3">
      <c r="A161" s="43" t="s">
        <v>155</v>
      </c>
      <c r="B161" s="114" t="s">
        <v>283</v>
      </c>
      <c r="C161" s="115"/>
      <c r="D161" s="115"/>
      <c r="E161" s="115"/>
      <c r="F161" s="115"/>
      <c r="G161" s="115"/>
      <c r="H161" s="116"/>
    </row>
    <row r="162" spans="1:8" x14ac:dyDescent="0.3">
      <c r="A162" s="123" t="s">
        <v>61</v>
      </c>
      <c r="B162" s="123"/>
      <c r="C162" s="123"/>
      <c r="D162" s="123"/>
      <c r="E162" s="123"/>
      <c r="F162" s="123"/>
      <c r="G162" s="123"/>
      <c r="H162" s="123"/>
    </row>
    <row r="163" spans="1:8" ht="15.75" customHeight="1" x14ac:dyDescent="0.3">
      <c r="A163" s="75" t="s">
        <v>62</v>
      </c>
      <c r="B163" s="75"/>
      <c r="C163" s="75"/>
      <c r="D163" s="75"/>
      <c r="E163" s="75"/>
      <c r="F163" s="75"/>
      <c r="G163" s="75"/>
      <c r="H163" s="75"/>
    </row>
    <row r="164" spans="1:8" x14ac:dyDescent="0.3">
      <c r="A164" s="136" t="s">
        <v>63</v>
      </c>
      <c r="B164" s="136"/>
      <c r="C164" s="136"/>
      <c r="D164" s="136"/>
      <c r="E164" s="136"/>
      <c r="F164" s="136"/>
      <c r="G164" s="136"/>
      <c r="H164" s="136"/>
    </row>
    <row r="165" spans="1:8" x14ac:dyDescent="0.3">
      <c r="A165" s="75" t="s">
        <v>64</v>
      </c>
      <c r="B165" s="75"/>
      <c r="C165" s="75"/>
      <c r="D165" s="75"/>
      <c r="E165" s="75"/>
      <c r="F165" s="75"/>
      <c r="G165" s="75"/>
      <c r="H165" s="75"/>
    </row>
    <row r="166" spans="1:8" x14ac:dyDescent="0.3">
      <c r="A166" s="75" t="s">
        <v>65</v>
      </c>
      <c r="B166" s="75"/>
      <c r="C166" s="75"/>
      <c r="D166" s="75"/>
      <c r="E166" s="75"/>
      <c r="F166" s="75"/>
      <c r="G166" s="75"/>
      <c r="H166" s="75"/>
    </row>
    <row r="167" spans="1:8" x14ac:dyDescent="0.3">
      <c r="A167" s="75" t="s">
        <v>128</v>
      </c>
      <c r="B167" s="75"/>
      <c r="C167" s="75"/>
      <c r="D167" s="75"/>
      <c r="E167" s="75"/>
      <c r="F167" s="75"/>
      <c r="G167" s="75"/>
      <c r="H167" s="75"/>
    </row>
    <row r="168" spans="1:8" x14ac:dyDescent="0.3">
      <c r="A168" s="57" t="s">
        <v>129</v>
      </c>
      <c r="B168" s="57"/>
      <c r="C168" s="57"/>
      <c r="D168" s="57"/>
      <c r="E168" s="57"/>
      <c r="F168" s="57"/>
      <c r="G168" s="57"/>
      <c r="H168" s="57"/>
    </row>
    <row r="169" spans="1:8" x14ac:dyDescent="0.3">
      <c r="A169" s="133" t="s">
        <v>77</v>
      </c>
      <c r="B169" s="133"/>
      <c r="C169" s="133" t="s">
        <v>281</v>
      </c>
      <c r="D169" s="133"/>
      <c r="E169" s="133" t="s">
        <v>107</v>
      </c>
      <c r="F169" s="133"/>
      <c r="G169" s="133" t="s">
        <v>282</v>
      </c>
      <c r="H169" s="133"/>
    </row>
    <row r="170" spans="1:8" x14ac:dyDescent="0.3">
      <c r="A170" s="132" t="s">
        <v>79</v>
      </c>
      <c r="B170" s="132"/>
      <c r="C170" s="132"/>
      <c r="D170" s="132"/>
      <c r="E170" s="132"/>
      <c r="F170" s="132"/>
      <c r="G170" s="132"/>
      <c r="H170" s="132"/>
    </row>
    <row r="171" spans="1:8" x14ac:dyDescent="0.3">
      <c r="A171" s="132"/>
      <c r="B171" s="132"/>
      <c r="C171" s="132"/>
      <c r="D171" s="132"/>
      <c r="E171" s="132"/>
      <c r="F171" s="132"/>
      <c r="G171" s="132"/>
      <c r="H171" s="132"/>
    </row>
    <row r="172" spans="1:8" x14ac:dyDescent="0.3">
      <c r="A172" s="132"/>
      <c r="B172" s="132"/>
      <c r="C172" s="132"/>
      <c r="D172" s="132"/>
      <c r="E172" s="132"/>
      <c r="F172" s="132"/>
      <c r="G172" s="132"/>
      <c r="H172" s="132"/>
    </row>
    <row r="173" spans="1:8" x14ac:dyDescent="0.3">
      <c r="A173" s="132"/>
      <c r="B173" s="132"/>
      <c r="C173" s="132"/>
      <c r="D173" s="132"/>
      <c r="E173" s="132"/>
      <c r="F173" s="132"/>
      <c r="G173" s="132"/>
      <c r="H173" s="132"/>
    </row>
    <row r="174" spans="1:8" x14ac:dyDescent="0.3">
      <c r="A174" s="37" t="s">
        <v>66</v>
      </c>
      <c r="B174" s="38"/>
      <c r="C174" s="38"/>
      <c r="D174" s="37" t="str">
        <f>E8</f>
        <v>Siddhivinayak Aura Building - 1</v>
      </c>
      <c r="F174" s="38"/>
      <c r="G174" s="38"/>
      <c r="H174" s="38"/>
    </row>
    <row r="175" spans="1:8" x14ac:dyDescent="0.3">
      <c r="A175" s="38"/>
      <c r="B175" s="38"/>
      <c r="C175" s="38"/>
      <c r="D175" s="38"/>
      <c r="E175" s="38"/>
      <c r="F175" s="38"/>
      <c r="G175" s="38"/>
      <c r="H175" s="38"/>
    </row>
    <row r="176" spans="1:8" ht="15" customHeight="1" x14ac:dyDescent="0.3">
      <c r="A176" s="38"/>
      <c r="B176" s="38"/>
      <c r="C176" s="38"/>
      <c r="D176" s="38"/>
      <c r="E176" s="38"/>
      <c r="F176" s="38"/>
      <c r="G176" s="38"/>
      <c r="H176" s="38"/>
    </row>
    <row r="214" spans="1:1" x14ac:dyDescent="0.3">
      <c r="A214" s="40" t="s">
        <v>167</v>
      </c>
    </row>
    <row r="256" spans="1:1" x14ac:dyDescent="0.3">
      <c r="A256" s="40" t="s">
        <v>67</v>
      </c>
    </row>
  </sheetData>
  <mergeCells count="341">
    <mergeCell ref="B161:H161"/>
    <mergeCell ref="I133:J133"/>
    <mergeCell ref="I130:J130"/>
    <mergeCell ref="A131:B131"/>
    <mergeCell ref="I126:J126"/>
    <mergeCell ref="A105:H105"/>
    <mergeCell ref="G111:H111"/>
    <mergeCell ref="G113:H113"/>
    <mergeCell ref="A127:B127"/>
    <mergeCell ref="I127:J127"/>
    <mergeCell ref="A128:B128"/>
    <mergeCell ref="I128:J128"/>
    <mergeCell ref="G120:H128"/>
    <mergeCell ref="I122:J122"/>
    <mergeCell ref="A123:B123"/>
    <mergeCell ref="I123:J123"/>
    <mergeCell ref="A124:B124"/>
    <mergeCell ref="A125:B125"/>
    <mergeCell ref="I125:J125"/>
    <mergeCell ref="A115:A116"/>
    <mergeCell ref="A113:B113"/>
    <mergeCell ref="A112:B112"/>
    <mergeCell ref="A122:B122"/>
    <mergeCell ref="G110:H110"/>
    <mergeCell ref="I131:J131"/>
    <mergeCell ref="C52:H52"/>
    <mergeCell ref="A117:H117"/>
    <mergeCell ref="A74:B74"/>
    <mergeCell ref="A126:B126"/>
    <mergeCell ref="F80:H80"/>
    <mergeCell ref="F85:H85"/>
    <mergeCell ref="A86:E86"/>
    <mergeCell ref="C131:F131"/>
    <mergeCell ref="B160:H160"/>
    <mergeCell ref="B155:H155"/>
    <mergeCell ref="F82:H82"/>
    <mergeCell ref="A82:E82"/>
    <mergeCell ref="D107:D108"/>
    <mergeCell ref="A84:E84"/>
    <mergeCell ref="A83:E83"/>
    <mergeCell ref="A80:E80"/>
    <mergeCell ref="F84:H84"/>
    <mergeCell ref="A136:B136"/>
    <mergeCell ref="A137:B137"/>
    <mergeCell ref="A91:E91"/>
    <mergeCell ref="G103:H103"/>
    <mergeCell ref="C97:D97"/>
    <mergeCell ref="E97:F97"/>
    <mergeCell ref="G97:H97"/>
    <mergeCell ref="C39:H39"/>
    <mergeCell ref="A118:H118"/>
    <mergeCell ref="A119:H119"/>
    <mergeCell ref="A120:B120"/>
    <mergeCell ref="I120:J120"/>
    <mergeCell ref="A121:B121"/>
    <mergeCell ref="I121:J121"/>
    <mergeCell ref="A85:E85"/>
    <mergeCell ref="A103:B103"/>
    <mergeCell ref="E103:F103"/>
    <mergeCell ref="A98:B98"/>
    <mergeCell ref="C98:D98"/>
    <mergeCell ref="E98:F98"/>
    <mergeCell ref="G98:H98"/>
    <mergeCell ref="A102:B102"/>
    <mergeCell ref="C102:D102"/>
    <mergeCell ref="E102:F102"/>
    <mergeCell ref="G102:H102"/>
    <mergeCell ref="C96:D96"/>
    <mergeCell ref="E96:F96"/>
    <mergeCell ref="A66:B66"/>
    <mergeCell ref="C66:H66"/>
    <mergeCell ref="A48:B48"/>
    <mergeCell ref="C48:H48"/>
    <mergeCell ref="A132:B132"/>
    <mergeCell ref="I132:J132"/>
    <mergeCell ref="A133:B133"/>
    <mergeCell ref="A130:B130"/>
    <mergeCell ref="I134:J134"/>
    <mergeCell ref="C38:H38"/>
    <mergeCell ref="A45:D45"/>
    <mergeCell ref="L113:M113"/>
    <mergeCell ref="L112:M112"/>
    <mergeCell ref="L111:M111"/>
    <mergeCell ref="L110:M110"/>
    <mergeCell ref="A77:B77"/>
    <mergeCell ref="C101:D101"/>
    <mergeCell ref="E101:F101"/>
    <mergeCell ref="G101:H101"/>
    <mergeCell ref="F87:H87"/>
    <mergeCell ref="A81:E81"/>
    <mergeCell ref="A109:H109"/>
    <mergeCell ref="E107:E108"/>
    <mergeCell ref="G107:H108"/>
    <mergeCell ref="E70:F79"/>
    <mergeCell ref="G70:H79"/>
    <mergeCell ref="A78:B78"/>
    <mergeCell ref="A76:B76"/>
    <mergeCell ref="A69:B69"/>
    <mergeCell ref="A72:B72"/>
    <mergeCell ref="A68:B68"/>
    <mergeCell ref="B107:B108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39:B39"/>
    <mergeCell ref="A47:H47"/>
    <mergeCell ref="D57:H57"/>
    <mergeCell ref="A57:C57"/>
    <mergeCell ref="G50:H50"/>
    <mergeCell ref="A51:B52"/>
    <mergeCell ref="A38:B38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70:H173"/>
    <mergeCell ref="A169:B169"/>
    <mergeCell ref="E169:F169"/>
    <mergeCell ref="C169:D169"/>
    <mergeCell ref="G169:H169"/>
    <mergeCell ref="A94:H94"/>
    <mergeCell ref="A92:E92"/>
    <mergeCell ref="F92:H92"/>
    <mergeCell ref="A93:E93"/>
    <mergeCell ref="F93:H93"/>
    <mergeCell ref="A101:B101"/>
    <mergeCell ref="A143:B143"/>
    <mergeCell ref="A96:B96"/>
    <mergeCell ref="A165:H165"/>
    <mergeCell ref="A99:H99"/>
    <mergeCell ref="A168:H168"/>
    <mergeCell ref="A166:H166"/>
    <mergeCell ref="A162:H162"/>
    <mergeCell ref="G100:H100"/>
    <mergeCell ref="A145:B145"/>
    <mergeCell ref="C107:C108"/>
    <mergeCell ref="B115:B116"/>
    <mergeCell ref="A167:H167"/>
    <mergeCell ref="A164:H164"/>
    <mergeCell ref="A163:H163"/>
    <mergeCell ref="E100:F100"/>
    <mergeCell ref="B159:H159"/>
    <mergeCell ref="G112:H112"/>
    <mergeCell ref="A135:B135"/>
    <mergeCell ref="A100:B100"/>
    <mergeCell ref="A129:H129"/>
    <mergeCell ref="A138:B138"/>
    <mergeCell ref="G130:H138"/>
    <mergeCell ref="A134:B134"/>
    <mergeCell ref="A114:H114"/>
    <mergeCell ref="A107:A108"/>
    <mergeCell ref="C115:C116"/>
    <mergeCell ref="A111:B111"/>
    <mergeCell ref="B156:H156"/>
    <mergeCell ref="B152:H152"/>
    <mergeCell ref="B153:H153"/>
    <mergeCell ref="B154:H154"/>
    <mergeCell ref="A149:H149"/>
    <mergeCell ref="B150:H150"/>
    <mergeCell ref="B151:H151"/>
    <mergeCell ref="B157:H157"/>
    <mergeCell ref="D115:D116"/>
    <mergeCell ref="E115:E116"/>
    <mergeCell ref="G53:H53"/>
    <mergeCell ref="A58:C58"/>
    <mergeCell ref="D58:H58"/>
    <mergeCell ref="D64:H64"/>
    <mergeCell ref="A70:B70"/>
    <mergeCell ref="G69:H69"/>
    <mergeCell ref="F81:H81"/>
    <mergeCell ref="G96:H96"/>
    <mergeCell ref="B158:H158"/>
    <mergeCell ref="F86:H86"/>
    <mergeCell ref="A87:E87"/>
    <mergeCell ref="A89:E89"/>
    <mergeCell ref="F83:H83"/>
    <mergeCell ref="A88:E88"/>
    <mergeCell ref="G115:H116"/>
    <mergeCell ref="F90:H90"/>
    <mergeCell ref="E95:F95"/>
    <mergeCell ref="A95:B95"/>
    <mergeCell ref="A97:B97"/>
    <mergeCell ref="C100:D100"/>
    <mergeCell ref="A110:B110"/>
    <mergeCell ref="A75:B75"/>
    <mergeCell ref="A54:H54"/>
    <mergeCell ref="A55:C55"/>
    <mergeCell ref="A56:C56"/>
    <mergeCell ref="D56:H56"/>
    <mergeCell ref="I14:P14"/>
    <mergeCell ref="F91:H91"/>
    <mergeCell ref="F89:H89"/>
    <mergeCell ref="A106:H106"/>
    <mergeCell ref="G95:H95"/>
    <mergeCell ref="A90:E90"/>
    <mergeCell ref="E42:H42"/>
    <mergeCell ref="A42:D42"/>
    <mergeCell ref="A49:B49"/>
    <mergeCell ref="C49:E49"/>
    <mergeCell ref="G49:H49"/>
    <mergeCell ref="G51:H51"/>
    <mergeCell ref="A50:B50"/>
    <mergeCell ref="C51:E51"/>
    <mergeCell ref="C50:E50"/>
    <mergeCell ref="E19:F19"/>
    <mergeCell ref="G19:H19"/>
    <mergeCell ref="A20:B20"/>
    <mergeCell ref="C20:D20"/>
    <mergeCell ref="E20:F20"/>
    <mergeCell ref="G20:H20"/>
    <mergeCell ref="A53:B53"/>
    <mergeCell ref="C53:E53"/>
    <mergeCell ref="D55:H55"/>
    <mergeCell ref="L147:M147"/>
    <mergeCell ref="A148:B148"/>
    <mergeCell ref="L148:M148"/>
    <mergeCell ref="D63:H63"/>
    <mergeCell ref="A64:C64"/>
    <mergeCell ref="F34:H34"/>
    <mergeCell ref="A104:B104"/>
    <mergeCell ref="C104:D104"/>
    <mergeCell ref="E104:F104"/>
    <mergeCell ref="G104:H104"/>
    <mergeCell ref="A61:C61"/>
    <mergeCell ref="D61:H61"/>
    <mergeCell ref="C68:H68"/>
    <mergeCell ref="A71:B71"/>
    <mergeCell ref="A73:B73"/>
    <mergeCell ref="E69:F69"/>
    <mergeCell ref="A62:C62"/>
    <mergeCell ref="F88:H88"/>
    <mergeCell ref="C95:D95"/>
    <mergeCell ref="C103:D103"/>
    <mergeCell ref="D62:H62"/>
    <mergeCell ref="A65:C65"/>
    <mergeCell ref="D65:H65"/>
    <mergeCell ref="A63:C63"/>
    <mergeCell ref="I135:J135"/>
    <mergeCell ref="I136:J136"/>
    <mergeCell ref="I137:J137"/>
    <mergeCell ref="I138:J138"/>
    <mergeCell ref="A139:H139"/>
    <mergeCell ref="A140:B140"/>
    <mergeCell ref="G140:H148"/>
    <mergeCell ref="I140:J140"/>
    <mergeCell ref="A141:B141"/>
    <mergeCell ref="I141:J141"/>
    <mergeCell ref="A142:B142"/>
    <mergeCell ref="I142:J142"/>
    <mergeCell ref="I143:J143"/>
    <mergeCell ref="A144:B144"/>
    <mergeCell ref="I144:J144"/>
    <mergeCell ref="I145:J145"/>
    <mergeCell ref="A146:B146"/>
    <mergeCell ref="I146:J146"/>
    <mergeCell ref="A147:B147"/>
    <mergeCell ref="C141:F141"/>
    <mergeCell ref="C142:F142"/>
    <mergeCell ref="A79:B79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7:E108" xr:uid="{00000000-0002-0000-0000-000003000000}">
      <formula1>"Attached Loft area,Attached Terrace area,Attached Mezzanine area"</formula1>
    </dataValidation>
    <dataValidation type="list" allowBlank="1" showInputMessage="1" showErrorMessage="1" sqref="F108 F116" xr:uid="{00000000-0002-0000-0000-000004000000}">
      <formula1>"45%,50%,55%,60%"</formula1>
    </dataValidation>
    <dataValidation type="list" allowBlank="1" showInputMessage="1" showErrorMessage="1" sqref="G169:H169" xr:uid="{00000000-0002-0000-0000-000005000000}">
      <formula1>"Kunal Kadam,Pranita Mhatre,Shruti Fule,Pooja Kawale,Mansee Mohite,Anjali Kamble, Hitakshi Mhatre, Sachin Sawant"</formula1>
    </dataValidation>
    <dataValidation type="list" allowBlank="1" showInputMessage="1" showErrorMessage="1" sqref="F80:H80" xr:uid="{00000000-0002-0000-0000-000006000000}">
      <formula1>"On Saleable Area,On Builtup Area,On Carpet Area,On Plot Area"</formula1>
    </dataValidation>
    <dataValidation type="list" allowBlank="1" showInputMessage="1" showErrorMessage="1" sqref="F92:H92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07 F115" xr:uid="{00000000-0002-0000-0000-000008000000}">
      <formula1>"Saleable area Loading :,Builder Saleable area"</formula1>
    </dataValidation>
    <dataValidation type="list" allowBlank="1" showInputMessage="1" showErrorMessage="1" sqref="B107:B108" xr:uid="{00000000-0002-0000-0000-000009000000}">
      <formula1>"Shop No. (Sale Plan),Sale / Rehab,Sale / Mhada"</formula1>
    </dataValidation>
    <dataValidation type="list" allowBlank="1" showInputMessage="1" showErrorMessage="1" sqref="B115:B116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42" max="7" man="1"/>
    <brk id="173" max="7" man="1"/>
    <brk id="213" max="7" man="1"/>
    <brk id="255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39" zoomScale="85" zoomScaleNormal="85" workbookViewId="0">
      <selection activeCell="B136" sqref="B136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4" t="s">
        <v>108</v>
      </c>
      <c r="C3" s="184"/>
      <c r="D3" s="184"/>
      <c r="E3" s="184"/>
      <c r="F3" s="184"/>
      <c r="G3" s="184"/>
      <c r="H3" s="184"/>
    </row>
    <row r="4" spans="1:9" x14ac:dyDescent="0.3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9"/>
      <c r="C4" s="49" t="s">
        <v>12</v>
      </c>
      <c r="D4" s="50" t="s">
        <v>181</v>
      </c>
      <c r="E4" s="50" t="s">
        <v>191</v>
      </c>
      <c r="F4" s="50" t="s">
        <v>175</v>
      </c>
      <c r="G4" s="50" t="s">
        <v>196</v>
      </c>
      <c r="H4" s="50" t="s">
        <v>214</v>
      </c>
      <c r="J4" t="s">
        <v>196</v>
      </c>
      <c r="K4" t="s">
        <v>212</v>
      </c>
    </row>
    <row r="5" spans="2:11" x14ac:dyDescent="0.3">
      <c r="B5" s="49"/>
      <c r="C5" s="49"/>
      <c r="D5" s="50" t="s">
        <v>182</v>
      </c>
      <c r="E5" s="50" t="s">
        <v>189</v>
      </c>
      <c r="F5" s="50" t="s">
        <v>211</v>
      </c>
      <c r="G5" s="50" t="s">
        <v>197</v>
      </c>
      <c r="H5" s="50" t="s">
        <v>215</v>
      </c>
    </row>
    <row r="6" spans="2:11" x14ac:dyDescent="0.3">
      <c r="B6" s="49"/>
      <c r="C6" s="49"/>
      <c r="D6" s="50" t="s">
        <v>183</v>
      </c>
      <c r="E6" s="50" t="s">
        <v>190</v>
      </c>
      <c r="F6" s="50" t="s">
        <v>212</v>
      </c>
      <c r="G6" s="50" t="s">
        <v>198</v>
      </c>
      <c r="H6" s="50" t="s">
        <v>228</v>
      </c>
    </row>
    <row r="7" spans="2:11" x14ac:dyDescent="0.3">
      <c r="B7" s="49"/>
      <c r="C7" s="49"/>
      <c r="D7" s="50" t="s">
        <v>184</v>
      </c>
      <c r="E7" s="50" t="s">
        <v>192</v>
      </c>
      <c r="F7" s="50" t="s">
        <v>213</v>
      </c>
      <c r="G7" s="50" t="s">
        <v>199</v>
      </c>
      <c r="H7" s="50" t="s">
        <v>216</v>
      </c>
    </row>
    <row r="8" spans="2:11" x14ac:dyDescent="0.3">
      <c r="B8" s="49"/>
      <c r="C8" s="49"/>
      <c r="D8" s="50" t="s">
        <v>185</v>
      </c>
      <c r="E8" s="50" t="s">
        <v>193</v>
      </c>
      <c r="F8" s="50"/>
      <c r="G8" s="50" t="s">
        <v>200</v>
      </c>
      <c r="H8" s="50" t="s">
        <v>217</v>
      </c>
    </row>
    <row r="9" spans="2:11" x14ac:dyDescent="0.3">
      <c r="B9" s="49"/>
      <c r="C9" s="49"/>
      <c r="D9" s="50" t="s">
        <v>186</v>
      </c>
      <c r="E9" s="50" t="s">
        <v>191</v>
      </c>
      <c r="F9" s="50"/>
      <c r="G9" s="50" t="s">
        <v>201</v>
      </c>
      <c r="H9" s="50" t="s">
        <v>218</v>
      </c>
    </row>
    <row r="10" spans="2:11" x14ac:dyDescent="0.3">
      <c r="B10" s="49"/>
      <c r="C10" s="49"/>
      <c r="D10" s="50" t="s">
        <v>187</v>
      </c>
      <c r="E10" s="50" t="s">
        <v>194</v>
      </c>
      <c r="F10" s="50"/>
      <c r="G10" s="50" t="s">
        <v>202</v>
      </c>
      <c r="H10" s="50" t="s">
        <v>219</v>
      </c>
    </row>
    <row r="11" spans="2:11" x14ac:dyDescent="0.3">
      <c r="B11" s="49"/>
      <c r="C11" s="49"/>
      <c r="D11" s="50" t="s">
        <v>188</v>
      </c>
      <c r="E11" s="50" t="s">
        <v>195</v>
      </c>
      <c r="F11" s="50"/>
      <c r="G11" s="50" t="s">
        <v>203</v>
      </c>
      <c r="H11" s="50" t="s">
        <v>220</v>
      </c>
    </row>
    <row r="12" spans="2:11" x14ac:dyDescent="0.3">
      <c r="B12" s="49"/>
      <c r="C12" s="49"/>
      <c r="D12" s="50"/>
      <c r="E12" s="50"/>
      <c r="F12" s="50"/>
      <c r="G12" s="50" t="s">
        <v>204</v>
      </c>
      <c r="H12" s="50" t="s">
        <v>221</v>
      </c>
    </row>
    <row r="13" spans="2:11" x14ac:dyDescent="0.3">
      <c r="B13" s="49"/>
      <c r="C13" s="49"/>
      <c r="D13" s="50"/>
      <c r="E13" s="50"/>
      <c r="F13" s="50"/>
      <c r="G13" s="50" t="s">
        <v>205</v>
      </c>
      <c r="H13" s="50" t="s">
        <v>222</v>
      </c>
    </row>
    <row r="14" spans="2:11" x14ac:dyDescent="0.3">
      <c r="B14" s="49"/>
      <c r="C14" s="49"/>
      <c r="D14" s="50"/>
      <c r="E14" s="50"/>
      <c r="F14" s="50"/>
      <c r="G14" s="50" t="s">
        <v>206</v>
      </c>
      <c r="H14" s="50" t="s">
        <v>223</v>
      </c>
    </row>
    <row r="15" spans="2:11" x14ac:dyDescent="0.3">
      <c r="B15" s="49"/>
      <c r="C15" s="49"/>
      <c r="D15" s="50"/>
      <c r="E15" s="50"/>
      <c r="F15" s="50"/>
      <c r="G15" s="50" t="s">
        <v>207</v>
      </c>
      <c r="H15" s="50" t="s">
        <v>224</v>
      </c>
    </row>
    <row r="16" spans="2:11" x14ac:dyDescent="0.3">
      <c r="B16" s="49"/>
      <c r="C16" s="49"/>
      <c r="D16" s="50"/>
      <c r="E16" s="50"/>
      <c r="F16" s="50"/>
      <c r="G16" s="50" t="s">
        <v>208</v>
      </c>
      <c r="H16" s="50" t="s">
        <v>225</v>
      </c>
    </row>
    <row r="17" spans="2:8" x14ac:dyDescent="0.3">
      <c r="B17" s="49"/>
      <c r="C17" s="49"/>
      <c r="D17" s="50"/>
      <c r="E17" s="50"/>
      <c r="F17" s="50"/>
      <c r="G17" s="50" t="s">
        <v>209</v>
      </c>
      <c r="H17" s="50" t="s">
        <v>226</v>
      </c>
    </row>
    <row r="18" spans="2:8" x14ac:dyDescent="0.3">
      <c r="B18" s="49"/>
      <c r="C18" s="49"/>
      <c r="D18" s="50"/>
      <c r="E18" s="50"/>
      <c r="F18" s="50"/>
      <c r="G18" s="50" t="s">
        <v>210</v>
      </c>
      <c r="H18" s="50" t="s">
        <v>227</v>
      </c>
    </row>
    <row r="24" spans="2:8" x14ac:dyDescent="0.3">
      <c r="C24" t="s">
        <v>172</v>
      </c>
    </row>
    <row r="25" spans="2:8" x14ac:dyDescent="0.3">
      <c r="C25" t="s">
        <v>229</v>
      </c>
    </row>
    <row r="26" spans="2:8" x14ac:dyDescent="0.3">
      <c r="C26" t="s">
        <v>230</v>
      </c>
    </row>
    <row r="27" spans="2:8" x14ac:dyDescent="0.3">
      <c r="C27" t="s">
        <v>231</v>
      </c>
    </row>
    <row r="28" spans="2:8" x14ac:dyDescent="0.3">
      <c r="C28" t="s">
        <v>232</v>
      </c>
    </row>
    <row r="29" spans="2:8" x14ac:dyDescent="0.3">
      <c r="C29" t="s">
        <v>233</v>
      </c>
    </row>
    <row r="30" spans="2:8" x14ac:dyDescent="0.3">
      <c r="C30" t="s">
        <v>172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2025-07-11T10:52:55Z</cp:lastPrinted>
  <dcterms:created xsi:type="dcterms:W3CDTF">2019-07-16T09:29:46Z</dcterms:created>
  <dcterms:modified xsi:type="dcterms:W3CDTF">2025-07-11T10:57:17Z</dcterms:modified>
</cp:coreProperties>
</file>