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Revised dump Report\"/>
    </mc:Choice>
  </mc:AlternateContent>
  <bookViews>
    <workbookView xWindow="0" yWindow="0" windowWidth="20490" windowHeight="7020" tabRatio="818"/>
  </bookViews>
  <sheets>
    <sheet name="Report (2)" sheetId="1" r:id="rId1"/>
    <sheet name="C%" sheetId="2" r:id="rId2"/>
    <sheet name="NOTE" sheetId="6" r:id="rId3"/>
    <sheet name="VALUATION" sheetId="5" r:id="rId4"/>
    <sheet name="Sheet1" sheetId="4" r:id="rId5"/>
    <sheet name="Flat detail" sheetId="3" r:id="rId6"/>
  </sheets>
  <definedNames>
    <definedName name="_xlnm.Print_Area" localSheetId="0">'Report (2)'!$A$1:$J$446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0" i="1" l="1"/>
  <c r="C73" i="1" l="1"/>
  <c r="C72" i="1"/>
  <c r="K17" i="1" l="1"/>
  <c r="N83" i="1" l="1"/>
  <c r="C71" i="1" l="1"/>
  <c r="M221" i="1" l="1"/>
  <c r="D222" i="1"/>
  <c r="D155" i="1"/>
  <c r="D153" i="1"/>
  <c r="D152" i="1"/>
  <c r="L235" i="1" l="1"/>
  <c r="D307" i="1"/>
  <c r="G307" i="1" s="1"/>
  <c r="D305" i="1"/>
  <c r="D304" i="1"/>
  <c r="G304" i="1" s="1"/>
  <c r="D303" i="1"/>
  <c r="D302" i="1"/>
  <c r="G302" i="1" s="1"/>
  <c r="D301" i="1"/>
  <c r="D300" i="1"/>
  <c r="G300" i="1" s="1"/>
  <c r="D298" i="1"/>
  <c r="D297" i="1"/>
  <c r="G297" i="1" s="1"/>
  <c r="D296" i="1"/>
  <c r="D295" i="1"/>
  <c r="G295" i="1" s="1"/>
  <c r="D294" i="1"/>
  <c r="G294" i="1" s="1"/>
  <c r="D293" i="1"/>
  <c r="G293" i="1" s="1"/>
  <c r="D292" i="1"/>
  <c r="D291" i="1"/>
  <c r="G291" i="1" s="1"/>
  <c r="D289" i="1"/>
  <c r="G289" i="1" s="1"/>
  <c r="D288" i="1"/>
  <c r="G288" i="1" s="1"/>
  <c r="D286" i="1"/>
  <c r="D285" i="1"/>
  <c r="G285" i="1" s="1"/>
  <c r="D284" i="1"/>
  <c r="D283" i="1"/>
  <c r="G283" i="1" s="1"/>
  <c r="D282" i="1"/>
  <c r="D281" i="1"/>
  <c r="G281" i="1" s="1"/>
  <c r="D280" i="1"/>
  <c r="D278" i="1"/>
  <c r="G278" i="1" s="1"/>
  <c r="D277" i="1"/>
  <c r="D276" i="1"/>
  <c r="D275" i="1"/>
  <c r="G275" i="1" s="1"/>
  <c r="D274" i="1"/>
  <c r="G274" i="1" s="1"/>
  <c r="D273" i="1"/>
  <c r="D272" i="1"/>
  <c r="G272" i="1" s="1"/>
  <c r="D271" i="1"/>
  <c r="G271" i="1" s="1"/>
  <c r="D270" i="1"/>
  <c r="G270" i="1" s="1"/>
  <c r="D269" i="1"/>
  <c r="D267" i="1"/>
  <c r="G267" i="1" s="1"/>
  <c r="D266" i="1"/>
  <c r="D265" i="1"/>
  <c r="G265" i="1" s="1"/>
  <c r="D264" i="1"/>
  <c r="G264" i="1" s="1"/>
  <c r="D263" i="1"/>
  <c r="G263" i="1" s="1"/>
  <c r="D262" i="1"/>
  <c r="D261" i="1"/>
  <c r="G261" i="1" s="1"/>
  <c r="D260" i="1"/>
  <c r="G260" i="1" s="1"/>
  <c r="D259" i="1"/>
  <c r="G259" i="1" s="1"/>
  <c r="D258" i="1"/>
  <c r="D256" i="1"/>
  <c r="D255" i="1"/>
  <c r="D253" i="1"/>
  <c r="D252" i="1"/>
  <c r="D251" i="1"/>
  <c r="D250" i="1"/>
  <c r="D249" i="1"/>
  <c r="D248" i="1"/>
  <c r="D247" i="1"/>
  <c r="D245" i="1"/>
  <c r="G245" i="1" s="1"/>
  <c r="D244" i="1"/>
  <c r="G244" i="1" s="1"/>
  <c r="D243" i="1"/>
  <c r="D242" i="1"/>
  <c r="D241" i="1"/>
  <c r="D240" i="1"/>
  <c r="D239" i="1"/>
  <c r="D238" i="1"/>
  <c r="D237" i="1"/>
  <c r="D236" i="1"/>
  <c r="D233" i="1"/>
  <c r="G233" i="1" s="1"/>
  <c r="D232" i="1"/>
  <c r="G232" i="1" s="1"/>
  <c r="D231" i="1"/>
  <c r="G231" i="1" s="1"/>
  <c r="D230" i="1"/>
  <c r="G230" i="1" s="1"/>
  <c r="D229" i="1"/>
  <c r="G229" i="1" s="1"/>
  <c r="D226" i="1"/>
  <c r="D225" i="1"/>
  <c r="D224" i="1"/>
  <c r="D223" i="1"/>
  <c r="C108" i="1" s="1"/>
  <c r="D216" i="1"/>
  <c r="D215" i="1"/>
  <c r="D213" i="1"/>
  <c r="D212" i="1"/>
  <c r="D211" i="1"/>
  <c r="D210" i="1"/>
  <c r="D209" i="1"/>
  <c r="D208" i="1"/>
  <c r="D207" i="1"/>
  <c r="D205" i="1"/>
  <c r="D204" i="1"/>
  <c r="D203" i="1"/>
  <c r="D202" i="1"/>
  <c r="D201" i="1"/>
  <c r="D200" i="1"/>
  <c r="D199" i="1"/>
  <c r="D198" i="1"/>
  <c r="D197" i="1"/>
  <c r="D196" i="1"/>
  <c r="D194" i="1"/>
  <c r="D193" i="1"/>
  <c r="D191" i="1"/>
  <c r="D190" i="1"/>
  <c r="D189" i="1"/>
  <c r="D188" i="1"/>
  <c r="D187" i="1"/>
  <c r="D186" i="1"/>
  <c r="D185" i="1"/>
  <c r="D183" i="1"/>
  <c r="D182" i="1"/>
  <c r="D181" i="1"/>
  <c r="D180" i="1"/>
  <c r="D179" i="1"/>
  <c r="D178" i="1"/>
  <c r="D177" i="1"/>
  <c r="D176" i="1"/>
  <c r="D175" i="1"/>
  <c r="D174" i="1"/>
  <c r="D172" i="1"/>
  <c r="D171" i="1"/>
  <c r="D169" i="1"/>
  <c r="D168" i="1"/>
  <c r="D167" i="1"/>
  <c r="D166" i="1"/>
  <c r="D165" i="1"/>
  <c r="D164" i="1"/>
  <c r="D163" i="1"/>
  <c r="D161" i="1"/>
  <c r="D160" i="1"/>
  <c r="D159" i="1"/>
  <c r="D158" i="1"/>
  <c r="D157" i="1"/>
  <c r="D156" i="1"/>
  <c r="D154" i="1"/>
  <c r="D145" i="1"/>
  <c r="D103" i="1" s="1"/>
  <c r="D139" i="1"/>
  <c r="D138" i="1"/>
  <c r="D137" i="1"/>
  <c r="D136" i="1"/>
  <c r="D135" i="1"/>
  <c r="D134" i="1"/>
  <c r="D133" i="1"/>
  <c r="D132" i="1"/>
  <c r="D131" i="1"/>
  <c r="D130" i="1"/>
  <c r="D129" i="1"/>
  <c r="D128" i="1"/>
  <c r="D127" i="1"/>
  <c r="D126" i="1"/>
  <c r="D124" i="1"/>
  <c r="D122" i="1"/>
  <c r="A208" i="1"/>
  <c r="A209" i="1" s="1"/>
  <c r="A210" i="1" s="1"/>
  <c r="A211" i="1" s="1"/>
  <c r="A212" i="1" s="1"/>
  <c r="A213" i="1" s="1"/>
  <c r="A214" i="1" s="1"/>
  <c r="A215" i="1" s="1"/>
  <c r="A216" i="1" s="1"/>
  <c r="A197" i="1"/>
  <c r="A198" i="1" s="1"/>
  <c r="A199" i="1" s="1"/>
  <c r="A200" i="1" s="1"/>
  <c r="A201" i="1" s="1"/>
  <c r="A202" i="1" s="1"/>
  <c r="A203" i="1" s="1"/>
  <c r="A204" i="1" s="1"/>
  <c r="A205" i="1" s="1"/>
  <c r="A186" i="1"/>
  <c r="A187" i="1" s="1"/>
  <c r="A188" i="1" s="1"/>
  <c r="A189" i="1" s="1"/>
  <c r="A190" i="1" s="1"/>
  <c r="A191" i="1" s="1"/>
  <c r="A192" i="1" s="1"/>
  <c r="A193" i="1" s="1"/>
  <c r="A194" i="1" s="1"/>
  <c r="A175" i="1"/>
  <c r="A176" i="1" s="1"/>
  <c r="A177" i="1" s="1"/>
  <c r="A178" i="1" s="1"/>
  <c r="A179" i="1" s="1"/>
  <c r="A180" i="1" s="1"/>
  <c r="A181" i="1" s="1"/>
  <c r="A182" i="1" s="1"/>
  <c r="A183" i="1" s="1"/>
  <c r="A164" i="1"/>
  <c r="A165" i="1" s="1"/>
  <c r="A166" i="1" s="1"/>
  <c r="A167" i="1" s="1"/>
  <c r="A168" i="1" s="1"/>
  <c r="A169" i="1" s="1"/>
  <c r="A170" i="1" s="1"/>
  <c r="A171" i="1" s="1"/>
  <c r="A172" i="1" s="1"/>
  <c r="A306" i="1"/>
  <c r="A307" i="1" s="1"/>
  <c r="G305" i="1"/>
  <c r="G303" i="1"/>
  <c r="G301" i="1"/>
  <c r="A301" i="1"/>
  <c r="A302" i="1" s="1"/>
  <c r="A303" i="1" s="1"/>
  <c r="A304" i="1" s="1"/>
  <c r="I300" i="1"/>
  <c r="G298" i="1"/>
  <c r="G292" i="1"/>
  <c r="G296" i="1"/>
  <c r="A292" i="1"/>
  <c r="A293" i="1" s="1"/>
  <c r="A294" i="1" s="1"/>
  <c r="A295" i="1" s="1"/>
  <c r="A297" i="1" s="1"/>
  <c r="A298" i="1" s="1"/>
  <c r="I291" i="1"/>
  <c r="G286" i="1"/>
  <c r="G284" i="1"/>
  <c r="G282" i="1"/>
  <c r="A281" i="1"/>
  <c r="A282" i="1" s="1"/>
  <c r="A283" i="1" s="1"/>
  <c r="A284" i="1" s="1"/>
  <c r="A285" i="1" s="1"/>
  <c r="A286" i="1" s="1"/>
  <c r="A287" i="1" s="1"/>
  <c r="A288" i="1" s="1"/>
  <c r="A289" i="1" s="1"/>
  <c r="I280" i="1"/>
  <c r="G280" i="1"/>
  <c r="G277" i="1"/>
  <c r="G276" i="1"/>
  <c r="G273" i="1"/>
  <c r="A270" i="1"/>
  <c r="A271" i="1" s="1"/>
  <c r="A272" i="1" s="1"/>
  <c r="A273" i="1" s="1"/>
  <c r="A274" i="1" s="1"/>
  <c r="A275" i="1" s="1"/>
  <c r="A276" i="1" s="1"/>
  <c r="A277" i="1" s="1"/>
  <c r="A278" i="1" s="1"/>
  <c r="I269" i="1"/>
  <c r="G269" i="1"/>
  <c r="G266" i="1"/>
  <c r="G262" i="1"/>
  <c r="A259" i="1"/>
  <c r="A260" i="1" s="1"/>
  <c r="A261" i="1" s="1"/>
  <c r="A262" i="1" s="1"/>
  <c r="A263" i="1" s="1"/>
  <c r="A264" i="1" s="1"/>
  <c r="A265" i="1" s="1"/>
  <c r="A266" i="1" s="1"/>
  <c r="A267" i="1" s="1"/>
  <c r="I258" i="1"/>
  <c r="G258" i="1"/>
  <c r="I236" i="1"/>
  <c r="K235" i="1"/>
  <c r="A230" i="1"/>
  <c r="A231" i="1" s="1"/>
  <c r="A232" i="1" s="1"/>
  <c r="A233" i="1" s="1"/>
  <c r="I228" i="1"/>
  <c r="D107" i="1" l="1"/>
  <c r="D112" i="1"/>
  <c r="C107" i="1"/>
  <c r="D108" i="1"/>
  <c r="C112" i="1"/>
  <c r="C102" i="1"/>
  <c r="D102" i="1"/>
  <c r="C103" i="1"/>
  <c r="K218" i="1"/>
  <c r="A223" i="1"/>
  <c r="A224" i="1" s="1"/>
  <c r="A225" i="1" s="1"/>
  <c r="A226" i="1" s="1"/>
  <c r="I221" i="1"/>
  <c r="G216" i="1"/>
  <c r="G215" i="1"/>
  <c r="G213" i="1"/>
  <c r="G212" i="1"/>
  <c r="G211" i="1"/>
  <c r="G210" i="1"/>
  <c r="G209" i="1"/>
  <c r="G208" i="1"/>
  <c r="I207" i="1"/>
  <c r="G207" i="1"/>
  <c r="G204" i="1"/>
  <c r="G203" i="1"/>
  <c r="G201" i="1"/>
  <c r="G202" i="1"/>
  <c r="G200" i="1"/>
  <c r="G199" i="1"/>
  <c r="G197" i="1"/>
  <c r="G198" i="1"/>
  <c r="I196" i="1"/>
  <c r="G196" i="1"/>
  <c r="G181" i="1"/>
  <c r="G205" i="1"/>
  <c r="G194" i="1"/>
  <c r="G193" i="1"/>
  <c r="G191" i="1"/>
  <c r="G190" i="1"/>
  <c r="G189" i="1"/>
  <c r="G188" i="1"/>
  <c r="G187" i="1"/>
  <c r="G186" i="1"/>
  <c r="I185" i="1"/>
  <c r="G185" i="1"/>
  <c r="G183" i="1"/>
  <c r="G182" i="1"/>
  <c r="G180" i="1"/>
  <c r="G179" i="1"/>
  <c r="G178" i="1"/>
  <c r="G177" i="1"/>
  <c r="G176" i="1"/>
  <c r="G175" i="1"/>
  <c r="G174" i="1"/>
  <c r="I174" i="1"/>
  <c r="C113" i="1" l="1"/>
  <c r="D113" i="1"/>
  <c r="K148" i="1"/>
  <c r="I152" i="1"/>
  <c r="G155" i="1"/>
  <c r="A153" i="1"/>
  <c r="A154" i="1" s="1"/>
  <c r="A155" i="1" s="1"/>
  <c r="A156" i="1" s="1"/>
  <c r="A157" i="1" s="1"/>
  <c r="A158" i="1" s="1"/>
  <c r="A159" i="1" s="1"/>
  <c r="A160" i="1" s="1"/>
  <c r="A161" i="1" s="1"/>
  <c r="G145" i="1"/>
  <c r="G103" i="1" s="1"/>
  <c r="I141" i="1"/>
  <c r="I124" i="1"/>
  <c r="G139" i="1"/>
  <c r="G138" i="1"/>
  <c r="G137" i="1"/>
  <c r="A137" i="1"/>
  <c r="A138" i="1" s="1"/>
  <c r="A139" i="1" s="1"/>
  <c r="K121" i="1"/>
  <c r="C78" i="1"/>
  <c r="C64" i="1"/>
  <c r="L89" i="1" l="1"/>
  <c r="L88" i="1"/>
  <c r="L87" i="1"/>
  <c r="I79" i="1"/>
  <c r="D84" i="1" l="1"/>
  <c r="D90" i="1"/>
  <c r="D88" i="1"/>
  <c r="D85" i="1"/>
  <c r="L82" i="1"/>
  <c r="D86" i="1"/>
  <c r="L83" i="1"/>
  <c r="C82" i="1" s="1"/>
  <c r="L81" i="1"/>
  <c r="D91" i="1"/>
  <c r="D89" i="1"/>
  <c r="D87" i="1"/>
  <c r="L84" i="1"/>
  <c r="L85" i="1" s="1"/>
  <c r="L90" i="1" s="1"/>
  <c r="C57" i="1"/>
  <c r="H51" i="1"/>
  <c r="H52" i="1" s="1"/>
  <c r="F44" i="1"/>
  <c r="L86" i="1" l="1"/>
  <c r="L91" i="1" s="1"/>
  <c r="C83" i="1" s="1"/>
  <c r="D82" i="1"/>
  <c r="F82" i="1" l="1"/>
  <c r="K78" i="1" s="1"/>
  <c r="C80" i="1" s="1"/>
  <c r="D83" i="1"/>
  <c r="H82" i="1"/>
  <c r="F3" i="1" l="1"/>
  <c r="G99" i="1" l="1"/>
  <c r="M152" i="1" l="1"/>
  <c r="M151" i="1"/>
  <c r="M150" i="1"/>
  <c r="M149" i="1"/>
  <c r="M148" i="1"/>
  <c r="M147" i="1"/>
  <c r="L166" i="1"/>
  <c r="L165" i="1"/>
  <c r="L164" i="1"/>
  <c r="L162" i="1"/>
  <c r="L161" i="1"/>
  <c r="L163" i="1"/>
  <c r="L167" i="1" l="1"/>
  <c r="M153" i="1"/>
  <c r="L75" i="1"/>
  <c r="I65" i="1"/>
  <c r="L70" i="1" l="1"/>
  <c r="L71" i="1" s="1"/>
  <c r="L76" i="1" s="1"/>
  <c r="D70" i="1"/>
  <c r="L68" i="1"/>
  <c r="D77" i="1"/>
  <c r="D76" i="1"/>
  <c r="D75" i="1"/>
  <c r="D74" i="1"/>
  <c r="D73" i="1"/>
  <c r="D72" i="1"/>
  <c r="D71" i="1"/>
  <c r="L69" i="1"/>
  <c r="C68" i="1" s="1"/>
  <c r="L67" i="1"/>
  <c r="L72" i="1" l="1"/>
  <c r="L73" i="1" s="1"/>
  <c r="L74" i="1" s="1"/>
  <c r="D68" i="1"/>
  <c r="L77" i="1" l="1"/>
  <c r="C69" i="1" s="1"/>
  <c r="F68" i="1" l="1"/>
  <c r="K64" i="1" s="1"/>
  <c r="C66" i="1" s="1"/>
  <c r="H68" i="1"/>
  <c r="D69" i="1"/>
  <c r="F6" i="5" l="1"/>
  <c r="G6" i="5" s="1"/>
  <c r="F7" i="5"/>
  <c r="G7" i="5" s="1"/>
  <c r="F8" i="5"/>
  <c r="G8" i="5" s="1"/>
  <c r="F9" i="5"/>
  <c r="G9" i="5" s="1"/>
  <c r="G11" i="5"/>
  <c r="G10" i="5"/>
  <c r="F5" i="5"/>
  <c r="G5" i="5" s="1"/>
  <c r="F12" i="5"/>
  <c r="G12" i="5" l="1"/>
  <c r="G243" i="1"/>
  <c r="G242" i="1"/>
  <c r="G241" i="1"/>
  <c r="G240" i="1"/>
  <c r="G239" i="1"/>
  <c r="G238" i="1"/>
  <c r="G237" i="1"/>
  <c r="G236" i="1"/>
  <c r="G247" i="1" l="1"/>
  <c r="G248" i="1"/>
  <c r="G249" i="1"/>
  <c r="G250" i="1"/>
  <c r="G251" i="1"/>
  <c r="G252" i="1"/>
  <c r="G253" i="1"/>
  <c r="G255" i="1"/>
  <c r="I247" i="1"/>
  <c r="G256" i="1"/>
  <c r="G222" i="1"/>
  <c r="G223" i="1"/>
  <c r="G224" i="1"/>
  <c r="G225" i="1"/>
  <c r="G226" i="1"/>
  <c r="F45" i="1"/>
  <c r="G108" i="1" l="1"/>
  <c r="G112" i="1"/>
  <c r="G113" i="1" s="1"/>
  <c r="I163" i="1"/>
  <c r="I122" i="1"/>
  <c r="M207" i="1"/>
  <c r="M208" i="1"/>
  <c r="M211" i="1"/>
  <c r="G172" i="1"/>
  <c r="G171" i="1"/>
  <c r="G169" i="1"/>
  <c r="G163" i="1"/>
  <c r="G168" i="1"/>
  <c r="G167" i="1"/>
  <c r="G166" i="1"/>
  <c r="G165" i="1"/>
  <c r="G164" i="1"/>
  <c r="G156" i="1"/>
  <c r="G161" i="1"/>
  <c r="G160" i="1"/>
  <c r="G159" i="1"/>
  <c r="G158" i="1"/>
  <c r="G157" i="1"/>
  <c r="G154" i="1"/>
  <c r="G153" i="1"/>
  <c r="G152" i="1"/>
  <c r="D322" i="1"/>
  <c r="G136" i="1"/>
  <c r="G135" i="1"/>
  <c r="G134" i="1"/>
  <c r="G133" i="1"/>
  <c r="G132" i="1"/>
  <c r="G131" i="1"/>
  <c r="G130" i="1"/>
  <c r="G129" i="1"/>
  <c r="G128" i="1"/>
  <c r="G127" i="1"/>
  <c r="G126" i="1"/>
  <c r="G124" i="1"/>
  <c r="G122" i="1"/>
  <c r="G107" i="1" l="1"/>
  <c r="G102" i="1"/>
  <c r="M209" i="1"/>
  <c r="B7" i="2"/>
  <c r="G15" i="2" l="1"/>
  <c r="G16" i="2" s="1"/>
  <c r="C15" i="2" s="1"/>
  <c r="H15" i="2"/>
  <c r="B16" i="2" s="1"/>
  <c r="D6" i="2"/>
  <c r="C5" i="2"/>
  <c r="B12" i="2" s="1"/>
  <c r="G109" i="1"/>
  <c r="D109" i="1"/>
  <c r="C109" i="1"/>
  <c r="G104" i="1"/>
  <c r="D104" i="1"/>
  <c r="D114" i="1" s="1"/>
  <c r="C104" i="1"/>
  <c r="C51" i="1"/>
  <c r="F46" i="1"/>
  <c r="F7" i="1"/>
  <c r="C114" i="1" l="1"/>
  <c r="G114" i="1"/>
  <c r="B15" i="2"/>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 r="A237" i="1"/>
  <c r="A238" i="1" s="1"/>
  <c r="A239" i="1" s="1"/>
  <c r="A240" i="1" s="1"/>
  <c r="A241" i="1" s="1"/>
  <c r="A242" i="1" s="1"/>
  <c r="A243" i="1" s="1"/>
  <c r="A244" i="1" s="1"/>
  <c r="A245" i="1" s="1"/>
</calcChain>
</file>

<file path=xl/sharedStrings.xml><?xml version="1.0" encoding="utf-8"?>
<sst xmlns="http://schemas.openxmlformats.org/spreadsheetml/2006/main" count="904" uniqueCount="334">
  <si>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</si>
  <si>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</si>
  <si>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</si>
  <si>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</si>
  <si>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</si>
  <si>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</si>
  <si>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</si>
  <si>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</si>
  <si>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</si>
  <si>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</si>
  <si>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</si>
  <si>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</si>
  <si>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</si>
  <si>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</si>
  <si>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</si>
  <si>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</si>
  <si>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</si>
  <si>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</si>
  <si>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</si>
  <si>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</si>
  <si>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</si>
  <si>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</si>
  <si>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</si>
  <si>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</si>
  <si>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</si>
  <si>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</si>
  <si>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</si>
  <si>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</si>
  <si>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</si>
  <si>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</si>
  <si>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</si>
  <si>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</si>
  <si>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</si>
  <si>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</si>
  <si>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</si>
  <si>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</si>
  <si>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</si>
  <si>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</si>
  <si>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</si>
  <si>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</si>
  <si>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</si>
  <si>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</si>
  <si>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</si>
  <si>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</si>
  <si>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</si>
  <si>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</si>
  <si>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</si>
  <si>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</si>
  <si>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</si>
  <si>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</si>
  <si>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</si>
  <si>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</si>
  <si>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</si>
  <si>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</si>
  <si>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</si>
  <si>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</si>
  <si>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</si>
  <si>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</si>
  <si>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</si>
  <si>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</si>
  <si>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</si>
  <si>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</si>
  <si>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</si>
  <si>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</si>
  <si>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</si>
  <si>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</si>
  <si>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</si>
  <si>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</si>
  <si>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</si>
  <si>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</si>
  <si>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</si>
  <si>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</si>
  <si>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</si>
  <si>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</si>
  <si>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</si>
  <si>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</si>
  <si>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</si>
  <si>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</si>
  <si>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</si>
  <si>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</si>
  <si>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</si>
  <si>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</si>
  <si>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</si>
  <si>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</si>
  <si>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</si>
  <si>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</si>
  <si>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</si>
  <si>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</si>
  <si>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</si>
  <si>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</si>
  <si>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</si>
  <si>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</si>
  <si>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</si>
  <si>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</si>
  <si>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</si>
  <si>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</si>
  <si>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</si>
  <si>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</si>
  <si>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</si>
  <si>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</si>
  <si>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</si>
  <si>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</si>
  <si>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</si>
  <si>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</si>
  <si>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</si>
  <si>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</si>
  <si>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</si>
  <si>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</si>
  <si>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</si>
  <si>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</si>
  <si>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</si>
  <si>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</si>
  <si>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</si>
  <si>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</si>
  <si>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</si>
  <si>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</si>
  <si>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</si>
  <si>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</si>
  <si>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</si>
  <si>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</si>
  <si>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</si>
  <si>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</si>
  <si>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</si>
  <si>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</si>
  <si>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</si>
  <si>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</si>
  <si>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</si>
  <si>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</si>
  <si>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</si>
  <si>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</si>
  <si>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</si>
  <si>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</si>
  <si>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</si>
  <si>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</si>
  <si>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</si>
  <si>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</si>
  <si>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</si>
  <si>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</si>
  <si>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</si>
  <si>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</si>
  <si>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</si>
  <si>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</si>
  <si>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</si>
  <si>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</si>
  <si>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</si>
  <si>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</si>
  <si>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Commercial Area Details :</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</si>
  <si>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</si>
  <si>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</si>
  <si>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</si>
  <si>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</si>
  <si>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</si>
  <si>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</si>
  <si>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</si>
  <si>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</si>
  <si>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</si>
  <si>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</si>
  <si>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</si>
  <si>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</si>
  <si>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</si>
  <si>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</si>
  <si>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</si>
  <si>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</si>
  <si>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</si>
  <si>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</si>
  <si>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</si>
  <si>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</si>
  <si>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</si>
  <si>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</si>
  <si>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</si>
  <si>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</si>
  <si>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</si>
  <si>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 xml:space="preserve">M/s.Vinayak Developers
</t>
  </si>
  <si>
    <t>Mahavir Spring Phase - I</t>
  </si>
  <si>
    <t>022-21027711/22</t>
  </si>
  <si>
    <t>P51700022994</t>
  </si>
  <si>
    <t>Thane</t>
  </si>
  <si>
    <t>Shop</t>
  </si>
  <si>
    <t>3BHK</t>
  </si>
  <si>
    <t>1BHK</t>
  </si>
  <si>
    <t>2BHK</t>
  </si>
  <si>
    <t>Refuge Area</t>
  </si>
  <si>
    <t>Mhada</t>
  </si>
  <si>
    <t>Sale</t>
  </si>
  <si>
    <t>Dhanashree</t>
  </si>
  <si>
    <t>About 5Km from Thane Railway Station</t>
  </si>
  <si>
    <t>Residential + Commercial</t>
  </si>
  <si>
    <t xml:space="preserve">Material laying at Site: Bricks, Cement &amp; Steel etc. </t>
  </si>
  <si>
    <t xml:space="preserve">Wheather the construction is as per approved Building plan : Under Construction </t>
  </si>
  <si>
    <t>Name of the Building (As per RERA)</t>
  </si>
  <si>
    <t>Survey No</t>
  </si>
  <si>
    <t>Sector</t>
  </si>
  <si>
    <t>Majiwade</t>
  </si>
  <si>
    <t xml:space="preserve">Open Plot
</t>
  </si>
  <si>
    <t xml:space="preserve">Bethany Hospital
</t>
  </si>
  <si>
    <t>Building No.2</t>
  </si>
  <si>
    <t>-</t>
  </si>
  <si>
    <t>Flat/Shop No.
(As per Sale Plan)</t>
  </si>
  <si>
    <t>04/11/2020.</t>
  </si>
  <si>
    <t>Market Research Data</t>
  </si>
  <si>
    <t>Source</t>
  </si>
  <si>
    <t>Distance from proposed property</t>
  </si>
  <si>
    <t>Net Carpet</t>
  </si>
  <si>
    <t>Saleable Area</t>
  </si>
  <si>
    <t>Rate on Saleable</t>
  </si>
  <si>
    <t>Market Value</t>
  </si>
  <si>
    <t>magicbricks</t>
  </si>
  <si>
    <t>Average</t>
  </si>
  <si>
    <t xml:space="preserve">Valuation Adopted </t>
  </si>
  <si>
    <t>99acres</t>
  </si>
  <si>
    <t>OLD APF</t>
  </si>
  <si>
    <t>1.0Rate has not Chnaged.</t>
  </si>
  <si>
    <t>Asmita</t>
  </si>
  <si>
    <t>Cost sheet send by Akash ™</t>
  </si>
  <si>
    <t>He said to add only other charges</t>
  </si>
  <si>
    <t>Rate will remain same</t>
  </si>
  <si>
    <t>Pratiksha</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</si>
  <si>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</si>
  <si>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</si>
  <si>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</si>
  <si>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</si>
  <si>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</si>
  <si>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</si>
  <si>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</si>
  <si>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</si>
  <si>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</si>
  <si>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</si>
  <si>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</si>
  <si>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</si>
  <si>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</si>
  <si>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</si>
  <si>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</si>
  <si>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</si>
  <si>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</si>
  <si>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</si>
  <si>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</si>
  <si>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</si>
  <si>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</si>
  <si>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</si>
  <si>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</si>
  <si>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</si>
  <si>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Possession Charges</t>
  </si>
  <si>
    <t>1,50,000/-</t>
  </si>
  <si>
    <t>5,00,000/-</t>
  </si>
  <si>
    <t xml:space="preserve">14600
</t>
  </si>
  <si>
    <t>Location Link</t>
  </si>
  <si>
    <t>Office No. 1031, Wing J, Akshar Business Park, Plot No. 03 Sector 25, Near APMC Market,
Vashi, Navi Mumbai, Maharashtra 400703 TEL: 022-46090378/79/80
E mail : vsjcapf@gmail.com. Web site : www.vsjadon.com</t>
  </si>
  <si>
    <t>Building No.1 &amp; 2</t>
  </si>
  <si>
    <t>Contact Details ( Name &amp; Contact No.)</t>
  </si>
  <si>
    <t>Building No.1</t>
  </si>
  <si>
    <t>P51700045504</t>
  </si>
  <si>
    <t>Mahavir Spring</t>
  </si>
  <si>
    <t>Site Person - Contact Details (Name &amp; Contact No.)</t>
  </si>
  <si>
    <t>289/2/2/2, 289/2/2/3, 289/2/2/5, 289/2/4/1, 280/1/2/2, 280/1/3/1, 280/4/1, 280/4/2, 415/1/1, 415/1/2, 415/1/3, 415/1/4, 415/1/5, 289/2/2/4 &amp; 289/2/4/2</t>
  </si>
  <si>
    <t>19.221917,72.961333</t>
  </si>
  <si>
    <t>https://maps.app.goo.gl/na54Xbho3TVWBDT19</t>
  </si>
  <si>
    <t>02 Building</t>
  </si>
  <si>
    <t>V.PS04/0100/16/TMC/TDD/4465/23</t>
  </si>
  <si>
    <t xml:space="preserve">Commencement Certificate No.
Valid Up to: </t>
  </si>
  <si>
    <t>Bldg.No.1</t>
  </si>
  <si>
    <t>Bldg.No.2</t>
  </si>
  <si>
    <t>As per RERA (30/12/2025)</t>
  </si>
  <si>
    <t>As per RERA (30/12/2027)</t>
  </si>
  <si>
    <t xml:space="preserve">Building No.1 &amp; 2 = B + LW Gr + UP Gr A + UP Gr B + UP Stilt/(F.C)/Podium + 1st to 42nd Floor </t>
  </si>
  <si>
    <t>Ajay Songare</t>
  </si>
  <si>
    <t>Layout:</t>
  </si>
  <si>
    <t>Pokharan Rd Number 2 &amp; Mission Dr Road</t>
  </si>
  <si>
    <t>Proposed no of Floors</t>
  </si>
  <si>
    <t xml:space="preserve">Building No.1 = B + LW Gr + UP Gr A + UP Gr B + UP Stilt/(F.C)/Podium + 1st to 42nd Floor </t>
  </si>
  <si>
    <t xml:space="preserve">Building No.2 = B + LW Gr + UP Gr A + UP Gr B + UP Stilt/(F.C)/Podium + 1st to 42nd Floor </t>
  </si>
  <si>
    <t xml:space="preserve">Details of Residential &amp; Commercials in Building    </t>
  </si>
  <si>
    <t>Basement Floor For Flushing Tank. STP, Domestic Tank, Panel Room, Fire Tank &amp; Parking</t>
  </si>
  <si>
    <t>A1</t>
  </si>
  <si>
    <t>Lower Ground Floor For Commercial, B.M.S Room &amp; Parking</t>
  </si>
  <si>
    <t>1A</t>
  </si>
  <si>
    <t xml:space="preserve">Store Triplex With Shop Upper Ground A &amp;  Upper Ground B Floor </t>
  </si>
  <si>
    <t>Shop Duplex with Upper Ground B Floor</t>
  </si>
  <si>
    <t>Shop Triplex with Lower Ground &amp; Upper Ground B Floor</t>
  </si>
  <si>
    <t>Upper Ground A Floor For Commercial, Entrance Lobby, Society Office &amp; Parking</t>
  </si>
  <si>
    <t>Shop Duplex with Upper Ground A Floor</t>
  </si>
  <si>
    <t>Shop Triplex with Lower Ground &amp; Upper Ground A Floor</t>
  </si>
  <si>
    <t>Office</t>
  </si>
  <si>
    <t>Upper Ground B Floor For Commercial, Pantry, Store Room &amp; Parking</t>
  </si>
  <si>
    <t>Mahavir Spring-Daffodils-P3 (Building No.1)</t>
  </si>
  <si>
    <t>Upper Stilt Floor For Amenities</t>
  </si>
  <si>
    <t>Swimming Pool, Parking, Club House, Fitness Center, Lifts, Childerns Play Area etc.</t>
  </si>
  <si>
    <t>1st to 3rd, 5th to 7th, 9th to 12th, 14th &amp; 15th Floor For Residential</t>
  </si>
  <si>
    <t>4th, 8th, 13th Floor (Part Refuge Area)</t>
  </si>
  <si>
    <t>16th, 17th, 19th to 22nd, 24th to 27th, 29th to 32nd, 34th Floor</t>
  </si>
  <si>
    <t>18th, 23rd, 28th, 33rd Floor (Part Refuge Area)</t>
  </si>
  <si>
    <t>35th to 37th &amp; 39th to 42nd Floor</t>
  </si>
  <si>
    <t>38th Floor (Part Refuge Area)</t>
  </si>
  <si>
    <t>Mahavir Spring - Tulip - Phase1 (Building No.2)</t>
  </si>
  <si>
    <t>Basement Floor For Entrance Lobby, Panel Room &amp; Parking</t>
  </si>
  <si>
    <t>Lower Ground Floor For Entrnce Lobby &amp; Parking</t>
  </si>
  <si>
    <t>Upper Ground A Floor For Residential, Society Office &amp; (Part Parking Area)</t>
  </si>
  <si>
    <t>Parking Area</t>
  </si>
  <si>
    <t>Upper Ground B Floor &amp; (Part Parking Area)</t>
  </si>
  <si>
    <t>2.5BHK</t>
  </si>
  <si>
    <t>4th, 7th, 12th, 17th Floor (Part Refuge Area)</t>
  </si>
  <si>
    <t>19th Floor</t>
  </si>
  <si>
    <t>20th, 21st, 23rd to 26th, 28th to 31st, 33rd &amp; 34th Floor</t>
  </si>
  <si>
    <t>22nd, 27th &amp; 32nd Floor (Part Refuge Area)</t>
  </si>
  <si>
    <t>35th, 36th, 38th to 41st Floor</t>
  </si>
  <si>
    <t>3.5BHK</t>
  </si>
  <si>
    <t>37th &amp; 42nd Floor (Part Refuge Area)</t>
  </si>
  <si>
    <t>Residential Area Details :(Sale Flat)</t>
  </si>
  <si>
    <t>Residential Area Details :(Mhada Flat)</t>
  </si>
  <si>
    <t>1st to 3rd, 5th, 6th, 8th to 11th, 13th to 16th,18th Floor For Residential</t>
  </si>
  <si>
    <t>Grand Total</t>
  </si>
  <si>
    <t xml:space="preserve">SHEET No.15 </t>
  </si>
  <si>
    <t>Sale Flat =758, Sale Shop = 16, Sale Office = 1, Mhada Flat = 59</t>
  </si>
  <si>
    <t>Flat/Shop/Office No.
(As per Sale Plan)</t>
  </si>
  <si>
    <t>As per Layout</t>
  </si>
  <si>
    <t>P.G Reservation No.4</t>
  </si>
  <si>
    <t>Pokharan Rd Number 2 &amp; Upvan Lake Road</t>
  </si>
  <si>
    <t>Mission Dr Road</t>
  </si>
  <si>
    <t xml:space="preserve">Building
</t>
  </si>
  <si>
    <t>Other Plot</t>
  </si>
  <si>
    <t>40.00 M. Wide D.P Road</t>
  </si>
  <si>
    <t>20.00 M. Wide D.P Road</t>
  </si>
  <si>
    <t>Thane West</t>
  </si>
  <si>
    <t>Mahavir Spring - Daffodils - P3</t>
  </si>
  <si>
    <t xml:space="preserve">Mahavir Spring - Tulip-Phase1 </t>
  </si>
  <si>
    <t>Axis Thane</t>
  </si>
  <si>
    <t>Mahavir Spring Daffodils P3 (Building No.1)</t>
  </si>
  <si>
    <t>4.5BHK</t>
  </si>
  <si>
    <t xml:space="preserve">S04/0100/16(2002/81)TMC/TDD/4465/23
Building No.1 &amp; 2 = B + LW Gr + UP Gr A + UP Gr B + UP Stilt/(F.C)/ Podium + 1st to 42nd Floor </t>
  </si>
  <si>
    <t>Daffodils - P3</t>
  </si>
  <si>
    <t xml:space="preserve">Tulip - Phase1 </t>
  </si>
  <si>
    <t>Mahavir Spring, Survey No.289/2/2/2, 289/2/2/3, 289/2/2/5, 289/2/4/1, 280/1/2/2, 280/1/3/1, 280/4/1, 280/4/2, 415/1/1, 415/1/2, 415/1/3, 415/1/4, 415/1/5, 289/2/2/4 &amp; 289/2/4/2, Pokharan Rd Number 2 &amp; Mission Dr Road, Majiwade, Thane - 400610.</t>
  </si>
  <si>
    <t>Security</t>
  </si>
  <si>
    <t>Pranita Mhatre</t>
  </si>
  <si>
    <t xml:space="preserve">1. Construction work was in process at the time of visit. (Internal photo was not allowed)
2. We considered Saleable area as per our calculation.
3. We considered Carpet area as per Approved Plan.
4. We considered Gross carpet area = Net carpet + C.B  + Balcony Area.
5. We have considered rate by verifying it from market inquire.
6. Car parking is subjected to authentic documentation.
7. As approved plan building no.1 consists of large terrace area for 1st floor but dimension of that area is not mentioned. Therefore we have not considered terrace area.
8.We have added Building No.1 on 18/04/2024
9.We have updated approved plan &amp; CC for Building No.1 &amp; 2 (on 18/04/2024).
10. Please check for Environment Clearance Certificate &amp; Fire Noc.
11. As per mhada allotment letter which is provided bank official on mail building no.2 Flat No.1209 consist of carpet area 490 Sq.Ft. &amp; saleble area 735 Sq.Ft.
7. On site, we meet Mr.Mahesh Dalvi (CRM) - 8591050647.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</si>
</sst>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color rgb="FFFF0000"/>
      <name val="Calibri"/>
      <family val="2"/>
      <scheme val="minor"/>
    </font>
    <font>
      <u/>
      <sz val="11"/>
      <color theme="10"/>
      <name val="Calibri"/>
      <family val="2"/>
    </font>
    <font>
      <sz val="11"/>
      <name val="Calibri"/>
      <family val="2"/>
    </font>
    <font>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0" fontId="20" fillId="0" borderId="0" applyNumberFormat="0" applyFill="0" applyBorder="0" applyAlignment="0" applyProtection="0"/>
    <xf numFmtId="164" fontId="6" fillId="0" borderId="0" applyFont="0" applyFill="0" applyBorder="0" applyAlignment="0" applyProtection="0"/>
  </cellStyleXfs>
  <cellXfs count="262">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1" fontId="8" fillId="0" borderId="4" xfId="0" applyNumberFormat="1" applyFont="1" applyBorder="1" applyAlignment="1">
      <alignment horizontal="center" vertical="center"/>
    </xf>
    <xf numFmtId="1" fontId="7" fillId="0" borderId="0" xfId="1" applyNumberFormat="1" applyFont="1" applyAlignment="1">
      <alignment horizontal="center" vertical="center" wrapText="1"/>
    </xf>
    <xf numFmtId="0" fontId="6" fillId="0" borderId="0" xfId="5"/>
    <xf numFmtId="0" fontId="1" fillId="0" borderId="0" xfId="6"/>
    <xf numFmtId="0" fontId="10" fillId="0" borderId="4" xfId="6" applyFont="1" applyBorder="1" applyAlignment="1">
      <alignment horizontal="center" vertical="top" wrapText="1"/>
    </xf>
    <xf numFmtId="0" fontId="21" fillId="0" borderId="4" xfId="7" applyFont="1" applyBorder="1" applyAlignment="1">
      <alignment horizontal="center" vertical="top" wrapText="1"/>
    </xf>
    <xf numFmtId="0" fontId="1" fillId="0" borderId="4" xfId="6" applyBorder="1" applyAlignment="1">
      <alignment horizontal="left" vertical="center"/>
    </xf>
    <xf numFmtId="0" fontId="1" fillId="0" borderId="4" xfId="6" applyBorder="1" applyAlignment="1">
      <alignment horizontal="center" vertical="center"/>
    </xf>
    <xf numFmtId="1" fontId="1" fillId="0" borderId="4" xfId="6" applyNumberFormat="1" applyBorder="1" applyAlignment="1">
      <alignment horizontal="center" vertical="center"/>
    </xf>
    <xf numFmtId="166" fontId="1" fillId="0" borderId="4" xfId="8" applyNumberFormat="1" applyFont="1" applyBorder="1" applyAlignment="1">
      <alignment horizontal="right" vertical="center"/>
    </xf>
    <xf numFmtId="43" fontId="6" fillId="0" borderId="0" xfId="5" applyNumberFormat="1"/>
    <xf numFmtId="0" fontId="10" fillId="0" borderId="4" xfId="6" applyFont="1" applyBorder="1" applyAlignment="1">
      <alignment horizontal="center" vertical="center"/>
    </xf>
    <xf numFmtId="1" fontId="19" fillId="0" borderId="4" xfId="6" applyNumberFormat="1" applyFont="1" applyBorder="1" applyAlignment="1">
      <alignment horizontal="center" vertical="center"/>
    </xf>
    <xf numFmtId="0" fontId="6" fillId="0" borderId="4" xfId="5" applyBorder="1" applyAlignment="1">
      <alignment horizontal="center" vertical="center"/>
    </xf>
    <xf numFmtId="0" fontId="22" fillId="0" borderId="0" xfId="5" applyFont="1"/>
    <xf numFmtId="1" fontId="6" fillId="0" borderId="0" xfId="5" applyNumberFormat="1"/>
    <xf numFmtId="0" fontId="6" fillId="0" borderId="0" xfId="5" applyAlignment="1">
      <alignment wrapText="1"/>
    </xf>
    <xf numFmtId="14" fontId="0" fillId="0" borderId="0" xfId="0" applyNumberFormat="1"/>
    <xf numFmtId="1" fontId="8" fillId="0" borderId="0" xfId="1" applyNumberFormat="1" applyFont="1" applyAlignment="1">
      <alignment horizontal="center" vertical="center"/>
    </xf>
    <xf numFmtId="0" fontId="8" fillId="0" borderId="0" xfId="1" applyFont="1" applyProtection="1">
      <protection hidden="1"/>
    </xf>
    <xf numFmtId="0" fontId="14" fillId="0" borderId="16"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17" fillId="0" borderId="0" xfId="0" applyFont="1" applyProtection="1">
      <protection hidden="1"/>
    </xf>
    <xf numFmtId="1" fontId="0" fillId="0" borderId="0" xfId="0" applyNumberFormat="1"/>
    <xf numFmtId="1" fontId="0" fillId="0" borderId="0" xfId="0" applyNumberFormat="1" applyAlignment="1">
      <alignment horizontal="right"/>
    </xf>
    <xf numFmtId="0" fontId="14" fillId="0" borderId="1" xfId="1" applyFont="1" applyBorder="1" applyAlignment="1" applyProtection="1">
      <alignment horizontal="center" vertical="top"/>
      <protection locked="0"/>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3" xfId="1" applyFont="1" applyBorder="1" applyAlignment="1" applyProtection="1">
      <alignment horizontal="center" wrapText="1"/>
      <protection locked="0"/>
    </xf>
    <xf numFmtId="1" fontId="11" fillId="0" borderId="0" xfId="1" applyNumberFormat="1" applyFont="1" applyAlignment="1">
      <alignment horizontal="center" vertical="center"/>
    </xf>
    <xf numFmtId="1" fontId="9" fillId="0" borderId="1"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0" fontId="7" fillId="0" borderId="4" xfId="1" applyFont="1" applyBorder="1" applyAlignment="1">
      <alignment vertical="top"/>
    </xf>
    <xf numFmtId="1" fontId="9" fillId="0" borderId="13" xfId="1" applyNumberFormat="1" applyFont="1" applyBorder="1" applyAlignment="1">
      <alignment horizontal="center" vertical="top" wrapText="1"/>
    </xf>
    <xf numFmtId="9" fontId="15" fillId="0" borderId="25" xfId="4" applyFont="1" applyFill="1" applyBorder="1" applyAlignment="1" applyProtection="1">
      <alignment horizontal="center" vertical="top" wrapText="1"/>
      <protection locked="0"/>
    </xf>
    <xf numFmtId="1" fontId="7" fillId="0" borderId="4" xfId="0" applyNumberFormat="1" applyFont="1" applyBorder="1" applyAlignment="1">
      <alignment horizontal="center" vertical="center" wrapText="1"/>
    </xf>
    <xf numFmtId="1" fontId="14" fillId="0" borderId="4" xfId="1" applyNumberFormat="1" applyFont="1" applyBorder="1" applyAlignment="1">
      <alignment horizontal="center" vertical="center" wrapText="1"/>
    </xf>
    <xf numFmtId="0" fontId="7" fillId="0" borderId="1" xfId="1" applyFont="1" applyBorder="1" applyAlignment="1">
      <alignment horizontal="left" vertical="top" wrapText="1"/>
    </xf>
    <xf numFmtId="0" fontId="7" fillId="0" borderId="3" xfId="1" applyFont="1" applyBorder="1" applyAlignment="1">
      <alignment horizontal="left"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1" fontId="9" fillId="0" borderId="5" xfId="1" applyNumberFormat="1" applyFont="1" applyBorder="1" applyAlignment="1">
      <alignment horizontal="center" vertical="center" wrapText="1"/>
    </xf>
    <xf numFmtId="1" fontId="9" fillId="0" borderId="6" xfId="1" applyNumberFormat="1" applyFont="1" applyBorder="1" applyAlignment="1">
      <alignment horizontal="center" vertical="center" wrapText="1"/>
    </xf>
    <xf numFmtId="1" fontId="9" fillId="0" borderId="7" xfId="1" applyNumberFormat="1" applyFont="1" applyBorder="1" applyAlignment="1">
      <alignment horizontal="center" vertical="center" wrapText="1"/>
    </xf>
    <xf numFmtId="1" fontId="8" fillId="0" borderId="4" xfId="1" applyNumberFormat="1" applyFont="1" applyBorder="1" applyAlignment="1">
      <alignment horizontal="center" vertical="center"/>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7" fillId="0" borderId="0" xfId="1" applyNumberFormat="1" applyFont="1" applyAlignment="1">
      <alignment horizontal="center" vertical="center" wrapText="1"/>
    </xf>
    <xf numFmtId="0" fontId="14" fillId="0" borderId="16"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9" fontId="14" fillId="2" borderId="4" xfId="1" applyNumberFormat="1" applyFont="1" applyFill="1" applyBorder="1" applyAlignment="1" applyProtection="1">
      <alignment horizontal="center" vertical="center" wrapText="1"/>
      <protection hidden="1"/>
    </xf>
    <xf numFmtId="0" fontId="14" fillId="0" borderId="18" xfId="1" applyFont="1" applyBorder="1" applyAlignment="1" applyProtection="1">
      <alignment horizontal="center" vertical="top" wrapText="1"/>
      <protection locked="0"/>
    </xf>
    <xf numFmtId="0" fontId="14" fillId="0" borderId="19" xfId="1" applyFont="1" applyBorder="1" applyAlignment="1" applyProtection="1">
      <alignment horizontal="center" vertical="top" wrapText="1"/>
      <protection locked="0"/>
    </xf>
    <xf numFmtId="9" fontId="14" fillId="2" borderId="23" xfId="1" applyNumberFormat="1" applyFont="1" applyFill="1" applyBorder="1" applyAlignment="1" applyProtection="1">
      <alignment horizontal="center" vertical="center" wrapText="1"/>
      <protection hidden="1"/>
    </xf>
    <xf numFmtId="0" fontId="14" fillId="0" borderId="4" xfId="1" applyFont="1" applyBorder="1" applyAlignment="1">
      <alignment horizontal="left" vertical="top" wrapText="1"/>
    </xf>
    <xf numFmtId="0" fontId="14" fillId="0" borderId="5" xfId="1" applyFont="1" applyBorder="1" applyAlignment="1">
      <alignment horizontal="left" vertical="top"/>
    </xf>
    <xf numFmtId="0" fontId="14" fillId="0" borderId="6" xfId="1" applyFont="1" applyBorder="1" applyAlignment="1">
      <alignment horizontal="left" vertical="top"/>
    </xf>
    <xf numFmtId="0" fontId="14" fillId="0" borderId="8" xfId="1" applyFont="1" applyBorder="1" applyAlignment="1">
      <alignment horizontal="left" vertical="top"/>
    </xf>
    <xf numFmtId="0" fontId="14" fillId="0" borderId="9" xfId="1" applyFont="1" applyBorder="1" applyAlignment="1">
      <alignment horizontal="left" vertical="top"/>
    </xf>
    <xf numFmtId="0" fontId="14" fillId="0" borderId="16"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1" fontId="7" fillId="0" borderId="1"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0" fontId="7" fillId="0" borderId="5" xfId="1" applyFont="1" applyBorder="1" applyAlignment="1">
      <alignment horizontal="center" vertical="top" wrapText="1"/>
    </xf>
    <xf numFmtId="0" fontId="7" fillId="0" borderId="6" xfId="1" applyFont="1" applyBorder="1" applyAlignment="1">
      <alignment horizontal="center" vertical="top" wrapText="1"/>
    </xf>
    <xf numFmtId="0" fontId="7" fillId="0" borderId="8" xfId="1" applyFont="1" applyBorder="1" applyAlignment="1">
      <alignment horizontal="center" vertical="top" wrapText="1"/>
    </xf>
    <xf numFmtId="0" fontId="7" fillId="0" borderId="9" xfId="1" applyFont="1" applyBorder="1" applyAlignment="1">
      <alignment horizontal="center" vertical="top" wrapText="1"/>
    </xf>
    <xf numFmtId="0" fontId="15" fillId="0" borderId="14" xfId="1" applyFont="1" applyBorder="1" applyAlignment="1" applyProtection="1">
      <alignment horizontal="center" vertical="top" wrapText="1"/>
      <protection locked="0"/>
    </xf>
    <xf numFmtId="0" fontId="15" fillId="0" borderId="15" xfId="1" applyFont="1" applyBorder="1" applyAlignment="1" applyProtection="1">
      <alignment horizontal="center" vertical="top" wrapText="1"/>
      <protection locked="0"/>
    </xf>
    <xf numFmtId="0" fontId="15" fillId="0" borderId="20" xfId="1" applyFont="1" applyBorder="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14" fillId="0" borderId="4" xfId="1" applyFont="1" applyBorder="1" applyAlignment="1" applyProtection="1">
      <alignment horizontal="center" vertical="top"/>
      <protection locked="0"/>
    </xf>
    <xf numFmtId="0" fontId="14" fillId="0" borderId="22" xfId="1" applyFont="1" applyBorder="1" applyAlignment="1" applyProtection="1">
      <alignment horizontal="center" vertical="top"/>
      <protection locked="0"/>
    </xf>
    <xf numFmtId="0" fontId="15" fillId="0" borderId="16"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15" fillId="0" borderId="4" xfId="1" applyFont="1" applyBorder="1" applyAlignment="1" applyProtection="1">
      <alignment horizontal="left" vertical="top" wrapText="1"/>
      <protection locked="0"/>
    </xf>
    <xf numFmtId="0" fontId="15" fillId="0" borderId="22" xfId="1" applyFont="1" applyBorder="1" applyAlignment="1" applyProtection="1">
      <alignment horizontal="left" vertical="top" wrapText="1"/>
      <protection locked="0"/>
    </xf>
    <xf numFmtId="0" fontId="14" fillId="0" borderId="17" xfId="1" applyFont="1" applyBorder="1" applyAlignment="1" applyProtection="1">
      <alignment horizontal="center" vertical="top" wrapText="1"/>
      <protection locked="0"/>
    </xf>
    <xf numFmtId="0" fontId="14" fillId="0" borderId="2"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4" fillId="0" borderId="22" xfId="1" applyFont="1" applyBorder="1" applyAlignment="1" applyProtection="1">
      <alignment horizontal="center" vertical="top" wrapText="1"/>
      <protection locked="0"/>
    </xf>
    <xf numFmtId="9" fontId="14" fillId="2" borderId="22" xfId="1" applyNumberFormat="1" applyFont="1" applyFill="1" applyBorder="1" applyAlignment="1" applyProtection="1">
      <alignment horizontal="center" vertical="center" wrapText="1"/>
      <protection hidden="1"/>
    </xf>
    <xf numFmtId="9" fontId="14" fillId="2" borderId="24" xfId="1" applyNumberFormat="1" applyFont="1" applyFill="1" applyBorder="1" applyAlignment="1" applyProtection="1">
      <alignment horizontal="center" vertical="center" wrapText="1"/>
      <protection hidden="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9" fillId="0" borderId="1" xfId="1" applyFont="1" applyBorder="1" applyAlignment="1">
      <alignment horizontal="left" vertical="top"/>
    </xf>
    <xf numFmtId="0" fontId="9" fillId="0" borderId="3" xfId="1" applyFont="1" applyBorder="1" applyAlignment="1">
      <alignment horizontal="left" vertical="top"/>
    </xf>
    <xf numFmtId="0" fontId="20" fillId="0" borderId="1" xfId="7" applyFill="1" applyBorder="1" applyAlignment="1">
      <alignment horizontal="left" vertical="center"/>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0" fontId="7" fillId="0" borderId="4" xfId="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14"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2" borderId="4" xfId="1" applyFont="1" applyFill="1" applyBorder="1" applyAlignment="1">
      <alignment horizontal="left" vertical="top" wrapText="1"/>
    </xf>
    <xf numFmtId="0" fontId="7" fillId="2" borderId="4" xfId="1" applyFont="1" applyFill="1" applyBorder="1" applyAlignment="1">
      <alignment horizontal="left" vertical="top"/>
    </xf>
    <xf numFmtId="0" fontId="7" fillId="0" borderId="4" xfId="1" applyFont="1" applyBorder="1" applyAlignment="1">
      <alignment horizontal="left" vertical="top" wrapText="1"/>
    </xf>
    <xf numFmtId="0" fontId="7" fillId="0" borderId="2" xfId="1" applyFont="1" applyBorder="1" applyAlignment="1">
      <alignment horizontal="left" vertical="top" wrapText="1"/>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14" fontId="7" fillId="0" borderId="1" xfId="1" applyNumberFormat="1" applyFont="1" applyBorder="1" applyAlignment="1">
      <alignment horizontal="left" vertical="top" wrapText="1"/>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9" fillId="0" borderId="2" xfId="1" applyFont="1" applyBorder="1" applyAlignment="1">
      <alignment horizontal="left"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5" xfId="1" applyFont="1" applyBorder="1" applyAlignment="1">
      <alignment horizontal="center" vertical="top"/>
    </xf>
    <xf numFmtId="0" fontId="14" fillId="0" borderId="7" xfId="1" applyFont="1" applyBorder="1" applyAlignment="1">
      <alignment horizontal="center" vertical="top"/>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0" fontId="15" fillId="0" borderId="1" xfId="1" applyFont="1" applyBorder="1" applyAlignment="1">
      <alignment horizontal="left" vertical="top"/>
    </xf>
    <xf numFmtId="0" fontId="15" fillId="0" borderId="2" xfId="1" applyFont="1" applyBorder="1" applyAlignment="1">
      <alignment horizontal="left" vertical="top"/>
    </xf>
    <xf numFmtId="0" fontId="15" fillId="0" borderId="3" xfId="1" applyFont="1" applyBorder="1" applyAlignment="1">
      <alignment horizontal="left" vertical="top"/>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14" fontId="7" fillId="0" borderId="4" xfId="1" applyNumberFormat="1" applyFont="1" applyBorder="1" applyAlignment="1">
      <alignment horizontal="center" vertical="top"/>
    </xf>
    <xf numFmtId="0" fontId="7" fillId="0" borderId="4" xfId="1" applyFont="1" applyBorder="1" applyAlignment="1">
      <alignment horizontal="center" vertical="top"/>
    </xf>
    <xf numFmtId="2" fontId="7" fillId="0" borderId="1" xfId="1" applyNumberFormat="1" applyFont="1" applyBorder="1" applyAlignment="1">
      <alignment horizontal="left" vertical="top" wrapText="1"/>
    </xf>
    <xf numFmtId="2" fontId="7" fillId="0" borderId="2" xfId="1" applyNumberFormat="1" applyFont="1" applyBorder="1" applyAlignment="1">
      <alignment horizontal="left" vertical="top" wrapText="1"/>
    </xf>
    <xf numFmtId="2" fontId="7" fillId="0" borderId="3" xfId="1" applyNumberFormat="1" applyFont="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2" fontId="7" fillId="0" borderId="1" xfId="1" applyNumberFormat="1" applyFont="1" applyBorder="1" applyAlignment="1">
      <alignment horizontal="left" vertical="top"/>
    </xf>
    <xf numFmtId="2" fontId="7" fillId="0" borderId="2" xfId="1" applyNumberFormat="1" applyFont="1" applyBorder="1" applyAlignment="1">
      <alignment horizontal="left" vertical="top"/>
    </xf>
    <xf numFmtId="2" fontId="7" fillId="0" borderId="3" xfId="1" applyNumberFormat="1" applyFont="1" applyBorder="1" applyAlignment="1">
      <alignment horizontal="left" vertical="top"/>
    </xf>
    <xf numFmtId="0" fontId="7" fillId="0" borderId="4" xfId="1" applyFont="1" applyBorder="1" applyAlignment="1">
      <alignment horizontal="center" vertical="top" wrapText="1"/>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2" fontId="7" fillId="0" borderId="4" xfId="1" applyNumberFormat="1" applyFont="1" applyBorder="1" applyAlignment="1">
      <alignment horizontal="left" vertical="top"/>
    </xf>
    <xf numFmtId="0" fontId="14" fillId="0" borderId="10" xfId="1" applyFont="1" applyBorder="1" applyAlignment="1">
      <alignment horizontal="left" vertical="top"/>
    </xf>
    <xf numFmtId="0" fontId="7" fillId="2" borderId="1" xfId="1" applyFont="1" applyFill="1" applyBorder="1" applyAlignment="1">
      <alignment horizontal="left" vertical="top"/>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1" fontId="15" fillId="0" borderId="1" xfId="1" applyNumberFormat="1" applyFont="1" applyBorder="1" applyAlignment="1">
      <alignment horizontal="center" vertical="center" wrapText="1"/>
    </xf>
    <xf numFmtId="1" fontId="15" fillId="0" borderId="2" xfId="1" applyNumberFormat="1" applyFont="1" applyBorder="1" applyAlignment="1">
      <alignment horizontal="center" vertical="center" wrapText="1"/>
    </xf>
    <xf numFmtId="1" fontId="15" fillId="0" borderId="3" xfId="1" applyNumberFormat="1" applyFont="1" applyBorder="1" applyAlignment="1">
      <alignment horizontal="center" vertical="center" wrapText="1"/>
    </xf>
    <xf numFmtId="1" fontId="9" fillId="0" borderId="5" xfId="1" applyNumberFormat="1" applyFont="1" applyBorder="1" applyAlignment="1">
      <alignment horizontal="center" vertical="top" wrapText="1"/>
    </xf>
    <xf numFmtId="1" fontId="9" fillId="0" borderId="7" xfId="1" applyNumberFormat="1" applyFont="1" applyBorder="1" applyAlignment="1">
      <alignment horizontal="center" vertical="top" wrapText="1"/>
    </xf>
    <xf numFmtId="1" fontId="9" fillId="0" borderId="8" xfId="1" applyNumberFormat="1" applyFont="1" applyBorder="1" applyAlignment="1">
      <alignment horizontal="center" vertical="top" wrapText="1"/>
    </xf>
    <xf numFmtId="1" fontId="9" fillId="0" borderId="10" xfId="1" applyNumberFormat="1" applyFont="1" applyBorder="1" applyAlignment="1">
      <alignment horizontal="center" vertical="top" wrapText="1"/>
    </xf>
    <xf numFmtId="1" fontId="9" fillId="0" borderId="13" xfId="1" applyNumberFormat="1" applyFont="1" applyBorder="1" applyAlignment="1">
      <alignment horizontal="center" vertical="top" wrapText="1"/>
    </xf>
    <xf numFmtId="1" fontId="9" fillId="0" borderId="25" xfId="1" applyNumberFormat="1" applyFont="1" applyBorder="1" applyAlignment="1">
      <alignment horizontal="center" vertical="top" wrapText="1"/>
    </xf>
    <xf numFmtId="1" fontId="4" fillId="0" borderId="13" xfId="1" applyNumberFormat="1" applyFont="1" applyBorder="1" applyAlignment="1">
      <alignment horizontal="center" vertical="top" wrapText="1"/>
    </xf>
    <xf numFmtId="1" fontId="4" fillId="0" borderId="25" xfId="1" applyNumberFormat="1" applyFont="1" applyBorder="1" applyAlignment="1">
      <alignment horizontal="center" vertical="top" wrapText="1"/>
    </xf>
    <xf numFmtId="1" fontId="7" fillId="0" borderId="4" xfId="1" applyNumberFormat="1" applyFont="1" applyBorder="1" applyAlignment="1">
      <alignment horizontal="center" vertical="center" wrapText="1"/>
    </xf>
    <xf numFmtId="1" fontId="7" fillId="0" borderId="9"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0" fontId="9" fillId="0" borderId="4" xfId="1" applyFont="1" applyBorder="1" applyAlignment="1">
      <alignment horizontal="center" vertical="top" wrapText="1"/>
    </xf>
    <xf numFmtId="0" fontId="5" fillId="0" borderId="4" xfId="1" applyFont="1" applyBorder="1" applyAlignment="1">
      <alignment horizontal="center"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1" fontId="7" fillId="0" borderId="4" xfId="0" applyNumberFormat="1" applyFont="1" applyBorder="1" applyAlignment="1">
      <alignment horizontal="center" vertical="center" wrapText="1"/>
    </xf>
    <xf numFmtId="0" fontId="17" fillId="0" borderId="4" xfId="0" applyFont="1" applyBorder="1" applyAlignment="1">
      <alignment horizontal="center"/>
    </xf>
    <xf numFmtId="0" fontId="17" fillId="0" borderId="4" xfId="0" applyFont="1" applyBorder="1" applyAlignment="1">
      <alignment horizontal="left"/>
    </xf>
    <xf numFmtId="0" fontId="17" fillId="3" borderId="4" xfId="0" applyFont="1" applyFill="1" applyBorder="1" applyAlignment="1">
      <alignment horizontal="center"/>
    </xf>
    <xf numFmtId="0" fontId="16" fillId="0" borderId="4" xfId="0" applyFont="1" applyBorder="1" applyAlignment="1">
      <alignment horizontal="center"/>
    </xf>
    <xf numFmtId="0" fontId="10" fillId="0" borderId="4" xfId="6" applyFont="1" applyBorder="1" applyAlignment="1">
      <alignment horizontal="left"/>
    </xf>
    <xf numFmtId="0" fontId="0" fillId="3" borderId="4" xfId="0" applyFill="1" applyBorder="1" applyAlignment="1">
      <alignment horizontal="center" wrapText="1"/>
    </xf>
    <xf numFmtId="0" fontId="10" fillId="0" borderId="4" xfId="0" applyFont="1" applyBorder="1" applyAlignment="1">
      <alignment horizontal="center"/>
    </xf>
    <xf numFmtId="1" fontId="8" fillId="0" borderId="0" xfId="1" applyNumberFormat="1" applyFont="1"/>
  </cellXfs>
  <cellStyles count="9">
    <cellStyle name="Comma 2" xfId="8"/>
    <cellStyle name="Excel Built-in Normal" xfId="2"/>
    <cellStyle name="Excel Built-in Normal 2" xfId="5"/>
    <cellStyle name="Hyperlink" xfId="7"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28.png"/><Relationship Id="rId5" Type="http://schemas.microsoft.com/office/2007/relationships/hdphoto" Target="../media/hdphoto2.wdp"/><Relationship Id="rId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78445</xdr:colOff>
      <xdr:row>404</xdr:row>
      <xdr:rowOff>97580</xdr:rowOff>
    </xdr:from>
    <xdr:to>
      <xdr:col>8</xdr:col>
      <xdr:colOff>44824</xdr:colOff>
      <xdr:row>420</xdr:row>
      <xdr:rowOff>194485</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73210" y="56003727"/>
          <a:ext cx="4863349" cy="3324198"/>
        </a:xfrm>
        <a:prstGeom prst="rect">
          <a:avLst/>
        </a:prstGeom>
        <a:ln>
          <a:solidFill>
            <a:schemeClr val="tx1"/>
          </a:solidFill>
        </a:ln>
      </xdr:spPr>
    </xdr:pic>
    <xdr:clientData/>
  </xdr:twoCellAnchor>
  <xdr:twoCellAnchor editAs="oneCell">
    <xdr:from>
      <xdr:col>15</xdr:col>
      <xdr:colOff>359822</xdr:colOff>
      <xdr:row>14</xdr:row>
      <xdr:rowOff>170791</xdr:rowOff>
    </xdr:from>
    <xdr:to>
      <xdr:col>24</xdr:col>
      <xdr:colOff>199834</xdr:colOff>
      <xdr:row>19</xdr:row>
      <xdr:rowOff>184915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1061440" y="3398085"/>
          <a:ext cx="5286070" cy="1896712"/>
        </a:xfrm>
        <a:prstGeom prst="rect">
          <a:avLst/>
        </a:prstGeom>
      </xdr:spPr>
    </xdr:pic>
    <xdr:clientData/>
  </xdr:twoCellAnchor>
  <xdr:twoCellAnchor editAs="oneCell">
    <xdr:from>
      <xdr:col>10</xdr:col>
      <xdr:colOff>611505</xdr:colOff>
      <xdr:row>37</xdr:row>
      <xdr:rowOff>144780</xdr:rowOff>
    </xdr:from>
    <xdr:to>
      <xdr:col>17</xdr:col>
      <xdr:colOff>44450</xdr:colOff>
      <xdr:row>50</xdr:row>
      <xdr:rowOff>42255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7591425" y="9974580"/>
          <a:ext cx="4683125" cy="2457795"/>
        </a:xfrm>
        <a:prstGeom prst="rect">
          <a:avLst/>
        </a:prstGeom>
      </xdr:spPr>
    </xdr:pic>
    <xdr:clientData/>
  </xdr:twoCellAnchor>
  <xdr:twoCellAnchor editAs="oneCell">
    <xdr:from>
      <xdr:col>10</xdr:col>
      <xdr:colOff>400050</xdr:colOff>
      <xdr:row>51</xdr:row>
      <xdr:rowOff>0</xdr:rowOff>
    </xdr:from>
    <xdr:to>
      <xdr:col>20</xdr:col>
      <xdr:colOff>181912</xdr:colOff>
      <xdr:row>51</xdr:row>
      <xdr:rowOff>1000265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7000875" y="11839575"/>
          <a:ext cx="6716062" cy="1000265"/>
        </a:xfrm>
        <a:prstGeom prst="rect">
          <a:avLst/>
        </a:prstGeom>
      </xdr:spPr>
    </xdr:pic>
    <xdr:clientData/>
  </xdr:twoCellAnchor>
  <xdr:twoCellAnchor editAs="oneCell">
    <xdr:from>
      <xdr:col>0</xdr:col>
      <xdr:colOff>437031</xdr:colOff>
      <xdr:row>421</xdr:row>
      <xdr:rowOff>130549</xdr:rowOff>
    </xdr:from>
    <xdr:to>
      <xdr:col>8</xdr:col>
      <xdr:colOff>268943</xdr:colOff>
      <xdr:row>443</xdr:row>
      <xdr:rowOff>91658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a:stretch>
          <a:fillRect/>
        </a:stretch>
      </xdr:blipFill>
      <xdr:spPr>
        <a:xfrm>
          <a:off x="437031" y="59790667"/>
          <a:ext cx="5423647" cy="4398637"/>
        </a:xfrm>
        <a:prstGeom prst="rect">
          <a:avLst/>
        </a:prstGeom>
        <a:ln>
          <a:solidFill>
            <a:schemeClr val="tx1"/>
          </a:solidFill>
        </a:ln>
      </xdr:spPr>
    </xdr:pic>
    <xdr:clientData/>
  </xdr:twoCellAnchor>
  <xdr:twoCellAnchor>
    <xdr:from>
      <xdr:col>2</xdr:col>
      <xdr:colOff>154236</xdr:colOff>
      <xdr:row>362</xdr:row>
      <xdr:rowOff>122464</xdr:rowOff>
    </xdr:from>
    <xdr:to>
      <xdr:col>7</xdr:col>
      <xdr:colOff>231322</xdr:colOff>
      <xdr:row>378</xdr:row>
      <xdr:rowOff>95249</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823912" y="84211405"/>
          <a:ext cx="3293175" cy="3200079"/>
          <a:chOff x="1941573" y="47971628"/>
          <a:chExt cx="2989653" cy="2959798"/>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6"/>
          <a:stretch>
            <a:fillRect/>
          </a:stretch>
        </xdr:blipFill>
        <xdr:spPr>
          <a:xfrm>
            <a:off x="1941573" y="47971628"/>
            <a:ext cx="2873755" cy="2952871"/>
          </a:xfrm>
          <a:prstGeom prst="rect">
            <a:avLst/>
          </a:prstGeom>
          <a:ln>
            <a:solidFill>
              <a:schemeClr val="tx1"/>
            </a:solidFill>
          </a:ln>
        </xdr:spPr>
      </xdr:pic>
      <xdr:grpSp>
        <xdr:nvGrpSpPr>
          <xdr:cNvPr id="26" name="Group 25">
            <a:extLst>
              <a:ext uri="{FF2B5EF4-FFF2-40B4-BE49-F238E27FC236}">
                <a16:creationId xmlns:a16="http://schemas.microsoft.com/office/drawing/2014/main" id="{00000000-0008-0000-0000-00001A000000}"/>
              </a:ext>
            </a:extLst>
          </xdr:cNvPr>
          <xdr:cNvGrpSpPr/>
        </xdr:nvGrpSpPr>
        <xdr:grpSpPr>
          <a:xfrm>
            <a:off x="4571999" y="50381647"/>
            <a:ext cx="359227" cy="549779"/>
            <a:chOff x="26903" y="-29837"/>
            <a:chExt cx="221944" cy="688514"/>
          </a:xfrm>
        </xdr:grpSpPr>
        <xdr:sp macro="" textlink="">
          <xdr:nvSpPr>
            <xdr:cNvPr id="27" name="TextBox 7">
              <a:extLst>
                <a:ext uri="{FF2B5EF4-FFF2-40B4-BE49-F238E27FC236}">
                  <a16:creationId xmlns:a16="http://schemas.microsoft.com/office/drawing/2014/main" id="{00000000-0008-0000-0000-00001B000000}"/>
                </a:ext>
              </a:extLst>
            </xdr:cNvPr>
            <xdr:cNvSpPr txBox="1"/>
          </xdr:nvSpPr>
          <xdr:spPr>
            <a:xfrm>
              <a:off x="26903" y="-29837"/>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flipV="1">
              <a:off x="121015" y="334676"/>
              <a:ext cx="0" cy="3240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81365</xdr:colOff>
      <xdr:row>378</xdr:row>
      <xdr:rowOff>192485</xdr:rowOff>
    </xdr:from>
    <xdr:to>
      <xdr:col>8</xdr:col>
      <xdr:colOff>552806</xdr:colOff>
      <xdr:row>401</xdr:row>
      <xdr:rowOff>15063</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776130" y="87508720"/>
          <a:ext cx="5368411" cy="4461814"/>
          <a:chOff x="661147" y="50522940"/>
          <a:chExt cx="5235716" cy="4410552"/>
        </a:xfrm>
      </xdr:grpSpPr>
      <xdr:grpSp>
        <xdr:nvGrpSpPr>
          <xdr:cNvPr id="8" name="Group 7">
            <a:extLst>
              <a:ext uri="{FF2B5EF4-FFF2-40B4-BE49-F238E27FC236}">
                <a16:creationId xmlns:a16="http://schemas.microsoft.com/office/drawing/2014/main" id="{00000000-0008-0000-0000-000008000000}"/>
              </a:ext>
            </a:extLst>
          </xdr:cNvPr>
          <xdr:cNvGrpSpPr/>
        </xdr:nvGrpSpPr>
        <xdr:grpSpPr>
          <a:xfrm>
            <a:off x="661147" y="50522940"/>
            <a:ext cx="5235716" cy="4410552"/>
            <a:chOff x="683559" y="51143647"/>
            <a:chExt cx="5257153" cy="4474865"/>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7"/>
            <a:stretch>
              <a:fillRect/>
            </a:stretch>
          </xdr:blipFill>
          <xdr:spPr>
            <a:xfrm>
              <a:off x="683559" y="51143647"/>
              <a:ext cx="5257153" cy="4474865"/>
            </a:xfrm>
            <a:prstGeom prst="rect">
              <a:avLst/>
            </a:prstGeom>
            <a:ln>
              <a:solidFill>
                <a:schemeClr val="tx1"/>
              </a:solidFill>
            </a:ln>
          </xdr:spPr>
        </xdr:pic>
        <xdr:grpSp>
          <xdr:nvGrpSpPr>
            <xdr:cNvPr id="17" name="Group 16">
              <a:extLst>
                <a:ext uri="{FF2B5EF4-FFF2-40B4-BE49-F238E27FC236}">
                  <a16:creationId xmlns:a16="http://schemas.microsoft.com/office/drawing/2014/main" id="{00000000-0008-0000-0000-000011000000}"/>
                </a:ext>
              </a:extLst>
            </xdr:cNvPr>
            <xdr:cNvGrpSpPr/>
          </xdr:nvGrpSpPr>
          <xdr:grpSpPr>
            <a:xfrm rot="13027988">
              <a:off x="759449" y="53942088"/>
              <a:ext cx="359227" cy="486979"/>
              <a:chOff x="-19169" y="-235376"/>
              <a:chExt cx="221944" cy="609866"/>
            </a:xfrm>
          </xdr:grpSpPr>
          <xdr:sp macro="" textlink="">
            <xdr:nvSpPr>
              <xdr:cNvPr id="20" name="TextBox 7">
                <a:extLst>
                  <a:ext uri="{FF2B5EF4-FFF2-40B4-BE49-F238E27FC236}">
                    <a16:creationId xmlns:a16="http://schemas.microsoft.com/office/drawing/2014/main" id="{00000000-0008-0000-0000-000014000000}"/>
                  </a:ext>
                </a:extLst>
              </xdr:cNvPr>
              <xdr:cNvSpPr txBox="1"/>
            </xdr:nvSpPr>
            <xdr:spPr>
              <a:xfrm rot="19547688">
                <a:off x="-19169" y="-235376"/>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23" name="Straight Arrow Connector 22">
                <a:extLst>
                  <a:ext uri="{FF2B5EF4-FFF2-40B4-BE49-F238E27FC236}">
                    <a16:creationId xmlns:a16="http://schemas.microsoft.com/office/drawing/2014/main" id="{00000000-0008-0000-0000-000017000000}"/>
                  </a:ext>
                </a:extLst>
              </xdr:cNvPr>
              <xdr:cNvCxnSpPr/>
            </xdr:nvCxnSpPr>
            <xdr:spPr>
              <a:xfrm rot="19547688" flipV="1">
                <a:off x="182849" y="50489"/>
                <a:ext cx="0" cy="3240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 name="Rectangle 9">
            <a:extLst>
              <a:ext uri="{FF2B5EF4-FFF2-40B4-BE49-F238E27FC236}">
                <a16:creationId xmlns:a16="http://schemas.microsoft.com/office/drawing/2014/main" id="{00000000-0008-0000-0000-00000A000000}"/>
              </a:ext>
            </a:extLst>
          </xdr:cNvPr>
          <xdr:cNvSpPr/>
        </xdr:nvSpPr>
        <xdr:spPr>
          <a:xfrm>
            <a:off x="2949883" y="53101078"/>
            <a:ext cx="1662256" cy="632984"/>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9" name="Rectangle 28">
            <a:extLst>
              <a:ext uri="{FF2B5EF4-FFF2-40B4-BE49-F238E27FC236}">
                <a16:creationId xmlns:a16="http://schemas.microsoft.com/office/drawing/2014/main" id="{00000000-0008-0000-0000-00001D000000}"/>
              </a:ext>
            </a:extLst>
          </xdr:cNvPr>
          <xdr:cNvSpPr/>
        </xdr:nvSpPr>
        <xdr:spPr>
          <a:xfrm rot="3993454">
            <a:off x="1769953" y="52302264"/>
            <a:ext cx="1482399" cy="574898"/>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3138153" y="53719408"/>
            <a:ext cx="1850525" cy="493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0000FF"/>
                </a:solidFill>
              </a:rPr>
              <a:t>Building No.1</a:t>
            </a:r>
          </a:p>
        </xdr:txBody>
      </xdr:sp>
      <xdr:sp macro="" textlink="">
        <xdr:nvSpPr>
          <xdr:cNvPr id="30" name="TextBox 29">
            <a:extLst>
              <a:ext uri="{FF2B5EF4-FFF2-40B4-BE49-F238E27FC236}">
                <a16:creationId xmlns:a16="http://schemas.microsoft.com/office/drawing/2014/main" id="{00000000-0008-0000-0000-00001E000000}"/>
              </a:ext>
            </a:extLst>
          </xdr:cNvPr>
          <xdr:cNvSpPr txBox="1"/>
        </xdr:nvSpPr>
        <xdr:spPr>
          <a:xfrm rot="3934544">
            <a:off x="1235065" y="52815330"/>
            <a:ext cx="1870595" cy="490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C00000"/>
                </a:solidFill>
              </a:rPr>
              <a:t>Building No.2</a:t>
            </a:r>
          </a:p>
        </xdr:txBody>
      </xdr:sp>
    </xdr:grpSp>
    <xdr:clientData/>
  </xdr:twoCellAnchor>
  <xdr:twoCellAnchor>
    <xdr:from>
      <xdr:col>3</xdr:col>
      <xdr:colOff>212911</xdr:colOff>
      <xdr:row>429</xdr:row>
      <xdr:rowOff>100850</xdr:rowOff>
    </xdr:from>
    <xdr:to>
      <xdr:col>5</xdr:col>
      <xdr:colOff>131885</xdr:colOff>
      <xdr:row>431</xdr:row>
      <xdr:rowOff>14653</xdr:rowOff>
    </xdr:to>
    <xdr:sp macro="" textlink="">
      <xdr:nvSpPr>
        <xdr:cNvPr id="43" name="Rectangle 42">
          <a:extLst>
            <a:ext uri="{FF2B5EF4-FFF2-40B4-BE49-F238E27FC236}">
              <a16:creationId xmlns:a16="http://schemas.microsoft.com/office/drawing/2014/main" id="{00000000-0008-0000-0000-00002B000000}"/>
            </a:ext>
          </a:extLst>
        </xdr:cNvPr>
        <xdr:cNvSpPr/>
      </xdr:nvSpPr>
      <xdr:spPr>
        <a:xfrm rot="10800000">
          <a:off x="2865257" y="60408754"/>
          <a:ext cx="776224" cy="309457"/>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834622</xdr:colOff>
      <xdr:row>430</xdr:row>
      <xdr:rowOff>57966</xdr:rowOff>
    </xdr:from>
    <xdr:to>
      <xdr:col>3</xdr:col>
      <xdr:colOff>162271</xdr:colOff>
      <xdr:row>434</xdr:row>
      <xdr:rowOff>42883</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rot="6808400">
          <a:off x="2271777" y="60797080"/>
          <a:ext cx="776224" cy="309457"/>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403412</xdr:colOff>
      <xdr:row>427</xdr:row>
      <xdr:rowOff>11206</xdr:rowOff>
    </xdr:from>
    <xdr:to>
      <xdr:col>5</xdr:col>
      <xdr:colOff>414618</xdr:colOff>
      <xdr:row>437</xdr:row>
      <xdr:rowOff>156884</xdr:rowOff>
    </xdr:to>
    <xdr:grpSp>
      <xdr:nvGrpSpPr>
        <xdr:cNvPr id="50" name="Group 49">
          <a:extLst>
            <a:ext uri="{FF2B5EF4-FFF2-40B4-BE49-F238E27FC236}">
              <a16:creationId xmlns:a16="http://schemas.microsoft.com/office/drawing/2014/main" id="{00000000-0008-0000-0000-000032000000}"/>
            </a:ext>
          </a:extLst>
        </xdr:cNvPr>
        <xdr:cNvGrpSpPr/>
      </xdr:nvGrpSpPr>
      <xdr:grpSpPr>
        <a:xfrm>
          <a:off x="2073088" y="97211030"/>
          <a:ext cx="1848971" cy="2162736"/>
          <a:chOff x="2063483" y="61433849"/>
          <a:chExt cx="1848171" cy="2186749"/>
        </a:xfrm>
      </xdr:grpSpPr>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2601366" y="61660367"/>
            <a:ext cx="1218855" cy="623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400" b="1">
              <a:solidFill>
                <a:srgbClr val="C00000"/>
              </a:solidFill>
            </a:endParaRPr>
          </a:p>
        </xdr:txBody>
      </xdr:sp>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2590160" y="61433849"/>
            <a:ext cx="1321494"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solidFill>
                  <a:srgbClr val="FFFF00"/>
                </a:solidFill>
                <a:latin typeface="Times New Roman" panose="02020603050405020304" pitchFamily="18" charset="0"/>
                <a:cs typeface="Times New Roman" panose="02020603050405020304" pitchFamily="18" charset="0"/>
              </a:rPr>
              <a:t>Mahavir Spring Tulip-Phase1 </a:t>
            </a:r>
          </a:p>
        </xdr:txBody>
      </xdr:sp>
      <xdr:sp macro="" textlink="">
        <xdr:nvSpPr>
          <xdr:cNvPr id="48" name="TextBox 47">
            <a:extLst>
              <a:ext uri="{FF2B5EF4-FFF2-40B4-BE49-F238E27FC236}">
                <a16:creationId xmlns:a16="http://schemas.microsoft.com/office/drawing/2014/main" id="{00000000-0008-0000-0000-000030000000}"/>
              </a:ext>
            </a:extLst>
          </xdr:cNvPr>
          <xdr:cNvSpPr txBox="1"/>
        </xdr:nvSpPr>
        <xdr:spPr>
          <a:xfrm rot="17965666">
            <a:off x="1694490" y="62211056"/>
            <a:ext cx="1336702" cy="598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IN" sz="1100" b="1">
              <a:solidFill>
                <a:srgbClr val="FFFF00"/>
              </a:solidFill>
              <a:latin typeface="Times New Roman" panose="02020603050405020304" pitchFamily="18" charset="0"/>
              <a:cs typeface="Times New Roman" panose="02020603050405020304" pitchFamily="18" charset="0"/>
            </a:endParaRPr>
          </a:p>
        </xdr:txBody>
      </xdr:sp>
      <xdr:sp macro="" textlink="">
        <xdr:nvSpPr>
          <xdr:cNvPr id="49" name="TextBox 48">
            <a:extLst>
              <a:ext uri="{FF2B5EF4-FFF2-40B4-BE49-F238E27FC236}">
                <a16:creationId xmlns:a16="http://schemas.microsoft.com/office/drawing/2014/main" id="{00000000-0008-0000-0000-000031000000}"/>
              </a:ext>
            </a:extLst>
          </xdr:cNvPr>
          <xdr:cNvSpPr txBox="1"/>
        </xdr:nvSpPr>
        <xdr:spPr>
          <a:xfrm rot="17746578">
            <a:off x="2157933" y="62648888"/>
            <a:ext cx="1336701" cy="606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solidFill>
                  <a:schemeClr val="bg1"/>
                </a:solidFill>
                <a:latin typeface="Times New Roman" panose="02020603050405020304" pitchFamily="18" charset="0"/>
                <a:cs typeface="Times New Roman" panose="02020603050405020304" pitchFamily="18" charset="0"/>
              </a:rPr>
              <a:t>Mahavir Spring-Daffodils-P3</a:t>
            </a:r>
          </a:p>
        </xdr:txBody>
      </xdr:sp>
    </xdr:grpSp>
    <xdr:clientData/>
  </xdr:twoCellAnchor>
  <xdr:twoCellAnchor editAs="oneCell">
    <xdr:from>
      <xdr:col>10</xdr:col>
      <xdr:colOff>352425</xdr:colOff>
      <xdr:row>150</xdr:row>
      <xdr:rowOff>76200</xdr:rowOff>
    </xdr:from>
    <xdr:to>
      <xdr:col>17</xdr:col>
      <xdr:colOff>219769</xdr:colOff>
      <xdr:row>169</xdr:row>
      <xdr:rowOff>105309</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8"/>
        <a:stretch>
          <a:fillRect/>
        </a:stretch>
      </xdr:blipFill>
      <xdr:spPr>
        <a:xfrm>
          <a:off x="7143750" y="37814250"/>
          <a:ext cx="4972744" cy="3829584"/>
        </a:xfrm>
        <a:prstGeom prst="rect">
          <a:avLst/>
        </a:prstGeom>
      </xdr:spPr>
    </xdr:pic>
    <xdr:clientData/>
  </xdr:twoCellAnchor>
  <xdr:twoCellAnchor editAs="oneCell">
    <xdr:from>
      <xdr:col>11</xdr:col>
      <xdr:colOff>201706</xdr:colOff>
      <xdr:row>188</xdr:row>
      <xdr:rowOff>130549</xdr:rowOff>
    </xdr:from>
    <xdr:to>
      <xdr:col>27</xdr:col>
      <xdr:colOff>569648</xdr:colOff>
      <xdr:row>215</xdr:row>
      <xdr:rowOff>74145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a:stretch>
          <a:fillRect/>
        </a:stretch>
      </xdr:blipFill>
      <xdr:spPr>
        <a:xfrm>
          <a:off x="7776882" y="47553843"/>
          <a:ext cx="10755795" cy="5389655"/>
        </a:xfrm>
        <a:prstGeom prst="rect">
          <a:avLst/>
        </a:prstGeom>
      </xdr:spPr>
    </xdr:pic>
    <xdr:clientData/>
  </xdr:twoCellAnchor>
  <xdr:twoCellAnchor editAs="oneCell">
    <xdr:from>
      <xdr:col>10</xdr:col>
      <xdr:colOff>481852</xdr:colOff>
      <xdr:row>97</xdr:row>
      <xdr:rowOff>145677</xdr:rowOff>
    </xdr:from>
    <xdr:to>
      <xdr:col>21</xdr:col>
      <xdr:colOff>64412</xdr:colOff>
      <xdr:row>107</xdr:row>
      <xdr:rowOff>33618</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7283823" y="24608118"/>
          <a:ext cx="7112913" cy="1905000"/>
        </a:xfrm>
        <a:prstGeom prst="rect">
          <a:avLst/>
        </a:prstGeom>
      </xdr:spPr>
    </xdr:pic>
    <xdr:clientData/>
  </xdr:twoCellAnchor>
  <xdr:twoCellAnchor editAs="oneCell">
    <xdr:from>
      <xdr:col>10</xdr:col>
      <xdr:colOff>627529</xdr:colOff>
      <xdr:row>107</xdr:row>
      <xdr:rowOff>67235</xdr:rowOff>
    </xdr:from>
    <xdr:to>
      <xdr:col>17</xdr:col>
      <xdr:colOff>499917</xdr:colOff>
      <xdr:row>116</xdr:row>
      <xdr:rowOff>195253</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7429500" y="27420794"/>
          <a:ext cx="4982270" cy="1943371"/>
        </a:xfrm>
        <a:prstGeom prst="rect">
          <a:avLst/>
        </a:prstGeom>
      </xdr:spPr>
    </xdr:pic>
    <xdr:clientData/>
  </xdr:twoCellAnchor>
  <xdr:twoCellAnchor>
    <xdr:from>
      <xdr:col>11</xdr:col>
      <xdr:colOff>176349</xdr:colOff>
      <xdr:row>322</xdr:row>
      <xdr:rowOff>80554</xdr:rowOff>
    </xdr:from>
    <xdr:to>
      <xdr:col>19</xdr:col>
      <xdr:colOff>473481</xdr:colOff>
      <xdr:row>355</xdr:row>
      <xdr:rowOff>126419</xdr:rowOff>
    </xdr:to>
    <xdr:grpSp>
      <xdr:nvGrpSpPr>
        <xdr:cNvPr id="15" name="Group 14">
          <a:extLst>
            <a:ext uri="{FF2B5EF4-FFF2-40B4-BE49-F238E27FC236}">
              <a16:creationId xmlns:a16="http://schemas.microsoft.com/office/drawing/2014/main" id="{D6D94C6D-9E10-50C6-326C-C320E2945844}"/>
            </a:ext>
          </a:extLst>
        </xdr:cNvPr>
        <xdr:cNvGrpSpPr/>
      </xdr:nvGrpSpPr>
      <xdr:grpSpPr>
        <a:xfrm>
          <a:off x="7751525" y="76101260"/>
          <a:ext cx="5844044" cy="6702159"/>
          <a:chOff x="229465" y="223535"/>
          <a:chExt cx="6034993" cy="6583825"/>
        </a:xfrm>
      </xdr:grpSpPr>
      <xdr:grpSp>
        <xdr:nvGrpSpPr>
          <xdr:cNvPr id="16" name="Group 15">
            <a:extLst>
              <a:ext uri="{FF2B5EF4-FFF2-40B4-BE49-F238E27FC236}">
                <a16:creationId xmlns:a16="http://schemas.microsoft.com/office/drawing/2014/main" id="{0FD26482-12DD-0FA9-09DD-AF7AEE5441A2}"/>
              </a:ext>
            </a:extLst>
          </xdr:cNvPr>
          <xdr:cNvGrpSpPr/>
        </xdr:nvGrpSpPr>
        <xdr:grpSpPr>
          <a:xfrm>
            <a:off x="229465" y="223535"/>
            <a:ext cx="5957614" cy="3844006"/>
            <a:chOff x="229465" y="223535"/>
            <a:chExt cx="5957614" cy="3844006"/>
          </a:xfrm>
        </xdr:grpSpPr>
        <xdr:pic>
          <xdr:nvPicPr>
            <xdr:cNvPr id="34" name="Picture 33">
              <a:extLst>
                <a:ext uri="{FF2B5EF4-FFF2-40B4-BE49-F238E27FC236}">
                  <a16:creationId xmlns:a16="http://schemas.microsoft.com/office/drawing/2014/main" id="{2F13088C-499B-037E-73D7-642F1012ABF4}"/>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29465" y="223536"/>
              <a:ext cx="2880000" cy="3844005"/>
            </a:xfrm>
            <a:prstGeom prst="rect">
              <a:avLst/>
            </a:prstGeom>
            <a:ln>
              <a:solidFill>
                <a:schemeClr val="tx1"/>
              </a:solidFill>
            </a:ln>
          </xdr:spPr>
        </xdr:pic>
        <xdr:pic>
          <xdr:nvPicPr>
            <xdr:cNvPr id="35" name="Picture 34">
              <a:extLst>
                <a:ext uri="{FF2B5EF4-FFF2-40B4-BE49-F238E27FC236}">
                  <a16:creationId xmlns:a16="http://schemas.microsoft.com/office/drawing/2014/main" id="{E53B7754-FDAB-7FFD-91F5-A1EB39FD338C}"/>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3307079" y="223535"/>
              <a:ext cx="2880000" cy="3844005"/>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02DE2386-1AD1-61A7-6D1B-FD8CCE055BDB}"/>
              </a:ext>
            </a:extLst>
          </xdr:cNvPr>
          <xdr:cNvGrpSpPr/>
        </xdr:nvGrpSpPr>
        <xdr:grpSpPr>
          <a:xfrm>
            <a:off x="487005" y="4287360"/>
            <a:ext cx="5442534" cy="2520000"/>
            <a:chOff x="423136" y="4287360"/>
            <a:chExt cx="5442534" cy="2520000"/>
          </a:xfrm>
        </xdr:grpSpPr>
        <xdr:pic>
          <xdr:nvPicPr>
            <xdr:cNvPr id="32" name="Picture 31">
              <a:extLst>
                <a:ext uri="{FF2B5EF4-FFF2-40B4-BE49-F238E27FC236}">
                  <a16:creationId xmlns:a16="http://schemas.microsoft.com/office/drawing/2014/main" id="{EF598246-3042-CB8F-3E5B-09CBC737263B}"/>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423136" y="4287360"/>
              <a:ext cx="3356889"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9E46D440-B176-337A-A0B5-80B915BB8D2E}"/>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3977639" y="4287360"/>
              <a:ext cx="1888031" cy="2520000"/>
            </a:xfrm>
            <a:prstGeom prst="rect">
              <a:avLst/>
            </a:prstGeom>
            <a:ln>
              <a:solidFill>
                <a:schemeClr val="tx1"/>
              </a:solidFill>
            </a:ln>
          </xdr:spPr>
        </xdr:pic>
      </xdr:grpSp>
      <xdr:sp macro="" textlink="">
        <xdr:nvSpPr>
          <xdr:cNvPr id="24" name="TextBox 12">
            <a:extLst>
              <a:ext uri="{FF2B5EF4-FFF2-40B4-BE49-F238E27FC236}">
                <a16:creationId xmlns:a16="http://schemas.microsoft.com/office/drawing/2014/main" id="{E67755F2-73FD-EF5C-75C2-FCE04BCB1D4A}"/>
              </a:ext>
            </a:extLst>
          </xdr:cNvPr>
          <xdr:cNvSpPr txBox="1"/>
        </xdr:nvSpPr>
        <xdr:spPr>
          <a:xfrm>
            <a:off x="5132417" y="857012"/>
            <a:ext cx="11320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1</a:t>
            </a:r>
            <a:endParaRPr lang="en-IN" b="1"/>
          </a:p>
        </xdr:txBody>
      </xdr:sp>
      <xdr:sp macro="" textlink="">
        <xdr:nvSpPr>
          <xdr:cNvPr id="25" name="TextBox 13">
            <a:extLst>
              <a:ext uri="{FF2B5EF4-FFF2-40B4-BE49-F238E27FC236}">
                <a16:creationId xmlns:a16="http://schemas.microsoft.com/office/drawing/2014/main" id="{75EF04D5-84AB-30B2-EFD2-6EAF0D2770FA}"/>
              </a:ext>
            </a:extLst>
          </xdr:cNvPr>
          <xdr:cNvSpPr txBox="1"/>
        </xdr:nvSpPr>
        <xdr:spPr>
          <a:xfrm>
            <a:off x="3307079" y="350520"/>
            <a:ext cx="11320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2</a:t>
            </a:r>
            <a:endParaRPr lang="en-IN" b="1"/>
          </a:p>
        </xdr:txBody>
      </xdr:sp>
      <xdr:sp macro="" textlink="">
        <xdr:nvSpPr>
          <xdr:cNvPr id="31" name="TextBox 14">
            <a:extLst>
              <a:ext uri="{FF2B5EF4-FFF2-40B4-BE49-F238E27FC236}">
                <a16:creationId xmlns:a16="http://schemas.microsoft.com/office/drawing/2014/main" id="{400F4A91-DC7C-22C0-3CAB-AF6EA6593CDB}"/>
              </a:ext>
            </a:extLst>
          </xdr:cNvPr>
          <xdr:cNvSpPr txBox="1"/>
        </xdr:nvSpPr>
        <xdr:spPr>
          <a:xfrm>
            <a:off x="630963" y="456206"/>
            <a:ext cx="154612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2</a:t>
            </a:r>
            <a:endParaRPr lang="en-IN" b="1"/>
          </a:p>
        </xdr:txBody>
      </xdr:sp>
    </xdr:grpSp>
    <xdr:clientData/>
  </xdr:twoCellAnchor>
  <xdr:twoCellAnchor>
    <xdr:from>
      <xdr:col>0</xdr:col>
      <xdr:colOff>244927</xdr:colOff>
      <xdr:row>322</xdr:row>
      <xdr:rowOff>190499</xdr:rowOff>
    </xdr:from>
    <xdr:to>
      <xdr:col>9</xdr:col>
      <xdr:colOff>136071</xdr:colOff>
      <xdr:row>359</xdr:row>
      <xdr:rowOff>60589</xdr:rowOff>
    </xdr:to>
    <xdr:grpSp>
      <xdr:nvGrpSpPr>
        <xdr:cNvPr id="14" name="Group 13"/>
        <xdr:cNvGrpSpPr/>
      </xdr:nvGrpSpPr>
      <xdr:grpSpPr>
        <a:xfrm>
          <a:off x="244927" y="76211205"/>
          <a:ext cx="6222468" cy="7333208"/>
          <a:chOff x="244927" y="76390499"/>
          <a:chExt cx="6218465" cy="7422054"/>
        </a:xfrm>
      </xdr:grpSpPr>
      <xdr:grpSp>
        <xdr:nvGrpSpPr>
          <xdr:cNvPr id="51" name="Group 50"/>
          <xdr:cNvGrpSpPr/>
        </xdr:nvGrpSpPr>
        <xdr:grpSpPr>
          <a:xfrm>
            <a:off x="244927" y="76390499"/>
            <a:ext cx="6218465" cy="7422054"/>
            <a:chOff x="901231" y="444500"/>
            <a:chExt cx="6198482" cy="7152501"/>
          </a:xfrm>
        </xdr:grpSpPr>
        <xdr:pic>
          <xdr:nvPicPr>
            <xdr:cNvPr id="52" name="Picture 51" descr="https://vsjcllp.vsjadon.com/upload/insp-239729-15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047762" y="4612122"/>
              <a:ext cx="2231879" cy="29789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9729-843.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01231" y="444500"/>
              <a:ext cx="3051588" cy="4073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9729-845.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048125" y="444500"/>
              <a:ext cx="3051588" cy="4073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39729-85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81271" y="4618060"/>
              <a:ext cx="2231879" cy="29789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7" name="TextBox 14">
            <a:extLst>
              <a:ext uri="{FF2B5EF4-FFF2-40B4-BE49-F238E27FC236}">
                <a16:creationId xmlns:a16="http://schemas.microsoft.com/office/drawing/2014/main" id="{400F4A91-DC7C-22C0-3CAB-AF6EA6593CDB}"/>
              </a:ext>
            </a:extLst>
          </xdr:cNvPr>
          <xdr:cNvSpPr txBox="1"/>
        </xdr:nvSpPr>
        <xdr:spPr>
          <a:xfrm>
            <a:off x="1102177" y="76567391"/>
            <a:ext cx="1501917" cy="38041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2</a:t>
            </a:r>
            <a:endParaRPr lang="en-IN" b="1"/>
          </a:p>
        </xdr:txBody>
      </xdr:sp>
      <xdr:sp macro="" textlink="">
        <xdr:nvSpPr>
          <xdr:cNvPr id="58" name="TextBox 14">
            <a:extLst>
              <a:ext uri="{FF2B5EF4-FFF2-40B4-BE49-F238E27FC236}">
                <a16:creationId xmlns:a16="http://schemas.microsoft.com/office/drawing/2014/main" id="{400F4A91-DC7C-22C0-3CAB-AF6EA6593CDB}"/>
              </a:ext>
            </a:extLst>
          </xdr:cNvPr>
          <xdr:cNvSpPr txBox="1"/>
        </xdr:nvSpPr>
        <xdr:spPr>
          <a:xfrm>
            <a:off x="4952999" y="76431320"/>
            <a:ext cx="1501917" cy="38041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1</a:t>
            </a:r>
            <a:endParaRPr lang="en-IN" b="1"/>
          </a:p>
        </xdr:txBody>
      </xdr:sp>
    </xdr:grpSp>
    <xdr:clientData/>
  </xdr:twoCellAnchor>
  <xdr:twoCellAnchor>
    <xdr:from>
      <xdr:col>11</xdr:col>
      <xdr:colOff>613522</xdr:colOff>
      <xdr:row>302</xdr:row>
      <xdr:rowOff>87965</xdr:rowOff>
    </xdr:from>
    <xdr:to>
      <xdr:col>20</xdr:col>
      <xdr:colOff>525281</xdr:colOff>
      <xdr:row>311</xdr:row>
      <xdr:rowOff>98088</xdr:rowOff>
    </xdr:to>
    <xdr:grpSp>
      <xdr:nvGrpSpPr>
        <xdr:cNvPr id="38" name="Group 37"/>
        <xdr:cNvGrpSpPr/>
      </xdr:nvGrpSpPr>
      <xdr:grpSpPr>
        <a:xfrm>
          <a:off x="8188698" y="69598053"/>
          <a:ext cx="6063789" cy="4301976"/>
          <a:chOff x="7516346" y="69721319"/>
          <a:chExt cx="6063789" cy="4301976"/>
        </a:xfrm>
      </xdr:grpSpPr>
      <xdr:pic>
        <xdr:nvPicPr>
          <xdr:cNvPr id="36" name="Picture 35"/>
          <xdr:cNvPicPr>
            <a:picLocks noChangeAspect="1"/>
          </xdr:cNvPicPr>
        </xdr:nvPicPr>
        <xdr:blipFill>
          <a:blip xmlns:r="http://schemas.openxmlformats.org/officeDocument/2006/relationships" r:embed="rId20"/>
          <a:stretch>
            <a:fillRect/>
          </a:stretch>
        </xdr:blipFill>
        <xdr:spPr>
          <a:xfrm>
            <a:off x="7516346" y="69721319"/>
            <a:ext cx="6063789" cy="4301976"/>
          </a:xfrm>
          <a:prstGeom prst="rect">
            <a:avLst/>
          </a:prstGeom>
        </xdr:spPr>
      </xdr:pic>
      <xdr:sp macro="" textlink="">
        <xdr:nvSpPr>
          <xdr:cNvPr id="37" name="TextBox 36"/>
          <xdr:cNvSpPr txBox="1"/>
        </xdr:nvSpPr>
        <xdr:spPr>
          <a:xfrm>
            <a:off x="11710147" y="72412412"/>
            <a:ext cx="103094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As per</a:t>
            </a:r>
            <a:r>
              <a:rPr lang="en-IN" sz="1100" baseline="0"/>
              <a:t> case of Shailesh sir/Akash sir</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6</xdr:row>
      <xdr:rowOff>8808</xdr:rowOff>
    </xdr:from>
    <xdr:to>
      <xdr:col>11</xdr:col>
      <xdr:colOff>220800</xdr:colOff>
      <xdr:row>24</xdr:row>
      <xdr:rowOff>21141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6857458" y="1199975"/>
          <a:ext cx="1917333" cy="1440000"/>
        </a:xfrm>
        <a:prstGeom prst="rect">
          <a:avLst/>
        </a:prstGeom>
        <a:ln>
          <a:solidFill>
            <a:schemeClr val="tx1"/>
          </a:solidFill>
        </a:ln>
      </xdr:spPr>
    </xdr:pic>
    <xdr:clientData/>
  </xdr:twoCellAnchor>
  <xdr:twoCellAnchor editAs="oneCell">
    <xdr:from>
      <xdr:col>11</xdr:col>
      <xdr:colOff>344326</xdr:colOff>
      <xdr:row>6</xdr:row>
      <xdr:rowOff>0</xdr:rowOff>
    </xdr:from>
    <xdr:to>
      <xdr:col>14</xdr:col>
      <xdr:colOff>133276</xdr:colOff>
      <xdr:row>25</xdr:row>
      <xdr:rowOff>64500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59651" y="952500"/>
          <a:ext cx="1617750"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363856</xdr:colOff>
      <xdr:row>1</xdr:row>
      <xdr:rowOff>17145</xdr:rowOff>
    </xdr:from>
    <xdr:to>
      <xdr:col>17</xdr:col>
      <xdr:colOff>89931</xdr:colOff>
      <xdr:row>20</xdr:row>
      <xdr:rowOff>142425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899536" y="200025"/>
          <a:ext cx="7041275" cy="3600000"/>
        </a:xfrm>
        <a:prstGeom prst="rect">
          <a:avLst/>
        </a:prstGeom>
      </xdr:spPr>
    </xdr:pic>
    <xdr:clientData/>
  </xdr:twoCellAnchor>
  <xdr:twoCellAnchor editAs="oneCell">
    <xdr:from>
      <xdr:col>6</xdr:col>
      <xdr:colOff>433046</xdr:colOff>
      <xdr:row>22</xdr:row>
      <xdr:rowOff>0</xdr:rowOff>
    </xdr:from>
    <xdr:to>
      <xdr:col>11</xdr:col>
      <xdr:colOff>82233</xdr:colOff>
      <xdr:row>41</xdr:row>
      <xdr:rowOff>110040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a14:imgEffect>
                </a14:imgLayer>
              </a14:imgProps>
            </a:ext>
            <a:ext uri="{28A0092B-C50C-407E-A947-70E740481C1C}">
              <a14:useLocalDpi xmlns:a14="http://schemas.microsoft.com/office/drawing/2010/main" val="0"/>
            </a:ext>
          </a:extLst>
        </a:blip>
        <a:stretch>
          <a:fillRect/>
        </a:stretch>
      </xdr:blipFill>
      <xdr:spPr>
        <a:xfrm>
          <a:off x="4578326" y="4023360"/>
          <a:ext cx="2697187" cy="3600000"/>
        </a:xfrm>
        <a:prstGeom prst="rect">
          <a:avLst/>
        </a:prstGeom>
      </xdr:spPr>
    </xdr:pic>
    <xdr:clientData/>
  </xdr:twoCellAnchor>
  <xdr:twoCellAnchor editAs="oneCell">
    <xdr:from>
      <xdr:col>2</xdr:col>
      <xdr:colOff>0</xdr:colOff>
      <xdr:row>22</xdr:row>
      <xdr:rowOff>0</xdr:rowOff>
    </xdr:from>
    <xdr:to>
      <xdr:col>6</xdr:col>
      <xdr:colOff>258787</xdr:colOff>
      <xdr:row>41</xdr:row>
      <xdr:rowOff>110040</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706880" y="4023360"/>
          <a:ext cx="2697187" cy="3600000"/>
        </a:xfrm>
        <a:prstGeom prst="rect">
          <a:avLst/>
        </a:prstGeom>
      </xdr:spPr>
    </xdr:pic>
    <xdr:clientData/>
  </xdr:twoCellAnchor>
  <xdr:twoCellAnchor editAs="oneCell">
    <xdr:from>
      <xdr:col>18</xdr:col>
      <xdr:colOff>0</xdr:colOff>
      <xdr:row>2</xdr:row>
      <xdr:rowOff>0</xdr:rowOff>
    </xdr:from>
    <xdr:to>
      <xdr:col>39</xdr:col>
      <xdr:colOff>302053</xdr:colOff>
      <xdr:row>38</xdr:row>
      <xdr:rowOff>64127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6"/>
        <a:stretch>
          <a:fillRect/>
        </a:stretch>
      </xdr:blipFill>
      <xdr:spPr>
        <a:xfrm>
          <a:off x="11340353" y="381000"/>
          <a:ext cx="13009524" cy="69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14</xdr:row>
      <xdr:rowOff>0</xdr:rowOff>
    </xdr:from>
    <xdr:to>
      <xdr:col>6</xdr:col>
      <xdr:colOff>354146</xdr:colOff>
      <xdr:row>32</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81026" y="2667000"/>
          <a:ext cx="6754945" cy="3600000"/>
        </a:xfrm>
        <a:prstGeom prst="rect">
          <a:avLst/>
        </a:prstGeom>
        <a:ln>
          <a:solidFill>
            <a:schemeClr val="tx1"/>
          </a:solidFill>
        </a:ln>
      </xdr:spPr>
    </xdr:pic>
    <xdr:clientData/>
  </xdr:twoCellAnchor>
  <xdr:twoCellAnchor editAs="oneCell">
    <xdr:from>
      <xdr:col>1</xdr:col>
      <xdr:colOff>0</xdr:colOff>
      <xdr:row>34</xdr:row>
      <xdr:rowOff>0</xdr:rowOff>
    </xdr:from>
    <xdr:to>
      <xdr:col>6</xdr:col>
      <xdr:colOff>354145</xdr:colOff>
      <xdr:row>52</xdr:row>
      <xdr:rowOff>171000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81025" y="6477000"/>
          <a:ext cx="6754945" cy="3600000"/>
        </a:xfrm>
        <a:prstGeom prst="rect">
          <a:avLst/>
        </a:prstGeom>
        <a:ln>
          <a:solidFill>
            <a:schemeClr val="tx1"/>
          </a:solidFill>
        </a:ln>
      </xdr:spPr>
    </xdr:pic>
    <xdr:clientData/>
  </xdr:twoCellAnchor>
  <xdr:twoCellAnchor editAs="oneCell">
    <xdr:from>
      <xdr:col>6</xdr:col>
      <xdr:colOff>533401</xdr:colOff>
      <xdr:row>14</xdr:row>
      <xdr:rowOff>0</xdr:rowOff>
    </xdr:from>
    <xdr:to>
      <xdr:col>16</xdr:col>
      <xdr:colOff>135071</xdr:colOff>
      <xdr:row>32</xdr:row>
      <xdr:rowOff>171000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515226" y="2667000"/>
          <a:ext cx="6754945" cy="3600000"/>
        </a:xfrm>
        <a:prstGeom prst="rect">
          <a:avLst/>
        </a:prstGeom>
        <a:ln>
          <a:solidFill>
            <a:schemeClr val="tx1"/>
          </a:solidFill>
        </a:ln>
      </xdr:spPr>
    </xdr:pic>
    <xdr:clientData/>
  </xdr:twoCellAnchor>
  <xdr:twoCellAnchor editAs="oneCell">
    <xdr:from>
      <xdr:col>6</xdr:col>
      <xdr:colOff>501503</xdr:colOff>
      <xdr:row>33</xdr:row>
      <xdr:rowOff>135992</xdr:rowOff>
    </xdr:from>
    <xdr:to>
      <xdr:col>16</xdr:col>
      <xdr:colOff>103173</xdr:colOff>
      <xdr:row>52</xdr:row>
      <xdr:rowOff>116492</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7483328" y="6422492"/>
          <a:ext cx="6754945" cy="3600000"/>
        </a:xfrm>
        <a:prstGeom prst="rect">
          <a:avLst/>
        </a:prstGeom>
        <a:ln>
          <a:solidFill>
            <a:schemeClr val="tx1"/>
          </a:solidFill>
        </a:ln>
      </xdr:spPr>
    </xdr:pic>
    <xdr:clientData/>
  </xdr:twoCellAnchor>
  <xdr:twoCellAnchor editAs="oneCell">
    <xdr:from>
      <xdr:col>16</xdr:col>
      <xdr:colOff>314326</xdr:colOff>
      <xdr:row>14</xdr:row>
      <xdr:rowOff>0</xdr:rowOff>
    </xdr:from>
    <xdr:to>
      <xdr:col>28</xdr:col>
      <xdr:colOff>96971</xdr:colOff>
      <xdr:row>32</xdr:row>
      <xdr:rowOff>171000</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14449426" y="2667000"/>
          <a:ext cx="6754945" cy="3600000"/>
        </a:xfrm>
        <a:prstGeom prst="rect">
          <a:avLst/>
        </a:prstGeom>
        <a:ln>
          <a:solidFill>
            <a:schemeClr val="tx1"/>
          </a:solidFill>
        </a:ln>
      </xdr:spPr>
    </xdr:pic>
    <xdr:clientData/>
  </xdr:twoCellAnchor>
  <xdr:twoCellAnchor editAs="oneCell">
    <xdr:from>
      <xdr:col>1</xdr:col>
      <xdr:colOff>7088</xdr:colOff>
      <xdr:row>54</xdr:row>
      <xdr:rowOff>0</xdr:rowOff>
    </xdr:from>
    <xdr:to>
      <xdr:col>6</xdr:col>
      <xdr:colOff>361233</xdr:colOff>
      <xdr:row>72</xdr:row>
      <xdr:rowOff>171000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588113" y="10287000"/>
          <a:ext cx="6754945" cy="3600000"/>
        </a:xfrm>
        <a:prstGeom prst="rect">
          <a:avLst/>
        </a:prstGeom>
        <a:ln>
          <a:solidFill>
            <a:schemeClr val="tx1"/>
          </a:solidFill>
        </a:ln>
      </xdr:spPr>
    </xdr:pic>
    <xdr:clientData/>
  </xdr:twoCellAnchor>
  <xdr:twoCellAnchor editAs="oneCell">
    <xdr:from>
      <xdr:col>16</xdr:col>
      <xdr:colOff>372805</xdr:colOff>
      <xdr:row>33</xdr:row>
      <xdr:rowOff>135992</xdr:rowOff>
    </xdr:from>
    <xdr:to>
      <xdr:col>28</xdr:col>
      <xdr:colOff>155450</xdr:colOff>
      <xdr:row>52</xdr:row>
      <xdr:rowOff>116492</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14507905" y="6422492"/>
          <a:ext cx="6754945" cy="3600000"/>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20</xdr:col>
      <xdr:colOff>607974</xdr:colOff>
      <xdr:row>76</xdr:row>
      <xdr:rowOff>75286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7239000"/>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a54Xbho3TVWBDT1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6"/>
  <sheetViews>
    <sheetView tabSelected="1" view="pageBreakPreview" topLeftCell="A305" zoomScale="85" zoomScaleNormal="100" zoomScaleSheetLayoutView="85" zoomScalePageLayoutView="85" workbookViewId="0">
      <selection activeCell="M314" sqref="M314"/>
    </sheetView>
  </sheetViews>
  <sheetFormatPr defaultRowHeight="15.75" x14ac:dyDescent="0.25"/>
  <cols>
    <col min="1" max="1" width="10.42578125" style="11" customWidth="1"/>
    <col min="2" max="2" width="14.5703125" style="11" customWidth="1"/>
    <col min="3" max="3" width="14.7109375" style="11" customWidth="1"/>
    <col min="4" max="4" width="7.28515625" style="11" customWidth="1"/>
    <col min="5" max="5" width="5.5703125" style="11" customWidth="1"/>
    <col min="6" max="6" width="9.85546875" style="11" customWidth="1"/>
    <col min="7" max="7" width="10.7109375" style="11" customWidth="1"/>
    <col min="8" max="8" width="10.5703125" style="11" customWidth="1"/>
    <col min="9" max="9" width="11.140625" style="11" customWidth="1"/>
    <col min="10" max="10" width="7" style="11" customWidth="1"/>
    <col min="11" max="11" width="11.5703125" style="11" customWidth="1"/>
    <col min="12" max="12" width="12.85546875" style="11" bestFit="1" customWidth="1"/>
    <col min="13" max="13" width="11.85546875" style="11" customWidth="1"/>
    <col min="14" max="14" width="12.85546875" style="11" bestFit="1" customWidth="1"/>
    <col min="15" max="256" width="9.140625" style="11"/>
    <col min="257" max="257" width="8.7109375" style="11" customWidth="1"/>
    <col min="258" max="258" width="9.85546875" style="11" customWidth="1"/>
    <col min="259" max="259" width="14.42578125" style="11" customWidth="1"/>
    <col min="260" max="260" width="7.28515625" style="11" customWidth="1"/>
    <col min="261" max="261" width="5.5703125" style="11" customWidth="1"/>
    <col min="262" max="262" width="9" style="11" customWidth="1"/>
    <col min="263" max="264" width="9.85546875" style="11" customWidth="1"/>
    <col min="265" max="265" width="11.140625" style="11" customWidth="1"/>
    <col min="266" max="266" width="2.85546875" style="11" customWidth="1"/>
    <col min="267" max="267" width="3.5703125" style="11" customWidth="1"/>
    <col min="268" max="512" width="9.140625" style="11"/>
    <col min="513" max="513" width="8.7109375" style="11" customWidth="1"/>
    <col min="514" max="514" width="9.85546875" style="11" customWidth="1"/>
    <col min="515" max="515" width="14.42578125" style="11" customWidth="1"/>
    <col min="516" max="516" width="7.28515625" style="11" customWidth="1"/>
    <col min="517" max="517" width="5.5703125" style="11" customWidth="1"/>
    <col min="518" max="518" width="9" style="11" customWidth="1"/>
    <col min="519" max="520" width="9.85546875" style="11" customWidth="1"/>
    <col min="521" max="521" width="11.140625" style="11" customWidth="1"/>
    <col min="522" max="522" width="2.85546875" style="11" customWidth="1"/>
    <col min="523" max="523" width="3.5703125" style="11" customWidth="1"/>
    <col min="524" max="768" width="9.140625" style="11"/>
    <col min="769" max="769" width="8.7109375" style="11" customWidth="1"/>
    <col min="770" max="770" width="9.85546875" style="11" customWidth="1"/>
    <col min="771" max="771" width="14.42578125" style="11" customWidth="1"/>
    <col min="772" max="772" width="7.28515625" style="11" customWidth="1"/>
    <col min="773" max="773" width="5.5703125" style="11" customWidth="1"/>
    <col min="774" max="774" width="9" style="11" customWidth="1"/>
    <col min="775" max="776" width="9.85546875" style="11" customWidth="1"/>
    <col min="777" max="777" width="11.140625" style="11" customWidth="1"/>
    <col min="778" max="778" width="2.85546875" style="11" customWidth="1"/>
    <col min="779" max="779" width="3.5703125" style="11" customWidth="1"/>
    <col min="780" max="1024" width="9.140625" style="11"/>
    <col min="1025" max="1025" width="8.7109375" style="11" customWidth="1"/>
    <col min="1026" max="1026" width="9.85546875" style="11" customWidth="1"/>
    <col min="1027" max="1027" width="14.42578125" style="11" customWidth="1"/>
    <col min="1028" max="1028" width="7.28515625" style="11" customWidth="1"/>
    <col min="1029" max="1029" width="5.5703125" style="11" customWidth="1"/>
    <col min="1030" max="1030" width="9" style="11" customWidth="1"/>
    <col min="1031" max="1032" width="9.85546875" style="11" customWidth="1"/>
    <col min="1033" max="1033" width="11.140625" style="11" customWidth="1"/>
    <col min="1034" max="1034" width="2.85546875" style="11" customWidth="1"/>
    <col min="1035" max="1035" width="3.5703125" style="11" customWidth="1"/>
    <col min="1036" max="1280" width="9.140625" style="11"/>
    <col min="1281" max="1281" width="8.7109375" style="11" customWidth="1"/>
    <col min="1282" max="1282" width="9.85546875" style="11" customWidth="1"/>
    <col min="1283" max="1283" width="14.42578125" style="11" customWidth="1"/>
    <col min="1284" max="1284" width="7.28515625" style="11" customWidth="1"/>
    <col min="1285" max="1285" width="5.5703125" style="11" customWidth="1"/>
    <col min="1286" max="1286" width="9" style="11" customWidth="1"/>
    <col min="1287" max="1288" width="9.85546875" style="11" customWidth="1"/>
    <col min="1289" max="1289" width="11.140625" style="11" customWidth="1"/>
    <col min="1290" max="1290" width="2.85546875" style="11" customWidth="1"/>
    <col min="1291" max="1291" width="3.5703125" style="11" customWidth="1"/>
    <col min="1292" max="1536" width="9.140625" style="11"/>
    <col min="1537" max="1537" width="8.7109375" style="11" customWidth="1"/>
    <col min="1538" max="1538" width="9.85546875" style="11" customWidth="1"/>
    <col min="1539" max="1539" width="14.42578125" style="11" customWidth="1"/>
    <col min="1540" max="1540" width="7.28515625" style="11" customWidth="1"/>
    <col min="1541" max="1541" width="5.5703125" style="11" customWidth="1"/>
    <col min="1542" max="1542" width="9" style="11" customWidth="1"/>
    <col min="1543" max="1544" width="9.85546875" style="11" customWidth="1"/>
    <col min="1545" max="1545" width="11.140625" style="11" customWidth="1"/>
    <col min="1546" max="1546" width="2.85546875" style="11" customWidth="1"/>
    <col min="1547" max="1547" width="3.5703125" style="11" customWidth="1"/>
    <col min="1548" max="1792" width="9.140625" style="11"/>
    <col min="1793" max="1793" width="8.7109375" style="11" customWidth="1"/>
    <col min="1794" max="1794" width="9.85546875" style="11" customWidth="1"/>
    <col min="1795" max="1795" width="14.42578125" style="11" customWidth="1"/>
    <col min="1796" max="1796" width="7.28515625" style="11" customWidth="1"/>
    <col min="1797" max="1797" width="5.5703125" style="11" customWidth="1"/>
    <col min="1798" max="1798" width="9" style="11" customWidth="1"/>
    <col min="1799" max="1800" width="9.85546875" style="11" customWidth="1"/>
    <col min="1801" max="1801" width="11.140625" style="11" customWidth="1"/>
    <col min="1802" max="1802" width="2.85546875" style="11" customWidth="1"/>
    <col min="1803" max="1803" width="3.5703125" style="11" customWidth="1"/>
    <col min="1804" max="2048" width="9.140625" style="11"/>
    <col min="2049" max="2049" width="8.7109375" style="11" customWidth="1"/>
    <col min="2050" max="2050" width="9.85546875" style="11" customWidth="1"/>
    <col min="2051" max="2051" width="14.42578125" style="11" customWidth="1"/>
    <col min="2052" max="2052" width="7.28515625" style="11" customWidth="1"/>
    <col min="2053" max="2053" width="5.5703125" style="11" customWidth="1"/>
    <col min="2054" max="2054" width="9" style="11" customWidth="1"/>
    <col min="2055" max="2056" width="9.85546875" style="11" customWidth="1"/>
    <col min="2057" max="2057" width="11.140625" style="11" customWidth="1"/>
    <col min="2058" max="2058" width="2.85546875" style="11" customWidth="1"/>
    <col min="2059" max="2059" width="3.5703125" style="11" customWidth="1"/>
    <col min="2060" max="2304" width="9.140625" style="11"/>
    <col min="2305" max="2305" width="8.7109375" style="11" customWidth="1"/>
    <col min="2306" max="2306" width="9.85546875" style="11" customWidth="1"/>
    <col min="2307" max="2307" width="14.42578125" style="11" customWidth="1"/>
    <col min="2308" max="2308" width="7.28515625" style="11" customWidth="1"/>
    <col min="2309" max="2309" width="5.5703125" style="11" customWidth="1"/>
    <col min="2310" max="2310" width="9" style="11" customWidth="1"/>
    <col min="2311" max="2312" width="9.85546875" style="11" customWidth="1"/>
    <col min="2313" max="2313" width="11.140625" style="11" customWidth="1"/>
    <col min="2314" max="2314" width="2.85546875" style="11" customWidth="1"/>
    <col min="2315" max="2315" width="3.5703125" style="11" customWidth="1"/>
    <col min="2316" max="2560" width="9.140625" style="11"/>
    <col min="2561" max="2561" width="8.7109375" style="11" customWidth="1"/>
    <col min="2562" max="2562" width="9.85546875" style="11" customWidth="1"/>
    <col min="2563" max="2563" width="14.42578125" style="11" customWidth="1"/>
    <col min="2564" max="2564" width="7.28515625" style="11" customWidth="1"/>
    <col min="2565" max="2565" width="5.5703125" style="11" customWidth="1"/>
    <col min="2566" max="2566" width="9" style="11" customWidth="1"/>
    <col min="2567" max="2568" width="9.85546875" style="11" customWidth="1"/>
    <col min="2569" max="2569" width="11.140625" style="11" customWidth="1"/>
    <col min="2570" max="2570" width="2.85546875" style="11" customWidth="1"/>
    <col min="2571" max="2571" width="3.5703125" style="11" customWidth="1"/>
    <col min="2572" max="2816" width="9.140625" style="11"/>
    <col min="2817" max="2817" width="8.7109375" style="11" customWidth="1"/>
    <col min="2818" max="2818" width="9.85546875" style="11" customWidth="1"/>
    <col min="2819" max="2819" width="14.42578125" style="11" customWidth="1"/>
    <col min="2820" max="2820" width="7.28515625" style="11" customWidth="1"/>
    <col min="2821" max="2821" width="5.5703125" style="11" customWidth="1"/>
    <col min="2822" max="2822" width="9" style="11" customWidth="1"/>
    <col min="2823" max="2824" width="9.85546875" style="11" customWidth="1"/>
    <col min="2825" max="2825" width="11.140625" style="11" customWidth="1"/>
    <col min="2826" max="2826" width="2.85546875" style="11" customWidth="1"/>
    <col min="2827" max="2827" width="3.5703125" style="11" customWidth="1"/>
    <col min="2828" max="3072" width="9.140625" style="11"/>
    <col min="3073" max="3073" width="8.7109375" style="11" customWidth="1"/>
    <col min="3074" max="3074" width="9.85546875" style="11" customWidth="1"/>
    <col min="3075" max="3075" width="14.42578125" style="11" customWidth="1"/>
    <col min="3076" max="3076" width="7.28515625" style="11" customWidth="1"/>
    <col min="3077" max="3077" width="5.5703125" style="11" customWidth="1"/>
    <col min="3078" max="3078" width="9" style="11" customWidth="1"/>
    <col min="3079" max="3080" width="9.85546875" style="11" customWidth="1"/>
    <col min="3081" max="3081" width="11.140625" style="11" customWidth="1"/>
    <col min="3082" max="3082" width="2.85546875" style="11" customWidth="1"/>
    <col min="3083" max="3083" width="3.5703125" style="11" customWidth="1"/>
    <col min="3084" max="3328" width="9.140625" style="11"/>
    <col min="3329" max="3329" width="8.7109375" style="11" customWidth="1"/>
    <col min="3330" max="3330" width="9.85546875" style="11" customWidth="1"/>
    <col min="3331" max="3331" width="14.42578125" style="11" customWidth="1"/>
    <col min="3332" max="3332" width="7.28515625" style="11" customWidth="1"/>
    <col min="3333" max="3333" width="5.5703125" style="11" customWidth="1"/>
    <col min="3334" max="3334" width="9" style="11" customWidth="1"/>
    <col min="3335" max="3336" width="9.85546875" style="11" customWidth="1"/>
    <col min="3337" max="3337" width="11.140625" style="11" customWidth="1"/>
    <col min="3338" max="3338" width="2.85546875" style="11" customWidth="1"/>
    <col min="3339" max="3339" width="3.5703125" style="11" customWidth="1"/>
    <col min="3340" max="3584" width="9.140625" style="11"/>
    <col min="3585" max="3585" width="8.7109375" style="11" customWidth="1"/>
    <col min="3586" max="3586" width="9.85546875" style="11" customWidth="1"/>
    <col min="3587" max="3587" width="14.42578125" style="11" customWidth="1"/>
    <col min="3588" max="3588" width="7.28515625" style="11" customWidth="1"/>
    <col min="3589" max="3589" width="5.5703125" style="11" customWidth="1"/>
    <col min="3590" max="3590" width="9" style="11" customWidth="1"/>
    <col min="3591" max="3592" width="9.85546875" style="11" customWidth="1"/>
    <col min="3593" max="3593" width="11.140625" style="11" customWidth="1"/>
    <col min="3594" max="3594" width="2.85546875" style="11" customWidth="1"/>
    <col min="3595" max="3595" width="3.5703125" style="11" customWidth="1"/>
    <col min="3596" max="3840" width="9.140625" style="11"/>
    <col min="3841" max="3841" width="8.7109375" style="11" customWidth="1"/>
    <col min="3842" max="3842" width="9.85546875" style="11" customWidth="1"/>
    <col min="3843" max="3843" width="14.42578125" style="11" customWidth="1"/>
    <col min="3844" max="3844" width="7.28515625" style="11" customWidth="1"/>
    <col min="3845" max="3845" width="5.5703125" style="11" customWidth="1"/>
    <col min="3846" max="3846" width="9" style="11" customWidth="1"/>
    <col min="3847" max="3848" width="9.85546875" style="11" customWidth="1"/>
    <col min="3849" max="3849" width="11.140625" style="11" customWidth="1"/>
    <col min="3850" max="3850" width="2.85546875" style="11" customWidth="1"/>
    <col min="3851" max="3851" width="3.5703125" style="11" customWidth="1"/>
    <col min="3852" max="4096" width="9.140625" style="11"/>
    <col min="4097" max="4097" width="8.7109375" style="11" customWidth="1"/>
    <col min="4098" max="4098" width="9.85546875" style="11" customWidth="1"/>
    <col min="4099" max="4099" width="14.42578125" style="11" customWidth="1"/>
    <col min="4100" max="4100" width="7.28515625" style="11" customWidth="1"/>
    <col min="4101" max="4101" width="5.5703125" style="11" customWidth="1"/>
    <col min="4102" max="4102" width="9" style="11" customWidth="1"/>
    <col min="4103" max="4104" width="9.85546875" style="11" customWidth="1"/>
    <col min="4105" max="4105" width="11.140625" style="11" customWidth="1"/>
    <col min="4106" max="4106" width="2.85546875" style="11" customWidth="1"/>
    <col min="4107" max="4107" width="3.5703125" style="11" customWidth="1"/>
    <col min="4108" max="4352" width="9.140625" style="11"/>
    <col min="4353" max="4353" width="8.7109375" style="11" customWidth="1"/>
    <col min="4354" max="4354" width="9.85546875" style="11" customWidth="1"/>
    <col min="4355" max="4355" width="14.42578125" style="11" customWidth="1"/>
    <col min="4356" max="4356" width="7.28515625" style="11" customWidth="1"/>
    <col min="4357" max="4357" width="5.5703125" style="11" customWidth="1"/>
    <col min="4358" max="4358" width="9" style="11" customWidth="1"/>
    <col min="4359" max="4360" width="9.85546875" style="11" customWidth="1"/>
    <col min="4361" max="4361" width="11.140625" style="11" customWidth="1"/>
    <col min="4362" max="4362" width="2.85546875" style="11" customWidth="1"/>
    <col min="4363" max="4363" width="3.5703125" style="11" customWidth="1"/>
    <col min="4364" max="4608" width="9.140625" style="11"/>
    <col min="4609" max="4609" width="8.7109375" style="11" customWidth="1"/>
    <col min="4610" max="4610" width="9.85546875" style="11" customWidth="1"/>
    <col min="4611" max="4611" width="14.42578125" style="11" customWidth="1"/>
    <col min="4612" max="4612" width="7.28515625" style="11" customWidth="1"/>
    <col min="4613" max="4613" width="5.5703125" style="11" customWidth="1"/>
    <col min="4614" max="4614" width="9" style="11" customWidth="1"/>
    <col min="4615" max="4616" width="9.85546875" style="11" customWidth="1"/>
    <col min="4617" max="4617" width="11.140625" style="11" customWidth="1"/>
    <col min="4618" max="4618" width="2.85546875" style="11" customWidth="1"/>
    <col min="4619" max="4619" width="3.5703125" style="11" customWidth="1"/>
    <col min="4620" max="4864" width="9.140625" style="11"/>
    <col min="4865" max="4865" width="8.7109375" style="11" customWidth="1"/>
    <col min="4866" max="4866" width="9.85546875" style="11" customWidth="1"/>
    <col min="4867" max="4867" width="14.42578125" style="11" customWidth="1"/>
    <col min="4868" max="4868" width="7.28515625" style="11" customWidth="1"/>
    <col min="4869" max="4869" width="5.5703125" style="11" customWidth="1"/>
    <col min="4870" max="4870" width="9" style="11" customWidth="1"/>
    <col min="4871" max="4872" width="9.85546875" style="11" customWidth="1"/>
    <col min="4873" max="4873" width="11.140625" style="11" customWidth="1"/>
    <col min="4874" max="4874" width="2.85546875" style="11" customWidth="1"/>
    <col min="4875" max="4875" width="3.5703125" style="11" customWidth="1"/>
    <col min="4876" max="5120" width="9.140625" style="11"/>
    <col min="5121" max="5121" width="8.7109375" style="11" customWidth="1"/>
    <col min="5122" max="5122" width="9.85546875" style="11" customWidth="1"/>
    <col min="5123" max="5123" width="14.42578125" style="11" customWidth="1"/>
    <col min="5124" max="5124" width="7.28515625" style="11" customWidth="1"/>
    <col min="5125" max="5125" width="5.5703125" style="11" customWidth="1"/>
    <col min="5126" max="5126" width="9" style="11" customWidth="1"/>
    <col min="5127" max="5128" width="9.85546875" style="11" customWidth="1"/>
    <col min="5129" max="5129" width="11.140625" style="11" customWidth="1"/>
    <col min="5130" max="5130" width="2.85546875" style="11" customWidth="1"/>
    <col min="5131" max="5131" width="3.5703125" style="11" customWidth="1"/>
    <col min="5132" max="5376" width="9.140625" style="11"/>
    <col min="5377" max="5377" width="8.7109375" style="11" customWidth="1"/>
    <col min="5378" max="5378" width="9.85546875" style="11" customWidth="1"/>
    <col min="5379" max="5379" width="14.42578125" style="11" customWidth="1"/>
    <col min="5380" max="5380" width="7.28515625" style="11" customWidth="1"/>
    <col min="5381" max="5381" width="5.5703125" style="11" customWidth="1"/>
    <col min="5382" max="5382" width="9" style="11" customWidth="1"/>
    <col min="5383" max="5384" width="9.85546875" style="11" customWidth="1"/>
    <col min="5385" max="5385" width="11.140625" style="11" customWidth="1"/>
    <col min="5386" max="5386" width="2.85546875" style="11" customWidth="1"/>
    <col min="5387" max="5387" width="3.5703125" style="11" customWidth="1"/>
    <col min="5388" max="5632" width="9.140625" style="11"/>
    <col min="5633" max="5633" width="8.7109375" style="11" customWidth="1"/>
    <col min="5634" max="5634" width="9.85546875" style="11" customWidth="1"/>
    <col min="5635" max="5635" width="14.42578125" style="11" customWidth="1"/>
    <col min="5636" max="5636" width="7.28515625" style="11" customWidth="1"/>
    <col min="5637" max="5637" width="5.5703125" style="11" customWidth="1"/>
    <col min="5638" max="5638" width="9" style="11" customWidth="1"/>
    <col min="5639" max="5640" width="9.85546875" style="11" customWidth="1"/>
    <col min="5641" max="5641" width="11.140625" style="11" customWidth="1"/>
    <col min="5642" max="5642" width="2.85546875" style="11" customWidth="1"/>
    <col min="5643" max="5643" width="3.5703125" style="11" customWidth="1"/>
    <col min="5644" max="5888" width="9.140625" style="11"/>
    <col min="5889" max="5889" width="8.7109375" style="11" customWidth="1"/>
    <col min="5890" max="5890" width="9.85546875" style="11" customWidth="1"/>
    <col min="5891" max="5891" width="14.42578125" style="11" customWidth="1"/>
    <col min="5892" max="5892" width="7.28515625" style="11" customWidth="1"/>
    <col min="5893" max="5893" width="5.5703125" style="11" customWidth="1"/>
    <col min="5894" max="5894" width="9" style="11" customWidth="1"/>
    <col min="5895" max="5896" width="9.85546875" style="11" customWidth="1"/>
    <col min="5897" max="5897" width="11.140625" style="11" customWidth="1"/>
    <col min="5898" max="5898" width="2.85546875" style="11" customWidth="1"/>
    <col min="5899" max="5899" width="3.5703125" style="11" customWidth="1"/>
    <col min="5900" max="6144" width="9.140625" style="11"/>
    <col min="6145" max="6145" width="8.7109375" style="11" customWidth="1"/>
    <col min="6146" max="6146" width="9.85546875" style="11" customWidth="1"/>
    <col min="6147" max="6147" width="14.42578125" style="11" customWidth="1"/>
    <col min="6148" max="6148" width="7.28515625" style="11" customWidth="1"/>
    <col min="6149" max="6149" width="5.5703125" style="11" customWidth="1"/>
    <col min="6150" max="6150" width="9" style="11" customWidth="1"/>
    <col min="6151" max="6152" width="9.85546875" style="11" customWidth="1"/>
    <col min="6153" max="6153" width="11.140625" style="11" customWidth="1"/>
    <col min="6154" max="6154" width="2.85546875" style="11" customWidth="1"/>
    <col min="6155" max="6155" width="3.5703125" style="11" customWidth="1"/>
    <col min="6156" max="6400" width="9.140625" style="11"/>
    <col min="6401" max="6401" width="8.7109375" style="11" customWidth="1"/>
    <col min="6402" max="6402" width="9.85546875" style="11" customWidth="1"/>
    <col min="6403" max="6403" width="14.42578125" style="11" customWidth="1"/>
    <col min="6404" max="6404" width="7.28515625" style="11" customWidth="1"/>
    <col min="6405" max="6405" width="5.5703125" style="11" customWidth="1"/>
    <col min="6406" max="6406" width="9" style="11" customWidth="1"/>
    <col min="6407" max="6408" width="9.85546875" style="11" customWidth="1"/>
    <col min="6409" max="6409" width="11.140625" style="11" customWidth="1"/>
    <col min="6410" max="6410" width="2.85546875" style="11" customWidth="1"/>
    <col min="6411" max="6411" width="3.5703125" style="11" customWidth="1"/>
    <col min="6412" max="6656" width="9.140625" style="11"/>
    <col min="6657" max="6657" width="8.7109375" style="11" customWidth="1"/>
    <col min="6658" max="6658" width="9.85546875" style="11" customWidth="1"/>
    <col min="6659" max="6659" width="14.42578125" style="11" customWidth="1"/>
    <col min="6660" max="6660" width="7.28515625" style="11" customWidth="1"/>
    <col min="6661" max="6661" width="5.5703125" style="11" customWidth="1"/>
    <col min="6662" max="6662" width="9" style="11" customWidth="1"/>
    <col min="6663" max="6664" width="9.85546875" style="11" customWidth="1"/>
    <col min="6665" max="6665" width="11.140625" style="11" customWidth="1"/>
    <col min="6666" max="6666" width="2.85546875" style="11" customWidth="1"/>
    <col min="6667" max="6667" width="3.5703125" style="11" customWidth="1"/>
    <col min="6668" max="6912" width="9.140625" style="11"/>
    <col min="6913" max="6913" width="8.7109375" style="11" customWidth="1"/>
    <col min="6914" max="6914" width="9.85546875" style="11" customWidth="1"/>
    <col min="6915" max="6915" width="14.42578125" style="11" customWidth="1"/>
    <col min="6916" max="6916" width="7.28515625" style="11" customWidth="1"/>
    <col min="6917" max="6917" width="5.5703125" style="11" customWidth="1"/>
    <col min="6918" max="6918" width="9" style="11" customWidth="1"/>
    <col min="6919" max="6920" width="9.85546875" style="11" customWidth="1"/>
    <col min="6921" max="6921" width="11.140625" style="11" customWidth="1"/>
    <col min="6922" max="6922" width="2.85546875" style="11" customWidth="1"/>
    <col min="6923" max="6923" width="3.5703125" style="11" customWidth="1"/>
    <col min="6924" max="7168" width="9.140625" style="11"/>
    <col min="7169" max="7169" width="8.7109375" style="11" customWidth="1"/>
    <col min="7170" max="7170" width="9.85546875" style="11" customWidth="1"/>
    <col min="7171" max="7171" width="14.42578125" style="11" customWidth="1"/>
    <col min="7172" max="7172" width="7.28515625" style="11" customWidth="1"/>
    <col min="7173" max="7173" width="5.5703125" style="11" customWidth="1"/>
    <col min="7174" max="7174" width="9" style="11" customWidth="1"/>
    <col min="7175" max="7176" width="9.85546875" style="11" customWidth="1"/>
    <col min="7177" max="7177" width="11.140625" style="11" customWidth="1"/>
    <col min="7178" max="7178" width="2.85546875" style="11" customWidth="1"/>
    <col min="7179" max="7179" width="3.5703125" style="11" customWidth="1"/>
    <col min="7180" max="7424" width="9.140625" style="11"/>
    <col min="7425" max="7425" width="8.7109375" style="11" customWidth="1"/>
    <col min="7426" max="7426" width="9.85546875" style="11" customWidth="1"/>
    <col min="7427" max="7427" width="14.42578125" style="11" customWidth="1"/>
    <col min="7428" max="7428" width="7.28515625" style="11" customWidth="1"/>
    <col min="7429" max="7429" width="5.5703125" style="11" customWidth="1"/>
    <col min="7430" max="7430" width="9" style="11" customWidth="1"/>
    <col min="7431" max="7432" width="9.85546875" style="11" customWidth="1"/>
    <col min="7433" max="7433" width="11.140625" style="11" customWidth="1"/>
    <col min="7434" max="7434" width="2.85546875" style="11" customWidth="1"/>
    <col min="7435" max="7435" width="3.5703125" style="11" customWidth="1"/>
    <col min="7436" max="7680" width="9.140625" style="11"/>
    <col min="7681" max="7681" width="8.7109375" style="11" customWidth="1"/>
    <col min="7682" max="7682" width="9.85546875" style="11" customWidth="1"/>
    <col min="7683" max="7683" width="14.42578125" style="11" customWidth="1"/>
    <col min="7684" max="7684" width="7.28515625" style="11" customWidth="1"/>
    <col min="7685" max="7685" width="5.5703125" style="11" customWidth="1"/>
    <col min="7686" max="7686" width="9" style="11" customWidth="1"/>
    <col min="7687" max="7688" width="9.85546875" style="11" customWidth="1"/>
    <col min="7689" max="7689" width="11.140625" style="11" customWidth="1"/>
    <col min="7690" max="7690" width="2.85546875" style="11" customWidth="1"/>
    <col min="7691" max="7691" width="3.5703125" style="11" customWidth="1"/>
    <col min="7692" max="7936" width="9.140625" style="11"/>
    <col min="7937" max="7937" width="8.7109375" style="11" customWidth="1"/>
    <col min="7938" max="7938" width="9.85546875" style="11" customWidth="1"/>
    <col min="7939" max="7939" width="14.42578125" style="11" customWidth="1"/>
    <col min="7940" max="7940" width="7.28515625" style="11" customWidth="1"/>
    <col min="7941" max="7941" width="5.5703125" style="11" customWidth="1"/>
    <col min="7942" max="7942" width="9" style="11" customWidth="1"/>
    <col min="7943" max="7944" width="9.85546875" style="11" customWidth="1"/>
    <col min="7945" max="7945" width="11.140625" style="11" customWidth="1"/>
    <col min="7946" max="7946" width="2.85546875" style="11" customWidth="1"/>
    <col min="7947" max="7947" width="3.5703125" style="11" customWidth="1"/>
    <col min="7948" max="8192" width="9.140625" style="11"/>
    <col min="8193" max="8193" width="8.7109375" style="11" customWidth="1"/>
    <col min="8194" max="8194" width="9.85546875" style="11" customWidth="1"/>
    <col min="8195" max="8195" width="14.42578125" style="11" customWidth="1"/>
    <col min="8196" max="8196" width="7.28515625" style="11" customWidth="1"/>
    <col min="8197" max="8197" width="5.5703125" style="11" customWidth="1"/>
    <col min="8198" max="8198" width="9" style="11" customWidth="1"/>
    <col min="8199" max="8200" width="9.85546875" style="11" customWidth="1"/>
    <col min="8201" max="8201" width="11.140625" style="11" customWidth="1"/>
    <col min="8202" max="8202" width="2.85546875" style="11" customWidth="1"/>
    <col min="8203" max="8203" width="3.5703125" style="11" customWidth="1"/>
    <col min="8204" max="8448" width="9.140625" style="11"/>
    <col min="8449" max="8449" width="8.7109375" style="11" customWidth="1"/>
    <col min="8450" max="8450" width="9.85546875" style="11" customWidth="1"/>
    <col min="8451" max="8451" width="14.42578125" style="11" customWidth="1"/>
    <col min="8452" max="8452" width="7.28515625" style="11" customWidth="1"/>
    <col min="8453" max="8453" width="5.5703125" style="11" customWidth="1"/>
    <col min="8454" max="8454" width="9" style="11" customWidth="1"/>
    <col min="8455" max="8456" width="9.85546875" style="11" customWidth="1"/>
    <col min="8457" max="8457" width="11.140625" style="11" customWidth="1"/>
    <col min="8458" max="8458" width="2.85546875" style="11" customWidth="1"/>
    <col min="8459" max="8459" width="3.5703125" style="11" customWidth="1"/>
    <col min="8460" max="8704" width="9.140625" style="11"/>
    <col min="8705" max="8705" width="8.7109375" style="11" customWidth="1"/>
    <col min="8706" max="8706" width="9.85546875" style="11" customWidth="1"/>
    <col min="8707" max="8707" width="14.42578125" style="11" customWidth="1"/>
    <col min="8708" max="8708" width="7.28515625" style="11" customWidth="1"/>
    <col min="8709" max="8709" width="5.5703125" style="11" customWidth="1"/>
    <col min="8710" max="8710" width="9" style="11" customWidth="1"/>
    <col min="8711" max="8712" width="9.85546875" style="11" customWidth="1"/>
    <col min="8713" max="8713" width="11.140625" style="11" customWidth="1"/>
    <col min="8714" max="8714" width="2.85546875" style="11" customWidth="1"/>
    <col min="8715" max="8715" width="3.5703125" style="11" customWidth="1"/>
    <col min="8716" max="8960" width="9.140625" style="11"/>
    <col min="8961" max="8961" width="8.7109375" style="11" customWidth="1"/>
    <col min="8962" max="8962" width="9.85546875" style="11" customWidth="1"/>
    <col min="8963" max="8963" width="14.42578125" style="11" customWidth="1"/>
    <col min="8964" max="8964" width="7.28515625" style="11" customWidth="1"/>
    <col min="8965" max="8965" width="5.5703125" style="11" customWidth="1"/>
    <col min="8966" max="8966" width="9" style="11" customWidth="1"/>
    <col min="8967" max="8968" width="9.85546875" style="11" customWidth="1"/>
    <col min="8969" max="8969" width="11.140625" style="11" customWidth="1"/>
    <col min="8970" max="8970" width="2.85546875" style="11" customWidth="1"/>
    <col min="8971" max="8971" width="3.5703125" style="11" customWidth="1"/>
    <col min="8972" max="9216" width="9.140625" style="11"/>
    <col min="9217" max="9217" width="8.7109375" style="11" customWidth="1"/>
    <col min="9218" max="9218" width="9.85546875" style="11" customWidth="1"/>
    <col min="9219" max="9219" width="14.42578125" style="11" customWidth="1"/>
    <col min="9220" max="9220" width="7.28515625" style="11" customWidth="1"/>
    <col min="9221" max="9221" width="5.5703125" style="11" customWidth="1"/>
    <col min="9222" max="9222" width="9" style="11" customWidth="1"/>
    <col min="9223" max="9224" width="9.85546875" style="11" customWidth="1"/>
    <col min="9225" max="9225" width="11.140625" style="11" customWidth="1"/>
    <col min="9226" max="9226" width="2.85546875" style="11" customWidth="1"/>
    <col min="9227" max="9227" width="3.5703125" style="11" customWidth="1"/>
    <col min="9228" max="9472" width="9.140625" style="11"/>
    <col min="9473" max="9473" width="8.7109375" style="11" customWidth="1"/>
    <col min="9474" max="9474" width="9.85546875" style="11" customWidth="1"/>
    <col min="9475" max="9475" width="14.42578125" style="11" customWidth="1"/>
    <col min="9476" max="9476" width="7.28515625" style="11" customWidth="1"/>
    <col min="9477" max="9477" width="5.5703125" style="11" customWidth="1"/>
    <col min="9478" max="9478" width="9" style="11" customWidth="1"/>
    <col min="9479" max="9480" width="9.85546875" style="11" customWidth="1"/>
    <col min="9481" max="9481" width="11.140625" style="11" customWidth="1"/>
    <col min="9482" max="9482" width="2.85546875" style="11" customWidth="1"/>
    <col min="9483" max="9483" width="3.5703125" style="11" customWidth="1"/>
    <col min="9484" max="9728" width="9.140625" style="11"/>
    <col min="9729" max="9729" width="8.7109375" style="11" customWidth="1"/>
    <col min="9730" max="9730" width="9.85546875" style="11" customWidth="1"/>
    <col min="9731" max="9731" width="14.42578125" style="11" customWidth="1"/>
    <col min="9732" max="9732" width="7.28515625" style="11" customWidth="1"/>
    <col min="9733" max="9733" width="5.5703125" style="11" customWidth="1"/>
    <col min="9734" max="9734" width="9" style="11" customWidth="1"/>
    <col min="9735" max="9736" width="9.85546875" style="11" customWidth="1"/>
    <col min="9737" max="9737" width="11.140625" style="11" customWidth="1"/>
    <col min="9738" max="9738" width="2.85546875" style="11" customWidth="1"/>
    <col min="9739" max="9739" width="3.5703125" style="11" customWidth="1"/>
    <col min="9740" max="9984" width="9.140625" style="11"/>
    <col min="9985" max="9985" width="8.7109375" style="11" customWidth="1"/>
    <col min="9986" max="9986" width="9.85546875" style="11" customWidth="1"/>
    <col min="9987" max="9987" width="14.42578125" style="11" customWidth="1"/>
    <col min="9988" max="9988" width="7.28515625" style="11" customWidth="1"/>
    <col min="9989" max="9989" width="5.5703125" style="11" customWidth="1"/>
    <col min="9990" max="9990" width="9" style="11" customWidth="1"/>
    <col min="9991" max="9992" width="9.85546875" style="11" customWidth="1"/>
    <col min="9993" max="9993" width="11.140625" style="11" customWidth="1"/>
    <col min="9994" max="9994" width="2.85546875" style="11" customWidth="1"/>
    <col min="9995" max="9995" width="3.5703125" style="11" customWidth="1"/>
    <col min="9996" max="10240" width="9.140625" style="11"/>
    <col min="10241" max="10241" width="8.7109375" style="11" customWidth="1"/>
    <col min="10242" max="10242" width="9.85546875" style="11" customWidth="1"/>
    <col min="10243" max="10243" width="14.42578125" style="11" customWidth="1"/>
    <col min="10244" max="10244" width="7.28515625" style="11" customWidth="1"/>
    <col min="10245" max="10245" width="5.5703125" style="11" customWidth="1"/>
    <col min="10246" max="10246" width="9" style="11" customWidth="1"/>
    <col min="10247" max="10248" width="9.85546875" style="11" customWidth="1"/>
    <col min="10249" max="10249" width="11.140625" style="11" customWidth="1"/>
    <col min="10250" max="10250" width="2.85546875" style="11" customWidth="1"/>
    <col min="10251" max="10251" width="3.5703125" style="11" customWidth="1"/>
    <col min="10252" max="10496" width="9.140625" style="11"/>
    <col min="10497" max="10497" width="8.7109375" style="11" customWidth="1"/>
    <col min="10498" max="10498" width="9.85546875" style="11" customWidth="1"/>
    <col min="10499" max="10499" width="14.42578125" style="11" customWidth="1"/>
    <col min="10500" max="10500" width="7.28515625" style="11" customWidth="1"/>
    <col min="10501" max="10501" width="5.5703125" style="11" customWidth="1"/>
    <col min="10502" max="10502" width="9" style="11" customWidth="1"/>
    <col min="10503" max="10504" width="9.85546875" style="11" customWidth="1"/>
    <col min="10505" max="10505" width="11.140625" style="11" customWidth="1"/>
    <col min="10506" max="10506" width="2.85546875" style="11" customWidth="1"/>
    <col min="10507" max="10507" width="3.5703125" style="11" customWidth="1"/>
    <col min="10508" max="10752" width="9.140625" style="11"/>
    <col min="10753" max="10753" width="8.7109375" style="11" customWidth="1"/>
    <col min="10754" max="10754" width="9.85546875" style="11" customWidth="1"/>
    <col min="10755" max="10755" width="14.42578125" style="11" customWidth="1"/>
    <col min="10756" max="10756" width="7.28515625" style="11" customWidth="1"/>
    <col min="10757" max="10757" width="5.5703125" style="11" customWidth="1"/>
    <col min="10758" max="10758" width="9" style="11" customWidth="1"/>
    <col min="10759" max="10760" width="9.85546875" style="11" customWidth="1"/>
    <col min="10761" max="10761" width="11.140625" style="11" customWidth="1"/>
    <col min="10762" max="10762" width="2.85546875" style="11" customWidth="1"/>
    <col min="10763" max="10763" width="3.5703125" style="11" customWidth="1"/>
    <col min="10764" max="11008" width="9.140625" style="11"/>
    <col min="11009" max="11009" width="8.7109375" style="11" customWidth="1"/>
    <col min="11010" max="11010" width="9.85546875" style="11" customWidth="1"/>
    <col min="11011" max="11011" width="14.42578125" style="11" customWidth="1"/>
    <col min="11012" max="11012" width="7.28515625" style="11" customWidth="1"/>
    <col min="11013" max="11013" width="5.5703125" style="11" customWidth="1"/>
    <col min="11014" max="11014" width="9" style="11" customWidth="1"/>
    <col min="11015" max="11016" width="9.85546875" style="11" customWidth="1"/>
    <col min="11017" max="11017" width="11.140625" style="11" customWidth="1"/>
    <col min="11018" max="11018" width="2.85546875" style="11" customWidth="1"/>
    <col min="11019" max="11019" width="3.5703125" style="11" customWidth="1"/>
    <col min="11020" max="11264" width="9.140625" style="11"/>
    <col min="11265" max="11265" width="8.7109375" style="11" customWidth="1"/>
    <col min="11266" max="11266" width="9.85546875" style="11" customWidth="1"/>
    <col min="11267" max="11267" width="14.42578125" style="11" customWidth="1"/>
    <col min="11268" max="11268" width="7.28515625" style="11" customWidth="1"/>
    <col min="11269" max="11269" width="5.5703125" style="11" customWidth="1"/>
    <col min="11270" max="11270" width="9" style="11" customWidth="1"/>
    <col min="11271" max="11272" width="9.85546875" style="11" customWidth="1"/>
    <col min="11273" max="11273" width="11.140625" style="11" customWidth="1"/>
    <col min="11274" max="11274" width="2.85546875" style="11" customWidth="1"/>
    <col min="11275" max="11275" width="3.5703125" style="11" customWidth="1"/>
    <col min="11276" max="11520" width="9.140625" style="11"/>
    <col min="11521" max="11521" width="8.7109375" style="11" customWidth="1"/>
    <col min="11522" max="11522" width="9.85546875" style="11" customWidth="1"/>
    <col min="11523" max="11523" width="14.42578125" style="11" customWidth="1"/>
    <col min="11524" max="11524" width="7.28515625" style="11" customWidth="1"/>
    <col min="11525" max="11525" width="5.5703125" style="11" customWidth="1"/>
    <col min="11526" max="11526" width="9" style="11" customWidth="1"/>
    <col min="11527" max="11528" width="9.85546875" style="11" customWidth="1"/>
    <col min="11529" max="11529" width="11.140625" style="11" customWidth="1"/>
    <col min="11530" max="11530" width="2.85546875" style="11" customWidth="1"/>
    <col min="11531" max="11531" width="3.5703125" style="11" customWidth="1"/>
    <col min="11532" max="11776" width="9.140625" style="11"/>
    <col min="11777" max="11777" width="8.7109375" style="11" customWidth="1"/>
    <col min="11778" max="11778" width="9.85546875" style="11" customWidth="1"/>
    <col min="11779" max="11779" width="14.42578125" style="11" customWidth="1"/>
    <col min="11780" max="11780" width="7.28515625" style="11" customWidth="1"/>
    <col min="11781" max="11781" width="5.5703125" style="11" customWidth="1"/>
    <col min="11782" max="11782" width="9" style="11" customWidth="1"/>
    <col min="11783" max="11784" width="9.85546875" style="11" customWidth="1"/>
    <col min="11785" max="11785" width="11.140625" style="11" customWidth="1"/>
    <col min="11786" max="11786" width="2.85546875" style="11" customWidth="1"/>
    <col min="11787" max="11787" width="3.5703125" style="11" customWidth="1"/>
    <col min="11788" max="12032" width="9.140625" style="11"/>
    <col min="12033" max="12033" width="8.7109375" style="11" customWidth="1"/>
    <col min="12034" max="12034" width="9.85546875" style="11" customWidth="1"/>
    <col min="12035" max="12035" width="14.42578125" style="11" customWidth="1"/>
    <col min="12036" max="12036" width="7.28515625" style="11" customWidth="1"/>
    <col min="12037" max="12037" width="5.5703125" style="11" customWidth="1"/>
    <col min="12038" max="12038" width="9" style="11" customWidth="1"/>
    <col min="12039" max="12040" width="9.85546875" style="11" customWidth="1"/>
    <col min="12041" max="12041" width="11.140625" style="11" customWidth="1"/>
    <col min="12042" max="12042" width="2.85546875" style="11" customWidth="1"/>
    <col min="12043" max="12043" width="3.5703125" style="11" customWidth="1"/>
    <col min="12044" max="12288" width="9.140625" style="11"/>
    <col min="12289" max="12289" width="8.7109375" style="11" customWidth="1"/>
    <col min="12290" max="12290" width="9.85546875" style="11" customWidth="1"/>
    <col min="12291" max="12291" width="14.42578125" style="11" customWidth="1"/>
    <col min="12292" max="12292" width="7.28515625" style="11" customWidth="1"/>
    <col min="12293" max="12293" width="5.5703125" style="11" customWidth="1"/>
    <col min="12294" max="12294" width="9" style="11" customWidth="1"/>
    <col min="12295" max="12296" width="9.85546875" style="11" customWidth="1"/>
    <col min="12297" max="12297" width="11.140625" style="11" customWidth="1"/>
    <col min="12298" max="12298" width="2.85546875" style="11" customWidth="1"/>
    <col min="12299" max="12299" width="3.5703125" style="11" customWidth="1"/>
    <col min="12300" max="12544" width="9.140625" style="11"/>
    <col min="12545" max="12545" width="8.7109375" style="11" customWidth="1"/>
    <col min="12546" max="12546" width="9.85546875" style="11" customWidth="1"/>
    <col min="12547" max="12547" width="14.42578125" style="11" customWidth="1"/>
    <col min="12548" max="12548" width="7.28515625" style="11" customWidth="1"/>
    <col min="12549" max="12549" width="5.5703125" style="11" customWidth="1"/>
    <col min="12550" max="12550" width="9" style="11" customWidth="1"/>
    <col min="12551" max="12552" width="9.85546875" style="11" customWidth="1"/>
    <col min="12553" max="12553" width="11.140625" style="11" customWidth="1"/>
    <col min="12554" max="12554" width="2.85546875" style="11" customWidth="1"/>
    <col min="12555" max="12555" width="3.5703125" style="11" customWidth="1"/>
    <col min="12556" max="12800" width="9.140625" style="11"/>
    <col min="12801" max="12801" width="8.7109375" style="11" customWidth="1"/>
    <col min="12802" max="12802" width="9.85546875" style="11" customWidth="1"/>
    <col min="12803" max="12803" width="14.42578125" style="11" customWidth="1"/>
    <col min="12804" max="12804" width="7.28515625" style="11" customWidth="1"/>
    <col min="12805" max="12805" width="5.5703125" style="11" customWidth="1"/>
    <col min="12806" max="12806" width="9" style="11" customWidth="1"/>
    <col min="12807" max="12808" width="9.85546875" style="11" customWidth="1"/>
    <col min="12809" max="12809" width="11.140625" style="11" customWidth="1"/>
    <col min="12810" max="12810" width="2.85546875" style="11" customWidth="1"/>
    <col min="12811" max="12811" width="3.5703125" style="11" customWidth="1"/>
    <col min="12812" max="13056" width="9.140625" style="11"/>
    <col min="13057" max="13057" width="8.7109375" style="11" customWidth="1"/>
    <col min="13058" max="13058" width="9.85546875" style="11" customWidth="1"/>
    <col min="13059" max="13059" width="14.42578125" style="11" customWidth="1"/>
    <col min="13060" max="13060" width="7.28515625" style="11" customWidth="1"/>
    <col min="13061" max="13061" width="5.5703125" style="11" customWidth="1"/>
    <col min="13062" max="13062" width="9" style="11" customWidth="1"/>
    <col min="13063" max="13064" width="9.85546875" style="11" customWidth="1"/>
    <col min="13065" max="13065" width="11.140625" style="11" customWidth="1"/>
    <col min="13066" max="13066" width="2.85546875" style="11" customWidth="1"/>
    <col min="13067" max="13067" width="3.5703125" style="11" customWidth="1"/>
    <col min="13068" max="13312" width="9.140625" style="11"/>
    <col min="13313" max="13313" width="8.7109375" style="11" customWidth="1"/>
    <col min="13314" max="13314" width="9.85546875" style="11" customWidth="1"/>
    <col min="13315" max="13315" width="14.42578125" style="11" customWidth="1"/>
    <col min="13316" max="13316" width="7.28515625" style="11" customWidth="1"/>
    <col min="13317" max="13317" width="5.5703125" style="11" customWidth="1"/>
    <col min="13318" max="13318" width="9" style="11" customWidth="1"/>
    <col min="13319" max="13320" width="9.85546875" style="11" customWidth="1"/>
    <col min="13321" max="13321" width="11.140625" style="11" customWidth="1"/>
    <col min="13322" max="13322" width="2.85546875" style="11" customWidth="1"/>
    <col min="13323" max="13323" width="3.5703125" style="11" customWidth="1"/>
    <col min="13324" max="13568" width="9.140625" style="11"/>
    <col min="13569" max="13569" width="8.7109375" style="11" customWidth="1"/>
    <col min="13570" max="13570" width="9.85546875" style="11" customWidth="1"/>
    <col min="13571" max="13571" width="14.42578125" style="11" customWidth="1"/>
    <col min="13572" max="13572" width="7.28515625" style="11" customWidth="1"/>
    <col min="13573" max="13573" width="5.5703125" style="11" customWidth="1"/>
    <col min="13574" max="13574" width="9" style="11" customWidth="1"/>
    <col min="13575" max="13576" width="9.85546875" style="11" customWidth="1"/>
    <col min="13577" max="13577" width="11.140625" style="11" customWidth="1"/>
    <col min="13578" max="13578" width="2.85546875" style="11" customWidth="1"/>
    <col min="13579" max="13579" width="3.5703125" style="11" customWidth="1"/>
    <col min="13580" max="13824" width="9.140625" style="11"/>
    <col min="13825" max="13825" width="8.7109375" style="11" customWidth="1"/>
    <col min="13826" max="13826" width="9.85546875" style="11" customWidth="1"/>
    <col min="13827" max="13827" width="14.42578125" style="11" customWidth="1"/>
    <col min="13828" max="13828" width="7.28515625" style="11" customWidth="1"/>
    <col min="13829" max="13829" width="5.5703125" style="11" customWidth="1"/>
    <col min="13830" max="13830" width="9" style="11" customWidth="1"/>
    <col min="13831" max="13832" width="9.85546875" style="11" customWidth="1"/>
    <col min="13833" max="13833" width="11.140625" style="11" customWidth="1"/>
    <col min="13834" max="13834" width="2.85546875" style="11" customWidth="1"/>
    <col min="13835" max="13835" width="3.5703125" style="11" customWidth="1"/>
    <col min="13836" max="14080" width="9.140625" style="11"/>
    <col min="14081" max="14081" width="8.7109375" style="11" customWidth="1"/>
    <col min="14082" max="14082" width="9.85546875" style="11" customWidth="1"/>
    <col min="14083" max="14083" width="14.42578125" style="11" customWidth="1"/>
    <col min="14084" max="14084" width="7.28515625" style="11" customWidth="1"/>
    <col min="14085" max="14085" width="5.5703125" style="11" customWidth="1"/>
    <col min="14086" max="14086" width="9" style="11" customWidth="1"/>
    <col min="14087" max="14088" width="9.85546875" style="11" customWidth="1"/>
    <col min="14089" max="14089" width="11.140625" style="11" customWidth="1"/>
    <col min="14090" max="14090" width="2.85546875" style="11" customWidth="1"/>
    <col min="14091" max="14091" width="3.5703125" style="11" customWidth="1"/>
    <col min="14092" max="14336" width="9.140625" style="11"/>
    <col min="14337" max="14337" width="8.7109375" style="11" customWidth="1"/>
    <col min="14338" max="14338" width="9.85546875" style="11" customWidth="1"/>
    <col min="14339" max="14339" width="14.42578125" style="11" customWidth="1"/>
    <col min="14340" max="14340" width="7.28515625" style="11" customWidth="1"/>
    <col min="14341" max="14341" width="5.5703125" style="11" customWidth="1"/>
    <col min="14342" max="14342" width="9" style="11" customWidth="1"/>
    <col min="14343" max="14344" width="9.85546875" style="11" customWidth="1"/>
    <col min="14345" max="14345" width="11.140625" style="11" customWidth="1"/>
    <col min="14346" max="14346" width="2.85546875" style="11" customWidth="1"/>
    <col min="14347" max="14347" width="3.5703125" style="11" customWidth="1"/>
    <col min="14348" max="14592" width="9.140625" style="11"/>
    <col min="14593" max="14593" width="8.7109375" style="11" customWidth="1"/>
    <col min="14594" max="14594" width="9.85546875" style="11" customWidth="1"/>
    <col min="14595" max="14595" width="14.42578125" style="11" customWidth="1"/>
    <col min="14596" max="14596" width="7.28515625" style="11" customWidth="1"/>
    <col min="14597" max="14597" width="5.5703125" style="11" customWidth="1"/>
    <col min="14598" max="14598" width="9" style="11" customWidth="1"/>
    <col min="14599" max="14600" width="9.85546875" style="11" customWidth="1"/>
    <col min="14601" max="14601" width="11.140625" style="11" customWidth="1"/>
    <col min="14602" max="14602" width="2.85546875" style="11" customWidth="1"/>
    <col min="14603" max="14603" width="3.5703125" style="11" customWidth="1"/>
    <col min="14604" max="14848" width="9.140625" style="11"/>
    <col min="14849" max="14849" width="8.7109375" style="11" customWidth="1"/>
    <col min="14850" max="14850" width="9.85546875" style="11" customWidth="1"/>
    <col min="14851" max="14851" width="14.42578125" style="11" customWidth="1"/>
    <col min="14852" max="14852" width="7.28515625" style="11" customWidth="1"/>
    <col min="14853" max="14853" width="5.5703125" style="11" customWidth="1"/>
    <col min="14854" max="14854" width="9" style="11" customWidth="1"/>
    <col min="14855" max="14856" width="9.85546875" style="11" customWidth="1"/>
    <col min="14857" max="14857" width="11.140625" style="11" customWidth="1"/>
    <col min="14858" max="14858" width="2.85546875" style="11" customWidth="1"/>
    <col min="14859" max="14859" width="3.5703125" style="11" customWidth="1"/>
    <col min="14860" max="15104" width="9.140625" style="11"/>
    <col min="15105" max="15105" width="8.7109375" style="11" customWidth="1"/>
    <col min="15106" max="15106" width="9.85546875" style="11" customWidth="1"/>
    <col min="15107" max="15107" width="14.42578125" style="11" customWidth="1"/>
    <col min="15108" max="15108" width="7.28515625" style="11" customWidth="1"/>
    <col min="15109" max="15109" width="5.5703125" style="11" customWidth="1"/>
    <col min="15110" max="15110" width="9" style="11" customWidth="1"/>
    <col min="15111" max="15112" width="9.85546875" style="11" customWidth="1"/>
    <col min="15113" max="15113" width="11.140625" style="11" customWidth="1"/>
    <col min="15114" max="15114" width="2.85546875" style="11" customWidth="1"/>
    <col min="15115" max="15115" width="3.5703125" style="11" customWidth="1"/>
    <col min="15116" max="15360" width="9.140625" style="11"/>
    <col min="15361" max="15361" width="8.7109375" style="11" customWidth="1"/>
    <col min="15362" max="15362" width="9.85546875" style="11" customWidth="1"/>
    <col min="15363" max="15363" width="14.42578125" style="11" customWidth="1"/>
    <col min="15364" max="15364" width="7.28515625" style="11" customWidth="1"/>
    <col min="15365" max="15365" width="5.5703125" style="11" customWidth="1"/>
    <col min="15366" max="15366" width="9" style="11" customWidth="1"/>
    <col min="15367" max="15368" width="9.85546875" style="11" customWidth="1"/>
    <col min="15369" max="15369" width="11.140625" style="11" customWidth="1"/>
    <col min="15370" max="15370" width="2.85546875" style="11" customWidth="1"/>
    <col min="15371" max="15371" width="3.5703125" style="11" customWidth="1"/>
    <col min="15372" max="15616" width="9.140625" style="11"/>
    <col min="15617" max="15617" width="8.7109375" style="11" customWidth="1"/>
    <col min="15618" max="15618" width="9.85546875" style="11" customWidth="1"/>
    <col min="15619" max="15619" width="14.42578125" style="11" customWidth="1"/>
    <col min="15620" max="15620" width="7.28515625" style="11" customWidth="1"/>
    <col min="15621" max="15621" width="5.5703125" style="11" customWidth="1"/>
    <col min="15622" max="15622" width="9" style="11" customWidth="1"/>
    <col min="15623" max="15624" width="9.85546875" style="11" customWidth="1"/>
    <col min="15625" max="15625" width="11.140625" style="11" customWidth="1"/>
    <col min="15626" max="15626" width="2.85546875" style="11" customWidth="1"/>
    <col min="15627" max="15627" width="3.5703125" style="11" customWidth="1"/>
    <col min="15628" max="15872" width="9.140625" style="11"/>
    <col min="15873" max="15873" width="8.7109375" style="11" customWidth="1"/>
    <col min="15874" max="15874" width="9.85546875" style="11" customWidth="1"/>
    <col min="15875" max="15875" width="14.42578125" style="11" customWidth="1"/>
    <col min="15876" max="15876" width="7.28515625" style="11" customWidth="1"/>
    <col min="15877" max="15877" width="5.5703125" style="11" customWidth="1"/>
    <col min="15878" max="15878" width="9" style="11" customWidth="1"/>
    <col min="15879" max="15880" width="9.85546875" style="11" customWidth="1"/>
    <col min="15881" max="15881" width="11.140625" style="11" customWidth="1"/>
    <col min="15882" max="15882" width="2.85546875" style="11" customWidth="1"/>
    <col min="15883" max="15883" width="3.5703125" style="11" customWidth="1"/>
    <col min="15884" max="16128" width="9.140625" style="11"/>
    <col min="16129" max="16129" width="8.7109375" style="11" customWidth="1"/>
    <col min="16130" max="16130" width="9.85546875" style="11" customWidth="1"/>
    <col min="16131" max="16131" width="14.42578125" style="11" customWidth="1"/>
    <col min="16132" max="16132" width="7.28515625" style="11" customWidth="1"/>
    <col min="16133" max="16133" width="5.5703125" style="11" customWidth="1"/>
    <col min="16134" max="16134" width="9" style="11" customWidth="1"/>
    <col min="16135" max="16136" width="9.85546875" style="11" customWidth="1"/>
    <col min="16137" max="16137" width="11.140625" style="11" customWidth="1"/>
    <col min="16138" max="16138" width="2.85546875" style="11" customWidth="1"/>
    <col min="16139" max="16139" width="3.5703125" style="11" customWidth="1"/>
    <col min="16140" max="16384" width="9.140625" style="11"/>
  </cols>
  <sheetData>
    <row r="1" spans="1:10" ht="46.5" customHeight="1" x14ac:dyDescent="0.25">
      <c r="A1" s="201" t="s">
        <v>246</v>
      </c>
      <c r="B1" s="202"/>
      <c r="C1" s="202"/>
      <c r="D1" s="202"/>
      <c r="E1" s="202"/>
      <c r="F1" s="202"/>
      <c r="G1" s="202"/>
      <c r="H1" s="202"/>
      <c r="I1" s="202"/>
      <c r="J1" s="203"/>
    </row>
    <row r="2" spans="1:10" ht="16.5" customHeight="1" x14ac:dyDescent="0.25">
      <c r="A2" s="204" t="s">
        <v>0</v>
      </c>
      <c r="B2" s="205"/>
      <c r="C2" s="205"/>
      <c r="D2" s="205"/>
      <c r="E2" s="205"/>
      <c r="F2" s="205"/>
      <c r="G2" s="205"/>
      <c r="H2" s="205"/>
      <c r="I2" s="205"/>
      <c r="J2" s="206"/>
    </row>
    <row r="3" spans="1:10" x14ac:dyDescent="0.25">
      <c r="A3" s="162" t="s">
        <v>1</v>
      </c>
      <c r="B3" s="163"/>
      <c r="C3" s="163"/>
      <c r="D3" s="163"/>
      <c r="E3" s="164"/>
      <c r="F3" s="194" t="str">
        <f ca="1">TEXT(TODAY(),"DD/MM/YYYY")</f>
        <v>23/09/2025</v>
      </c>
      <c r="G3" s="195"/>
      <c r="H3" s="195"/>
      <c r="I3" s="195"/>
      <c r="J3" s="196"/>
    </row>
    <row r="4" spans="1:10" ht="15" customHeight="1" x14ac:dyDescent="0.25">
      <c r="A4" s="162" t="s">
        <v>2</v>
      </c>
      <c r="B4" s="163"/>
      <c r="C4" s="163"/>
      <c r="D4" s="163"/>
      <c r="E4" s="164"/>
      <c r="F4" s="165" t="s">
        <v>324</v>
      </c>
      <c r="G4" s="166"/>
      <c r="H4" s="166"/>
      <c r="I4" s="166"/>
      <c r="J4" s="167"/>
    </row>
    <row r="5" spans="1:10" x14ac:dyDescent="0.25">
      <c r="A5" s="162" t="s">
        <v>3</v>
      </c>
      <c r="B5" s="163"/>
      <c r="C5" s="163"/>
      <c r="D5" s="163"/>
      <c r="E5" s="164"/>
      <c r="F5" s="194">
        <v>45846</v>
      </c>
      <c r="G5" s="195"/>
      <c r="H5" s="195"/>
      <c r="I5" s="195"/>
      <c r="J5" s="196"/>
    </row>
    <row r="6" spans="1:10" ht="16.5" customHeight="1" x14ac:dyDescent="0.25">
      <c r="A6" s="162" t="s">
        <v>4</v>
      </c>
      <c r="B6" s="163"/>
      <c r="C6" s="163"/>
      <c r="D6" s="163"/>
      <c r="E6" s="164"/>
      <c r="F6" s="72" t="s">
        <v>172</v>
      </c>
      <c r="G6" s="171"/>
      <c r="H6" s="171"/>
      <c r="I6" s="171"/>
      <c r="J6" s="73"/>
    </row>
    <row r="7" spans="1:10" ht="15" customHeight="1" x14ac:dyDescent="0.25">
      <c r="A7" s="162" t="s">
        <v>5</v>
      </c>
      <c r="B7" s="163"/>
      <c r="C7" s="163"/>
      <c r="D7" s="163"/>
      <c r="E7" s="164"/>
      <c r="F7" s="72" t="str">
        <f>F6</f>
        <v xml:space="preserve">M/s.Vinayak Developers
</v>
      </c>
      <c r="G7" s="171"/>
      <c r="H7" s="171"/>
      <c r="I7" s="171"/>
      <c r="J7" s="73"/>
    </row>
    <row r="8" spans="1:10" x14ac:dyDescent="0.25">
      <c r="A8" s="162" t="s">
        <v>6</v>
      </c>
      <c r="B8" s="163"/>
      <c r="C8" s="163"/>
      <c r="D8" s="163"/>
      <c r="E8" s="164"/>
      <c r="F8" s="207" t="s">
        <v>251</v>
      </c>
      <c r="G8" s="208"/>
      <c r="H8" s="208"/>
      <c r="I8" s="208"/>
      <c r="J8" s="209"/>
    </row>
    <row r="9" spans="1:10" x14ac:dyDescent="0.25">
      <c r="A9" s="176" t="s">
        <v>189</v>
      </c>
      <c r="B9" s="177"/>
      <c r="C9" s="177"/>
      <c r="D9" s="177"/>
      <c r="E9" s="178"/>
      <c r="F9" s="197" t="s">
        <v>322</v>
      </c>
      <c r="G9" s="198"/>
      <c r="H9" s="198"/>
      <c r="I9" s="199" t="s">
        <v>249</v>
      </c>
      <c r="J9" s="200"/>
    </row>
    <row r="10" spans="1:10" x14ac:dyDescent="0.25">
      <c r="A10" s="179"/>
      <c r="B10" s="180"/>
      <c r="C10" s="180"/>
      <c r="D10" s="180"/>
      <c r="E10" s="181"/>
      <c r="F10" s="197" t="s">
        <v>323</v>
      </c>
      <c r="G10" s="198"/>
      <c r="H10" s="198"/>
      <c r="I10" s="199" t="s">
        <v>195</v>
      </c>
      <c r="J10" s="200"/>
    </row>
    <row r="11" spans="1:10" x14ac:dyDescent="0.25">
      <c r="A11" s="162" t="s">
        <v>248</v>
      </c>
      <c r="B11" s="163"/>
      <c r="C11" s="163"/>
      <c r="D11" s="163"/>
      <c r="E11" s="164"/>
      <c r="F11" s="162" t="s">
        <v>174</v>
      </c>
      <c r="G11" s="163"/>
      <c r="H11" s="163"/>
      <c r="I11" s="163"/>
      <c r="J11" s="164"/>
    </row>
    <row r="12" spans="1:10" x14ac:dyDescent="0.25">
      <c r="A12" s="162" t="s">
        <v>252</v>
      </c>
      <c r="B12" s="163"/>
      <c r="C12" s="163"/>
      <c r="D12" s="163"/>
      <c r="E12" s="164"/>
      <c r="F12" s="162" t="s">
        <v>331</v>
      </c>
      <c r="G12" s="163"/>
      <c r="H12" s="163"/>
      <c r="I12" s="163"/>
      <c r="J12" s="164"/>
    </row>
    <row r="13" spans="1:10" x14ac:dyDescent="0.25">
      <c r="A13" s="162" t="s">
        <v>7</v>
      </c>
      <c r="B13" s="163"/>
      <c r="C13" s="163"/>
      <c r="D13" s="163"/>
      <c r="E13" s="164"/>
      <c r="F13" s="104" t="s">
        <v>247</v>
      </c>
      <c r="G13" s="105"/>
      <c r="H13" s="105"/>
      <c r="I13" s="105"/>
      <c r="J13" s="106"/>
    </row>
    <row r="14" spans="1:10" ht="16.5" customHeight="1" x14ac:dyDescent="0.25">
      <c r="A14" s="162" t="s">
        <v>8</v>
      </c>
      <c r="B14" s="163"/>
      <c r="C14" s="163"/>
      <c r="D14" s="163"/>
      <c r="E14" s="164"/>
      <c r="F14" s="74" t="s">
        <v>9</v>
      </c>
      <c r="G14" s="75"/>
      <c r="H14" s="75"/>
      <c r="I14" s="75"/>
      <c r="J14" s="76"/>
    </row>
    <row r="15" spans="1:10" x14ac:dyDescent="0.25">
      <c r="A15" s="176" t="s">
        <v>10</v>
      </c>
      <c r="B15" s="177"/>
      <c r="C15" s="177"/>
      <c r="D15" s="177"/>
      <c r="E15" s="177"/>
      <c r="F15" s="156" t="s">
        <v>250</v>
      </c>
      <c r="G15" s="156"/>
      <c r="H15" s="162" t="s">
        <v>328</v>
      </c>
      <c r="I15" s="163"/>
      <c r="J15" s="164"/>
    </row>
    <row r="16" spans="1:10" x14ac:dyDescent="0.25">
      <c r="A16" s="179"/>
      <c r="B16" s="180"/>
      <c r="C16" s="180"/>
      <c r="D16" s="180"/>
      <c r="E16" s="180"/>
      <c r="F16" s="156" t="s">
        <v>175</v>
      </c>
      <c r="G16" s="156"/>
      <c r="H16" s="130" t="s">
        <v>329</v>
      </c>
      <c r="I16" s="131"/>
      <c r="J16" s="132"/>
    </row>
    <row r="17" spans="1:11" ht="68.25" customHeight="1" x14ac:dyDescent="0.25">
      <c r="A17" s="170" t="s">
        <v>11</v>
      </c>
      <c r="B17" s="170"/>
      <c r="C17" s="72" t="s">
        <v>330</v>
      </c>
      <c r="D17" s="171"/>
      <c r="E17" s="171"/>
      <c r="F17" s="171"/>
      <c r="G17" s="171"/>
      <c r="H17" s="171"/>
      <c r="I17" s="171"/>
      <c r="J17" s="73"/>
      <c r="K17" s="11" t="str">
        <f>CONCATENATE((IF(OR(F8="",F8="NA"),"",F8)),", ",(IF(OR(A19="",A19="NA"),"",A19)),".",(IF(OR(C19="",C19="NA"),"",C19)),", ",(IF(OR(F19="",F19="NA"),"",F19)),".",(IF(OR(H19="",H19="NA"),"",H19)),", ",(IF(OR(C20="",C20="NA"),"",C20)),", ",(IF(OR(H20="",H20="NA"),"",H20)),", ",(IF(OR(C22="",C22="NA"),"",C22))," - ",(IF(OR(H22="",H22="NA"),"",H22)),".")</f>
        <v>Mahavir Spring, Sector.4, ., Pokharan Rd Number 2 &amp; Mission Dr Road, Majiwade, Thane - 400610.</v>
      </c>
    </row>
    <row r="18" spans="1:11" ht="32.25" customHeight="1" x14ac:dyDescent="0.25">
      <c r="A18" s="72" t="s">
        <v>190</v>
      </c>
      <c r="B18" s="73"/>
      <c r="C18" s="74" t="s">
        <v>253</v>
      </c>
      <c r="D18" s="75"/>
      <c r="E18" s="75"/>
      <c r="F18" s="75"/>
      <c r="G18" s="75"/>
      <c r="H18" s="75"/>
      <c r="I18" s="75"/>
      <c r="J18" s="76"/>
    </row>
    <row r="19" spans="1:11" x14ac:dyDescent="0.25">
      <c r="A19" s="72" t="s">
        <v>191</v>
      </c>
      <c r="B19" s="73"/>
      <c r="C19" s="74">
        <v>4</v>
      </c>
      <c r="D19" s="75"/>
      <c r="E19" s="75"/>
      <c r="F19" s="75"/>
      <c r="G19" s="75"/>
      <c r="H19" s="75"/>
      <c r="I19" s="75"/>
      <c r="J19" s="76"/>
    </row>
    <row r="20" spans="1:11" ht="33" customHeight="1" x14ac:dyDescent="0.25">
      <c r="A20" s="72" t="s">
        <v>12</v>
      </c>
      <c r="B20" s="73"/>
      <c r="C20" s="97" t="s">
        <v>266</v>
      </c>
      <c r="D20" s="97"/>
      <c r="E20" s="97"/>
      <c r="F20" s="157" t="s">
        <v>135</v>
      </c>
      <c r="G20" s="158"/>
      <c r="H20" s="74" t="s">
        <v>192</v>
      </c>
      <c r="I20" s="75"/>
      <c r="J20" s="76"/>
    </row>
    <row r="21" spans="1:11" x14ac:dyDescent="0.25">
      <c r="A21" s="156" t="s">
        <v>14</v>
      </c>
      <c r="B21" s="156"/>
      <c r="C21" s="74" t="s">
        <v>321</v>
      </c>
      <c r="D21" s="75"/>
      <c r="E21" s="76"/>
      <c r="F21" s="157" t="s">
        <v>13</v>
      </c>
      <c r="G21" s="158"/>
      <c r="H21" s="159" t="s">
        <v>176</v>
      </c>
      <c r="I21" s="159"/>
      <c r="J21" s="159"/>
    </row>
    <row r="22" spans="1:11" x14ac:dyDescent="0.25">
      <c r="A22" s="156" t="s">
        <v>136</v>
      </c>
      <c r="B22" s="156"/>
      <c r="C22" s="74" t="s">
        <v>176</v>
      </c>
      <c r="D22" s="75"/>
      <c r="E22" s="76"/>
      <c r="F22" s="157" t="s">
        <v>15</v>
      </c>
      <c r="G22" s="158"/>
      <c r="H22" s="74">
        <v>400610</v>
      </c>
      <c r="I22" s="75"/>
      <c r="J22" s="76"/>
    </row>
    <row r="23" spans="1:11" ht="32.25" customHeight="1" x14ac:dyDescent="0.25">
      <c r="A23" s="156" t="s">
        <v>16</v>
      </c>
      <c r="B23" s="156"/>
      <c r="C23" s="168" t="s">
        <v>194</v>
      </c>
      <c r="D23" s="169"/>
      <c r="E23" s="169"/>
      <c r="F23" s="170" t="s">
        <v>17</v>
      </c>
      <c r="G23" s="170"/>
      <c r="H23" s="72" t="s">
        <v>185</v>
      </c>
      <c r="I23" s="171"/>
      <c r="J23" s="73"/>
    </row>
    <row r="24" spans="1:11" ht="15" customHeight="1" x14ac:dyDescent="0.25">
      <c r="A24" s="157" t="s">
        <v>147</v>
      </c>
      <c r="B24" s="172"/>
      <c r="C24" s="172"/>
      <c r="D24" s="172"/>
      <c r="E24" s="158"/>
      <c r="F24" s="176" t="s">
        <v>18</v>
      </c>
      <c r="G24" s="177"/>
      <c r="H24" s="177"/>
      <c r="I24" s="177"/>
      <c r="J24" s="178"/>
    </row>
    <row r="25" spans="1:11" ht="18.75" customHeight="1" x14ac:dyDescent="0.25">
      <c r="A25" s="173"/>
      <c r="B25" s="174"/>
      <c r="C25" s="174"/>
      <c r="D25" s="174"/>
      <c r="E25" s="175"/>
      <c r="F25" s="179"/>
      <c r="G25" s="180"/>
      <c r="H25" s="180"/>
      <c r="I25" s="180"/>
      <c r="J25" s="181"/>
    </row>
    <row r="26" spans="1:11" ht="15" customHeight="1" x14ac:dyDescent="0.25">
      <c r="A26" s="157" t="s">
        <v>19</v>
      </c>
      <c r="B26" s="172"/>
      <c r="C26" s="172"/>
      <c r="D26" s="172"/>
      <c r="E26" s="158"/>
      <c r="F26" s="157" t="s">
        <v>20</v>
      </c>
      <c r="G26" s="172"/>
      <c r="H26" s="172"/>
      <c r="I26" s="172"/>
      <c r="J26" s="158"/>
    </row>
    <row r="27" spans="1:11" x14ac:dyDescent="0.25">
      <c r="A27" s="173"/>
      <c r="B27" s="174"/>
      <c r="C27" s="174"/>
      <c r="D27" s="174"/>
      <c r="E27" s="175"/>
      <c r="F27" s="173"/>
      <c r="G27" s="174"/>
      <c r="H27" s="174"/>
      <c r="I27" s="174"/>
      <c r="J27" s="175"/>
    </row>
    <row r="28" spans="1:11" ht="15" customHeight="1" x14ac:dyDescent="0.25">
      <c r="A28" s="162" t="s">
        <v>21</v>
      </c>
      <c r="B28" s="163"/>
      <c r="C28" s="163"/>
      <c r="D28" s="163"/>
      <c r="E28" s="164"/>
      <c r="F28" s="165" t="s">
        <v>22</v>
      </c>
      <c r="G28" s="166"/>
      <c r="H28" s="166"/>
      <c r="I28" s="166"/>
      <c r="J28" s="167"/>
    </row>
    <row r="29" spans="1:11" x14ac:dyDescent="0.25">
      <c r="A29" s="162" t="s">
        <v>23</v>
      </c>
      <c r="B29" s="163"/>
      <c r="C29" s="163"/>
      <c r="D29" s="163"/>
      <c r="E29" s="164"/>
      <c r="F29" s="165" t="s">
        <v>24</v>
      </c>
      <c r="G29" s="166"/>
      <c r="H29" s="166"/>
      <c r="I29" s="166"/>
      <c r="J29" s="167"/>
    </row>
    <row r="30" spans="1:11" ht="15" customHeight="1" x14ac:dyDescent="0.25">
      <c r="A30" s="162" t="s">
        <v>25</v>
      </c>
      <c r="B30" s="163"/>
      <c r="C30" s="163"/>
      <c r="D30" s="163"/>
      <c r="E30" s="164"/>
      <c r="F30" s="165" t="s">
        <v>26</v>
      </c>
      <c r="G30" s="166"/>
      <c r="H30" s="166"/>
      <c r="I30" s="166"/>
      <c r="J30" s="167"/>
    </row>
    <row r="31" spans="1:11" x14ac:dyDescent="0.25">
      <c r="A31" s="162" t="s">
        <v>27</v>
      </c>
      <c r="B31" s="163"/>
      <c r="C31" s="163"/>
      <c r="D31" s="163"/>
      <c r="E31" s="164"/>
      <c r="F31" s="165" t="s">
        <v>28</v>
      </c>
      <c r="G31" s="166"/>
      <c r="H31" s="166"/>
      <c r="I31" s="166"/>
      <c r="J31" s="167"/>
    </row>
    <row r="32" spans="1:11" x14ac:dyDescent="0.25">
      <c r="A32" s="160" t="s">
        <v>29</v>
      </c>
      <c r="B32" s="161"/>
      <c r="C32" s="160" t="s">
        <v>30</v>
      </c>
      <c r="D32" s="161"/>
      <c r="E32" s="160" t="s">
        <v>31</v>
      </c>
      <c r="F32" s="161"/>
      <c r="G32" s="160" t="s">
        <v>33</v>
      </c>
      <c r="H32" s="161"/>
      <c r="I32" s="160" t="s">
        <v>32</v>
      </c>
      <c r="J32" s="161"/>
    </row>
    <row r="33" spans="1:10" ht="39" customHeight="1" x14ac:dyDescent="0.25">
      <c r="A33" s="182" t="s">
        <v>313</v>
      </c>
      <c r="B33" s="183"/>
      <c r="C33" s="182" t="s">
        <v>318</v>
      </c>
      <c r="D33" s="183"/>
      <c r="E33" s="184" t="s">
        <v>320</v>
      </c>
      <c r="F33" s="185"/>
      <c r="G33" s="182" t="s">
        <v>314</v>
      </c>
      <c r="H33" s="183"/>
      <c r="I33" s="184" t="s">
        <v>319</v>
      </c>
      <c r="J33" s="185"/>
    </row>
    <row r="34" spans="1:10" ht="55.5" customHeight="1" x14ac:dyDescent="0.25">
      <c r="A34" s="182" t="s">
        <v>35</v>
      </c>
      <c r="B34" s="183"/>
      <c r="C34" s="184" t="s">
        <v>317</v>
      </c>
      <c r="D34" s="183"/>
      <c r="E34" s="184" t="s">
        <v>316</v>
      </c>
      <c r="F34" s="185"/>
      <c r="G34" s="184" t="s">
        <v>193</v>
      </c>
      <c r="H34" s="183"/>
      <c r="I34" s="184" t="s">
        <v>315</v>
      </c>
      <c r="J34" s="185"/>
    </row>
    <row r="35" spans="1:10" x14ac:dyDescent="0.25">
      <c r="A35" s="162" t="s">
        <v>36</v>
      </c>
      <c r="B35" s="163"/>
      <c r="C35" s="163"/>
      <c r="D35" s="163"/>
      <c r="E35" s="163"/>
      <c r="F35" s="163"/>
      <c r="G35" s="163"/>
      <c r="H35" s="163"/>
      <c r="I35" s="163"/>
      <c r="J35" s="164"/>
    </row>
    <row r="36" spans="1:10" x14ac:dyDescent="0.25">
      <c r="A36" s="162" t="s">
        <v>37</v>
      </c>
      <c r="B36" s="163"/>
      <c r="C36" s="163"/>
      <c r="D36" s="163"/>
      <c r="E36" s="163"/>
      <c r="F36" s="163"/>
      <c r="G36" s="163"/>
      <c r="H36" s="163"/>
      <c r="I36" s="163"/>
      <c r="J36" s="164"/>
    </row>
    <row r="37" spans="1:10" x14ac:dyDescent="0.25">
      <c r="A37" s="133" t="s">
        <v>38</v>
      </c>
      <c r="B37" s="134"/>
      <c r="C37" s="130" t="s">
        <v>254</v>
      </c>
      <c r="D37" s="131"/>
      <c r="E37" s="131"/>
      <c r="F37" s="131"/>
      <c r="G37" s="131"/>
      <c r="H37" s="131"/>
      <c r="I37" s="131"/>
      <c r="J37" s="132"/>
    </row>
    <row r="38" spans="1:10" x14ac:dyDescent="0.25">
      <c r="A38" s="133" t="s">
        <v>245</v>
      </c>
      <c r="B38" s="134"/>
      <c r="C38" s="135" t="s">
        <v>255</v>
      </c>
      <c r="D38" s="131"/>
      <c r="E38" s="131"/>
      <c r="F38" s="131"/>
      <c r="G38" s="131"/>
      <c r="H38" s="131"/>
      <c r="I38" s="131"/>
      <c r="J38" s="132"/>
    </row>
    <row r="39" spans="1:10" x14ac:dyDescent="0.25">
      <c r="A39" s="133" t="s">
        <v>39</v>
      </c>
      <c r="B39" s="193"/>
      <c r="C39" s="193"/>
      <c r="D39" s="193"/>
      <c r="E39" s="193"/>
      <c r="F39" s="193"/>
      <c r="G39" s="193"/>
      <c r="H39" s="193"/>
      <c r="I39" s="193"/>
      <c r="J39" s="134"/>
    </row>
    <row r="40" spans="1:10" ht="15" customHeight="1" x14ac:dyDescent="0.25">
      <c r="A40" s="72" t="s">
        <v>40</v>
      </c>
      <c r="B40" s="171"/>
      <c r="C40" s="171"/>
      <c r="D40" s="171"/>
      <c r="E40" s="73"/>
      <c r="F40" s="190" t="s">
        <v>186</v>
      </c>
      <c r="G40" s="191"/>
      <c r="H40" s="191"/>
      <c r="I40" s="191"/>
      <c r="J40" s="192"/>
    </row>
    <row r="41" spans="1:10" ht="15" customHeight="1" x14ac:dyDescent="0.25">
      <c r="A41" s="173" t="s">
        <v>41</v>
      </c>
      <c r="B41" s="174"/>
      <c r="C41" s="174"/>
      <c r="D41" s="174"/>
      <c r="E41" s="174"/>
      <c r="F41" s="72" t="s">
        <v>42</v>
      </c>
      <c r="G41" s="171"/>
      <c r="H41" s="171"/>
      <c r="I41" s="171"/>
      <c r="J41" s="73"/>
    </row>
    <row r="42" spans="1:10" x14ac:dyDescent="0.25">
      <c r="A42" s="133" t="s">
        <v>43</v>
      </c>
      <c r="B42" s="193"/>
      <c r="C42" s="193"/>
      <c r="D42" s="193"/>
      <c r="E42" s="193"/>
      <c r="F42" s="193"/>
      <c r="G42" s="193"/>
      <c r="H42" s="193"/>
      <c r="I42" s="193"/>
      <c r="J42" s="134"/>
    </row>
    <row r="43" spans="1:10" x14ac:dyDescent="0.25">
      <c r="A43" s="162" t="s">
        <v>44</v>
      </c>
      <c r="B43" s="163"/>
      <c r="C43" s="163"/>
      <c r="D43" s="163"/>
      <c r="E43" s="164"/>
      <c r="F43" s="215">
        <v>14772</v>
      </c>
      <c r="G43" s="216"/>
      <c r="H43" s="216"/>
      <c r="I43" s="216"/>
      <c r="J43" s="217"/>
    </row>
    <row r="44" spans="1:10" x14ac:dyDescent="0.25">
      <c r="A44" s="162" t="s">
        <v>45</v>
      </c>
      <c r="B44" s="163"/>
      <c r="C44" s="163"/>
      <c r="D44" s="163"/>
      <c r="E44" s="164"/>
      <c r="F44" s="186">
        <f>16249.2/F43</f>
        <v>1.1000000000000001</v>
      </c>
      <c r="G44" s="187"/>
      <c r="H44" s="187"/>
      <c r="I44" s="187"/>
      <c r="J44" s="188"/>
    </row>
    <row r="45" spans="1:10" x14ac:dyDescent="0.25">
      <c r="A45" s="162" t="s">
        <v>46</v>
      </c>
      <c r="B45" s="163"/>
      <c r="C45" s="163"/>
      <c r="D45" s="163"/>
      <c r="E45" s="164"/>
      <c r="F45" s="186">
        <f>F47/F43-F44</f>
        <v>4.4749688600054149</v>
      </c>
      <c r="G45" s="187"/>
      <c r="H45" s="187"/>
      <c r="I45" s="187"/>
      <c r="J45" s="188"/>
    </row>
    <row r="46" spans="1:10" x14ac:dyDescent="0.25">
      <c r="A46" s="162" t="s">
        <v>47</v>
      </c>
      <c r="B46" s="163"/>
      <c r="C46" s="163"/>
      <c r="D46" s="163"/>
      <c r="E46" s="164"/>
      <c r="F46" s="186">
        <f>F44+F45</f>
        <v>5.5749688600054146</v>
      </c>
      <c r="G46" s="187"/>
      <c r="H46" s="187"/>
      <c r="I46" s="187"/>
      <c r="J46" s="188"/>
    </row>
    <row r="47" spans="1:10" x14ac:dyDescent="0.25">
      <c r="A47" s="162" t="s">
        <v>48</v>
      </c>
      <c r="B47" s="163"/>
      <c r="C47" s="163"/>
      <c r="D47" s="163"/>
      <c r="E47" s="164"/>
      <c r="F47" s="220">
        <v>82353.440000000002</v>
      </c>
      <c r="G47" s="221"/>
      <c r="H47" s="221"/>
      <c r="I47" s="221"/>
      <c r="J47" s="222"/>
    </row>
    <row r="48" spans="1:10" x14ac:dyDescent="0.25">
      <c r="A48" s="162" t="s">
        <v>49</v>
      </c>
      <c r="B48" s="163"/>
      <c r="C48" s="163"/>
      <c r="D48" s="163"/>
      <c r="E48" s="164"/>
      <c r="F48" s="104" t="s">
        <v>256</v>
      </c>
      <c r="G48" s="105"/>
      <c r="H48" s="105"/>
      <c r="I48" s="105"/>
      <c r="J48" s="106"/>
    </row>
    <row r="49" spans="1:12" x14ac:dyDescent="0.25">
      <c r="A49" s="133" t="s">
        <v>50</v>
      </c>
      <c r="B49" s="193"/>
      <c r="C49" s="193"/>
      <c r="D49" s="193"/>
      <c r="E49" s="193"/>
      <c r="F49" s="193"/>
      <c r="G49" s="193"/>
      <c r="H49" s="193"/>
      <c r="I49" s="193"/>
      <c r="J49" s="134"/>
    </row>
    <row r="50" spans="1:12" x14ac:dyDescent="0.25">
      <c r="A50" s="72" t="s">
        <v>51</v>
      </c>
      <c r="B50" s="73"/>
      <c r="C50" s="210" t="s">
        <v>257</v>
      </c>
      <c r="D50" s="218"/>
      <c r="E50" s="218"/>
      <c r="F50" s="219"/>
      <c r="G50" s="18" t="s">
        <v>52</v>
      </c>
      <c r="H50" s="189">
        <v>45163</v>
      </c>
      <c r="I50" s="171"/>
      <c r="J50" s="73"/>
    </row>
    <row r="51" spans="1:12" x14ac:dyDescent="0.25">
      <c r="A51" s="72" t="s">
        <v>53</v>
      </c>
      <c r="B51" s="73"/>
      <c r="C51" s="210" t="str">
        <f>C50</f>
        <v>V.PS04/0100/16/TMC/TDD/4465/23</v>
      </c>
      <c r="D51" s="218"/>
      <c r="E51" s="218"/>
      <c r="F51" s="219"/>
      <c r="G51" s="18" t="s">
        <v>52</v>
      </c>
      <c r="H51" s="189">
        <f>H50</f>
        <v>45163</v>
      </c>
      <c r="I51" s="171"/>
      <c r="J51" s="73"/>
    </row>
    <row r="52" spans="1:12" ht="81.75" customHeight="1" x14ac:dyDescent="0.25">
      <c r="A52" s="72" t="s">
        <v>258</v>
      </c>
      <c r="B52" s="73"/>
      <c r="C52" s="210" t="s">
        <v>327</v>
      </c>
      <c r="D52" s="211"/>
      <c r="E52" s="211"/>
      <c r="F52" s="212"/>
      <c r="G52" s="12" t="s">
        <v>52</v>
      </c>
      <c r="H52" s="189">
        <f>H51</f>
        <v>45163</v>
      </c>
      <c r="I52" s="171"/>
      <c r="J52" s="73"/>
    </row>
    <row r="53" spans="1:12" ht="15" customHeight="1" x14ac:dyDescent="0.25">
      <c r="A53" s="72" t="s">
        <v>54</v>
      </c>
      <c r="B53" s="73"/>
      <c r="C53" s="210" t="s">
        <v>144</v>
      </c>
      <c r="D53" s="211"/>
      <c r="E53" s="211"/>
      <c r="F53" s="212" t="s">
        <v>55</v>
      </c>
      <c r="G53" s="18" t="s">
        <v>52</v>
      </c>
      <c r="H53" s="72" t="s">
        <v>34</v>
      </c>
      <c r="I53" s="171" t="s">
        <v>34</v>
      </c>
      <c r="J53" s="73"/>
    </row>
    <row r="54" spans="1:12" x14ac:dyDescent="0.25">
      <c r="A54" s="67" t="s">
        <v>259</v>
      </c>
      <c r="B54" s="223" t="s">
        <v>56</v>
      </c>
      <c r="C54" s="223"/>
      <c r="D54" s="213">
        <v>44705</v>
      </c>
      <c r="E54" s="214"/>
      <c r="F54" s="110" t="s">
        <v>57</v>
      </c>
      <c r="G54" s="111"/>
      <c r="H54" s="104" t="s">
        <v>262</v>
      </c>
      <c r="I54" s="105"/>
      <c r="J54" s="106"/>
    </row>
    <row r="55" spans="1:12" x14ac:dyDescent="0.25">
      <c r="A55" s="67" t="s">
        <v>260</v>
      </c>
      <c r="B55" s="223"/>
      <c r="C55" s="223"/>
      <c r="D55" s="213">
        <v>43701</v>
      </c>
      <c r="E55" s="214"/>
      <c r="F55" s="112"/>
      <c r="G55" s="113"/>
      <c r="H55" s="104" t="s">
        <v>261</v>
      </c>
      <c r="I55" s="105"/>
      <c r="J55" s="106"/>
    </row>
    <row r="56" spans="1:12" x14ac:dyDescent="0.25">
      <c r="A56" s="224" t="s">
        <v>58</v>
      </c>
      <c r="B56" s="225"/>
      <c r="C56" s="225"/>
      <c r="D56" s="225"/>
      <c r="E56" s="225"/>
      <c r="F56" s="225"/>
      <c r="G56" s="225"/>
      <c r="H56" s="225"/>
      <c r="I56" s="225"/>
      <c r="J56" s="226"/>
    </row>
    <row r="57" spans="1:12" ht="36" customHeight="1" x14ac:dyDescent="0.25">
      <c r="A57" s="170" t="s">
        <v>59</v>
      </c>
      <c r="B57" s="170"/>
      <c r="C57" s="227">
        <f>F47</f>
        <v>82353.440000000002</v>
      </c>
      <c r="D57" s="227"/>
      <c r="E57" s="227"/>
      <c r="F57" s="227"/>
      <c r="G57" s="227"/>
      <c r="H57" s="227"/>
      <c r="I57" s="227"/>
      <c r="J57" s="227"/>
    </row>
    <row r="58" spans="1:12" ht="15.75" customHeight="1" x14ac:dyDescent="0.25">
      <c r="A58" s="74" t="s">
        <v>60</v>
      </c>
      <c r="B58" s="76"/>
      <c r="C58" s="162" t="s">
        <v>311</v>
      </c>
      <c r="D58" s="163"/>
      <c r="E58" s="163"/>
      <c r="F58" s="163"/>
      <c r="G58" s="163"/>
      <c r="H58" s="163"/>
      <c r="I58" s="163"/>
      <c r="J58" s="164"/>
    </row>
    <row r="59" spans="1:12" ht="36.75" customHeight="1" x14ac:dyDescent="0.25">
      <c r="A59" s="104" t="s">
        <v>61</v>
      </c>
      <c r="B59" s="105"/>
      <c r="C59" s="97" t="s">
        <v>263</v>
      </c>
      <c r="D59" s="97"/>
      <c r="E59" s="97"/>
      <c r="F59" s="97"/>
      <c r="G59" s="97"/>
      <c r="H59" s="97"/>
      <c r="I59" s="97"/>
      <c r="J59" s="97"/>
    </row>
    <row r="60" spans="1:12" ht="35.25" customHeight="1" x14ac:dyDescent="0.25">
      <c r="A60" s="98" t="s">
        <v>267</v>
      </c>
      <c r="B60" s="99"/>
      <c r="C60" s="97" t="s">
        <v>268</v>
      </c>
      <c r="D60" s="97"/>
      <c r="E60" s="97"/>
      <c r="F60" s="97"/>
      <c r="G60" s="97"/>
      <c r="H60" s="97"/>
      <c r="I60" s="97"/>
      <c r="J60" s="97"/>
    </row>
    <row r="61" spans="1:12" ht="35.25" customHeight="1" x14ac:dyDescent="0.25">
      <c r="A61" s="100"/>
      <c r="B61" s="101"/>
      <c r="C61" s="97" t="s">
        <v>269</v>
      </c>
      <c r="D61" s="97"/>
      <c r="E61" s="97"/>
      <c r="F61" s="97"/>
      <c r="G61" s="97"/>
      <c r="H61" s="97"/>
      <c r="I61" s="97"/>
      <c r="J61" s="97"/>
    </row>
    <row r="62" spans="1:12" ht="15.75" customHeight="1" x14ac:dyDescent="0.25">
      <c r="A62" s="162" t="s">
        <v>62</v>
      </c>
      <c r="B62" s="163"/>
      <c r="C62" s="163"/>
      <c r="D62" s="72" t="s">
        <v>63</v>
      </c>
      <c r="E62" s="171"/>
      <c r="F62" s="171"/>
      <c r="G62" s="171"/>
      <c r="H62" s="171"/>
      <c r="I62" s="171"/>
      <c r="J62" s="73"/>
    </row>
    <row r="63" spans="1:12" ht="16.5" thickBot="1" x14ac:dyDescent="0.3">
      <c r="A63" s="104" t="s">
        <v>187</v>
      </c>
      <c r="B63" s="105"/>
      <c r="C63" s="105"/>
      <c r="D63" s="105"/>
      <c r="E63" s="105"/>
      <c r="F63" s="105"/>
      <c r="G63" s="105"/>
      <c r="H63" s="105"/>
      <c r="I63" s="105"/>
      <c r="J63" s="106"/>
    </row>
    <row r="64" spans="1:12" customFormat="1" ht="34.5" customHeight="1" x14ac:dyDescent="0.25">
      <c r="A64" s="114" t="s">
        <v>217</v>
      </c>
      <c r="B64" s="115"/>
      <c r="C64" s="116" t="str">
        <f>C60</f>
        <v xml:space="preserve">Building No.1 = B + LW Gr + UP Gr A + UP Gr B + UP Stilt/(F.C)/Podium + 1st to 42nd Floor </v>
      </c>
      <c r="D64" s="116"/>
      <c r="E64" s="116"/>
      <c r="F64" s="116"/>
      <c r="G64" s="116"/>
      <c r="H64" s="116"/>
      <c r="I64" s="116"/>
      <c r="J64" s="117"/>
      <c r="K64" s="53" t="str">
        <f ca="1">(IF(F68&gt;99%,"All work completed. Please provide OC.",IF(F68&gt;89.8%,"Plinth, RCC, Brick, Plaster, Flooring, Painting work Completed. Finishing work is in process.",IF(F68&lt;94%,(IF(C68=0,"Work not yet Started.",IF(D68=25%,"Piling work in process",IF(D68=50%,"Excavation work in process",IF(D68=100%,"Excavation work Completed. ","0")))&amp;(IF(C69=0%,"",IF(C69=L70,"Footing work is process",IF(C69=L71,"Footing work Completed",IF(C69=L72,"1st Basement Completed",IF(C69=L73,"1st &amp; 2nd Basement Completed",IF(C69=L74,"1st to 3rd Basement Completed",IF(C69=L75,"1st to 4th Basement Completed",IF(C69=L76,"Plinth work is process",IF(C69=L77,"Plinth work completed","0")))))))))))&amp;(IF(C70=(D65+G65+I65),", RCC Slab",IF(C70&gt;0,", RCC upto "&amp;C70&amp;" Slab",""))&amp;(IF(C71=I65,", Brickwork",IF(C71&gt;0,", Brickwork upto "&amp;C71&amp;" Floor",""))&amp;(IF(C72=I65,", Internal Plaster",IF(C72&gt;0,", Internal Plaster upto "&amp;C72&amp;" Floor",""))&amp;(IF(C73=I65,", External Plaster",IF(C73&gt;0,", External Plaster upto "&amp;C73&amp;" Floor",""))&amp;(IF(C74=I65,", Flooring",IF(C74&gt;0,", Flooring upto "&amp;C74&amp;" Floor",""))&amp;(IF(C75=I65,", Painting",IF(C75&gt;0,", Painting upto "&amp;C75&amp;" Floor",""))&amp;(IF(C76&gt;0,", Finishing upto "&amp;C76&amp;" Floor","")&amp;(IF(C70&gt;0.5," Completed",""))))))))))))))</f>
        <v>Excavation work Completed. Plinth work completed, RCC upto 31 Slab, Brickwork upto 27 Floor, Internal Plaster upto 22.95 Floor, External Plaster upto 20.25 Floor Completed</v>
      </c>
      <c r="L64" s="53"/>
    </row>
    <row r="65" spans="1:12" customFormat="1" x14ac:dyDescent="0.25">
      <c r="A65" s="54" t="s">
        <v>131</v>
      </c>
      <c r="B65" s="59">
        <v>1</v>
      </c>
      <c r="C65" s="55" t="s">
        <v>133</v>
      </c>
      <c r="D65" s="55">
        <v>4</v>
      </c>
      <c r="E65" s="118" t="s">
        <v>132</v>
      </c>
      <c r="F65" s="118"/>
      <c r="G65" s="55">
        <v>0</v>
      </c>
      <c r="H65" s="55" t="s">
        <v>218</v>
      </c>
      <c r="I65" s="118">
        <f ca="1">--TRIM(RIGHT(SUBSTITUTE(LEFT(C64,_xlfn.AGGREGATE(16,6,FIND({0,1,2,3,4,5,6,7,8,9},C64,ROW(INDIRECT("1:"&amp;LEN(C64)))),1))," ",REPT(" ",LEN(C64))),LEN(C64)))</f>
        <v>42</v>
      </c>
      <c r="J65" s="119"/>
      <c r="K65" s="53"/>
      <c r="L65" s="53"/>
    </row>
    <row r="66" spans="1:12" customFormat="1" ht="49.5" customHeight="1" x14ac:dyDescent="0.25">
      <c r="A66" s="120" t="s">
        <v>219</v>
      </c>
      <c r="B66" s="121"/>
      <c r="C66" s="122" t="str">
        <f ca="1">K64</f>
        <v>Excavation work Completed. Plinth work completed, RCC upto 31 Slab, Brickwork upto 27 Floor, Internal Plaster upto 22.95 Floor, External Plaster upto 20.25 Floor Completed</v>
      </c>
      <c r="D66" s="122"/>
      <c r="E66" s="122"/>
      <c r="F66" s="122"/>
      <c r="G66" s="122"/>
      <c r="H66" s="122"/>
      <c r="I66" s="122"/>
      <c r="J66" s="123"/>
      <c r="K66" s="53" t="s">
        <v>220</v>
      </c>
      <c r="L66" s="53"/>
    </row>
    <row r="67" spans="1:12" customFormat="1" ht="15.75" customHeight="1" x14ac:dyDescent="0.25">
      <c r="A67" s="124" t="s">
        <v>64</v>
      </c>
      <c r="B67" s="125"/>
      <c r="C67" s="60" t="s">
        <v>221</v>
      </c>
      <c r="D67" s="126" t="s">
        <v>222</v>
      </c>
      <c r="E67" s="126"/>
      <c r="F67" s="126" t="s">
        <v>223</v>
      </c>
      <c r="G67" s="126"/>
      <c r="H67" s="126" t="s">
        <v>224</v>
      </c>
      <c r="I67" s="126"/>
      <c r="J67" s="127"/>
      <c r="K67" s="56" t="s">
        <v>225</v>
      </c>
      <c r="L67" s="11">
        <f ca="1">I65*25%</f>
        <v>10.5</v>
      </c>
    </row>
    <row r="68" spans="1:12" customFormat="1" ht="15.75" customHeight="1" x14ac:dyDescent="0.25">
      <c r="A68" s="91" t="s">
        <v>226</v>
      </c>
      <c r="B68" s="92"/>
      <c r="C68" s="61">
        <f ca="1">L69</f>
        <v>42</v>
      </c>
      <c r="D68" s="93">
        <f ca="1">((100/I65)*C68)/100</f>
        <v>1</v>
      </c>
      <c r="E68" s="93"/>
      <c r="F68" s="93">
        <f ca="1">(((C69/I65*10)+(40/(D65+G65+I65)*C70)+(7.5/(I65)*C71)+(7.5/(I65)*C72)+(10/I65*C73)+(10/I65*C74)+(5/I65*C75)+(5/I65*C76)+(5/I65*C77))/100)</f>
        <v>0.5069759316770186</v>
      </c>
      <c r="G68" s="93"/>
      <c r="H68" s="93">
        <f ca="1">((((C68/I65)*20)+((C69/I65)*25)+(30/(I65+G65+D65)*C70)+(5/I65*C71)+(5/I65*C72)+(5/I65*C73)+(5/I65*C74)+(0/I65*C75)+(0/I65*C76)+(5/I65*C77))/100)</f>
        <v>0.7357453416149069</v>
      </c>
      <c r="I68" s="93"/>
      <c r="J68" s="128"/>
      <c r="K68" s="56" t="s">
        <v>138</v>
      </c>
      <c r="L68" s="56">
        <f ca="1">I65*50%</f>
        <v>21</v>
      </c>
    </row>
    <row r="69" spans="1:12" customFormat="1" x14ac:dyDescent="0.25">
      <c r="A69" s="91" t="s">
        <v>65</v>
      </c>
      <c r="B69" s="92"/>
      <c r="C69" s="62">
        <f ca="1">L77</f>
        <v>42</v>
      </c>
      <c r="D69" s="93">
        <f ca="1">((100/I65)*C69)/100</f>
        <v>1</v>
      </c>
      <c r="E69" s="93"/>
      <c r="F69" s="93"/>
      <c r="G69" s="93"/>
      <c r="H69" s="93"/>
      <c r="I69" s="93"/>
      <c r="J69" s="128"/>
      <c r="K69" s="56" t="s">
        <v>139</v>
      </c>
      <c r="L69" s="56">
        <f ca="1">I65</f>
        <v>42</v>
      </c>
    </row>
    <row r="70" spans="1:12" customFormat="1" ht="15.75" customHeight="1" x14ac:dyDescent="0.25">
      <c r="A70" s="102" t="s">
        <v>227</v>
      </c>
      <c r="B70" s="103"/>
      <c r="C70" s="62">
        <v>31</v>
      </c>
      <c r="D70" s="93">
        <f ca="1">((100/(D65+G65+I65))*C70)/100</f>
        <v>0.67391304347826075</v>
      </c>
      <c r="E70" s="93"/>
      <c r="F70" s="93"/>
      <c r="G70" s="93"/>
      <c r="H70" s="93"/>
      <c r="I70" s="93"/>
      <c r="J70" s="128"/>
      <c r="K70" s="56" t="s">
        <v>140</v>
      </c>
      <c r="L70" s="57">
        <f ca="1">(IF(B65&gt;1,(I65/(B65+2)),I65/4))</f>
        <v>10.5</v>
      </c>
    </row>
    <row r="71" spans="1:12" customFormat="1" ht="15.75" customHeight="1" x14ac:dyDescent="0.25">
      <c r="A71" s="91" t="s">
        <v>228</v>
      </c>
      <c r="B71" s="92" t="s">
        <v>229</v>
      </c>
      <c r="C71" s="62">
        <f>C70-4</f>
        <v>27</v>
      </c>
      <c r="D71" s="93">
        <f ca="1">((100/I65)*C71)/100</f>
        <v>0.6428571428571429</v>
      </c>
      <c r="E71" s="93"/>
      <c r="F71" s="93"/>
      <c r="G71" s="93"/>
      <c r="H71" s="93"/>
      <c r="I71" s="93"/>
      <c r="J71" s="128"/>
      <c r="K71" s="56" t="s">
        <v>141</v>
      </c>
      <c r="L71" s="57">
        <f ca="1">(IF(B65&gt;1,(I65/(B65+2)+L70),I65/4+L70))</f>
        <v>21</v>
      </c>
    </row>
    <row r="72" spans="1:12" customFormat="1" ht="15.75" customHeight="1" x14ac:dyDescent="0.25">
      <c r="A72" s="91" t="s">
        <v>230</v>
      </c>
      <c r="B72" s="92" t="s">
        <v>229</v>
      </c>
      <c r="C72" s="62">
        <f>C71*0.85</f>
        <v>22.95</v>
      </c>
      <c r="D72" s="93">
        <f ca="1">((100/I65)*C72)/100</f>
        <v>0.54642857142857137</v>
      </c>
      <c r="E72" s="93"/>
      <c r="F72" s="93"/>
      <c r="G72" s="93"/>
      <c r="H72" s="93"/>
      <c r="I72" s="93"/>
      <c r="J72" s="128"/>
      <c r="K72" s="56" t="s">
        <v>231</v>
      </c>
      <c r="L72" s="57">
        <f>(IF(B65&gt;1,(I65/(B65+2)+L71),0))</f>
        <v>0</v>
      </c>
    </row>
    <row r="73" spans="1:12" customFormat="1" ht="15.75" customHeight="1" x14ac:dyDescent="0.25">
      <c r="A73" s="91" t="s">
        <v>232</v>
      </c>
      <c r="B73" s="92" t="s">
        <v>233</v>
      </c>
      <c r="C73" s="62">
        <f>C71*0.75</f>
        <v>20.25</v>
      </c>
      <c r="D73" s="93">
        <f ca="1">((100/(I65))*C73)/100</f>
        <v>0.48214285714285715</v>
      </c>
      <c r="E73" s="93"/>
      <c r="F73" s="93"/>
      <c r="G73" s="93"/>
      <c r="H73" s="93"/>
      <c r="I73" s="93"/>
      <c r="J73" s="128"/>
      <c r="K73" s="56" t="s">
        <v>234</v>
      </c>
      <c r="L73" s="57">
        <f>(IF(B65&gt;2,(I65/(B65+2)+L72),0))</f>
        <v>0</v>
      </c>
    </row>
    <row r="74" spans="1:12" customFormat="1" ht="15.75" customHeight="1" x14ac:dyDescent="0.25">
      <c r="A74" s="91" t="s">
        <v>235</v>
      </c>
      <c r="B74" s="92" t="s">
        <v>235</v>
      </c>
      <c r="C74" s="61">
        <v>0</v>
      </c>
      <c r="D74" s="93">
        <f ca="1">((100/I65)*C74)/100</f>
        <v>0</v>
      </c>
      <c r="E74" s="93"/>
      <c r="F74" s="93"/>
      <c r="G74" s="93"/>
      <c r="H74" s="93"/>
      <c r="I74" s="93"/>
      <c r="J74" s="128"/>
      <c r="K74" s="56" t="s">
        <v>236</v>
      </c>
      <c r="L74" s="58">
        <f>(IF(B65&gt;3,(I65/(B65+2)+L73),0))</f>
        <v>0</v>
      </c>
    </row>
    <row r="75" spans="1:12" customFormat="1" ht="15.75" customHeight="1" x14ac:dyDescent="0.25">
      <c r="A75" s="91" t="s">
        <v>237</v>
      </c>
      <c r="B75" s="92"/>
      <c r="C75" s="61">
        <v>0</v>
      </c>
      <c r="D75" s="93">
        <f ca="1">((100/I65)*C75)/100</f>
        <v>0</v>
      </c>
      <c r="E75" s="93"/>
      <c r="F75" s="93"/>
      <c r="G75" s="93"/>
      <c r="H75" s="93"/>
      <c r="I75" s="93"/>
      <c r="J75" s="128"/>
      <c r="K75" s="56" t="s">
        <v>238</v>
      </c>
      <c r="L75" s="57">
        <f>(IF(B65&gt;4,(I65/(B65+2)+L74),0))</f>
        <v>0</v>
      </c>
    </row>
    <row r="76" spans="1:12" customFormat="1" ht="15.75" customHeight="1" x14ac:dyDescent="0.25">
      <c r="A76" s="91" t="s">
        <v>239</v>
      </c>
      <c r="B76" s="92" t="s">
        <v>239</v>
      </c>
      <c r="C76" s="61">
        <v>0</v>
      </c>
      <c r="D76" s="93">
        <f ca="1">((100/(I65))*C76)/100</f>
        <v>0</v>
      </c>
      <c r="E76" s="93"/>
      <c r="F76" s="93"/>
      <c r="G76" s="93"/>
      <c r="H76" s="93"/>
      <c r="I76" s="93"/>
      <c r="J76" s="128"/>
      <c r="K76" s="56" t="s">
        <v>142</v>
      </c>
      <c r="L76" s="57">
        <f ca="1">(IF(B65=1,(I65/(B65+3)+L71),IF(B65=0,(I65/4+L71),IF(B65&gt;1,0))))</f>
        <v>31.5</v>
      </c>
    </row>
    <row r="77" spans="1:12" customFormat="1" ht="16.5" customHeight="1" thickBot="1" x14ac:dyDescent="0.3">
      <c r="A77" s="94" t="s">
        <v>240</v>
      </c>
      <c r="B77" s="95"/>
      <c r="C77" s="63">
        <v>0</v>
      </c>
      <c r="D77" s="96">
        <f ca="1">((100/(I65))*C77)/100</f>
        <v>0</v>
      </c>
      <c r="E77" s="96"/>
      <c r="F77" s="96"/>
      <c r="G77" s="96"/>
      <c r="H77" s="96"/>
      <c r="I77" s="96"/>
      <c r="J77" s="129"/>
      <c r="K77" s="56" t="s">
        <v>143</v>
      </c>
      <c r="L77" s="57">
        <f ca="1">(IF(B65&gt;1.5,(I65/(B65+2)+L71+MAX(0,L72-L71)+MAX(0,L73-L72)+MAX(0,L74-L73)+MAX(0,L75-L74)+MAX(0,L76-L75)),IF(B65=1,(I65/(B65+3)+L76),IF(B65=0,I65/4+L76))))</f>
        <v>42</v>
      </c>
    </row>
    <row r="78" spans="1:12" x14ac:dyDescent="0.25">
      <c r="A78" s="114" t="s">
        <v>217</v>
      </c>
      <c r="B78" s="115"/>
      <c r="C78" s="116" t="str">
        <f>C61</f>
        <v xml:space="preserve">Building No.2 = B + LW Gr + UP Gr A + UP Gr B + UP Stilt/(F.C)/Podium + 1st to 42nd Floor </v>
      </c>
      <c r="D78" s="116"/>
      <c r="E78" s="116"/>
      <c r="F78" s="116"/>
      <c r="G78" s="116"/>
      <c r="H78" s="116"/>
      <c r="I78" s="116"/>
      <c r="J78" s="117"/>
      <c r="K78" s="53" t="str">
        <f ca="1">(IF(F82&gt;99%,"All work completed. Please provide OC.",IF(F82&gt;89.8%,"Plinth, RCC, Brick, Plaster, Flooring, Painting work Completed. Finishing work is in process.",IF(F82&lt;94%,(IF(C82=0,"Work not yet Started.",IF(D82=25%,"Piling work in process",IF(D82=50%,"Excavation work in process",IF(D82=100%,"Excavation work Completed. ","0")))&amp;(IF(C83=0%,"",IF(C83=L84,"Footing work is process",IF(C83=L85,"Footing work Completed",IF(C83=L86,"1st Basement Completed",IF(C83=L87,"1st &amp; 2nd Basement Completed",IF(C83=L88,"1st to 3rd Basement Completed",IF(C83=L89,"1st to 4th Basement Completed",IF(C83=L90,"Plinth work is process",IF(C83=L91,"Plinth work completed","0")))))))))))&amp;(IF(C84=(D79+G79+I79),", RCC Slab",IF(C84&gt;0,", RCC upto "&amp;C84&amp;" Slab",""))&amp;(IF(C85=I79,", Brickwork",IF(C85&gt;0,", Brickwork upto "&amp;C85&amp;" Floor",""))&amp;(IF(C86=I79,", Internal Plaster",IF(C86&gt;0,", Internal Plaster upto "&amp;C86&amp;" Floor",""))&amp;(IF(C87=I79,", External Plaster",IF(C87&gt;0,", External Plaster upto "&amp;C87&amp;" Floor",""))&amp;(IF(C88=I79,", Flooring",IF(C88&gt;0,", Flooring upto "&amp;C88&amp;" Floor",""))&amp;(IF(C89=I79,", Painting",IF(C89&gt;0,", Painting upto "&amp;C89&amp;" Floor",""))&amp;(IF(C90&gt;0,", Finishing upto "&amp;C90&amp;" Floor","")&amp;(IF(C84&gt;0.5," Completed",""))))))))))))))</f>
        <v>Excavation work Completed. Plinth work completed, RCC Slab, Brickwork, Internal Plaster, External Plaster upto 39 Floor, Flooring upto 31 Floor Completed</v>
      </c>
      <c r="L78" s="53"/>
    </row>
    <row r="79" spans="1:12" x14ac:dyDescent="0.25">
      <c r="A79" s="54" t="s">
        <v>131</v>
      </c>
      <c r="B79" s="59">
        <v>1</v>
      </c>
      <c r="C79" s="55" t="s">
        <v>133</v>
      </c>
      <c r="D79" s="55">
        <v>4</v>
      </c>
      <c r="E79" s="118" t="s">
        <v>132</v>
      </c>
      <c r="F79" s="118"/>
      <c r="G79" s="55">
        <v>0</v>
      </c>
      <c r="H79" s="55" t="s">
        <v>218</v>
      </c>
      <c r="I79" s="118">
        <f ca="1">--TRIM(RIGHT(SUBSTITUTE(LEFT(C78,_xlfn.AGGREGATE(16,6,FIND({0,1,2,3,4,5,6,7,8,9},C78,ROW(INDIRECT("1:"&amp;LEN(C78)))),1))," ",REPT(" ",LEN(C78))),LEN(C78)))</f>
        <v>42</v>
      </c>
      <c r="J79" s="119"/>
      <c r="K79" s="53"/>
      <c r="L79" s="53"/>
    </row>
    <row r="80" spans="1:12" ht="53.25" customHeight="1" x14ac:dyDescent="0.25">
      <c r="A80" s="120" t="s">
        <v>219</v>
      </c>
      <c r="B80" s="121"/>
      <c r="C80" s="122" t="str">
        <f ca="1">K78</f>
        <v>Excavation work Completed. Plinth work completed, RCC Slab, Brickwork, Internal Plaster, External Plaster upto 39 Floor, Flooring upto 31 Floor Completed</v>
      </c>
      <c r="D80" s="122"/>
      <c r="E80" s="122"/>
      <c r="F80" s="122"/>
      <c r="G80" s="122"/>
      <c r="H80" s="122"/>
      <c r="I80" s="122"/>
      <c r="J80" s="123"/>
      <c r="K80" s="53" t="s">
        <v>220</v>
      </c>
      <c r="L80" s="53"/>
    </row>
    <row r="81" spans="1:14" x14ac:dyDescent="0.25">
      <c r="A81" s="124" t="s">
        <v>64</v>
      </c>
      <c r="B81" s="125"/>
      <c r="C81" s="60" t="s">
        <v>221</v>
      </c>
      <c r="D81" s="126" t="s">
        <v>222</v>
      </c>
      <c r="E81" s="126"/>
      <c r="F81" s="126" t="s">
        <v>223</v>
      </c>
      <c r="G81" s="126"/>
      <c r="H81" s="126" t="s">
        <v>224</v>
      </c>
      <c r="I81" s="126"/>
      <c r="J81" s="127"/>
      <c r="K81" s="56" t="s">
        <v>225</v>
      </c>
      <c r="L81" s="11">
        <f ca="1">I79*25%</f>
        <v>10.5</v>
      </c>
    </row>
    <row r="82" spans="1:14" x14ac:dyDescent="0.25">
      <c r="A82" s="91" t="s">
        <v>226</v>
      </c>
      <c r="B82" s="92"/>
      <c r="C82" s="61">
        <f ca="1">L83</f>
        <v>42</v>
      </c>
      <c r="D82" s="93">
        <f ca="1">((100/I79)*C82)/100</f>
        <v>1</v>
      </c>
      <c r="E82" s="93"/>
      <c r="F82" s="93">
        <f ca="1">(((C83/I79*10)+(40/(D79+G79+I79)*C84)+(7.5/(I79)*C85)+(7.5/(I79)*C86)+(10/I79*C87)+(10/I79*C88)+(5/I79*C89)+(5/I79*C90)+(5/I79*C91))/100)</f>
        <v>0.81666666666666654</v>
      </c>
      <c r="G82" s="93"/>
      <c r="H82" s="93">
        <f ca="1">((((C82/I79)*20)+((C83/I79)*25)+(30/(I79+G79+D79)*C84)+(5/I79*C85)+(5/I79*C86)+(5/I79*C87)+(5/I79*C88)+(0/I79*C89)+(0/I79*C90)+(5/I79*C91))/100)</f>
        <v>0.93333333333333324</v>
      </c>
      <c r="I82" s="93"/>
      <c r="J82" s="128"/>
      <c r="K82" s="56" t="s">
        <v>138</v>
      </c>
      <c r="L82" s="56">
        <f ca="1">I79*50%</f>
        <v>21</v>
      </c>
    </row>
    <row r="83" spans="1:14" x14ac:dyDescent="0.25">
      <c r="A83" s="91" t="s">
        <v>65</v>
      </c>
      <c r="B83" s="92"/>
      <c r="C83" s="62">
        <f ca="1">L91</f>
        <v>42</v>
      </c>
      <c r="D83" s="93">
        <f ca="1">((100/I79)*C83)/100</f>
        <v>1</v>
      </c>
      <c r="E83" s="93"/>
      <c r="F83" s="93"/>
      <c r="G83" s="93"/>
      <c r="H83" s="93"/>
      <c r="I83" s="93"/>
      <c r="J83" s="128"/>
      <c r="K83" s="56" t="s">
        <v>139</v>
      </c>
      <c r="L83" s="56">
        <f ca="1">I79</f>
        <v>42</v>
      </c>
      <c r="N83" s="11">
        <f>42+4</f>
        <v>46</v>
      </c>
    </row>
    <row r="84" spans="1:14" x14ac:dyDescent="0.25">
      <c r="A84" s="102" t="s">
        <v>227</v>
      </c>
      <c r="B84" s="103"/>
      <c r="C84" s="62">
        <v>46</v>
      </c>
      <c r="D84" s="93">
        <f ca="1">((100/(D79+G79+I79))*C84)/100</f>
        <v>1</v>
      </c>
      <c r="E84" s="93"/>
      <c r="F84" s="93"/>
      <c r="G84" s="93"/>
      <c r="H84" s="93"/>
      <c r="I84" s="93"/>
      <c r="J84" s="128"/>
      <c r="K84" s="56" t="s">
        <v>140</v>
      </c>
      <c r="L84" s="57">
        <f ca="1">(IF(B79&gt;1,(I79/(B79+2)),I79/4))</f>
        <v>10.5</v>
      </c>
    </row>
    <row r="85" spans="1:14" s="13" customFormat="1" ht="14.45" customHeight="1" x14ac:dyDescent="0.25">
      <c r="A85" s="91" t="s">
        <v>228</v>
      </c>
      <c r="B85" s="92" t="s">
        <v>229</v>
      </c>
      <c r="C85" s="62">
        <v>42</v>
      </c>
      <c r="D85" s="93">
        <f ca="1">((100/I79)*C85)/100</f>
        <v>1</v>
      </c>
      <c r="E85" s="93"/>
      <c r="F85" s="93"/>
      <c r="G85" s="93"/>
      <c r="H85" s="93"/>
      <c r="I85" s="93"/>
      <c r="J85" s="128"/>
      <c r="K85" s="56" t="s">
        <v>141</v>
      </c>
      <c r="L85" s="57">
        <f ca="1">(IF(B79&gt;1,(I79/(B79+2)+L84),I79/4+L84))</f>
        <v>21</v>
      </c>
    </row>
    <row r="86" spans="1:14" s="1" customFormat="1" ht="15.75" customHeight="1" x14ac:dyDescent="0.25">
      <c r="A86" s="91" t="s">
        <v>230</v>
      </c>
      <c r="B86" s="92" t="s">
        <v>229</v>
      </c>
      <c r="C86" s="62">
        <v>42</v>
      </c>
      <c r="D86" s="93">
        <f ca="1">((100/I79)*C86)/100</f>
        <v>1</v>
      </c>
      <c r="E86" s="93"/>
      <c r="F86" s="93"/>
      <c r="G86" s="93"/>
      <c r="H86" s="93"/>
      <c r="I86" s="93"/>
      <c r="J86" s="128"/>
      <c r="K86" s="56" t="s">
        <v>231</v>
      </c>
      <c r="L86" s="57">
        <f>(IF(B79&gt;1,(I79/(B79+2)+L85),0))</f>
        <v>0</v>
      </c>
    </row>
    <row r="87" spans="1:14" s="1" customFormat="1" ht="15.75" customHeight="1" x14ac:dyDescent="0.25">
      <c r="A87" s="91" t="s">
        <v>232</v>
      </c>
      <c r="B87" s="92" t="s">
        <v>233</v>
      </c>
      <c r="C87" s="62">
        <v>39</v>
      </c>
      <c r="D87" s="93">
        <f ca="1">((100/(I79))*C87)/100</f>
        <v>0.9285714285714286</v>
      </c>
      <c r="E87" s="93"/>
      <c r="F87" s="93"/>
      <c r="G87" s="93"/>
      <c r="H87" s="93"/>
      <c r="I87" s="93"/>
      <c r="J87" s="128"/>
      <c r="K87" s="56" t="s">
        <v>234</v>
      </c>
      <c r="L87" s="57">
        <f>(IF(B79&gt;2,(I79/(B79+2)+L86),0))</f>
        <v>0</v>
      </c>
    </row>
    <row r="88" spans="1:14" s="1" customFormat="1" x14ac:dyDescent="0.25">
      <c r="A88" s="91" t="s">
        <v>235</v>
      </c>
      <c r="B88" s="92" t="s">
        <v>235</v>
      </c>
      <c r="C88" s="61">
        <v>31</v>
      </c>
      <c r="D88" s="93">
        <f ca="1">((100/I79)*C88)/100</f>
        <v>0.73809523809523814</v>
      </c>
      <c r="E88" s="93"/>
      <c r="F88" s="93"/>
      <c r="G88" s="93"/>
      <c r="H88" s="93"/>
      <c r="I88" s="93"/>
      <c r="J88" s="128"/>
      <c r="K88" s="56" t="s">
        <v>236</v>
      </c>
      <c r="L88" s="58">
        <f>(IF(B79&gt;3,(I79/(B79+2)+L87),0))</f>
        <v>0</v>
      </c>
    </row>
    <row r="89" spans="1:14" s="1" customFormat="1" x14ac:dyDescent="0.25">
      <c r="A89" s="91" t="s">
        <v>237</v>
      </c>
      <c r="B89" s="92"/>
      <c r="C89" s="61">
        <v>0</v>
      </c>
      <c r="D89" s="93">
        <f ca="1">((100/I79)*C89)/100</f>
        <v>0</v>
      </c>
      <c r="E89" s="93"/>
      <c r="F89" s="93"/>
      <c r="G89" s="93"/>
      <c r="H89" s="93"/>
      <c r="I89" s="93"/>
      <c r="J89" s="128"/>
      <c r="K89" s="56" t="s">
        <v>238</v>
      </c>
      <c r="L89" s="57">
        <f>(IF(B79&gt;4,(I79/(B79+2)+L88),0))</f>
        <v>0</v>
      </c>
    </row>
    <row r="90" spans="1:14" s="1" customFormat="1" x14ac:dyDescent="0.25">
      <c r="A90" s="91" t="s">
        <v>239</v>
      </c>
      <c r="B90" s="92" t="s">
        <v>239</v>
      </c>
      <c r="C90" s="61">
        <v>0</v>
      </c>
      <c r="D90" s="93">
        <f ca="1">((100/(I79))*C90)/100</f>
        <v>0</v>
      </c>
      <c r="E90" s="93"/>
      <c r="F90" s="93"/>
      <c r="G90" s="93"/>
      <c r="H90" s="93"/>
      <c r="I90" s="93"/>
      <c r="J90" s="128"/>
      <c r="K90" s="56" t="s">
        <v>142</v>
      </c>
      <c r="L90" s="57">
        <f ca="1">(IF(B79=1,(I79/(B79+3)+L85),IF(B79=0,(I79/4+L85),IF(B79&gt;1,0))))</f>
        <v>31.5</v>
      </c>
    </row>
    <row r="91" spans="1:14" s="1" customFormat="1" ht="16.5" thickBot="1" x14ac:dyDescent="0.3">
      <c r="A91" s="94" t="s">
        <v>240</v>
      </c>
      <c r="B91" s="95"/>
      <c r="C91" s="63">
        <v>0</v>
      </c>
      <c r="D91" s="96">
        <f ca="1">((100/(I79))*C91)/100</f>
        <v>0</v>
      </c>
      <c r="E91" s="96"/>
      <c r="F91" s="96"/>
      <c r="G91" s="96"/>
      <c r="H91" s="96"/>
      <c r="I91" s="96"/>
      <c r="J91" s="129"/>
      <c r="K91" s="56" t="s">
        <v>143</v>
      </c>
      <c r="L91" s="57">
        <f ca="1">(IF(B79&gt;1.5,(I79/(B79+2)+L85+MAX(0,L86-L85)+MAX(0,L87-L86)+MAX(0,L88-L87)+MAX(0,L89-L88)+MAX(0,L90-L89)),IF(B79=1,(I79/(B79+3)+L90),IF(B79=0,I79/4+L90))))</f>
        <v>42</v>
      </c>
    </row>
    <row r="92" spans="1:14" s="1" customFormat="1" x14ac:dyDescent="0.25">
      <c r="A92" s="100" t="s">
        <v>188</v>
      </c>
      <c r="B92" s="101"/>
      <c r="C92" s="101"/>
      <c r="D92" s="101"/>
      <c r="E92" s="101"/>
      <c r="F92" s="101"/>
      <c r="G92" s="101"/>
      <c r="H92" s="101"/>
      <c r="I92" s="101"/>
      <c r="J92" s="228"/>
      <c r="K92" s="11"/>
      <c r="L92" s="11"/>
    </row>
    <row r="93" spans="1:14" s="1" customFormat="1" ht="15.75" customHeight="1" x14ac:dyDescent="0.25">
      <c r="A93" s="162" t="s">
        <v>70</v>
      </c>
      <c r="B93" s="163"/>
      <c r="C93" s="163"/>
      <c r="D93" s="163"/>
      <c r="E93" s="163"/>
      <c r="F93" s="163"/>
      <c r="G93" s="163"/>
      <c r="H93" s="163"/>
      <c r="I93" s="163"/>
      <c r="J93" s="164"/>
      <c r="K93" s="11"/>
      <c r="L93" s="11"/>
    </row>
    <row r="94" spans="1:14" s="1" customFormat="1" x14ac:dyDescent="0.25">
      <c r="A94" s="207" t="s">
        <v>137</v>
      </c>
      <c r="B94" s="209"/>
      <c r="C94" s="74" t="s">
        <v>285</v>
      </c>
      <c r="D94" s="230"/>
      <c r="E94" s="230"/>
      <c r="F94" s="230"/>
      <c r="G94" s="230"/>
      <c r="H94" s="230"/>
      <c r="I94" s="230"/>
      <c r="J94" s="231"/>
      <c r="K94" s="11"/>
      <c r="L94" s="11"/>
    </row>
    <row r="95" spans="1:14" s="13" customFormat="1" x14ac:dyDescent="0.25">
      <c r="A95" s="133" t="s">
        <v>71</v>
      </c>
      <c r="B95" s="193"/>
      <c r="C95" s="193"/>
      <c r="D95" s="193"/>
      <c r="E95" s="193"/>
      <c r="F95" s="193"/>
      <c r="G95" s="193"/>
      <c r="H95" s="193"/>
      <c r="I95" s="193"/>
      <c r="J95" s="134"/>
      <c r="K95" s="11"/>
      <c r="L95" s="11"/>
    </row>
    <row r="96" spans="1:14" x14ac:dyDescent="0.25">
      <c r="A96" s="162" t="s">
        <v>145</v>
      </c>
      <c r="B96" s="163"/>
      <c r="C96" s="163"/>
      <c r="D96" s="163"/>
      <c r="E96" s="163"/>
      <c r="F96" s="164"/>
      <c r="G96" s="210" t="s">
        <v>244</v>
      </c>
      <c r="H96" s="211"/>
      <c r="I96" s="211"/>
      <c r="J96" s="212"/>
    </row>
    <row r="97" spans="1:15" x14ac:dyDescent="0.25">
      <c r="A97" s="162" t="s">
        <v>241</v>
      </c>
      <c r="B97" s="163"/>
      <c r="C97" s="163"/>
      <c r="D97" s="163"/>
      <c r="E97" s="163"/>
      <c r="F97" s="164"/>
      <c r="G97" s="229" t="s">
        <v>242</v>
      </c>
      <c r="H97" s="211"/>
      <c r="I97" s="211"/>
      <c r="J97" s="212"/>
    </row>
    <row r="98" spans="1:15" s="2" customFormat="1" ht="15.75" customHeight="1" x14ac:dyDescent="0.25">
      <c r="A98" s="162" t="s">
        <v>72</v>
      </c>
      <c r="B98" s="163"/>
      <c r="C98" s="163"/>
      <c r="D98" s="163"/>
      <c r="E98" s="163"/>
      <c r="F98" s="164"/>
      <c r="G98" s="210" t="s">
        <v>243</v>
      </c>
      <c r="H98" s="218"/>
      <c r="I98" s="218"/>
      <c r="J98" s="219"/>
      <c r="K98" s="11"/>
      <c r="L98" s="11"/>
    </row>
    <row r="99" spans="1:15" s="2" customFormat="1" ht="15.75" customHeight="1" x14ac:dyDescent="0.25">
      <c r="A99" s="133" t="s">
        <v>73</v>
      </c>
      <c r="B99" s="193"/>
      <c r="C99" s="193"/>
      <c r="D99" s="193"/>
      <c r="E99" s="193"/>
      <c r="F99" s="134"/>
      <c r="G99" s="229">
        <f>14600*0.8</f>
        <v>11680</v>
      </c>
      <c r="H99" s="211"/>
      <c r="I99" s="211"/>
      <c r="J99" s="212"/>
      <c r="K99" s="13"/>
      <c r="L99" s="13"/>
    </row>
    <row r="100" spans="1:15" s="2" customFormat="1" x14ac:dyDescent="0.25">
      <c r="A100" s="150" t="s">
        <v>146</v>
      </c>
      <c r="B100" s="151"/>
      <c r="C100" s="151"/>
      <c r="D100" s="151"/>
      <c r="E100" s="151"/>
      <c r="F100" s="151"/>
      <c r="G100" s="151"/>
      <c r="H100" s="151"/>
      <c r="I100" s="151"/>
      <c r="J100" s="152"/>
      <c r="K100" s="1"/>
      <c r="L100" s="1"/>
    </row>
    <row r="101" spans="1:15" s="2" customFormat="1" x14ac:dyDescent="0.25">
      <c r="A101" s="144" t="s">
        <v>74</v>
      </c>
      <c r="B101" s="145"/>
      <c r="C101" s="9" t="s">
        <v>170</v>
      </c>
      <c r="D101" s="146" t="s">
        <v>75</v>
      </c>
      <c r="E101" s="147"/>
      <c r="F101" s="148"/>
      <c r="G101" s="144" t="s">
        <v>76</v>
      </c>
      <c r="H101" s="149"/>
      <c r="I101" s="149"/>
      <c r="J101" s="145"/>
      <c r="K101" s="1"/>
      <c r="L101" s="1"/>
    </row>
    <row r="102" spans="1:15" s="2" customFormat="1" ht="15.75" customHeight="1" x14ac:dyDescent="0.25">
      <c r="A102" s="253" t="s">
        <v>249</v>
      </c>
      <c r="B102" s="70" t="s">
        <v>177</v>
      </c>
      <c r="C102" s="34">
        <f>COUNT(D122)+COUNT(D124,D126:E139)</f>
        <v>16</v>
      </c>
      <c r="D102" s="138">
        <f>SUM(D122)+SUM(D124,D126:E139)</f>
        <v>22954.825249199999</v>
      </c>
      <c r="E102" s="139"/>
      <c r="F102" s="140"/>
      <c r="G102" s="141">
        <f>SUM(G122)+SUM(G124,E126:G139)</f>
        <v>35579.979136260008</v>
      </c>
      <c r="H102" s="142"/>
      <c r="I102" s="142"/>
      <c r="J102" s="143"/>
      <c r="K102" s="1"/>
      <c r="L102" s="1"/>
    </row>
    <row r="103" spans="1:15" s="2" customFormat="1" ht="15.75" customHeight="1" x14ac:dyDescent="0.25">
      <c r="A103" s="253"/>
      <c r="B103" s="70" t="s">
        <v>281</v>
      </c>
      <c r="C103" s="34">
        <f>COUNT(D145)</f>
        <v>1</v>
      </c>
      <c r="D103" s="138">
        <f>SUM(D145)</f>
        <v>1609.5086279999998</v>
      </c>
      <c r="E103" s="139"/>
      <c r="F103" s="140"/>
      <c r="G103" s="141">
        <f>SUM(G145)</f>
        <v>2494.7383734</v>
      </c>
      <c r="H103" s="142"/>
      <c r="I103" s="142"/>
      <c r="J103" s="143"/>
      <c r="K103" s="1"/>
      <c r="L103" s="1"/>
    </row>
    <row r="104" spans="1:15" s="2" customFormat="1" x14ac:dyDescent="0.25">
      <c r="A104" s="150" t="s">
        <v>78</v>
      </c>
      <c r="B104" s="151"/>
      <c r="C104" s="9">
        <f>SUM(C102:C102)</f>
        <v>16</v>
      </c>
      <c r="D104" s="153">
        <f>SUM(D102:F102)</f>
        <v>22954.825249199999</v>
      </c>
      <c r="E104" s="154"/>
      <c r="F104" s="155"/>
      <c r="G104" s="144">
        <f>SUM(G102:J102)</f>
        <v>35579.979136260008</v>
      </c>
      <c r="H104" s="149"/>
      <c r="I104" s="149"/>
      <c r="J104" s="145"/>
      <c r="K104" s="1"/>
      <c r="L104" s="1"/>
      <c r="O104" s="2" t="s">
        <v>310</v>
      </c>
    </row>
    <row r="105" spans="1:15" s="2" customFormat="1" x14ac:dyDescent="0.25">
      <c r="A105" s="150" t="s">
        <v>306</v>
      </c>
      <c r="B105" s="151"/>
      <c r="C105" s="151"/>
      <c r="D105" s="151"/>
      <c r="E105" s="151"/>
      <c r="F105" s="151"/>
      <c r="G105" s="151"/>
      <c r="H105" s="151"/>
      <c r="I105" s="151"/>
      <c r="J105" s="152"/>
      <c r="K105" s="1"/>
      <c r="L105" s="1"/>
    </row>
    <row r="106" spans="1:15" s="2" customFormat="1" x14ac:dyDescent="0.25">
      <c r="A106" s="144" t="s">
        <v>74</v>
      </c>
      <c r="B106" s="145"/>
      <c r="C106" s="9" t="s">
        <v>170</v>
      </c>
      <c r="D106" s="146" t="s">
        <v>75</v>
      </c>
      <c r="E106" s="147"/>
      <c r="F106" s="148"/>
      <c r="G106" s="144" t="s">
        <v>76</v>
      </c>
      <c r="H106" s="149"/>
      <c r="I106" s="149"/>
      <c r="J106" s="145"/>
      <c r="K106" s="1"/>
      <c r="L106" s="1"/>
    </row>
    <row r="107" spans="1:15" s="2" customFormat="1" x14ac:dyDescent="0.25">
      <c r="A107" s="136" t="s">
        <v>249</v>
      </c>
      <c r="B107" s="137"/>
      <c r="C107" s="10">
        <f>COUNT(D152:E161)*12+COUNT(D163:E169,D171:E172)*3+COUNT(D174:E183)*15+COUNT(D185:E191,D193:E194)*4+COUNT(D196:E205)*7+COUNT(D207:E213,D215:E216)</f>
        <v>412</v>
      </c>
      <c r="D107" s="138">
        <f>SUM(D152:E161)*12+SUM(D163:E169,D171:E172)*3+SUM(D174:E183)*15+SUM(D185:E191,D193:E194)*4+SUM(D196:E205)*7+SUM(D207:E213,D215:E216)</f>
        <v>298973.18926799996</v>
      </c>
      <c r="E107" s="139"/>
      <c r="F107" s="140"/>
      <c r="G107" s="141">
        <f>SUM(E152:G161)*12+SUM(E163:G169,E171:G172)*3+SUM(E174:G183)*15+SUM(E185:G191,E193:G194)*4+SUM(E196:G205)*7+SUM(E207:G213,E215:G216)</f>
        <v>448459.78390199994</v>
      </c>
      <c r="H107" s="142"/>
      <c r="I107" s="142"/>
      <c r="J107" s="143"/>
      <c r="K107" s="1"/>
      <c r="L107" s="1"/>
    </row>
    <row r="108" spans="1:15" s="2" customFormat="1" x14ac:dyDescent="0.25">
      <c r="A108" s="136" t="s">
        <v>195</v>
      </c>
      <c r="B108" s="137"/>
      <c r="C108" s="10">
        <f>COUNT(D223:E224,D226)+COUNT(D230:E231,D233)+COUNT(D236:E238,D240,D242:E243,D245)*14+COUNT(D247:E249,D251,D253,D256)*4+COUNT(D258:E260,D262:E267)+COUNT(D269:E278)*12+COUNT(D280:E286,D288:E289)*3+COUNT(D291:E298)*6+COUNT(D300:E305,D307)*2</f>
        <v>346</v>
      </c>
      <c r="D108" s="138">
        <f>SUM(D223:E224,D226)+SUM(D230:E231,D233)+SUM(D236:E238,D240,D242:E243,D245)*14+SUM(D247:E249,D251,D253,D256)*4+SUM(D258:E260,D262:E267)+SUM(D269:E278)*12+SUM(D280:E286,D288:E289)*3+SUM(D291:E298)*6+SUM(D300:E305,D307)*2</f>
        <v>249085.17136619997</v>
      </c>
      <c r="E108" s="139"/>
      <c r="F108" s="140"/>
      <c r="G108" s="141">
        <f>SUM(E223:G224,G226)+SUM(E230:G231,G233)+SUM(E236:G238,G240,E242:G243,G245)*14+SUM(E247:G249,G251,G253,G256)*4+SUM(E258:G260,E262:G267)+SUM(E269:G278)*12+SUM(E280:G286,E288:G289)*3+SUM(E291:G298)*6+SUM(E300:G305,G307)*2</f>
        <v>373627.75704930007</v>
      </c>
      <c r="H108" s="142"/>
      <c r="I108" s="142"/>
      <c r="J108" s="143"/>
      <c r="K108" s="1"/>
      <c r="L108" s="1"/>
    </row>
    <row r="109" spans="1:15" s="2" customFormat="1" x14ac:dyDescent="0.25">
      <c r="A109" s="150" t="s">
        <v>78</v>
      </c>
      <c r="B109" s="151"/>
      <c r="C109" s="9">
        <f>SUM(C107:C108)</f>
        <v>758</v>
      </c>
      <c r="D109" s="153">
        <f>SUM(D107:F108)</f>
        <v>548058.36063419993</v>
      </c>
      <c r="E109" s="154"/>
      <c r="F109" s="155"/>
      <c r="G109" s="144">
        <f>SUM(G107:J108)</f>
        <v>822087.54095129995</v>
      </c>
      <c r="H109" s="149"/>
      <c r="I109" s="149"/>
      <c r="J109" s="145"/>
      <c r="K109" s="1"/>
      <c r="L109" s="1"/>
    </row>
    <row r="110" spans="1:15" s="2" customFormat="1" x14ac:dyDescent="0.25">
      <c r="A110" s="150" t="s">
        <v>307</v>
      </c>
      <c r="B110" s="151"/>
      <c r="C110" s="151"/>
      <c r="D110" s="151"/>
      <c r="E110" s="151"/>
      <c r="F110" s="151"/>
      <c r="G110" s="151"/>
      <c r="H110" s="151"/>
      <c r="I110" s="151"/>
      <c r="J110" s="152"/>
      <c r="K110" s="13"/>
      <c r="L110" s="13"/>
    </row>
    <row r="111" spans="1:15" s="2" customFormat="1" x14ac:dyDescent="0.25">
      <c r="A111" s="144" t="s">
        <v>74</v>
      </c>
      <c r="B111" s="145"/>
      <c r="C111" s="9" t="s">
        <v>170</v>
      </c>
      <c r="D111" s="146" t="s">
        <v>75</v>
      </c>
      <c r="E111" s="147"/>
      <c r="F111" s="148"/>
      <c r="G111" s="144" t="s">
        <v>76</v>
      </c>
      <c r="H111" s="149"/>
      <c r="I111" s="149"/>
      <c r="J111" s="145"/>
      <c r="K111" s="11"/>
      <c r="L111" s="11"/>
    </row>
    <row r="112" spans="1:15" s="2" customFormat="1" x14ac:dyDescent="0.25">
      <c r="A112" s="136" t="s">
        <v>195</v>
      </c>
      <c r="B112" s="137"/>
      <c r="C112" s="10">
        <f>COUNT(D222,D225)+COUNT(D229,D232)+COUNT(D239,D241,D244)*14+COUNT(D250,D252,D255)*4+COUNT(D261)</f>
        <v>59</v>
      </c>
      <c r="D112" s="138">
        <f>SUM(D222,D225)+SUM(D229,D232)+SUM(D239,D241,D244)*14+SUM(D250,D252,D255)*4+SUM(D261)</f>
        <v>31597.389930599995</v>
      </c>
      <c r="E112" s="139"/>
      <c r="F112" s="140"/>
      <c r="G112" s="141">
        <f>SUM(G222,G225)+SUM(G229,G232)+SUM(G239,G241,G244)*14+SUM(G250,G252,G255)*4+SUM(G261)</f>
        <v>47396.0848959</v>
      </c>
      <c r="H112" s="142"/>
      <c r="I112" s="142"/>
      <c r="J112" s="143"/>
      <c r="K112" s="11"/>
      <c r="L112" s="11"/>
    </row>
    <row r="113" spans="1:13" s="2" customFormat="1" x14ac:dyDescent="0.25">
      <c r="A113" s="150" t="s">
        <v>78</v>
      </c>
      <c r="B113" s="151"/>
      <c r="C113" s="9">
        <f>SUM(C112:C112)</f>
        <v>59</v>
      </c>
      <c r="D113" s="153">
        <f>SUM(D112:F112)</f>
        <v>31597.389930599995</v>
      </c>
      <c r="E113" s="154"/>
      <c r="F113" s="155"/>
      <c r="G113" s="144">
        <f>SUM(G112)</f>
        <v>47396.0848959</v>
      </c>
      <c r="H113" s="149"/>
      <c r="I113" s="149"/>
      <c r="J113" s="145"/>
    </row>
    <row r="114" spans="1:13" s="2" customFormat="1" x14ac:dyDescent="0.25">
      <c r="A114" s="150" t="s">
        <v>309</v>
      </c>
      <c r="B114" s="151"/>
      <c r="C114" s="9">
        <f>C104+C109+C113</f>
        <v>833</v>
      </c>
      <c r="D114" s="153">
        <f>D104+D109+D113</f>
        <v>602610.57581399987</v>
      </c>
      <c r="E114" s="154"/>
      <c r="F114" s="155"/>
      <c r="G114" s="144">
        <f>G104+G109+G113</f>
        <v>905063.60498345993</v>
      </c>
      <c r="H114" s="149"/>
      <c r="I114" s="149"/>
      <c r="J114" s="145"/>
    </row>
    <row r="115" spans="1:13" s="2" customFormat="1" x14ac:dyDescent="0.25">
      <c r="A115" s="204" t="s">
        <v>79</v>
      </c>
      <c r="B115" s="205"/>
      <c r="C115" s="205"/>
      <c r="D115" s="205"/>
      <c r="E115" s="205"/>
      <c r="F115" s="205"/>
      <c r="G115" s="205"/>
      <c r="H115" s="205"/>
      <c r="I115" s="205"/>
      <c r="J115" s="206"/>
    </row>
    <row r="116" spans="1:13" s="2" customFormat="1" x14ac:dyDescent="0.25">
      <c r="A116" s="204" t="s">
        <v>270</v>
      </c>
      <c r="B116" s="205"/>
      <c r="C116" s="205"/>
      <c r="D116" s="205"/>
      <c r="E116" s="205"/>
      <c r="F116" s="205"/>
      <c r="G116" s="205"/>
      <c r="H116" s="205"/>
      <c r="I116" s="205"/>
      <c r="J116" s="206"/>
    </row>
    <row r="117" spans="1:13" s="2" customFormat="1" ht="31.5" x14ac:dyDescent="0.25">
      <c r="A117" s="235" t="s">
        <v>312</v>
      </c>
      <c r="B117" s="236"/>
      <c r="C117" s="239" t="s">
        <v>80</v>
      </c>
      <c r="D117" s="235" t="s">
        <v>81</v>
      </c>
      <c r="E117" s="236"/>
      <c r="F117" s="241" t="s">
        <v>82</v>
      </c>
      <c r="G117" s="68" t="s">
        <v>83</v>
      </c>
      <c r="H117" s="239" t="s">
        <v>84</v>
      </c>
      <c r="I117" s="235" t="s">
        <v>85</v>
      </c>
      <c r="J117" s="236"/>
    </row>
    <row r="118" spans="1:13" s="2" customFormat="1" ht="15.75" customHeight="1" x14ac:dyDescent="0.25">
      <c r="A118" s="237"/>
      <c r="B118" s="238"/>
      <c r="C118" s="240"/>
      <c r="D118" s="237"/>
      <c r="E118" s="238"/>
      <c r="F118" s="242"/>
      <c r="G118" s="69">
        <v>0.55000000000000004</v>
      </c>
      <c r="H118" s="240"/>
      <c r="I118" s="237"/>
      <c r="J118" s="238"/>
    </row>
    <row r="119" spans="1:13" s="2" customFormat="1" x14ac:dyDescent="0.25">
      <c r="A119" s="87" t="s">
        <v>325</v>
      </c>
      <c r="B119" s="88"/>
      <c r="C119" s="88"/>
      <c r="D119" s="88"/>
      <c r="E119" s="88"/>
      <c r="F119" s="88"/>
      <c r="G119" s="88"/>
      <c r="H119" s="88"/>
      <c r="I119" s="88"/>
      <c r="J119" s="89"/>
      <c r="L119" s="80">
        <v>10.763999999999999</v>
      </c>
      <c r="M119" s="80"/>
    </row>
    <row r="120" spans="1:13" s="2" customFormat="1" x14ac:dyDescent="0.25">
      <c r="A120" s="87" t="s">
        <v>271</v>
      </c>
      <c r="B120" s="88"/>
      <c r="C120" s="88"/>
      <c r="D120" s="88"/>
      <c r="E120" s="88"/>
      <c r="F120" s="88"/>
      <c r="G120" s="88"/>
      <c r="H120" s="88"/>
      <c r="I120" s="88"/>
      <c r="J120" s="89"/>
    </row>
    <row r="121" spans="1:13" s="2" customFormat="1" x14ac:dyDescent="0.25">
      <c r="A121" s="232" t="s">
        <v>273</v>
      </c>
      <c r="B121" s="233"/>
      <c r="C121" s="233"/>
      <c r="D121" s="233"/>
      <c r="E121" s="233"/>
      <c r="F121" s="233"/>
      <c r="G121" s="233"/>
      <c r="H121" s="233"/>
      <c r="I121" s="233"/>
      <c r="J121" s="234"/>
      <c r="K121" s="2">
        <f>(0.5*2.8*5.6-(3.14*1))</f>
        <v>4.6999999999999993</v>
      </c>
    </row>
    <row r="122" spans="1:13" s="2" customFormat="1" ht="94.5" x14ac:dyDescent="0.25">
      <c r="A122" s="66" t="s">
        <v>272</v>
      </c>
      <c r="B122" s="66" t="s">
        <v>183</v>
      </c>
      <c r="C122" s="3" t="s">
        <v>275</v>
      </c>
      <c r="D122" s="80">
        <f>((15*14.2+11.2*6.2+5.6*5.2+6.6*3.2+8*4*0.5+7*2.9*0.5+1.58*1.7+1.73*1.05)+((7.48*12.4+4.5*2.1+(4.3+2.5)/2*5.4+3.4*1.37+2.1*1.37+1.8*1.4+0.6*1.5)*2))*10.764</f>
        <v>6742.209006000001</v>
      </c>
      <c r="E122" s="80"/>
      <c r="F122" s="3">
        <v>0</v>
      </c>
      <c r="G122" s="3">
        <f>(D122+(IF(F122&lt;101,F122,IF(F122&lt;201,F122/2,IF(F122&lt;=301,F122/3,F122/4)))))*(($G$118)+1)</f>
        <v>10450.423959300002</v>
      </c>
      <c r="H122" s="3" t="s">
        <v>86</v>
      </c>
      <c r="I122" s="243" t="str">
        <f>A121</f>
        <v>Lower Ground Floor For Commercial, B.M.S Room &amp; Parking</v>
      </c>
      <c r="J122" s="243"/>
    </row>
    <row r="123" spans="1:13" s="2" customFormat="1" x14ac:dyDescent="0.25">
      <c r="A123" s="77" t="s">
        <v>278</v>
      </c>
      <c r="B123" s="78"/>
      <c r="C123" s="78"/>
      <c r="D123" s="78"/>
      <c r="E123" s="78"/>
      <c r="F123" s="78"/>
      <c r="G123" s="78"/>
      <c r="H123" s="78"/>
      <c r="I123" s="78"/>
      <c r="J123" s="79"/>
    </row>
    <row r="124" spans="1:13" s="2" customFormat="1" ht="63" x14ac:dyDescent="0.25">
      <c r="A124" s="66">
        <v>1</v>
      </c>
      <c r="B124" s="66" t="s">
        <v>183</v>
      </c>
      <c r="C124" s="3" t="s">
        <v>276</v>
      </c>
      <c r="D124" s="80">
        <f>((7.48*12.13+1.2*2.13+6.5*2.2+1.2*2.13)+(7.48*12.13+2.13*2.8+1.2*2.13))*10.764</f>
        <v>2253.9471552</v>
      </c>
      <c r="E124" s="80"/>
      <c r="F124" s="3">
        <v>0</v>
      </c>
      <c r="G124" s="3">
        <f t="shared" ref="G124:G136" si="0">(D124+(IF(F124&lt;101,F124,IF(F124&lt;201,F124/2,IF(F124&lt;=301,F124/3,F124/4)))))*(($G$118)+1)</f>
        <v>3493.6180905599999</v>
      </c>
      <c r="H124" s="3" t="s">
        <v>86</v>
      </c>
      <c r="I124" s="243" t="str">
        <f>A123</f>
        <v>Upper Ground A Floor For Commercial, Entrance Lobby, Society Office &amp; Parking</v>
      </c>
      <c r="J124" s="243"/>
    </row>
    <row r="125" spans="1:13" s="2" customFormat="1" x14ac:dyDescent="0.25">
      <c r="A125" s="66" t="s">
        <v>274</v>
      </c>
      <c r="B125" s="66" t="s">
        <v>183</v>
      </c>
      <c r="C125" s="107" t="s">
        <v>277</v>
      </c>
      <c r="D125" s="108"/>
      <c r="E125" s="108"/>
      <c r="F125" s="108"/>
      <c r="G125" s="108"/>
      <c r="H125" s="109"/>
      <c r="I125" s="243"/>
      <c r="J125" s="243"/>
    </row>
    <row r="126" spans="1:13" s="2" customFormat="1" ht="63" x14ac:dyDescent="0.25">
      <c r="A126" s="66">
        <v>2</v>
      </c>
      <c r="B126" s="66" t="s">
        <v>183</v>
      </c>
      <c r="C126" s="3" t="s">
        <v>276</v>
      </c>
      <c r="D126" s="80">
        <f>((6.09*6.2+0.5*2.8*5.6+(3.5+3.6)/2*1.5+2.2*1.3)+(6.09*6.2+(0.5*2.8*5.6-(3.14*1))+(3.5+3.6)/2*1.5+2.2*1.3))*10.764</f>
        <v>1124.0414639999999</v>
      </c>
      <c r="E126" s="80"/>
      <c r="F126" s="3">
        <v>0</v>
      </c>
      <c r="G126" s="3">
        <f t="shared" si="0"/>
        <v>1742.2642691999999</v>
      </c>
      <c r="H126" s="3" t="s">
        <v>86</v>
      </c>
      <c r="I126" s="243"/>
      <c r="J126" s="243"/>
    </row>
    <row r="127" spans="1:13" s="2" customFormat="1" ht="63" x14ac:dyDescent="0.25">
      <c r="A127" s="66">
        <v>3</v>
      </c>
      <c r="B127" s="66" t="s">
        <v>183</v>
      </c>
      <c r="C127" s="3" t="s">
        <v>276</v>
      </c>
      <c r="D127" s="80">
        <f>((4.71*6.57+2.5*2+0.5*2*1.9+0.5*0.9*2.7+4.6*2.2+3.2*1.6+1.58*1.7+1.73*1.05)+(4.71*6.57+2.5*2+0.5*2*1.9+0.5*0.9*2.7+2.33*1.72+1.82*1.05+14.91*11.76+12.48*1.89+7.63*4+8.32*9.81+20.28*7.03+1.4*9.5+2.2*2.79))*10.764</f>
        <v>6209.2661435999989</v>
      </c>
      <c r="E127" s="80"/>
      <c r="F127" s="3">
        <v>0</v>
      </c>
      <c r="G127" s="3">
        <f t="shared" si="0"/>
        <v>9624.3625225799988</v>
      </c>
      <c r="H127" s="3" t="s">
        <v>86</v>
      </c>
      <c r="I127" s="243"/>
      <c r="J127" s="243"/>
    </row>
    <row r="128" spans="1:13" s="2" customFormat="1" x14ac:dyDescent="0.25">
      <c r="A128" s="3">
        <v>4</v>
      </c>
      <c r="B128" s="3" t="s">
        <v>183</v>
      </c>
      <c r="C128" s="3" t="s">
        <v>177</v>
      </c>
      <c r="D128" s="80">
        <f>(3.3*6.9+2.35*1.35)*10.764</f>
        <v>279.24507</v>
      </c>
      <c r="E128" s="80"/>
      <c r="F128" s="3">
        <v>0</v>
      </c>
      <c r="G128" s="3">
        <f t="shared" si="0"/>
        <v>432.8298585</v>
      </c>
      <c r="H128" s="3" t="s">
        <v>86</v>
      </c>
      <c r="I128" s="243"/>
      <c r="J128" s="243"/>
    </row>
    <row r="129" spans="1:10" s="2" customFormat="1" x14ac:dyDescent="0.25">
      <c r="A129" s="3">
        <v>5</v>
      </c>
      <c r="B129" s="3" t="s">
        <v>183</v>
      </c>
      <c r="C129" s="3" t="s">
        <v>177</v>
      </c>
      <c r="D129" s="80">
        <f>(5.85*8.55+7.9*6.2+5.7*2.5+0.5*1.7*0.6+3.2*5+3.2*3.2+1.5*1.9+1.55*2.02+1.9*2.38)*10.764</f>
        <v>1619.9873819999998</v>
      </c>
      <c r="E129" s="80"/>
      <c r="F129" s="3">
        <v>0</v>
      </c>
      <c r="G129" s="3">
        <f t="shared" si="0"/>
        <v>2510.9804420999999</v>
      </c>
      <c r="H129" s="3" t="s">
        <v>86</v>
      </c>
      <c r="I129" s="243"/>
      <c r="J129" s="243"/>
    </row>
    <row r="130" spans="1:10" s="2" customFormat="1" x14ac:dyDescent="0.25">
      <c r="A130" s="3">
        <v>6</v>
      </c>
      <c r="B130" s="3" t="s">
        <v>183</v>
      </c>
      <c r="C130" s="3" t="s">
        <v>177</v>
      </c>
      <c r="D130" s="80">
        <f>(6.36*7.05+4.45*1.33+1.78*2.36)*10.764</f>
        <v>591.56037719999995</v>
      </c>
      <c r="E130" s="80"/>
      <c r="F130" s="3">
        <v>0</v>
      </c>
      <c r="G130" s="3">
        <f t="shared" si="0"/>
        <v>916.91858465999996</v>
      </c>
      <c r="H130" s="3" t="s">
        <v>86</v>
      </c>
      <c r="I130" s="243"/>
      <c r="J130" s="243"/>
    </row>
    <row r="131" spans="1:10" s="2" customFormat="1" x14ac:dyDescent="0.25">
      <c r="A131" s="3">
        <v>7</v>
      </c>
      <c r="B131" s="3" t="s">
        <v>183</v>
      </c>
      <c r="C131" s="3" t="s">
        <v>177</v>
      </c>
      <c r="D131" s="80">
        <f>(5.68*7.46+2.89*2.35+1.8*1.35)*10.764</f>
        <v>555.36104519999992</v>
      </c>
      <c r="E131" s="80"/>
      <c r="F131" s="3">
        <v>0</v>
      </c>
      <c r="G131" s="3">
        <f t="shared" si="0"/>
        <v>860.80962005999993</v>
      </c>
      <c r="H131" s="3" t="s">
        <v>86</v>
      </c>
      <c r="I131" s="243"/>
      <c r="J131" s="243"/>
    </row>
    <row r="132" spans="1:10" s="2" customFormat="1" x14ac:dyDescent="0.25">
      <c r="A132" s="3">
        <v>8</v>
      </c>
      <c r="B132" s="3" t="s">
        <v>183</v>
      </c>
      <c r="C132" s="3" t="s">
        <v>177</v>
      </c>
      <c r="D132" s="80">
        <f>(5.85*6.85+3.11*2.96+1.8*1.49)*10.764</f>
        <v>559.29851639999993</v>
      </c>
      <c r="E132" s="80"/>
      <c r="F132" s="3">
        <v>0</v>
      </c>
      <c r="G132" s="3">
        <f t="shared" si="0"/>
        <v>866.91270041999996</v>
      </c>
      <c r="H132" s="3" t="s">
        <v>86</v>
      </c>
      <c r="I132" s="243"/>
      <c r="J132" s="243"/>
    </row>
    <row r="133" spans="1:10" s="2" customFormat="1" x14ac:dyDescent="0.25">
      <c r="A133" s="3">
        <v>9</v>
      </c>
      <c r="B133" s="3" t="s">
        <v>183</v>
      </c>
      <c r="C133" s="3" t="s">
        <v>177</v>
      </c>
      <c r="D133" s="80">
        <f>(3.08*5.35+2.33*1.35)*10.764</f>
        <v>211.22735399999999</v>
      </c>
      <c r="E133" s="80"/>
      <c r="F133" s="3">
        <v>0</v>
      </c>
      <c r="G133" s="3">
        <f t="shared" si="0"/>
        <v>327.40239869999999</v>
      </c>
      <c r="H133" s="3" t="s">
        <v>86</v>
      </c>
      <c r="I133" s="243"/>
      <c r="J133" s="243"/>
    </row>
    <row r="134" spans="1:10" s="2" customFormat="1" x14ac:dyDescent="0.25">
      <c r="A134" s="3">
        <v>10</v>
      </c>
      <c r="B134" s="3" t="s">
        <v>183</v>
      </c>
      <c r="C134" s="3" t="s">
        <v>177</v>
      </c>
      <c r="D134" s="80">
        <f>(3.3*5+1.8*1.85+1.35*1.7)*10.764</f>
        <v>238.15349999999998</v>
      </c>
      <c r="E134" s="80"/>
      <c r="F134" s="3">
        <v>0</v>
      </c>
      <c r="G134" s="3">
        <f t="shared" si="0"/>
        <v>369.137925</v>
      </c>
      <c r="H134" s="3" t="s">
        <v>86</v>
      </c>
      <c r="I134" s="243"/>
      <c r="J134" s="243"/>
    </row>
    <row r="135" spans="1:10" s="2" customFormat="1" x14ac:dyDescent="0.25">
      <c r="A135" s="3">
        <v>11</v>
      </c>
      <c r="B135" s="3" t="s">
        <v>183</v>
      </c>
      <c r="C135" s="3" t="s">
        <v>177</v>
      </c>
      <c r="D135" s="80">
        <f>(3.08*5.45+1.13*0.8+2.33*1.35)*10.764</f>
        <v>224.27332200000001</v>
      </c>
      <c r="E135" s="80"/>
      <c r="F135" s="3">
        <v>0</v>
      </c>
      <c r="G135" s="3">
        <f t="shared" si="0"/>
        <v>347.62364910000002</v>
      </c>
      <c r="H135" s="3" t="s">
        <v>86</v>
      </c>
      <c r="I135" s="243"/>
      <c r="J135" s="243"/>
    </row>
    <row r="136" spans="1:10" s="2" customFormat="1" x14ac:dyDescent="0.25">
      <c r="A136" s="3">
        <v>12</v>
      </c>
      <c r="B136" s="3" t="s">
        <v>183</v>
      </c>
      <c r="C136" s="3" t="s">
        <v>177</v>
      </c>
      <c r="D136" s="80">
        <f>(5.8*6.85+3.06*2.96+1.8*1.49)*10.764</f>
        <v>554.01877439999998</v>
      </c>
      <c r="E136" s="80"/>
      <c r="F136" s="3">
        <v>0</v>
      </c>
      <c r="G136" s="3">
        <f t="shared" si="0"/>
        <v>858.72910032000004</v>
      </c>
      <c r="H136" s="3" t="s">
        <v>86</v>
      </c>
      <c r="I136" s="243"/>
      <c r="J136" s="243"/>
    </row>
    <row r="137" spans="1:10" s="2" customFormat="1" x14ac:dyDescent="0.25">
      <c r="A137" s="3">
        <f>A136+1</f>
        <v>13</v>
      </c>
      <c r="B137" s="3" t="s">
        <v>183</v>
      </c>
      <c r="C137" s="3" t="s">
        <v>177</v>
      </c>
      <c r="D137" s="80">
        <f>(5.73*7.46+3.43*1.5+2.9*0.85+1.8*1.35)*10.764</f>
        <v>568.18635119999999</v>
      </c>
      <c r="E137" s="80"/>
      <c r="F137" s="3">
        <v>0</v>
      </c>
      <c r="G137" s="3">
        <f t="shared" ref="G137" si="1">(D137+(IF(F137&lt;101,F137,IF(F137&lt;201,F137/2,IF(F137&lt;=301,F137/3,F137/4)))))*(($G$118)+1)</f>
        <v>880.68884435999996</v>
      </c>
      <c r="H137" s="3" t="s">
        <v>86</v>
      </c>
      <c r="I137" s="243"/>
      <c r="J137" s="243"/>
    </row>
    <row r="138" spans="1:10" s="2" customFormat="1" x14ac:dyDescent="0.25">
      <c r="A138" s="3">
        <f>A137+1</f>
        <v>14</v>
      </c>
      <c r="B138" s="3" t="s">
        <v>183</v>
      </c>
      <c r="C138" s="3" t="s">
        <v>177</v>
      </c>
      <c r="D138" s="80">
        <f>(6.2*7.05+4.38*1.34+1.78*1.36)*10.764</f>
        <v>559.72799999999995</v>
      </c>
      <c r="E138" s="80"/>
      <c r="F138" s="3">
        <v>0</v>
      </c>
      <c r="G138" s="3">
        <f t="shared" ref="G138" si="2">(D138+(IF(F138&lt;101,F138,IF(F138&lt;201,F138/2,IF(F138&lt;=301,F138/3,F138/4)))))*(($G$118)+1)</f>
        <v>867.57839999999999</v>
      </c>
      <c r="H138" s="3" t="s">
        <v>86</v>
      </c>
      <c r="I138" s="243"/>
      <c r="J138" s="243"/>
    </row>
    <row r="139" spans="1:10" s="2" customFormat="1" x14ac:dyDescent="0.25">
      <c r="A139" s="3">
        <f>A138+1</f>
        <v>15</v>
      </c>
      <c r="B139" s="3" t="s">
        <v>183</v>
      </c>
      <c r="C139" s="3" t="s">
        <v>177</v>
      </c>
      <c r="D139" s="80">
        <f>(5.52*8.39+5.18*2.39+1.35*2.24)*10.764</f>
        <v>664.32178799999997</v>
      </c>
      <c r="E139" s="80"/>
      <c r="F139" s="3">
        <v>0</v>
      </c>
      <c r="G139" s="3">
        <f t="shared" ref="G139" si="3">(D139+(IF(F139&lt;101,F139,IF(F139&lt;201,F139/2,IF(F139&lt;=301,F139/3,F139/4)))))*(($G$118)+1)</f>
        <v>1029.6987713999999</v>
      </c>
      <c r="H139" s="3" t="s">
        <v>86</v>
      </c>
      <c r="I139" s="243"/>
      <c r="J139" s="243"/>
    </row>
    <row r="140" spans="1:10" s="2" customFormat="1" x14ac:dyDescent="0.25">
      <c r="A140" s="77" t="s">
        <v>282</v>
      </c>
      <c r="B140" s="78"/>
      <c r="C140" s="78"/>
      <c r="D140" s="78"/>
      <c r="E140" s="78"/>
      <c r="F140" s="78"/>
      <c r="G140" s="78"/>
      <c r="H140" s="78"/>
      <c r="I140" s="78"/>
      <c r="J140" s="79"/>
    </row>
    <row r="141" spans="1:10" s="2" customFormat="1" x14ac:dyDescent="0.25">
      <c r="A141" s="66">
        <v>1</v>
      </c>
      <c r="B141" s="3" t="s">
        <v>183</v>
      </c>
      <c r="C141" s="107" t="s">
        <v>279</v>
      </c>
      <c r="D141" s="108"/>
      <c r="E141" s="108"/>
      <c r="F141" s="108"/>
      <c r="G141" s="108"/>
      <c r="H141" s="109"/>
      <c r="I141" s="243" t="str">
        <f>A140</f>
        <v>Upper Ground B Floor For Commercial, Pantry, Store Room &amp; Parking</v>
      </c>
      <c r="J141" s="243"/>
    </row>
    <row r="142" spans="1:10" s="2" customFormat="1" x14ac:dyDescent="0.25">
      <c r="A142" s="66" t="s">
        <v>274</v>
      </c>
      <c r="B142" s="3" t="s">
        <v>183</v>
      </c>
      <c r="C142" s="107" t="s">
        <v>280</v>
      </c>
      <c r="D142" s="108"/>
      <c r="E142" s="108"/>
      <c r="F142" s="108"/>
      <c r="G142" s="108"/>
      <c r="H142" s="109"/>
      <c r="I142" s="243"/>
      <c r="J142" s="243"/>
    </row>
    <row r="143" spans="1:10" s="2" customFormat="1" x14ac:dyDescent="0.25">
      <c r="A143" s="66">
        <v>2</v>
      </c>
      <c r="B143" s="3" t="s">
        <v>183</v>
      </c>
      <c r="C143" s="107" t="s">
        <v>279</v>
      </c>
      <c r="D143" s="108"/>
      <c r="E143" s="108"/>
      <c r="F143" s="108"/>
      <c r="G143" s="108"/>
      <c r="H143" s="109"/>
      <c r="I143" s="243"/>
      <c r="J143" s="243"/>
    </row>
    <row r="144" spans="1:10" s="2" customFormat="1" ht="15.75" customHeight="1" x14ac:dyDescent="0.25">
      <c r="A144" s="66">
        <v>3</v>
      </c>
      <c r="B144" s="3" t="s">
        <v>183</v>
      </c>
      <c r="C144" s="107" t="s">
        <v>279</v>
      </c>
      <c r="D144" s="108"/>
      <c r="E144" s="108"/>
      <c r="F144" s="108"/>
      <c r="G144" s="108"/>
      <c r="H144" s="109"/>
      <c r="I144" s="243"/>
      <c r="J144" s="243"/>
    </row>
    <row r="145" spans="1:13" s="2" customFormat="1" ht="15.75" customHeight="1" x14ac:dyDescent="0.25">
      <c r="A145" s="66">
        <v>1</v>
      </c>
      <c r="B145" s="3" t="s">
        <v>183</v>
      </c>
      <c r="C145" s="3" t="s">
        <v>281</v>
      </c>
      <c r="D145" s="80">
        <f>(8.85*4.32+6.83*1.94+5.09*2.35+12.43*4.67+4.16*2.61+1.22*2.28+1.2*2.13+2.2*3.6+1.4*2.8)*10.764</f>
        <v>1609.5086279999998</v>
      </c>
      <c r="E145" s="80"/>
      <c r="F145" s="3">
        <v>0</v>
      </c>
      <c r="G145" s="3">
        <f t="shared" ref="G145" si="4">(D145+(IF(F145&lt;101,F145,IF(F145&lt;201,F145/2,IF(F145&lt;=301,F145/3,F145/4)))))*(($G$118)+1)</f>
        <v>2494.7383734</v>
      </c>
      <c r="H145" s="3" t="s">
        <v>86</v>
      </c>
      <c r="I145" s="243"/>
      <c r="J145" s="243"/>
    </row>
    <row r="146" spans="1:13" s="2" customFormat="1" ht="15.75" customHeight="1" x14ac:dyDescent="0.25">
      <c r="A146" s="85"/>
      <c r="B146" s="244"/>
      <c r="C146" s="244"/>
      <c r="D146" s="244"/>
      <c r="E146" s="244"/>
      <c r="F146" s="244"/>
      <c r="G146" s="244"/>
      <c r="H146" s="244"/>
      <c r="I146" s="244"/>
      <c r="J146" s="86"/>
    </row>
    <row r="147" spans="1:13" s="2" customFormat="1" ht="31.5" x14ac:dyDescent="0.25">
      <c r="A147" s="235" t="s">
        <v>197</v>
      </c>
      <c r="B147" s="236"/>
      <c r="C147" s="239" t="s">
        <v>80</v>
      </c>
      <c r="D147" s="235" t="s">
        <v>81</v>
      </c>
      <c r="E147" s="236"/>
      <c r="F147" s="241" t="s">
        <v>82</v>
      </c>
      <c r="G147" s="68" t="s">
        <v>83</v>
      </c>
      <c r="H147" s="239" t="s">
        <v>84</v>
      </c>
      <c r="I147" s="235" t="s">
        <v>85</v>
      </c>
      <c r="J147" s="236"/>
      <c r="M147" s="52">
        <f>17500000/842</f>
        <v>20783.847980997623</v>
      </c>
    </row>
    <row r="148" spans="1:13" s="2" customFormat="1" x14ac:dyDescent="0.25">
      <c r="A148" s="237"/>
      <c r="B148" s="238"/>
      <c r="C148" s="240"/>
      <c r="D148" s="237"/>
      <c r="E148" s="238"/>
      <c r="F148" s="242"/>
      <c r="G148" s="69">
        <v>0.5</v>
      </c>
      <c r="H148" s="240"/>
      <c r="I148" s="237"/>
      <c r="J148" s="238"/>
      <c r="K148" s="2">
        <f>2.75*3.08*(10.764)</f>
        <v>91.171080000000003</v>
      </c>
      <c r="M148" s="52">
        <f>14000000/608</f>
        <v>23026.315789473683</v>
      </c>
    </row>
    <row r="149" spans="1:13" s="2" customFormat="1" ht="15.75" customHeight="1" x14ac:dyDescent="0.25">
      <c r="A149" s="87" t="s">
        <v>283</v>
      </c>
      <c r="B149" s="88"/>
      <c r="C149" s="88"/>
      <c r="D149" s="88"/>
      <c r="E149" s="88"/>
      <c r="F149" s="88"/>
      <c r="G149" s="88"/>
      <c r="H149" s="88"/>
      <c r="I149" s="88"/>
      <c r="J149" s="89"/>
      <c r="M149" s="52">
        <f>15000000/630</f>
        <v>23809.523809523809</v>
      </c>
    </row>
    <row r="150" spans="1:13" s="2" customFormat="1" x14ac:dyDescent="0.25">
      <c r="A150" s="87" t="s">
        <v>284</v>
      </c>
      <c r="B150" s="88"/>
      <c r="C150" s="88"/>
      <c r="D150" s="88"/>
      <c r="E150" s="88"/>
      <c r="F150" s="88"/>
      <c r="G150" s="88"/>
      <c r="H150" s="88"/>
      <c r="I150" s="88"/>
      <c r="J150" s="89"/>
      <c r="M150" s="52">
        <f>13000000/599</f>
        <v>21702.838063439067</v>
      </c>
    </row>
    <row r="151" spans="1:13" s="2" customFormat="1" ht="15.75" customHeight="1" x14ac:dyDescent="0.25">
      <c r="A151" s="87" t="s">
        <v>286</v>
      </c>
      <c r="B151" s="88"/>
      <c r="C151" s="88"/>
      <c r="D151" s="88"/>
      <c r="E151" s="88"/>
      <c r="F151" s="88"/>
      <c r="G151" s="88"/>
      <c r="H151" s="88"/>
      <c r="I151" s="88"/>
      <c r="J151" s="89"/>
      <c r="M151" s="52">
        <f>9000000/470</f>
        <v>19148.936170212764</v>
      </c>
    </row>
    <row r="152" spans="1:13" s="2" customFormat="1" ht="15.75" customHeight="1" x14ac:dyDescent="0.25">
      <c r="A152" s="3">
        <v>1</v>
      </c>
      <c r="B152" s="3" t="s">
        <v>183</v>
      </c>
      <c r="C152" s="3" t="s">
        <v>180</v>
      </c>
      <c r="D152" s="80">
        <f>(3.05*5.68+1.13*0.58+2.8*2.45+3*3.48+2.85*3.48+1.35*2.18+1.4*2.15+1.5*0.9+3.3*0.9+(5.3+3.05))*10.764</f>
        <v>686.96278559999985</v>
      </c>
      <c r="E152" s="80"/>
      <c r="F152" s="3">
        <v>0</v>
      </c>
      <c r="G152" s="3">
        <f t="shared" ref="G152:G161" si="5">D152*(($G$148)+1)+(IF(F152&lt;101,F152,IF(F152&lt;201,F152/2,IF(F152&lt;=301,F152/3,F152/4))))</f>
        <v>1030.4441783999998</v>
      </c>
      <c r="H152" s="3" t="s">
        <v>86</v>
      </c>
      <c r="I152" s="81" t="str">
        <f>A151</f>
        <v>1st to 3rd, 5th to 7th, 9th to 12th, 14th &amp; 15th Floor For Residential</v>
      </c>
      <c r="J152" s="82"/>
      <c r="M152" s="52">
        <f>9000000/460</f>
        <v>19565.217391304348</v>
      </c>
    </row>
    <row r="153" spans="1:13" s="2" customFormat="1" x14ac:dyDescent="0.25">
      <c r="A153" s="3">
        <f t="shared" ref="A153:A161" si="6">A152+1</f>
        <v>2</v>
      </c>
      <c r="B153" s="3" t="s">
        <v>183</v>
      </c>
      <c r="C153" s="3" t="s">
        <v>180</v>
      </c>
      <c r="D153" s="80">
        <f>(3.05*5.25+1.2*1.01+2.45*2.75+3.05*2.78+1.75*0.6+3.05*3.25+1.7*0.6+1.35*2.25+2.45*1.35+4.5*0.9+(3.05+3.5+1.5))*10.764</f>
        <v>676.71653399999991</v>
      </c>
      <c r="E153" s="80"/>
      <c r="F153" s="3">
        <v>0</v>
      </c>
      <c r="G153" s="3">
        <f t="shared" si="5"/>
        <v>1015.0748009999999</v>
      </c>
      <c r="H153" s="3" t="s">
        <v>86</v>
      </c>
      <c r="I153" s="83"/>
      <c r="J153" s="84"/>
      <c r="M153" s="64">
        <f>AVERAGE(M147:M152)</f>
        <v>21339.446534158549</v>
      </c>
    </row>
    <row r="154" spans="1:13" s="2" customFormat="1" x14ac:dyDescent="0.25">
      <c r="A154" s="3">
        <f t="shared" si="6"/>
        <v>3</v>
      </c>
      <c r="B154" s="3" t="s">
        <v>183</v>
      </c>
      <c r="C154" s="3" t="s">
        <v>180</v>
      </c>
      <c r="D154" s="80">
        <f>(3.05*5.25+1.2*1.01+2.45*2.75+3.05*2.78+1.75*0.6+3.13*3.28+1.7*0.6+1.35*2.25+2.45*1.35+4.5*0.9+(3.05+3.5+1.5))*10.764</f>
        <v>680.52591359999985</v>
      </c>
      <c r="E154" s="80"/>
      <c r="F154" s="3">
        <v>0</v>
      </c>
      <c r="G154" s="3">
        <f t="shared" si="5"/>
        <v>1020.7888703999997</v>
      </c>
      <c r="H154" s="3" t="s">
        <v>86</v>
      </c>
      <c r="I154" s="83"/>
      <c r="J154" s="84"/>
    </row>
    <row r="155" spans="1:13" s="2" customFormat="1" x14ac:dyDescent="0.25">
      <c r="A155" s="3">
        <f t="shared" si="6"/>
        <v>4</v>
      </c>
      <c r="B155" s="3" t="s">
        <v>183</v>
      </c>
      <c r="C155" s="3" t="s">
        <v>178</v>
      </c>
      <c r="D155" s="80">
        <f>(3.05*5.25+1.2*1.08+2.45*2.78+3.13*2.78+1.75*0.6+3.05*3.28+2.63*3.45+1.28*2.28+1.35*2.28+4.5*0.9+(3.05+3.5+3.28*1.35))*10.764</f>
        <v>796.24321919999988</v>
      </c>
      <c r="E155" s="80"/>
      <c r="F155" s="3">
        <v>0</v>
      </c>
      <c r="G155" s="3">
        <f t="shared" si="5"/>
        <v>1194.3648287999999</v>
      </c>
      <c r="H155" s="3" t="s">
        <v>86</v>
      </c>
      <c r="I155" s="83"/>
      <c r="J155" s="84"/>
    </row>
    <row r="156" spans="1:13" s="2" customFormat="1" x14ac:dyDescent="0.25">
      <c r="A156" s="3">
        <f t="shared" si="6"/>
        <v>5</v>
      </c>
      <c r="B156" s="3" t="s">
        <v>183</v>
      </c>
      <c r="C156" s="3" t="s">
        <v>180</v>
      </c>
      <c r="D156" s="80">
        <f>(3.05*4.6+1.04*1.47+2.37*2.35+3.18*2.78+1.27*0.6+3.38*2.87+2.37*0.85+2.13*1.37+1.4*2.18+1.22*2.35+0.9*0.85+(3.05+3.6+2.35+2.4))*10.764</f>
        <v>682.95319559999996</v>
      </c>
      <c r="E156" s="80"/>
      <c r="F156" s="3">
        <v>0</v>
      </c>
      <c r="G156" s="3">
        <f t="shared" si="5"/>
        <v>1024.4297933999999</v>
      </c>
      <c r="H156" s="3" t="s">
        <v>86</v>
      </c>
      <c r="I156" s="83"/>
      <c r="J156" s="84"/>
    </row>
    <row r="157" spans="1:13" s="2" customFormat="1" ht="15.75" customHeight="1" x14ac:dyDescent="0.25">
      <c r="A157" s="3">
        <f t="shared" si="6"/>
        <v>6</v>
      </c>
      <c r="B157" s="3" t="s">
        <v>183</v>
      </c>
      <c r="C157" s="3" t="s">
        <v>180</v>
      </c>
      <c r="D157" s="80">
        <f>(3.05*4.63+2.59*2.46+1.63*1.45+2.79*3.4+2.74*3.4+3*1.35+1.35*2.36+1.47*1.01+3.5*0.9+(3.05+2.79+2.74))*10.764</f>
        <v>668.54235239999991</v>
      </c>
      <c r="E157" s="80"/>
      <c r="F157" s="3">
        <v>0</v>
      </c>
      <c r="G157" s="3">
        <f t="shared" si="5"/>
        <v>1002.8135285999999</v>
      </c>
      <c r="H157" s="3" t="s">
        <v>86</v>
      </c>
      <c r="I157" s="83"/>
      <c r="J157" s="84"/>
    </row>
    <row r="158" spans="1:13" s="2" customFormat="1" ht="15.75" customHeight="1" x14ac:dyDescent="0.25">
      <c r="A158" s="3">
        <f t="shared" si="6"/>
        <v>7</v>
      </c>
      <c r="B158" s="3" t="s">
        <v>183</v>
      </c>
      <c r="C158" s="3" t="s">
        <v>180</v>
      </c>
      <c r="D158" s="80">
        <f>(3.05*5.25+1.25*0.98+2.45*2.78+3.05*2.78+1.75*0.6+3.38*3.25+1.35*2.25+2.25*1.38+4.6*0.9+0.6*1.4+(3.05+3.7+1.7))*10.764</f>
        <v>690.34914000000003</v>
      </c>
      <c r="E158" s="80"/>
      <c r="F158" s="3">
        <v>0</v>
      </c>
      <c r="G158" s="3">
        <f t="shared" si="5"/>
        <v>1035.5237099999999</v>
      </c>
      <c r="H158" s="3" t="s">
        <v>86</v>
      </c>
      <c r="I158" s="83"/>
      <c r="J158" s="84"/>
    </row>
    <row r="159" spans="1:13" s="2" customFormat="1" ht="15.75" customHeight="1" x14ac:dyDescent="0.25">
      <c r="A159" s="3">
        <f t="shared" si="6"/>
        <v>8</v>
      </c>
      <c r="B159" s="3" t="s">
        <v>183</v>
      </c>
      <c r="C159" s="3" t="s">
        <v>180</v>
      </c>
      <c r="D159" s="80">
        <f>(3.05*2.88+3.55*2.38+1.25*0.98+2.45*2.78+3.05*2.78+1.75*0.6+3.38*3.25+1.35*2.25+2.25*1.38+4.2*0.9+(3.05+3.7+1.7))*10.764</f>
        <v>690.56980199999987</v>
      </c>
      <c r="E159" s="80"/>
      <c r="F159" s="3">
        <v>0</v>
      </c>
      <c r="G159" s="3">
        <f t="shared" si="5"/>
        <v>1035.8547029999997</v>
      </c>
      <c r="H159" s="3" t="s">
        <v>86</v>
      </c>
      <c r="I159" s="83"/>
      <c r="J159" s="84"/>
    </row>
    <row r="160" spans="1:13" s="2" customFormat="1" x14ac:dyDescent="0.25">
      <c r="A160" s="3">
        <f t="shared" si="6"/>
        <v>9</v>
      </c>
      <c r="B160" s="3" t="s">
        <v>183</v>
      </c>
      <c r="C160" s="3" t="s">
        <v>180</v>
      </c>
      <c r="D160" s="80">
        <f>(3.05*4.63+1.63*1.45+2.79*3.4+2.74*3.4+3*1.35+1.35*2.36+1.47*1.01+3.5*0.9+(3.05+2.79+2.74))*10.764</f>
        <v>599.96060279999995</v>
      </c>
      <c r="E160" s="80"/>
      <c r="F160" s="3">
        <v>0</v>
      </c>
      <c r="G160" s="3">
        <f t="shared" si="5"/>
        <v>899.94090419999998</v>
      </c>
      <c r="H160" s="3" t="s">
        <v>86</v>
      </c>
      <c r="I160" s="83"/>
      <c r="J160" s="84"/>
    </row>
    <row r="161" spans="1:12" s="2" customFormat="1" x14ac:dyDescent="0.25">
      <c r="A161" s="3">
        <f t="shared" si="6"/>
        <v>10</v>
      </c>
      <c r="B161" s="3" t="s">
        <v>183</v>
      </c>
      <c r="C161" s="3" t="s">
        <v>178</v>
      </c>
      <c r="D161" s="80">
        <f>(3.05*4.63+1.95*1.33+2.5*2.75+1.85*0.6+2.75*3.08+1.38*0.6+2.75*3.08+1.75*0.6+3.35*3.65+2.1*0.6+2.28*1.35+2.25*1.35+1.44*2.28+1.27*2.35+5.1*0.9+(2.5*0.63+3.05+3+3+1))*10.764</f>
        <v>921.43822679999994</v>
      </c>
      <c r="E161" s="80"/>
      <c r="F161" s="3">
        <v>0</v>
      </c>
      <c r="G161" s="3">
        <f t="shared" si="5"/>
        <v>1382.1573401999999</v>
      </c>
      <c r="H161" s="3" t="s">
        <v>86</v>
      </c>
      <c r="I161" s="85"/>
      <c r="J161" s="86"/>
      <c r="L161" s="52">
        <f>17500000/946</f>
        <v>18498.942917547567</v>
      </c>
    </row>
    <row r="162" spans="1:12" s="2" customFormat="1" x14ac:dyDescent="0.25">
      <c r="A162" s="87" t="s">
        <v>287</v>
      </c>
      <c r="B162" s="88"/>
      <c r="C162" s="88"/>
      <c r="D162" s="88"/>
      <c r="E162" s="88"/>
      <c r="F162" s="88"/>
      <c r="G162" s="88"/>
      <c r="H162" s="88"/>
      <c r="I162" s="88"/>
      <c r="J162" s="89"/>
      <c r="L162" s="52">
        <f>14000000/703</f>
        <v>19914.651493598863</v>
      </c>
    </row>
    <row r="163" spans="1:12" s="2" customFormat="1" x14ac:dyDescent="0.25">
      <c r="A163" s="3">
        <v>1</v>
      </c>
      <c r="B163" s="3" t="s">
        <v>183</v>
      </c>
      <c r="C163" s="3" t="s">
        <v>180</v>
      </c>
      <c r="D163" s="80">
        <f>(3.05*5.68+1.13*0.58+2.8*2.45+3*3.48+2.85*3.48+1.35*2.18+1.4*2.15+1.5*0.9+3.3*0.9+(5.3+3.05))*10.764</f>
        <v>686.96278559999985</v>
      </c>
      <c r="E163" s="80"/>
      <c r="F163" s="3">
        <v>0</v>
      </c>
      <c r="G163" s="3">
        <f>D163*(($G$148)+1)+(IF(F163&lt;101,F163,IF(F163&lt;201,F163/2,IF(F163&lt;=301,F163/3,F163/4))))</f>
        <v>1030.4441783999998</v>
      </c>
      <c r="H163" s="3" t="s">
        <v>86</v>
      </c>
      <c r="I163" s="81" t="str">
        <f>A162</f>
        <v>4th, 8th, 13th Floor (Part Refuge Area)</v>
      </c>
      <c r="J163" s="82"/>
      <c r="L163" s="52">
        <f>15000000/722</f>
        <v>20775.623268698062</v>
      </c>
    </row>
    <row r="164" spans="1:12" s="2" customFormat="1" x14ac:dyDescent="0.25">
      <c r="A164" s="3">
        <f t="shared" ref="A164:A172" si="7">A163+1</f>
        <v>2</v>
      </c>
      <c r="B164" s="3" t="s">
        <v>183</v>
      </c>
      <c r="C164" s="3" t="s">
        <v>180</v>
      </c>
      <c r="D164" s="80">
        <f>(3.05*5.25+1.2*1.01+2.45*2.75+3.05*2.78+1.75*0.6+3.05*3.25+1.7*0.6+1.35*2.25+2.45*1.35+4.5*0.9+(3.05+3.5+1.5))*10.764</f>
        <v>676.71653399999991</v>
      </c>
      <c r="E164" s="80"/>
      <c r="F164" s="3">
        <v>0</v>
      </c>
      <c r="G164" s="3">
        <f t="shared" ref="G164:G172" si="8">D164*(($G$148)+1)+(IF(F164&lt;101,F164,IF(F164&lt;201,F164/2,IF(F164&lt;=301,F164/3,F164/4))))</f>
        <v>1015.0748009999999</v>
      </c>
      <c r="H164" s="3" t="s">
        <v>86</v>
      </c>
      <c r="I164" s="83"/>
      <c r="J164" s="84"/>
      <c r="L164" s="52">
        <f>13000000/685</f>
        <v>18978.102189781021</v>
      </c>
    </row>
    <row r="165" spans="1:12" s="2" customFormat="1" x14ac:dyDescent="0.25">
      <c r="A165" s="3">
        <f t="shared" si="7"/>
        <v>3</v>
      </c>
      <c r="B165" s="3" t="s">
        <v>183</v>
      </c>
      <c r="C165" s="3" t="s">
        <v>180</v>
      </c>
      <c r="D165" s="80">
        <f>(3.05*5.25+1.2*1.01+2.45*2.75+3.05*2.78+1.75*0.6+3.13*3.28+1.7*0.6+1.35*2.25+2.45*1.35+4.5*0.9+(3.05+3.5+1.5))*10.764</f>
        <v>680.52591359999985</v>
      </c>
      <c r="E165" s="80"/>
      <c r="F165" s="3">
        <v>0</v>
      </c>
      <c r="G165" s="3">
        <f t="shared" si="8"/>
        <v>1020.7888703999997</v>
      </c>
      <c r="H165" s="3" t="s">
        <v>86</v>
      </c>
      <c r="I165" s="83"/>
      <c r="J165" s="84"/>
      <c r="L165" s="52">
        <f>9000000/560</f>
        <v>16071.428571428571</v>
      </c>
    </row>
    <row r="166" spans="1:12" s="2" customFormat="1" x14ac:dyDescent="0.25">
      <c r="A166" s="3">
        <f t="shared" si="7"/>
        <v>4</v>
      </c>
      <c r="B166" s="3" t="s">
        <v>183</v>
      </c>
      <c r="C166" s="3" t="s">
        <v>178</v>
      </c>
      <c r="D166" s="80">
        <f>(3.05*5.25+1.2*1.08+2.45*2.78+3.13*2.78+1.75*0.6+3.05*3.28+2.63*3.45+1.28*2.28+1.35*2.28+4.5*0.9+(3.05+3.5+3.28*1.35))*10.764</f>
        <v>796.24321919999988</v>
      </c>
      <c r="E166" s="80"/>
      <c r="F166" s="3">
        <v>0</v>
      </c>
      <c r="G166" s="3">
        <f t="shared" si="8"/>
        <v>1194.3648287999999</v>
      </c>
      <c r="H166" s="3" t="s">
        <v>86</v>
      </c>
      <c r="I166" s="83"/>
      <c r="J166" s="84"/>
      <c r="L166" s="52">
        <f>9000000/540</f>
        <v>16666.666666666668</v>
      </c>
    </row>
    <row r="167" spans="1:12" s="2" customFormat="1" x14ac:dyDescent="0.25">
      <c r="A167" s="3">
        <f t="shared" si="7"/>
        <v>5</v>
      </c>
      <c r="B167" s="3" t="s">
        <v>183</v>
      </c>
      <c r="C167" s="3" t="s">
        <v>180</v>
      </c>
      <c r="D167" s="80">
        <f>(3.05*4.6+1.04*1.47+2.37*2.35+3.18*2.78+1.27*0.6+3.38*2.87+2.37*0.85+2.13*1.37+1.4*2.18+1.22*2.35+0.9*0.85+(3.05+3.6+2.35+2.4))*10.764</f>
        <v>682.95319559999996</v>
      </c>
      <c r="E167" s="80"/>
      <c r="F167" s="3">
        <v>0</v>
      </c>
      <c r="G167" s="3">
        <f t="shared" si="8"/>
        <v>1024.4297933999999</v>
      </c>
      <c r="H167" s="3" t="s">
        <v>86</v>
      </c>
      <c r="I167" s="83"/>
      <c r="J167" s="84"/>
      <c r="L167" s="64">
        <f>AVERAGE(L161:L166)</f>
        <v>18484.235851286794</v>
      </c>
    </row>
    <row r="168" spans="1:12" s="2" customFormat="1" x14ac:dyDescent="0.25">
      <c r="A168" s="3">
        <f t="shared" si="7"/>
        <v>6</v>
      </c>
      <c r="B168" s="3" t="s">
        <v>183</v>
      </c>
      <c r="C168" s="3" t="s">
        <v>180</v>
      </c>
      <c r="D168" s="80">
        <f>(3.05*4.63+2.59*2.46+1.63*1.45+2.79*3.4+2.74*3.4+3*1.35+1.35*2.36+1.47*1.01+3.5*0.9+(3.05+2.79+2.74))*10.764</f>
        <v>668.54235239999991</v>
      </c>
      <c r="E168" s="80"/>
      <c r="F168" s="3">
        <v>0</v>
      </c>
      <c r="G168" s="3">
        <f t="shared" si="8"/>
        <v>1002.8135285999999</v>
      </c>
      <c r="H168" s="3" t="s">
        <v>86</v>
      </c>
      <c r="I168" s="83"/>
      <c r="J168" s="84"/>
    </row>
    <row r="169" spans="1:12" s="2" customFormat="1" ht="15.75" customHeight="1" x14ac:dyDescent="0.25">
      <c r="A169" s="3">
        <f t="shared" si="7"/>
        <v>7</v>
      </c>
      <c r="B169" s="3" t="s">
        <v>183</v>
      </c>
      <c r="C169" s="3" t="s">
        <v>180</v>
      </c>
      <c r="D169" s="80">
        <f>(3.05*5.25+1.25*0.98+2.45*2.78+3.05*2.78+1.75*0.6+3.38*3.25+1.35*2.25+2.25*1.38+4.6*0.9+0.6*1.4+(3.05+3.7+1.7))*10.764</f>
        <v>690.34914000000003</v>
      </c>
      <c r="E169" s="80"/>
      <c r="F169" s="3">
        <v>0</v>
      </c>
      <c r="G169" s="3">
        <f t="shared" si="8"/>
        <v>1035.5237099999999</v>
      </c>
      <c r="H169" s="3" t="s">
        <v>86</v>
      </c>
      <c r="I169" s="83"/>
      <c r="J169" s="84"/>
    </row>
    <row r="170" spans="1:12" s="2" customFormat="1" ht="15.6" customHeight="1" x14ac:dyDescent="0.25">
      <c r="A170" s="3">
        <f t="shared" si="7"/>
        <v>8</v>
      </c>
      <c r="B170" s="107" t="s">
        <v>181</v>
      </c>
      <c r="C170" s="108"/>
      <c r="D170" s="108"/>
      <c r="E170" s="108"/>
      <c r="F170" s="108"/>
      <c r="G170" s="108"/>
      <c r="H170" s="109"/>
      <c r="I170" s="83"/>
      <c r="J170" s="84"/>
    </row>
    <row r="171" spans="1:12" s="2" customFormat="1" x14ac:dyDescent="0.25">
      <c r="A171" s="3">
        <f t="shared" si="7"/>
        <v>9</v>
      </c>
      <c r="B171" s="3" t="s">
        <v>183</v>
      </c>
      <c r="C171" s="3" t="s">
        <v>180</v>
      </c>
      <c r="D171" s="80">
        <f>(3.05*4.63+1.63*1.45+2.79*3.4+2.74*3.4+3*1.35+1.35*2.36+1.47*1.01+3.5*0.9+(3.05+2.79+2.74))*10.764</f>
        <v>599.96060279999995</v>
      </c>
      <c r="E171" s="80"/>
      <c r="F171" s="3">
        <v>0</v>
      </c>
      <c r="G171" s="3">
        <f t="shared" si="8"/>
        <v>899.94090419999998</v>
      </c>
      <c r="H171" s="3" t="s">
        <v>86</v>
      </c>
      <c r="I171" s="83"/>
      <c r="J171" s="84"/>
    </row>
    <row r="172" spans="1:12" s="2" customFormat="1" x14ac:dyDescent="0.25">
      <c r="A172" s="3">
        <f t="shared" si="7"/>
        <v>10</v>
      </c>
      <c r="B172" s="3" t="s">
        <v>183</v>
      </c>
      <c r="C172" s="3" t="s">
        <v>178</v>
      </c>
      <c r="D172" s="80">
        <f>(3.05*4.63+1.95*1.33+2.5*2.75+1.85*0.6+2.75*3.08+1.38*0.6+2.75*3.08+1.75*0.6+3.35*3.65+2.1*0.6+2.28*1.35+2.25*1.35+1.44*2.28+1.27*2.35+5.1*0.9+(2.5*0.63+3.05+3+3+1))*10.764</f>
        <v>921.43822679999994</v>
      </c>
      <c r="E172" s="80"/>
      <c r="F172" s="3">
        <v>0</v>
      </c>
      <c r="G172" s="3">
        <f t="shared" si="8"/>
        <v>1382.1573401999999</v>
      </c>
      <c r="H172" s="3" t="s">
        <v>86</v>
      </c>
      <c r="I172" s="85"/>
      <c r="J172" s="86"/>
    </row>
    <row r="173" spans="1:12" s="2" customFormat="1" x14ac:dyDescent="0.25">
      <c r="A173" s="87" t="s">
        <v>288</v>
      </c>
      <c r="B173" s="88"/>
      <c r="C173" s="88"/>
      <c r="D173" s="88"/>
      <c r="E173" s="88"/>
      <c r="F173" s="88"/>
      <c r="G173" s="88"/>
      <c r="H173" s="88"/>
      <c r="I173" s="88"/>
      <c r="J173" s="89"/>
    </row>
    <row r="174" spans="1:12" s="2" customFormat="1" x14ac:dyDescent="0.25">
      <c r="A174" s="3">
        <v>1</v>
      </c>
      <c r="B174" s="3" t="s">
        <v>183</v>
      </c>
      <c r="C174" s="3" t="s">
        <v>180</v>
      </c>
      <c r="D174" s="80">
        <f>(3.05*5.68+1.13*0.58+2.8*2.45+3*3.48+2.85*3.48+1.35*2.18+1.4*2.15+1.5*0.9+3.3*0.9+(5.3+3.05*1.5))*10.764</f>
        <v>703.37788559999979</v>
      </c>
      <c r="E174" s="80"/>
      <c r="F174" s="3">
        <v>0</v>
      </c>
      <c r="G174" s="3">
        <f t="shared" ref="G174:G183" si="9">D174*(($G$148)+1)+(IF(F174&lt;101,F174,IF(F174&lt;201,F174/2,IF(F174&lt;=301,F174/3,F174/4))))</f>
        <v>1055.0668283999996</v>
      </c>
      <c r="H174" s="3" t="s">
        <v>86</v>
      </c>
      <c r="I174" s="81" t="str">
        <f>A173</f>
        <v>16th, 17th, 19th to 22nd, 24th to 27th, 29th to 32nd, 34th Floor</v>
      </c>
      <c r="J174" s="82"/>
    </row>
    <row r="175" spans="1:12" s="2" customFormat="1" x14ac:dyDescent="0.25">
      <c r="A175" s="3">
        <f t="shared" ref="A175:A183" si="10">A174+1</f>
        <v>2</v>
      </c>
      <c r="B175" s="3" t="s">
        <v>183</v>
      </c>
      <c r="C175" s="3" t="s">
        <v>180</v>
      </c>
      <c r="D175" s="80">
        <f>(3.05*5.25+1.2*1.01+2.45*2.75+3.05*2.78+1.75*0.6+3.05*3.25+1.7*0.6+1.35*2.25+2.45*1.35+4.5*0.9+(3.05*1.5+3.5+1.5))*10.764</f>
        <v>693.13163399999996</v>
      </c>
      <c r="E175" s="80"/>
      <c r="F175" s="3">
        <v>0</v>
      </c>
      <c r="G175" s="3">
        <f t="shared" si="9"/>
        <v>1039.697451</v>
      </c>
      <c r="H175" s="3" t="s">
        <v>86</v>
      </c>
      <c r="I175" s="83"/>
      <c r="J175" s="84"/>
    </row>
    <row r="176" spans="1:12" s="2" customFormat="1" ht="15.75" customHeight="1" x14ac:dyDescent="0.25">
      <c r="A176" s="3">
        <f t="shared" si="10"/>
        <v>3</v>
      </c>
      <c r="B176" s="3" t="s">
        <v>183</v>
      </c>
      <c r="C176" s="3" t="s">
        <v>180</v>
      </c>
      <c r="D176" s="80">
        <f>(3.05*5.25+1.2*1.01+2.45*2.75+3.05*2.78+1.75*0.6+3.13*3.28+1.7*0.6+1.35*2.25+2.45*1.35+4.5*0.9+(3.05*1.5+3.5+1.5))*10.764</f>
        <v>696.94101359999991</v>
      </c>
      <c r="E176" s="80"/>
      <c r="F176" s="3">
        <v>0</v>
      </c>
      <c r="G176" s="3">
        <f t="shared" si="9"/>
        <v>1045.4115204</v>
      </c>
      <c r="H176" s="3" t="s">
        <v>86</v>
      </c>
      <c r="I176" s="83"/>
      <c r="J176" s="84"/>
    </row>
    <row r="177" spans="1:10" s="2" customFormat="1" x14ac:dyDescent="0.25">
      <c r="A177" s="3">
        <f t="shared" si="10"/>
        <v>4</v>
      </c>
      <c r="B177" s="3" t="s">
        <v>183</v>
      </c>
      <c r="C177" s="3" t="s">
        <v>178</v>
      </c>
      <c r="D177" s="80">
        <f>(3.05*5.25+1.2*1.08+2.45*2.78+3.13*2.78+1.75*0.6+3.05*3.28+2.63*3.45+1.28*2.28+1.35*2.28+4.5*0.9+(3.05*1.5+3.5+3.28*1.35))*10.764</f>
        <v>812.65831919999982</v>
      </c>
      <c r="E177" s="80"/>
      <c r="F177" s="3">
        <v>0</v>
      </c>
      <c r="G177" s="3">
        <f t="shared" si="9"/>
        <v>1218.9874787999997</v>
      </c>
      <c r="H177" s="3" t="s">
        <v>86</v>
      </c>
      <c r="I177" s="83"/>
      <c r="J177" s="84"/>
    </row>
    <row r="178" spans="1:10" s="2" customFormat="1" x14ac:dyDescent="0.25">
      <c r="A178" s="3">
        <f t="shared" si="10"/>
        <v>5</v>
      </c>
      <c r="B178" s="3" t="s">
        <v>183</v>
      </c>
      <c r="C178" s="3" t="s">
        <v>180</v>
      </c>
      <c r="D178" s="80">
        <f>(3.05*4.6+1.04*1.47+2.37*2.35+3.18*2.78+1.27*0.6+3.38*2.87+2.37*0.85+2.13*1.37+1.4*2.18+1.22*2.35+0.9*0.85+(3.05*1.5+3.6+2.35+2.4))*10.764</f>
        <v>699.3682955999999</v>
      </c>
      <c r="E178" s="80"/>
      <c r="F178" s="3">
        <v>0</v>
      </c>
      <c r="G178" s="3">
        <f t="shared" si="9"/>
        <v>1049.0524433999999</v>
      </c>
      <c r="H178" s="3" t="s">
        <v>86</v>
      </c>
      <c r="I178" s="83"/>
      <c r="J178" s="84"/>
    </row>
    <row r="179" spans="1:10" s="2" customFormat="1" ht="15.75" customHeight="1" x14ac:dyDescent="0.25">
      <c r="A179" s="3">
        <f t="shared" si="10"/>
        <v>6</v>
      </c>
      <c r="B179" s="3" t="s">
        <v>183</v>
      </c>
      <c r="C179" s="3" t="s">
        <v>180</v>
      </c>
      <c r="D179" s="80">
        <f>(3.05*4.63+2.59*2.46+1.63*1.45+2.79*3.4+2.74*3.4+3*1.35+1.35*2.36+1.47*1.01+3.5*0.9+(3.05*1.5+2.79+2.74))*10.764</f>
        <v>684.95745239999985</v>
      </c>
      <c r="E179" s="80"/>
      <c r="F179" s="3">
        <v>0</v>
      </c>
      <c r="G179" s="3">
        <f t="shared" si="9"/>
        <v>1027.4361785999997</v>
      </c>
      <c r="H179" s="3" t="s">
        <v>86</v>
      </c>
      <c r="I179" s="83"/>
      <c r="J179" s="84"/>
    </row>
    <row r="180" spans="1:10" s="2" customFormat="1" x14ac:dyDescent="0.25">
      <c r="A180" s="3">
        <f t="shared" si="10"/>
        <v>7</v>
      </c>
      <c r="B180" s="3" t="s">
        <v>183</v>
      </c>
      <c r="C180" s="3" t="s">
        <v>180</v>
      </c>
      <c r="D180" s="80">
        <f>(3.05*5.25+1.25*0.98+2.45*2.78+3.05*2.78+1.75*0.6+3.38*3.25+1.35*2.25+2.25*1.38+4.6*0.9+0.6*1.4+(3.05*1.5+3.7+1.7))*10.764</f>
        <v>706.76423999999997</v>
      </c>
      <c r="E180" s="80"/>
      <c r="F180" s="3">
        <v>0</v>
      </c>
      <c r="G180" s="3">
        <f t="shared" si="9"/>
        <v>1060.14636</v>
      </c>
      <c r="H180" s="3" t="s">
        <v>86</v>
      </c>
      <c r="I180" s="83"/>
      <c r="J180" s="84"/>
    </row>
    <row r="181" spans="1:10" s="2" customFormat="1" x14ac:dyDescent="0.25">
      <c r="A181" s="3">
        <f t="shared" si="10"/>
        <v>8</v>
      </c>
      <c r="B181" s="3" t="s">
        <v>183</v>
      </c>
      <c r="C181" s="3" t="s">
        <v>180</v>
      </c>
      <c r="D181" s="80">
        <f>(3.05*2.88+3.55*2.38+1.25*0.98+2.45*2.78+3.05*2.78+1.75*0.6+3.38*3.25+1.35*2.25+2.25*1.38+4.2*0.9+(3.05*1.5+3.7+1.7))*10.764</f>
        <v>706.98490199999992</v>
      </c>
      <c r="E181" s="80"/>
      <c r="F181" s="3">
        <v>0</v>
      </c>
      <c r="G181" s="3">
        <f t="shared" si="9"/>
        <v>1060.4773529999998</v>
      </c>
      <c r="H181" s="3" t="s">
        <v>86</v>
      </c>
      <c r="I181" s="83"/>
      <c r="J181" s="84"/>
    </row>
    <row r="182" spans="1:10" s="2" customFormat="1" x14ac:dyDescent="0.25">
      <c r="A182" s="3">
        <f t="shared" si="10"/>
        <v>9</v>
      </c>
      <c r="B182" s="3" t="s">
        <v>183</v>
      </c>
      <c r="C182" s="3" t="s">
        <v>180</v>
      </c>
      <c r="D182" s="80">
        <f>(3.05*4.63+1.63*1.45+2.79*3.4+2.74*3.4+3*1.35+1.35*2.36+1.47*1.01+3.5*0.9+(3.05*1.5+2.79+2.74))*10.764</f>
        <v>616.37570279999989</v>
      </c>
      <c r="E182" s="80"/>
      <c r="F182" s="3">
        <v>0</v>
      </c>
      <c r="G182" s="3">
        <f t="shared" si="9"/>
        <v>924.56355419999977</v>
      </c>
      <c r="H182" s="3" t="s">
        <v>86</v>
      </c>
      <c r="I182" s="83"/>
      <c r="J182" s="84"/>
    </row>
    <row r="183" spans="1:10" s="2" customFormat="1" x14ac:dyDescent="0.25">
      <c r="A183" s="3">
        <f t="shared" si="10"/>
        <v>10</v>
      </c>
      <c r="B183" s="3" t="s">
        <v>183</v>
      </c>
      <c r="C183" s="3" t="s">
        <v>178</v>
      </c>
      <c r="D183" s="80">
        <f>(3.05*4.63+1.95*1.33+2.5*2.75+1.85*0.6+2.75*3.08+1.38*0.6+2.75*3.08+1.75*0.6+3.35*3.65+2.1*0.6+2.28*1.35+2.25*1.35+1.44*2.28+1.27*2.35+5.1*0.9+(2.5*0.63+3.05*1.5+3+3+1))*10.764</f>
        <v>937.85332679999999</v>
      </c>
      <c r="E183" s="80"/>
      <c r="F183" s="3">
        <v>0</v>
      </c>
      <c r="G183" s="3">
        <f t="shared" si="9"/>
        <v>1406.7799901999999</v>
      </c>
      <c r="H183" s="3" t="s">
        <v>86</v>
      </c>
      <c r="I183" s="85"/>
      <c r="J183" s="86"/>
    </row>
    <row r="184" spans="1:10" s="2" customFormat="1" x14ac:dyDescent="0.25">
      <c r="A184" s="77" t="s">
        <v>289</v>
      </c>
      <c r="B184" s="78"/>
      <c r="C184" s="78"/>
      <c r="D184" s="78"/>
      <c r="E184" s="78"/>
      <c r="F184" s="78"/>
      <c r="G184" s="78"/>
      <c r="H184" s="78"/>
      <c r="I184" s="78"/>
      <c r="J184" s="79"/>
    </row>
    <row r="185" spans="1:10" s="2" customFormat="1" x14ac:dyDescent="0.25">
      <c r="A185" s="3">
        <v>1</v>
      </c>
      <c r="B185" s="3" t="s">
        <v>183</v>
      </c>
      <c r="C185" s="3" t="s">
        <v>180</v>
      </c>
      <c r="D185" s="80">
        <f>(3.05*5.68+1.13*0.58+2.8*2.45+3*3.48+2.85*3.48+1.35*2.18+1.4*2.15+1.5*0.9+3.3*0.9+(5.3+3.05*1.5))*10.764</f>
        <v>703.37788559999979</v>
      </c>
      <c r="E185" s="80"/>
      <c r="F185" s="3">
        <v>0</v>
      </c>
      <c r="G185" s="3">
        <f t="shared" ref="G185:G191" si="11">D185*(($G$148)+1)+(IF(F185&lt;101,F185,IF(F185&lt;201,F185/2,IF(F185&lt;=301,F185/3,F185/4))))</f>
        <v>1055.0668283999996</v>
      </c>
      <c r="H185" s="3" t="s">
        <v>86</v>
      </c>
      <c r="I185" s="81" t="str">
        <f>A184</f>
        <v>18th, 23rd, 28th, 33rd Floor (Part Refuge Area)</v>
      </c>
      <c r="J185" s="82"/>
    </row>
    <row r="186" spans="1:10" s="2" customFormat="1" x14ac:dyDescent="0.25">
      <c r="A186" s="3">
        <f t="shared" ref="A186:A194" si="12">A185+1</f>
        <v>2</v>
      </c>
      <c r="B186" s="3" t="s">
        <v>183</v>
      </c>
      <c r="C186" s="3" t="s">
        <v>180</v>
      </c>
      <c r="D186" s="80">
        <f>(3.05*5.25+1.2*1.01+2.45*2.75+3.05*2.78+1.75*0.6+3.05*3.25+1.7*0.6+1.35*2.25+2.45*1.35+4.5*0.9+(3.05*1.5+3.5+1.5))*10.764</f>
        <v>693.13163399999996</v>
      </c>
      <c r="E186" s="80"/>
      <c r="F186" s="3">
        <v>0</v>
      </c>
      <c r="G186" s="3">
        <f t="shared" si="11"/>
        <v>1039.697451</v>
      </c>
      <c r="H186" s="3" t="s">
        <v>86</v>
      </c>
      <c r="I186" s="83"/>
      <c r="J186" s="84"/>
    </row>
    <row r="187" spans="1:10" s="2" customFormat="1" x14ac:dyDescent="0.25">
      <c r="A187" s="3">
        <f t="shared" si="12"/>
        <v>3</v>
      </c>
      <c r="B187" s="3" t="s">
        <v>183</v>
      </c>
      <c r="C187" s="3" t="s">
        <v>180</v>
      </c>
      <c r="D187" s="80">
        <f>(3.05*5.25+1.2*1.01+2.45*2.75+3.05*2.78+1.75*0.6+3.13*3.28+1.7*0.6+1.35*2.25+2.45*1.35+4.5*0.9+(3.05*1.5+3.5+1.5))*10.764</f>
        <v>696.94101359999991</v>
      </c>
      <c r="E187" s="80"/>
      <c r="F187" s="3">
        <v>0</v>
      </c>
      <c r="G187" s="3">
        <f t="shared" si="11"/>
        <v>1045.4115204</v>
      </c>
      <c r="H187" s="3" t="s">
        <v>86</v>
      </c>
      <c r="I187" s="83"/>
      <c r="J187" s="84"/>
    </row>
    <row r="188" spans="1:10" s="2" customFormat="1" x14ac:dyDescent="0.25">
      <c r="A188" s="3">
        <f t="shared" si="12"/>
        <v>4</v>
      </c>
      <c r="B188" s="3" t="s">
        <v>183</v>
      </c>
      <c r="C188" s="3" t="s">
        <v>178</v>
      </c>
      <c r="D188" s="80">
        <f>(3.05*5.25+1.2*1.08+2.45*2.78+3.13*2.78+1.75*0.6+3.05*3.28+2.63*3.45+1.28*2.28+1.35*2.28+4.5*0.9+(3.05*1.5+3.5+3.28*1.35))*10.764</f>
        <v>812.65831919999982</v>
      </c>
      <c r="E188" s="80"/>
      <c r="F188" s="3">
        <v>0</v>
      </c>
      <c r="G188" s="3">
        <f t="shared" si="11"/>
        <v>1218.9874787999997</v>
      </c>
      <c r="H188" s="3" t="s">
        <v>86</v>
      </c>
      <c r="I188" s="83"/>
      <c r="J188" s="84"/>
    </row>
    <row r="189" spans="1:10" s="2" customFormat="1" ht="15.75" customHeight="1" x14ac:dyDescent="0.25">
      <c r="A189" s="3">
        <f t="shared" si="12"/>
        <v>5</v>
      </c>
      <c r="B189" s="3" t="s">
        <v>183</v>
      </c>
      <c r="C189" s="3" t="s">
        <v>180</v>
      </c>
      <c r="D189" s="80">
        <f>(3.05*4.6+1.04*1.47+2.37*2.35+3.18*2.78+1.27*0.6+3.38*2.87+2.37*0.85+2.13*1.37+1.4*2.18+1.22*2.35+0.9*0.85+(3.05*1.5+3.6+2.35+2.4))*10.764</f>
        <v>699.3682955999999</v>
      </c>
      <c r="E189" s="80"/>
      <c r="F189" s="3">
        <v>0</v>
      </c>
      <c r="G189" s="3">
        <f t="shared" si="11"/>
        <v>1049.0524433999999</v>
      </c>
      <c r="H189" s="3" t="s">
        <v>86</v>
      </c>
      <c r="I189" s="83"/>
      <c r="J189" s="84"/>
    </row>
    <row r="190" spans="1:10" s="2" customFormat="1" ht="15.75" customHeight="1" x14ac:dyDescent="0.25">
      <c r="A190" s="3">
        <f t="shared" si="12"/>
        <v>6</v>
      </c>
      <c r="B190" s="3" t="s">
        <v>183</v>
      </c>
      <c r="C190" s="3" t="s">
        <v>180</v>
      </c>
      <c r="D190" s="80">
        <f>(3.05*4.63+2.59*2.46+1.63*1.45+2.79*3.4+2.74*3.4+3*1.35+1.35*2.36+1.47*1.01+3.5*0.9+(3.05*1.5+2.79+2.74))*10.764</f>
        <v>684.95745239999985</v>
      </c>
      <c r="E190" s="80"/>
      <c r="F190" s="3">
        <v>0</v>
      </c>
      <c r="G190" s="3">
        <f t="shared" si="11"/>
        <v>1027.4361785999997</v>
      </c>
      <c r="H190" s="3" t="s">
        <v>86</v>
      </c>
      <c r="I190" s="83"/>
      <c r="J190" s="84"/>
    </row>
    <row r="191" spans="1:10" s="2" customFormat="1" x14ac:dyDescent="0.25">
      <c r="A191" s="3">
        <f t="shared" si="12"/>
        <v>7</v>
      </c>
      <c r="B191" s="3" t="s">
        <v>183</v>
      </c>
      <c r="C191" s="3" t="s">
        <v>180</v>
      </c>
      <c r="D191" s="80">
        <f>(3.05*5.25+1.25*0.98+2.45*2.78+3.05*2.78+1.75*0.6+3.38*3.25+1.35*2.25+2.25*1.38+4.6*0.9+0.6*1.4+(3.05*1.5+3.7+1.7))*10.764</f>
        <v>706.76423999999997</v>
      </c>
      <c r="E191" s="80"/>
      <c r="F191" s="3">
        <v>0</v>
      </c>
      <c r="G191" s="3">
        <f t="shared" si="11"/>
        <v>1060.14636</v>
      </c>
      <c r="H191" s="3" t="s">
        <v>86</v>
      </c>
      <c r="I191" s="83"/>
      <c r="J191" s="84"/>
    </row>
    <row r="192" spans="1:10" s="2" customFormat="1" x14ac:dyDescent="0.25">
      <c r="A192" s="3">
        <f t="shared" si="12"/>
        <v>8</v>
      </c>
      <c r="B192" s="107" t="s">
        <v>181</v>
      </c>
      <c r="C192" s="108"/>
      <c r="D192" s="108"/>
      <c r="E192" s="108"/>
      <c r="F192" s="108"/>
      <c r="G192" s="108"/>
      <c r="H192" s="109"/>
      <c r="I192" s="83"/>
      <c r="J192" s="84"/>
    </row>
    <row r="193" spans="1:14" s="2" customFormat="1" x14ac:dyDescent="0.25">
      <c r="A193" s="3">
        <f t="shared" si="12"/>
        <v>9</v>
      </c>
      <c r="B193" s="3" t="s">
        <v>183</v>
      </c>
      <c r="C193" s="3" t="s">
        <v>180</v>
      </c>
      <c r="D193" s="80">
        <f>(3.05*4.63+1.63*1.45+2.79*3.4+2.74*3.4+3*1.35+1.35*2.36+1.47*1.01+3.5*0.9+(3.05*1.5+2.79+2.74))*10.764</f>
        <v>616.37570279999989</v>
      </c>
      <c r="E193" s="80"/>
      <c r="F193" s="3">
        <v>0</v>
      </c>
      <c r="G193" s="3">
        <f>D193*(($G$148)+1)+(IF(F193&lt;101,F193,IF(F193&lt;201,F193/2,IF(F193&lt;=301,F193/3,F193/4))))</f>
        <v>924.56355419999977</v>
      </c>
      <c r="H193" s="3" t="s">
        <v>86</v>
      </c>
      <c r="I193" s="83"/>
      <c r="J193" s="84"/>
    </row>
    <row r="194" spans="1:14" s="2" customFormat="1" x14ac:dyDescent="0.25">
      <c r="A194" s="3">
        <f t="shared" si="12"/>
        <v>10</v>
      </c>
      <c r="B194" s="3" t="s">
        <v>183</v>
      </c>
      <c r="C194" s="3" t="s">
        <v>178</v>
      </c>
      <c r="D194" s="80">
        <f>(3.05*4.63+1.95*1.33+2.5*2.75+1.85*0.6+2.75*3.08+1.38*0.6+2.75*3.08+1.75*0.6+3.35*3.65+2.1*0.6+2.28*1.35+2.25*1.35+1.44*2.28+1.27*2.35+5.1*0.9+(2.5*0.63+3.05*1.5+3+3+1))*10.764</f>
        <v>937.85332679999999</v>
      </c>
      <c r="E194" s="80"/>
      <c r="F194" s="3">
        <v>0</v>
      </c>
      <c r="G194" s="3">
        <f>D194*(($G$148)+1)+(IF(F194&lt;101,F194,IF(F194&lt;201,F194/2,IF(F194&lt;=301,F194/3,F194/4))))</f>
        <v>1406.7799901999999</v>
      </c>
      <c r="H194" s="3" t="s">
        <v>86</v>
      </c>
      <c r="I194" s="85"/>
      <c r="J194" s="86"/>
    </row>
    <row r="195" spans="1:14" s="2" customFormat="1" x14ac:dyDescent="0.25">
      <c r="A195" s="77" t="s">
        <v>290</v>
      </c>
      <c r="B195" s="78"/>
      <c r="C195" s="78"/>
      <c r="D195" s="78"/>
      <c r="E195" s="78"/>
      <c r="F195" s="78"/>
      <c r="G195" s="78"/>
      <c r="H195" s="78"/>
      <c r="I195" s="78"/>
      <c r="J195" s="79"/>
    </row>
    <row r="196" spans="1:14" s="2" customFormat="1" x14ac:dyDescent="0.25">
      <c r="A196" s="3">
        <v>1</v>
      </c>
      <c r="B196" s="3" t="s">
        <v>183</v>
      </c>
      <c r="C196" s="3" t="s">
        <v>180</v>
      </c>
      <c r="D196" s="80">
        <f>(3.05*5.68+1.13*0.58+2.8*2.45+3*3.48+2.85*3.48+1.35*2.18+1.4*2.15+1.5*0.9+3.3*0.9+(5.3*1.5+3.05*1.5))*10.764</f>
        <v>731.90248559999986</v>
      </c>
      <c r="E196" s="80"/>
      <c r="F196" s="3">
        <v>0</v>
      </c>
      <c r="G196" s="3">
        <f t="shared" ref="G196:G205" si="13">D196*(($G$148)+1)+(IF(F196&lt;101,F196,IF(F196&lt;201,F196/2,IF(F196&lt;=301,F196/3,F196/4))))</f>
        <v>1097.8537283999999</v>
      </c>
      <c r="H196" s="3" t="s">
        <v>86</v>
      </c>
      <c r="I196" s="81" t="str">
        <f>A195</f>
        <v>35th to 37th &amp; 39th to 42nd Floor</v>
      </c>
      <c r="J196" s="82"/>
    </row>
    <row r="197" spans="1:14" s="2" customFormat="1" x14ac:dyDescent="0.25">
      <c r="A197" s="3">
        <f t="shared" ref="A197:A205" si="14">A196+1</f>
        <v>2</v>
      </c>
      <c r="B197" s="3" t="s">
        <v>183</v>
      </c>
      <c r="C197" s="3" t="s">
        <v>180</v>
      </c>
      <c r="D197" s="80">
        <f>(3.05*5.25+1.2*1.01+2.45*2.75+3.05*2.78+1.75*0.6+3.05*3.25+1.7*0.6+1.35*2.25+2.45*1.35+4.5*0.9+(3.05*1.5+3.5*1.5+1.5*1.5))*10.764</f>
        <v>720.04163400000004</v>
      </c>
      <c r="E197" s="80"/>
      <c r="F197" s="3">
        <v>0</v>
      </c>
      <c r="G197" s="3">
        <f t="shared" si="13"/>
        <v>1080.062451</v>
      </c>
      <c r="H197" s="3" t="s">
        <v>86</v>
      </c>
      <c r="I197" s="83"/>
      <c r="J197" s="84"/>
    </row>
    <row r="198" spans="1:14" s="2" customFormat="1" x14ac:dyDescent="0.25">
      <c r="A198" s="3">
        <f t="shared" si="14"/>
        <v>3</v>
      </c>
      <c r="B198" s="3" t="s">
        <v>183</v>
      </c>
      <c r="C198" s="3" t="s">
        <v>180</v>
      </c>
      <c r="D198" s="80">
        <f>(3.05*5.25+1.2*1.01+2.45*2.75+3.05*2.78+1.75*0.6+3.13*3.28+1.7*0.6+1.35*2.25+2.45*1.35+4.5*0.9+(3.05*1.5+3.5*1.5))*10.764</f>
        <v>699.63201359999994</v>
      </c>
      <c r="E198" s="80"/>
      <c r="F198" s="3">
        <v>0</v>
      </c>
      <c r="G198" s="3">
        <f t="shared" si="13"/>
        <v>1049.4480203999999</v>
      </c>
      <c r="H198" s="3" t="s">
        <v>86</v>
      </c>
      <c r="I198" s="83"/>
      <c r="J198" s="84"/>
    </row>
    <row r="199" spans="1:14" s="2" customFormat="1" ht="15.75" customHeight="1" x14ac:dyDescent="0.25">
      <c r="A199" s="3">
        <f t="shared" si="14"/>
        <v>4</v>
      </c>
      <c r="B199" s="3" t="s">
        <v>183</v>
      </c>
      <c r="C199" s="3" t="s">
        <v>178</v>
      </c>
      <c r="D199" s="80">
        <f>(3.05*5.25+1.2*1.08+2.45*2.78+3.13*2.78+1.75*0.6+3.05*3.28+2.63*3.45+1.28*2.28+1.35*2.28+4.5*0.9+(3.05*1.5+3.5*1.5+3.28*1.35))*10.764</f>
        <v>831.49531919999981</v>
      </c>
      <c r="E199" s="80"/>
      <c r="F199" s="3">
        <v>0</v>
      </c>
      <c r="G199" s="3">
        <f t="shared" si="13"/>
        <v>1247.2429787999997</v>
      </c>
      <c r="H199" s="3" t="s">
        <v>86</v>
      </c>
      <c r="I199" s="83"/>
      <c r="J199" s="84"/>
    </row>
    <row r="200" spans="1:14" s="2" customFormat="1" ht="15.75" customHeight="1" x14ac:dyDescent="0.25">
      <c r="A200" s="3">
        <f t="shared" si="14"/>
        <v>5</v>
      </c>
      <c r="B200" s="3" t="s">
        <v>183</v>
      </c>
      <c r="C200" s="3" t="s">
        <v>180</v>
      </c>
      <c r="D200" s="80">
        <f>(3.05*4.6+1.04*1.47+2.37*2.35+3.18*2.78+1.27*0.6+3.38*2.87+2.37*0.85+2.13*1.37+1.4*2.18+1.22*2.35+0.9*0.85+(3.05*1.5+3.6*1.5+2.35*1.5+2.4*1.5))*10.764</f>
        <v>744.30799559999991</v>
      </c>
      <c r="E200" s="80"/>
      <c r="F200" s="3">
        <v>0</v>
      </c>
      <c r="G200" s="3">
        <f t="shared" si="13"/>
        <v>1116.4619933999998</v>
      </c>
      <c r="H200" s="3" t="s">
        <v>86</v>
      </c>
      <c r="I200" s="83"/>
      <c r="J200" s="84"/>
    </row>
    <row r="201" spans="1:14" s="2" customFormat="1" x14ac:dyDescent="0.25">
      <c r="A201" s="3">
        <f t="shared" si="14"/>
        <v>6</v>
      </c>
      <c r="B201" s="3" t="s">
        <v>183</v>
      </c>
      <c r="C201" s="3" t="s">
        <v>180</v>
      </c>
      <c r="D201" s="80">
        <f>(3.05*4.63+2.59*2.46+1.63*1.45+2.79*3.4+2.74*3.4+3*1.35+1.35*2.36+1.47*1.01+3.5*0.9+(3.05*1.5+2.79*1.5+2.74*1.5))*10.764</f>
        <v>714.71991239999988</v>
      </c>
      <c r="E201" s="80"/>
      <c r="F201" s="3">
        <v>0</v>
      </c>
      <c r="G201" s="3">
        <f t="shared" si="13"/>
        <v>1072.0798685999998</v>
      </c>
      <c r="H201" s="3" t="s">
        <v>86</v>
      </c>
      <c r="I201" s="83"/>
      <c r="J201" s="84"/>
    </row>
    <row r="202" spans="1:14" s="2" customFormat="1" x14ac:dyDescent="0.25">
      <c r="A202" s="3">
        <f t="shared" si="14"/>
        <v>7</v>
      </c>
      <c r="B202" s="3" t="s">
        <v>183</v>
      </c>
      <c r="C202" s="3" t="s">
        <v>180</v>
      </c>
      <c r="D202" s="80">
        <f>(3.05*5.25+1.25*0.98+2.45*2.78+3.05*2.78+1.75*0.6+3.38*3.25+1.35*2.25+2.25*1.38+4.6*0.9+0.6*1.4+(3.05*1.5+3.7*1.5+1.7*1.5))*10.764</f>
        <v>735.8270399999999</v>
      </c>
      <c r="E202" s="80"/>
      <c r="F202" s="3">
        <v>0</v>
      </c>
      <c r="G202" s="3">
        <f t="shared" si="13"/>
        <v>1103.7405599999997</v>
      </c>
      <c r="H202" s="3" t="s">
        <v>86</v>
      </c>
      <c r="I202" s="83"/>
      <c r="J202" s="84"/>
    </row>
    <row r="203" spans="1:14" s="2" customFormat="1" x14ac:dyDescent="0.25">
      <c r="A203" s="3">
        <f t="shared" si="14"/>
        <v>8</v>
      </c>
      <c r="B203" s="3" t="s">
        <v>183</v>
      </c>
      <c r="C203" s="3" t="s">
        <v>180</v>
      </c>
      <c r="D203" s="80">
        <f>(3.05*2.88+3.55*2.38+1.25*0.98+2.45*2.78+3.05*2.78+1.75*0.6+3.38*3.25+1.35*2.25+2.25*1.38+4.2*0.9+(3.05*1.5+3.7*1.5+1.7*1.5))*10.764</f>
        <v>736.04770199999996</v>
      </c>
      <c r="E203" s="80"/>
      <c r="F203" s="3">
        <v>0</v>
      </c>
      <c r="G203" s="3">
        <f t="shared" si="13"/>
        <v>1104.071553</v>
      </c>
      <c r="H203" s="3" t="s">
        <v>86</v>
      </c>
      <c r="I203" s="83"/>
      <c r="J203" s="84"/>
    </row>
    <row r="204" spans="1:14" s="2" customFormat="1" x14ac:dyDescent="0.25">
      <c r="A204" s="3">
        <f t="shared" si="14"/>
        <v>9</v>
      </c>
      <c r="B204" s="3" t="s">
        <v>183</v>
      </c>
      <c r="C204" s="3" t="s">
        <v>180</v>
      </c>
      <c r="D204" s="80">
        <f>(3.05*4.63+1.63*1.45+2.79*3.4+2.74*3.4+3*1.35+1.35*2.36+1.47*1.01+3.5*0.9+(3.05*1.5+2.79*1.5+2.74*1.5))*10.764</f>
        <v>646.13816279999992</v>
      </c>
      <c r="E204" s="80"/>
      <c r="F204" s="3">
        <v>0</v>
      </c>
      <c r="G204" s="3">
        <f t="shared" si="13"/>
        <v>969.20724419999988</v>
      </c>
      <c r="H204" s="3" t="s">
        <v>86</v>
      </c>
      <c r="I204" s="83"/>
      <c r="J204" s="84"/>
    </row>
    <row r="205" spans="1:14" s="2" customFormat="1" x14ac:dyDescent="0.25">
      <c r="A205" s="3">
        <f t="shared" si="14"/>
        <v>10</v>
      </c>
      <c r="B205" s="3" t="s">
        <v>183</v>
      </c>
      <c r="C205" s="3" t="s">
        <v>178</v>
      </c>
      <c r="D205" s="80">
        <f>(3.05*4.63+1.95*1.33+2.5*2.75+1.85*0.6+2.75*3.08+1.38*0.6+2.75*3.08+1.75*0.6+3.35*3.65+2.1*0.6+2.28*1.35+2.25*1.35+1.44*2.28+1.27*2.35+5.1*0.9+(2.5*0.63+3.05*1.5+3*1.5+3*1.5+1*1.5))*10.764</f>
        <v>975.52732680000008</v>
      </c>
      <c r="E205" s="80"/>
      <c r="F205" s="3">
        <v>0</v>
      </c>
      <c r="G205" s="3">
        <f t="shared" si="13"/>
        <v>1463.2909902000001</v>
      </c>
      <c r="H205" s="3" t="s">
        <v>86</v>
      </c>
      <c r="I205" s="85"/>
      <c r="J205" s="86"/>
      <c r="M205" s="52"/>
      <c r="N205" s="52"/>
    </row>
    <row r="206" spans="1:14" s="2" customFormat="1" x14ac:dyDescent="0.25">
      <c r="A206" s="77" t="s">
        <v>291</v>
      </c>
      <c r="B206" s="78"/>
      <c r="C206" s="78"/>
      <c r="D206" s="78"/>
      <c r="E206" s="78"/>
      <c r="F206" s="78"/>
      <c r="G206" s="78"/>
      <c r="H206" s="78"/>
      <c r="I206" s="78"/>
      <c r="J206" s="79"/>
      <c r="M206" s="52"/>
    </row>
    <row r="207" spans="1:14" s="2" customFormat="1" x14ac:dyDescent="0.25">
      <c r="A207" s="3">
        <v>1</v>
      </c>
      <c r="B207" s="3" t="s">
        <v>183</v>
      </c>
      <c r="C207" s="3" t="s">
        <v>180</v>
      </c>
      <c r="D207" s="80">
        <f>(3.05*5.68+1.13*0.58+2.8*2.45+3*3.48+2.85*3.48+1.35*2.18+1.4*2.15+1.5*0.9+3.3*0.9+(5.3*1.5+3.05*1.5))*10.764</f>
        <v>731.90248559999986</v>
      </c>
      <c r="E207" s="80"/>
      <c r="F207" s="3">
        <v>0</v>
      </c>
      <c r="G207" s="3">
        <f t="shared" ref="G207:G213" si="15">D207*(($G$148)+1)+(IF(F207&lt;101,F207,IF(F207&lt;201,F207/2,IF(F207&lt;=301,F207/3,F207/4))))</f>
        <v>1097.8537283999999</v>
      </c>
      <c r="H207" s="3" t="s">
        <v>86</v>
      </c>
      <c r="I207" s="81" t="str">
        <f>A206</f>
        <v>38th Floor (Part Refuge Area)</v>
      </c>
      <c r="J207" s="82"/>
      <c r="M207" s="52" t="e">
        <f>13000000/#REF!</f>
        <v>#REF!</v>
      </c>
    </row>
    <row r="208" spans="1:14" s="2" customFormat="1" x14ac:dyDescent="0.25">
      <c r="A208" s="3">
        <f t="shared" ref="A208:A216" si="16">A207+1</f>
        <v>2</v>
      </c>
      <c r="B208" s="3" t="s">
        <v>183</v>
      </c>
      <c r="C208" s="3" t="s">
        <v>180</v>
      </c>
      <c r="D208" s="80">
        <f>(3.05*5.25+1.2*1.01+2.45*2.75+3.05*2.78+1.75*0.6+3.05*3.25+1.7*0.6+1.35*2.25+2.45*1.35+4.5*0.9+(3.05*1.5+3.5*1.5+1.5*1.5))*10.764</f>
        <v>720.04163400000004</v>
      </c>
      <c r="E208" s="80"/>
      <c r="F208" s="3">
        <v>0</v>
      </c>
      <c r="G208" s="3">
        <f t="shared" si="15"/>
        <v>1080.062451</v>
      </c>
      <c r="H208" s="3" t="s">
        <v>86</v>
      </c>
      <c r="I208" s="83"/>
      <c r="J208" s="84"/>
      <c r="M208" s="52" t="e">
        <f>9000000/#REF!</f>
        <v>#REF!</v>
      </c>
      <c r="N208" s="52"/>
    </row>
    <row r="209" spans="1:14" s="2" customFormat="1" x14ac:dyDescent="0.25">
      <c r="A209" s="3">
        <f t="shared" si="16"/>
        <v>3</v>
      </c>
      <c r="B209" s="3" t="s">
        <v>183</v>
      </c>
      <c r="C209" s="3" t="s">
        <v>180</v>
      </c>
      <c r="D209" s="80">
        <f>(3.05*5.25+1.2*1.01+2.45*2.75+3.05*2.78+1.75*0.6+3.13*3.28+1.7*0.6+1.35*2.25+2.45*1.35+4.5*0.9+(3.05*1.5+3.5*1.5))*10.764</f>
        <v>699.63201359999994</v>
      </c>
      <c r="E209" s="80"/>
      <c r="F209" s="3">
        <v>0</v>
      </c>
      <c r="G209" s="3">
        <f t="shared" si="15"/>
        <v>1049.4480203999999</v>
      </c>
      <c r="H209" s="3" t="s">
        <v>86</v>
      </c>
      <c r="I209" s="83"/>
      <c r="J209" s="84"/>
      <c r="M209" s="52" t="e">
        <f>17500000/#REF!</f>
        <v>#REF!</v>
      </c>
      <c r="N209" s="52"/>
    </row>
    <row r="210" spans="1:14" s="2" customFormat="1" ht="15.75" customHeight="1" x14ac:dyDescent="0.25">
      <c r="A210" s="3">
        <f t="shared" si="16"/>
        <v>4</v>
      </c>
      <c r="B210" s="3" t="s">
        <v>183</v>
      </c>
      <c r="C210" s="3" t="s">
        <v>178</v>
      </c>
      <c r="D210" s="80">
        <f>(3.05*5.25+1.2*1.08+2.45*2.78+3.13*2.78+1.75*0.6+3.05*3.28+2.63*3.45+1.28*2.28+1.35*2.28+4.5*0.9+(3.05*1.5+3.5*1.5+3.28*1.35))*10.764</f>
        <v>831.49531919999981</v>
      </c>
      <c r="E210" s="80"/>
      <c r="F210" s="3">
        <v>0</v>
      </c>
      <c r="G210" s="3">
        <f t="shared" si="15"/>
        <v>1247.2429787999997</v>
      </c>
      <c r="H210" s="3" t="s">
        <v>86</v>
      </c>
      <c r="I210" s="83"/>
      <c r="J210" s="84"/>
      <c r="M210" s="52"/>
    </row>
    <row r="211" spans="1:14" s="1" customFormat="1" x14ac:dyDescent="0.25">
      <c r="A211" s="3">
        <f t="shared" si="16"/>
        <v>5</v>
      </c>
      <c r="B211" s="3" t="s">
        <v>183</v>
      </c>
      <c r="C211" s="3" t="s">
        <v>180</v>
      </c>
      <c r="D211" s="80">
        <f>(3.05*4.6+1.04*1.47+2.37*2.35+3.18*2.78+1.27*0.6+3.38*2.87+2.37*0.85+2.13*1.37+1.4*2.18+1.22*2.35+0.9*0.85+(3.05*1.5+3.6*1.5+2.35*1.5+2.4*1.5))*10.764</f>
        <v>744.30799559999991</v>
      </c>
      <c r="E211" s="80"/>
      <c r="F211" s="3">
        <v>0</v>
      </c>
      <c r="G211" s="3">
        <f t="shared" si="15"/>
        <v>1116.4619933999998</v>
      </c>
      <c r="H211" s="3" t="s">
        <v>86</v>
      </c>
      <c r="I211" s="83"/>
      <c r="J211" s="84"/>
      <c r="K211" s="2"/>
      <c r="L211" s="2"/>
      <c r="M211" s="52" t="e">
        <f>15000000/#REF!</f>
        <v>#REF!</v>
      </c>
    </row>
    <row r="212" spans="1:14" s="14" customFormat="1" x14ac:dyDescent="0.25">
      <c r="A212" s="3">
        <f t="shared" si="16"/>
        <v>6</v>
      </c>
      <c r="B212" s="3" t="s">
        <v>183</v>
      </c>
      <c r="C212" s="3" t="s">
        <v>180</v>
      </c>
      <c r="D212" s="80">
        <f>(3.05*4.63+2.59*2.46+1.63*1.45+2.79*3.4+2.74*3.4+3*1.35+1.35*2.36+1.47*1.01+3.5*0.9+(3.05*1.5+2.79*1.5+2.74*1.5))*10.764</f>
        <v>714.71991239999988</v>
      </c>
      <c r="E212" s="80"/>
      <c r="F212" s="3">
        <v>0</v>
      </c>
      <c r="G212" s="3">
        <f t="shared" si="15"/>
        <v>1072.0798685999998</v>
      </c>
      <c r="H212" s="3" t="s">
        <v>86</v>
      </c>
      <c r="I212" s="83"/>
      <c r="J212" s="84"/>
      <c r="K212" s="2"/>
      <c r="L212" s="2"/>
      <c r="M212" s="52"/>
    </row>
    <row r="213" spans="1:14" s="2" customFormat="1" x14ac:dyDescent="0.25">
      <c r="A213" s="3">
        <f t="shared" si="16"/>
        <v>7</v>
      </c>
      <c r="B213" s="3" t="s">
        <v>183</v>
      </c>
      <c r="C213" s="3" t="s">
        <v>180</v>
      </c>
      <c r="D213" s="80">
        <f>(3.05*5.25+1.25*0.98+2.45*2.78+3.05*2.78+1.75*0.6+3.38*3.25+1.35*2.25+2.25*1.38+4.6*0.9+0.6*1.4+(3.05*1.5+3.7*1.5+1.7*1.5))*10.764</f>
        <v>735.8270399999999</v>
      </c>
      <c r="E213" s="80"/>
      <c r="F213" s="3">
        <v>0</v>
      </c>
      <c r="G213" s="3">
        <f t="shared" si="15"/>
        <v>1103.7405599999997</v>
      </c>
      <c r="H213" s="3" t="s">
        <v>86</v>
      </c>
      <c r="I213" s="83"/>
      <c r="J213" s="84"/>
      <c r="K213" s="11"/>
      <c r="L213" s="11"/>
    </row>
    <row r="214" spans="1:14" s="2" customFormat="1" x14ac:dyDescent="0.25">
      <c r="A214" s="3">
        <f t="shared" si="16"/>
        <v>8</v>
      </c>
      <c r="B214" s="107" t="s">
        <v>181</v>
      </c>
      <c r="C214" s="108"/>
      <c r="D214" s="108"/>
      <c r="E214" s="108"/>
      <c r="F214" s="108"/>
      <c r="G214" s="108"/>
      <c r="H214" s="109"/>
      <c r="I214" s="83"/>
      <c r="J214" s="84"/>
      <c r="K214" s="11"/>
      <c r="L214" s="11"/>
    </row>
    <row r="215" spans="1:14" s="2" customFormat="1" x14ac:dyDescent="0.25">
      <c r="A215" s="3">
        <f t="shared" si="16"/>
        <v>9</v>
      </c>
      <c r="B215" s="3" t="s">
        <v>183</v>
      </c>
      <c r="C215" s="3" t="s">
        <v>180</v>
      </c>
      <c r="D215" s="80">
        <f>(3.05*4.63+1.63*1.45+2.79*3.4+2.74*3.4+3*1.35+1.35*2.36+1.47*1.01+3.5*0.9+(3.05*1.5+2.79*1.5+2.74*1.5))*10.764</f>
        <v>646.13816279999992</v>
      </c>
      <c r="E215" s="80"/>
      <c r="F215" s="3">
        <v>0</v>
      </c>
      <c r="G215" s="3">
        <f>D215*(($G$148)+1)+(IF(F215&lt;101,F215,IF(F215&lt;201,F215/2,IF(F215&lt;=301,F215/3,F215/4))))</f>
        <v>969.20724419999988</v>
      </c>
      <c r="H215" s="3" t="s">
        <v>86</v>
      </c>
      <c r="I215" s="83"/>
      <c r="J215" s="84"/>
      <c r="K215" s="11"/>
      <c r="L215" s="11"/>
    </row>
    <row r="216" spans="1:14" s="2" customFormat="1" x14ac:dyDescent="0.25">
      <c r="A216" s="3">
        <f t="shared" si="16"/>
        <v>10</v>
      </c>
      <c r="B216" s="3" t="s">
        <v>183</v>
      </c>
      <c r="C216" s="3" t="s">
        <v>178</v>
      </c>
      <c r="D216" s="80">
        <f>(3.05*4.63+1.95*1.33+2.5*2.75+1.85*0.6+2.75*3.08+1.38*0.6+2.75*3.08+1.75*0.6+3.35*3.65+2.1*0.6+2.28*1.35+2.25*1.35+1.44*2.28+1.27*2.35+5.1*0.9+(2.5*0.63+3.05*1.5+3*1.5+3*1.5+1*1.5))*10.764</f>
        <v>975.52732680000008</v>
      </c>
      <c r="E216" s="80"/>
      <c r="F216" s="3">
        <v>0</v>
      </c>
      <c r="G216" s="3">
        <f>D216*(($G$148)+1)+(IF(F216&lt;101,F216,IF(F216&lt;201,F216/2,IF(F216&lt;=301,F216/3,F216/4))))</f>
        <v>1463.2909902000001</v>
      </c>
      <c r="H216" s="3" t="s">
        <v>86</v>
      </c>
      <c r="I216" s="85"/>
      <c r="J216" s="86"/>
      <c r="K216" s="11"/>
      <c r="L216" s="11"/>
    </row>
    <row r="217" spans="1:14" s="2" customFormat="1" ht="15.75" customHeight="1" x14ac:dyDescent="0.25">
      <c r="A217" s="87" t="s">
        <v>292</v>
      </c>
      <c r="B217" s="88"/>
      <c r="C217" s="88"/>
      <c r="D217" s="88"/>
      <c r="E217" s="88"/>
      <c r="F217" s="88"/>
      <c r="G217" s="88"/>
      <c r="H217" s="88"/>
      <c r="I217" s="88"/>
      <c r="J217" s="89"/>
      <c r="K217" s="11"/>
      <c r="L217" s="11"/>
    </row>
    <row r="218" spans="1:14" s="2" customFormat="1" x14ac:dyDescent="0.25">
      <c r="A218" s="87" t="s">
        <v>293</v>
      </c>
      <c r="B218" s="88"/>
      <c r="C218" s="88"/>
      <c r="D218" s="88"/>
      <c r="E218" s="88"/>
      <c r="F218" s="88"/>
      <c r="G218" s="88"/>
      <c r="H218" s="88"/>
      <c r="I218" s="88"/>
      <c r="J218" s="89"/>
      <c r="K218" s="11">
        <f>3.05*2.77*(10.764)</f>
        <v>90.93965399999999</v>
      </c>
      <c r="L218" s="11"/>
    </row>
    <row r="219" spans="1:14" s="2" customFormat="1" x14ac:dyDescent="0.25">
      <c r="A219" s="87" t="s">
        <v>294</v>
      </c>
      <c r="B219" s="88"/>
      <c r="C219" s="88"/>
      <c r="D219" s="88"/>
      <c r="E219" s="88"/>
      <c r="F219" s="88"/>
      <c r="G219" s="88"/>
      <c r="H219" s="88"/>
      <c r="I219" s="88"/>
      <c r="J219" s="89"/>
      <c r="K219" s="11"/>
      <c r="L219" s="11"/>
    </row>
    <row r="220" spans="1:14" s="2" customFormat="1" x14ac:dyDescent="0.25">
      <c r="A220" s="87" t="s">
        <v>295</v>
      </c>
      <c r="B220" s="88"/>
      <c r="C220" s="88"/>
      <c r="D220" s="88"/>
      <c r="E220" s="88"/>
      <c r="F220" s="88"/>
      <c r="G220" s="88"/>
      <c r="H220" s="88"/>
      <c r="I220" s="88"/>
      <c r="J220" s="89"/>
    </row>
    <row r="221" spans="1:14" s="2" customFormat="1" x14ac:dyDescent="0.25">
      <c r="A221" s="65" t="s">
        <v>196</v>
      </c>
      <c r="B221" s="243" t="s">
        <v>296</v>
      </c>
      <c r="C221" s="243"/>
      <c r="D221" s="243"/>
      <c r="E221" s="243"/>
      <c r="F221" s="243"/>
      <c r="G221" s="243"/>
      <c r="H221" s="243"/>
      <c r="I221" s="245" t="str">
        <f>A220</f>
        <v>Upper Ground A Floor For Residential, Society Office &amp; (Part Parking Area)</v>
      </c>
      <c r="J221" s="82"/>
      <c r="M221" s="2">
        <f>890/593</f>
        <v>1.5008431703204048</v>
      </c>
    </row>
    <row r="222" spans="1:14" s="2" customFormat="1" x14ac:dyDescent="0.25">
      <c r="A222" s="3">
        <v>6</v>
      </c>
      <c r="B222" s="3" t="s">
        <v>182</v>
      </c>
      <c r="C222" s="3" t="s">
        <v>179</v>
      </c>
      <c r="D222" s="80">
        <f>(2.9*4.6+1.5*1.5+2.45*2.45+2.9*3.45+1.8*0.6+2.2*1.37+1.55*2.17+3*0.9+(2.9*1.3+2.45+2.9))*10.764</f>
        <v>547.61850000000015</v>
      </c>
      <c r="E222" s="80"/>
      <c r="F222" s="3">
        <v>0</v>
      </c>
      <c r="G222" s="3">
        <f t="shared" ref="G222:G226" si="17">D222*(($G$148)+1)+(IF(F222&lt;101,F222,IF(F222&lt;201,F222/2,IF(F222&lt;=301,F222/3,F222/4))))</f>
        <v>821.42775000000029</v>
      </c>
      <c r="H222" s="3" t="s">
        <v>86</v>
      </c>
      <c r="I222" s="90"/>
      <c r="J222" s="84"/>
    </row>
    <row r="223" spans="1:14" s="2" customFormat="1" ht="15.75" customHeight="1" x14ac:dyDescent="0.25">
      <c r="A223" s="3">
        <f>A222+1</f>
        <v>7</v>
      </c>
      <c r="B223" s="3" t="s">
        <v>183</v>
      </c>
      <c r="C223" s="3" t="s">
        <v>180</v>
      </c>
      <c r="D223" s="80">
        <f>(3.05*4.6+1.7*0.6+2.45*2.77+3.05*2.77+1.65*0.6+3.05*3.25+2.15*0.6+1.35*2.25+2.65*1.37+4.5*0.9+(3.05+3.5+2))*10.764</f>
        <v>664.62856199999987</v>
      </c>
      <c r="E223" s="80"/>
      <c r="F223" s="3">
        <v>0</v>
      </c>
      <c r="G223" s="3">
        <f t="shared" si="17"/>
        <v>996.94284299999981</v>
      </c>
      <c r="H223" s="3" t="s">
        <v>86</v>
      </c>
      <c r="I223" s="90"/>
      <c r="J223" s="84"/>
    </row>
    <row r="224" spans="1:14" s="2" customFormat="1" x14ac:dyDescent="0.25">
      <c r="A224" s="3">
        <f>A223+1</f>
        <v>8</v>
      </c>
      <c r="B224" s="3" t="s">
        <v>183</v>
      </c>
      <c r="C224" s="3" t="s">
        <v>180</v>
      </c>
      <c r="D224" s="80">
        <f>(3.05*4.6+1.7*0.6+2.45*2.77+3.05*2.75+1.65*0.6+3.05*3.25+2.15*0.6+1.35*2.25+2.65*1.37+4.5*0.9+(3.05+3.5+2))*10.764</f>
        <v>663.97195799999986</v>
      </c>
      <c r="E224" s="80"/>
      <c r="F224" s="3">
        <v>0</v>
      </c>
      <c r="G224" s="3">
        <f t="shared" si="17"/>
        <v>995.95793699999979</v>
      </c>
      <c r="H224" s="3" t="s">
        <v>86</v>
      </c>
      <c r="I224" s="90"/>
      <c r="J224" s="84"/>
    </row>
    <row r="225" spans="1:12" s="2" customFormat="1" x14ac:dyDescent="0.25">
      <c r="A225" s="3">
        <f>A224+1</f>
        <v>9</v>
      </c>
      <c r="B225" s="3" t="s">
        <v>182</v>
      </c>
      <c r="C225" s="3" t="s">
        <v>179</v>
      </c>
      <c r="D225" s="80">
        <f>(2.9*4.6+1.5*1.5+2.45*2.45+2.9*3.45+1.8*0.6+2.2*1.37+1.55*2.17+3*0.9+(2.9*1.3+2.45+2.9))*10.764</f>
        <v>547.61850000000015</v>
      </c>
      <c r="E225" s="80"/>
      <c r="F225" s="3">
        <v>0</v>
      </c>
      <c r="G225" s="3">
        <f t="shared" si="17"/>
        <v>821.42775000000029</v>
      </c>
      <c r="H225" s="3" t="s">
        <v>86</v>
      </c>
      <c r="I225" s="90"/>
      <c r="J225" s="84"/>
    </row>
    <row r="226" spans="1:12" s="2" customFormat="1" x14ac:dyDescent="0.25">
      <c r="A226" s="3">
        <f>A225+1</f>
        <v>10</v>
      </c>
      <c r="B226" s="3" t="s">
        <v>183</v>
      </c>
      <c r="C226" s="3" t="s">
        <v>180</v>
      </c>
      <c r="D226" s="80">
        <f>(3.05*4.6+1.5*1.5+1.7*0.6+2.45*2.75+3.05*2.75+1.68*0.6+3.05*3.25+0.6*2.1+1.37*2.2+2.12*1.37+4*0.9+(3.05+2.45+1.4+2.2+1))*10.764</f>
        <v>691.30605960000014</v>
      </c>
      <c r="E226" s="80"/>
      <c r="F226" s="3">
        <v>0</v>
      </c>
      <c r="G226" s="3">
        <f t="shared" si="17"/>
        <v>1036.9590894000003</v>
      </c>
      <c r="H226" s="3" t="s">
        <v>86</v>
      </c>
      <c r="I226" s="244"/>
      <c r="J226" s="86"/>
    </row>
    <row r="227" spans="1:12" s="2" customFormat="1" x14ac:dyDescent="0.25">
      <c r="A227" s="87" t="s">
        <v>297</v>
      </c>
      <c r="B227" s="88"/>
      <c r="C227" s="88"/>
      <c r="D227" s="88"/>
      <c r="E227" s="88"/>
      <c r="F227" s="88"/>
      <c r="G227" s="88"/>
      <c r="H227" s="88"/>
      <c r="I227" s="88"/>
      <c r="J227" s="89"/>
    </row>
    <row r="228" spans="1:12" s="2" customFormat="1" ht="15.75" customHeight="1" x14ac:dyDescent="0.25">
      <c r="A228" s="65" t="s">
        <v>196</v>
      </c>
      <c r="B228" s="243" t="s">
        <v>296</v>
      </c>
      <c r="C228" s="243"/>
      <c r="D228" s="243"/>
      <c r="E228" s="243"/>
      <c r="F228" s="243"/>
      <c r="G228" s="243"/>
      <c r="H228" s="243"/>
      <c r="I228" s="245" t="str">
        <f>A227</f>
        <v>Upper Ground B Floor &amp; (Part Parking Area)</v>
      </c>
      <c r="J228" s="82"/>
    </row>
    <row r="229" spans="1:12" s="2" customFormat="1" x14ac:dyDescent="0.25">
      <c r="A229" s="3">
        <v>6</v>
      </c>
      <c r="B229" s="3" t="s">
        <v>182</v>
      </c>
      <c r="C229" s="3" t="s">
        <v>179</v>
      </c>
      <c r="D229" s="80">
        <f>(2.9*4.6+1.5*1.5+2.45*2.45+2.9*3.45+1.8*0.6+2.2*1.37+1.55*2.17+3*0.9+(2.9*1.3+2.45+2.9))*10.764</f>
        <v>547.61850000000015</v>
      </c>
      <c r="E229" s="80"/>
      <c r="F229" s="3">
        <v>0</v>
      </c>
      <c r="G229" s="3">
        <f t="shared" ref="G229:G233" si="18">D229*(($G$148)+1)+(IF(F229&lt;101,F229,IF(F229&lt;201,F229/2,IF(F229&lt;=301,F229/3,F229/4))))</f>
        <v>821.42775000000029</v>
      </c>
      <c r="H229" s="3" t="s">
        <v>86</v>
      </c>
      <c r="I229" s="90"/>
      <c r="J229" s="84"/>
    </row>
    <row r="230" spans="1:12" s="2" customFormat="1" x14ac:dyDescent="0.25">
      <c r="A230" s="3">
        <f>A229+1</f>
        <v>7</v>
      </c>
      <c r="B230" s="3" t="s">
        <v>183</v>
      </c>
      <c r="C230" s="3" t="s">
        <v>180</v>
      </c>
      <c r="D230" s="80">
        <f>(3.05*4.6+1.7*0.6+1.23*2.1+2.45*2.77+3.05*2.77+1.65*0.6+3.05*3.25+2.15*0.6+1.35*2.25+2.65*1.37+4.5*0.9+(3.05+3.5+2))*10.764</f>
        <v>692.43197399999985</v>
      </c>
      <c r="E230" s="80"/>
      <c r="F230" s="3">
        <v>0</v>
      </c>
      <c r="G230" s="3">
        <f t="shared" si="18"/>
        <v>1038.6479609999997</v>
      </c>
      <c r="H230" s="3" t="s">
        <v>86</v>
      </c>
      <c r="I230" s="90"/>
      <c r="J230" s="84"/>
    </row>
    <row r="231" spans="1:12" s="2" customFormat="1" x14ac:dyDescent="0.25">
      <c r="A231" s="3">
        <f>A230+1</f>
        <v>8</v>
      </c>
      <c r="B231" s="3" t="s">
        <v>183</v>
      </c>
      <c r="C231" s="3" t="s">
        <v>180</v>
      </c>
      <c r="D231" s="80">
        <f>(3.05*4.6+1.7*0.6+1.23*2.1+2.45*2.77+3.05*2.77+1.65*0.6+3.05*3.25+2.15*0.6+1.35*2.25+2.65*1.37+4.5*0.9+(3.05+3.5+2))*10.764</f>
        <v>692.43197399999985</v>
      </c>
      <c r="E231" s="80"/>
      <c r="F231" s="3">
        <v>0</v>
      </c>
      <c r="G231" s="3">
        <f t="shared" si="18"/>
        <v>1038.6479609999997</v>
      </c>
      <c r="H231" s="3" t="s">
        <v>86</v>
      </c>
      <c r="I231" s="90"/>
      <c r="J231" s="84"/>
    </row>
    <row r="232" spans="1:12" s="2" customFormat="1" x14ac:dyDescent="0.25">
      <c r="A232" s="3">
        <f>A231+1</f>
        <v>9</v>
      </c>
      <c r="B232" s="3" t="s">
        <v>182</v>
      </c>
      <c r="C232" s="3" t="s">
        <v>179</v>
      </c>
      <c r="D232" s="80">
        <f>(2.9*4.6+1.25*1.35+2.45*2.45+2.9*3.45+1.8*0.6+2.2*1.37+1.55*2.17+3*0.9+(2.9*1.3+2.45+2.9))*10.764</f>
        <v>541.56375000000014</v>
      </c>
      <c r="E232" s="80"/>
      <c r="F232" s="3">
        <v>0</v>
      </c>
      <c r="G232" s="3">
        <f t="shared" si="18"/>
        <v>812.34562500000015</v>
      </c>
      <c r="H232" s="3" t="s">
        <v>86</v>
      </c>
      <c r="I232" s="90"/>
      <c r="J232" s="84"/>
    </row>
    <row r="233" spans="1:12" s="2" customFormat="1" x14ac:dyDescent="0.25">
      <c r="A233" s="3">
        <f>A232+1</f>
        <v>10</v>
      </c>
      <c r="B233" s="3" t="s">
        <v>183</v>
      </c>
      <c r="C233" s="3" t="s">
        <v>180</v>
      </c>
      <c r="D233" s="80">
        <f>(3.05*4.6+1.25*1.35+1.7*0.6+2.45*2.75+3.05*2.75+1.68*0.6+3.05*3.25+0.6*2.1+1.37*2.2+2.12*1.37+4*0.9+(3.05+2.45+1.4+2.2+1))*10.764</f>
        <v>685.25130960000001</v>
      </c>
      <c r="E233" s="80"/>
      <c r="F233" s="3">
        <v>0</v>
      </c>
      <c r="G233" s="3">
        <f t="shared" si="18"/>
        <v>1027.8769643999999</v>
      </c>
      <c r="H233" s="3" t="s">
        <v>86</v>
      </c>
      <c r="I233" s="244"/>
      <c r="J233" s="86"/>
    </row>
    <row r="234" spans="1:12" s="2" customFormat="1" x14ac:dyDescent="0.25">
      <c r="A234" s="87" t="s">
        <v>284</v>
      </c>
      <c r="B234" s="88"/>
      <c r="C234" s="88"/>
      <c r="D234" s="88"/>
      <c r="E234" s="88"/>
      <c r="F234" s="88"/>
      <c r="G234" s="88"/>
      <c r="H234" s="88"/>
      <c r="I234" s="88"/>
      <c r="J234" s="89"/>
    </row>
    <row r="235" spans="1:12" s="2" customFormat="1" x14ac:dyDescent="0.25">
      <c r="A235" s="87" t="s">
        <v>308</v>
      </c>
      <c r="B235" s="88"/>
      <c r="C235" s="88"/>
      <c r="D235" s="88"/>
      <c r="E235" s="88"/>
      <c r="F235" s="88"/>
      <c r="G235" s="88"/>
      <c r="H235" s="88"/>
      <c r="I235" s="88"/>
      <c r="J235" s="89"/>
      <c r="K235" s="2">
        <f>(2.38*3.08+1.01*0.6)*(10.764)</f>
        <v>85.42740959999999</v>
      </c>
      <c r="L235" s="2">
        <f>3+4+2+2</f>
        <v>11</v>
      </c>
    </row>
    <row r="236" spans="1:12" s="2" customFormat="1" x14ac:dyDescent="0.25">
      <c r="A236" s="3">
        <v>1</v>
      </c>
      <c r="B236" s="3" t="s">
        <v>183</v>
      </c>
      <c r="C236" s="3" t="s">
        <v>180</v>
      </c>
      <c r="D236" s="80">
        <f>(3.05*4.65+1.7*0.6+2.45*2.78+3.05*2.78+1.65*0.6+3.05*3.28+1.7*0.6+1.35*2.28+2.45*1.38+4.5*0.9+(3.05+3.5+1.5))*10.764</f>
        <v>657.30904199999998</v>
      </c>
      <c r="E236" s="80"/>
      <c r="F236" s="3">
        <v>0</v>
      </c>
      <c r="G236" s="3">
        <f t="shared" ref="G236:G244" si="19">D236*(($G$148)+1)+(IF(F236&lt;101,F236,IF(F236&lt;201,F236/2,IF(F236&lt;=301,F236/3,F236/4))))</f>
        <v>985.96356300000002</v>
      </c>
      <c r="H236" s="3" t="s">
        <v>86</v>
      </c>
      <c r="I236" s="81" t="str">
        <f>A235</f>
        <v>1st to 3rd, 5th, 6th, 8th to 11th, 13th to 16th,18th Floor For Residential</v>
      </c>
      <c r="J236" s="82"/>
    </row>
    <row r="237" spans="1:12" s="2" customFormat="1" x14ac:dyDescent="0.25">
      <c r="A237" s="3">
        <f>A236+1</f>
        <v>2</v>
      </c>
      <c r="B237" s="3" t="s">
        <v>183</v>
      </c>
      <c r="C237" s="3" t="s">
        <v>180</v>
      </c>
      <c r="D237" s="80">
        <f>(3.05*4.65+1.7*0.6+2.45*2.78+3.05*2.78+1.65*0.6+3.13*3.28+1.7*0.6+1.35*2.28+2.45*1.38+4.5*0.9+(3.05+3.5+1.5))*10.764</f>
        <v>660.13351560000001</v>
      </c>
      <c r="E237" s="80"/>
      <c r="F237" s="3">
        <v>0</v>
      </c>
      <c r="G237" s="3">
        <f t="shared" si="19"/>
        <v>990.20027340000001</v>
      </c>
      <c r="H237" s="3" t="s">
        <v>86</v>
      </c>
      <c r="I237" s="83"/>
      <c r="J237" s="84"/>
    </row>
    <row r="238" spans="1:12" s="2" customFormat="1" x14ac:dyDescent="0.25">
      <c r="A238" s="3">
        <f t="shared" ref="A238:A243" si="20">A237+1</f>
        <v>3</v>
      </c>
      <c r="B238" s="3" t="s">
        <v>183</v>
      </c>
      <c r="C238" s="3" t="s">
        <v>180</v>
      </c>
      <c r="D238" s="80">
        <f>(3.05*4.65+1.7*0.6+2.45*2.78+3.05*2.78+1.65*0.6+3.13*3.28+1.7*0.6+1.35*2.28+2.45*1.38+4.5*0.9+(3.05+3.5+1.5))*10.764</f>
        <v>660.13351560000001</v>
      </c>
      <c r="E238" s="80"/>
      <c r="F238" s="3">
        <v>0</v>
      </c>
      <c r="G238" s="3">
        <f t="shared" si="19"/>
        <v>990.20027340000001</v>
      </c>
      <c r="H238" s="3" t="s">
        <v>86</v>
      </c>
      <c r="I238" s="83"/>
      <c r="J238" s="84"/>
    </row>
    <row r="239" spans="1:12" s="2" customFormat="1" x14ac:dyDescent="0.25">
      <c r="A239" s="3">
        <f t="shared" si="20"/>
        <v>4</v>
      </c>
      <c r="B239" s="3" t="s">
        <v>182</v>
      </c>
      <c r="C239" s="3" t="s">
        <v>179</v>
      </c>
      <c r="D239" s="80">
        <f>(2.9*4.6+1.58*0.6+2.45*2.48+2.9*3.48+1.7*0.6+1.35*2.185+2*1.38+3*0.9+(2.9+5))*10.764</f>
        <v>514.36581299999989</v>
      </c>
      <c r="E239" s="80"/>
      <c r="F239" s="3">
        <v>0</v>
      </c>
      <c r="G239" s="3">
        <f t="shared" si="19"/>
        <v>771.54871949999983</v>
      </c>
      <c r="H239" s="3" t="s">
        <v>86</v>
      </c>
      <c r="I239" s="83"/>
      <c r="J239" s="84"/>
    </row>
    <row r="240" spans="1:12" s="2" customFormat="1" x14ac:dyDescent="0.25">
      <c r="A240" s="3">
        <f t="shared" si="20"/>
        <v>5</v>
      </c>
      <c r="B240" s="3" t="s">
        <v>183</v>
      </c>
      <c r="C240" s="3" t="s">
        <v>298</v>
      </c>
      <c r="D240" s="80">
        <f>(3.38*4.63+1.25*1.35+2*0.6+1.1*2.35+2.45*2.8+1.8*0.6+2.38*3.08+1.01*0.6+3.02*3.08+1.75*0.6+3.35*3.65+2.1*0.6+2.25*1.35+2.28*1.35+1.35*2.28+1.9*0.9+3*0.9+(3.38+2.8+3+1))*10.764</f>
        <v>910.85936760000004</v>
      </c>
      <c r="E240" s="80"/>
      <c r="F240" s="3">
        <v>0</v>
      </c>
      <c r="G240" s="3">
        <f t="shared" si="19"/>
        <v>1366.2890514000001</v>
      </c>
      <c r="H240" s="3" t="s">
        <v>86</v>
      </c>
      <c r="I240" s="83"/>
      <c r="J240" s="84"/>
    </row>
    <row r="241" spans="1:12" s="2" customFormat="1" x14ac:dyDescent="0.25">
      <c r="A241" s="3">
        <f t="shared" si="20"/>
        <v>6</v>
      </c>
      <c r="B241" s="3" t="s">
        <v>182</v>
      </c>
      <c r="C241" s="3" t="s">
        <v>179</v>
      </c>
      <c r="D241" s="80">
        <f>(2.93*4.65+1.25*1.35+2.45*2.48+3*3.48+1.83*0.6+2.18*1.38+1.55*2.18+3*0.9+(2.9*1.15+2.45+2.9))*10.764</f>
        <v>545.71757760000003</v>
      </c>
      <c r="E241" s="80"/>
      <c r="F241" s="3">
        <v>0</v>
      </c>
      <c r="G241" s="3">
        <f t="shared" si="19"/>
        <v>818.5763664000001</v>
      </c>
      <c r="H241" s="3" t="s">
        <v>86</v>
      </c>
      <c r="I241" s="83"/>
      <c r="J241" s="84"/>
    </row>
    <row r="242" spans="1:12" s="2" customFormat="1" x14ac:dyDescent="0.25">
      <c r="A242" s="3">
        <f t="shared" si="20"/>
        <v>7</v>
      </c>
      <c r="B242" s="3" t="s">
        <v>183</v>
      </c>
      <c r="C242" s="3" t="s">
        <v>180</v>
      </c>
      <c r="D242" s="80">
        <f>(3.05*4.65+1.7*0.6+1.23*2.1+2.45*2.78+3.05*2.78+1.65*0.6+3.05*3.25+0.6*2.15+1.35*2.25+2.65*1.38+4.5*0.9+(3.05+3.5+2))*10.764</f>
        <v>694.95074999999997</v>
      </c>
      <c r="E242" s="80"/>
      <c r="F242" s="3">
        <v>0</v>
      </c>
      <c r="G242" s="3">
        <f t="shared" si="19"/>
        <v>1042.426125</v>
      </c>
      <c r="H242" s="3" t="s">
        <v>86</v>
      </c>
      <c r="I242" s="83"/>
      <c r="J242" s="84"/>
    </row>
    <row r="243" spans="1:12" x14ac:dyDescent="0.25">
      <c r="A243" s="3">
        <f t="shared" si="20"/>
        <v>8</v>
      </c>
      <c r="B243" s="3" t="s">
        <v>183</v>
      </c>
      <c r="C243" s="3" t="s">
        <v>180</v>
      </c>
      <c r="D243" s="80">
        <f>(3.05*4.65+1.7*0.6+1.23*2.1+2.45*2.78+3.05*2.78+1.65*0.6+3.05*3.25+0.6*2.15+1.35*2.25+2.65*1.38+4.5*0.9+(3.05+3.5+2))*10.764</f>
        <v>694.95074999999997</v>
      </c>
      <c r="E243" s="80"/>
      <c r="F243" s="3">
        <v>0</v>
      </c>
      <c r="G243" s="3">
        <f t="shared" si="19"/>
        <v>1042.426125</v>
      </c>
      <c r="H243" s="3" t="s">
        <v>86</v>
      </c>
      <c r="I243" s="83"/>
      <c r="J243" s="84"/>
      <c r="K243" s="2"/>
      <c r="L243" s="2"/>
    </row>
    <row r="244" spans="1:12" s="2" customFormat="1" x14ac:dyDescent="0.25">
      <c r="A244" s="3">
        <f>A243+1</f>
        <v>9</v>
      </c>
      <c r="B244" s="3" t="s">
        <v>182</v>
      </c>
      <c r="C244" s="3" t="s">
        <v>179</v>
      </c>
      <c r="D244" s="80">
        <f>(2.93*4.65+1.25*1.35+2.45*2.48+3*3.47+1.83*0.6+2.18*1.38+1.55*2.18+3*0.9+(2.9*1.15+2.45+2.9))*10.764</f>
        <v>545.39465760000007</v>
      </c>
      <c r="E244" s="80"/>
      <c r="F244" s="3">
        <v>0</v>
      </c>
      <c r="G244" s="3">
        <f t="shared" si="19"/>
        <v>818.09198640000011</v>
      </c>
      <c r="H244" s="3" t="s">
        <v>86</v>
      </c>
      <c r="I244" s="83"/>
      <c r="J244" s="84"/>
    </row>
    <row r="245" spans="1:12" s="2" customFormat="1" x14ac:dyDescent="0.25">
      <c r="A245" s="3">
        <f>A244+1</f>
        <v>10</v>
      </c>
      <c r="B245" s="3" t="s">
        <v>183</v>
      </c>
      <c r="C245" s="3" t="s">
        <v>180</v>
      </c>
      <c r="D245" s="80">
        <f>(3.08*4.6+1.25*1.35+1.73*0.6+2.45*2.78+3.05*2.78+1.68*0.6+3.05*3.22+0.75*2.22+1.37*2.2+2.13*1.38+4*0.9+(3.08+2.45+1.4+2.2+1))*10.764</f>
        <v>692.78072759999998</v>
      </c>
      <c r="E245" s="80"/>
      <c r="F245" s="3">
        <v>0</v>
      </c>
      <c r="G245" s="3">
        <f t="shared" ref="G245" si="21">D245*(($G$148)+1)+(IF(F245&lt;101,F245,IF(F245&lt;201,F245/2,IF(F245&lt;=301,F245/3,F245/4))))</f>
        <v>1039.1710914</v>
      </c>
      <c r="H245" s="3" t="s">
        <v>86</v>
      </c>
      <c r="I245" s="85"/>
      <c r="J245" s="86"/>
    </row>
    <row r="246" spans="1:12" s="2" customFormat="1" x14ac:dyDescent="0.25">
      <c r="A246" s="87" t="s">
        <v>299</v>
      </c>
      <c r="B246" s="88"/>
      <c r="C246" s="88"/>
      <c r="D246" s="88"/>
      <c r="E246" s="88"/>
      <c r="F246" s="88"/>
      <c r="G246" s="88"/>
      <c r="H246" s="88"/>
      <c r="I246" s="88"/>
      <c r="J246" s="89"/>
    </row>
    <row r="247" spans="1:12" s="2" customFormat="1" x14ac:dyDescent="0.25">
      <c r="A247" s="3">
        <v>1</v>
      </c>
      <c r="B247" s="3" t="s">
        <v>183</v>
      </c>
      <c r="C247" s="3" t="s">
        <v>180</v>
      </c>
      <c r="D247" s="80">
        <f>(3.05*4.65+1.7*0.6+2.45*2.78+3.05*2.78+1.65*0.6+3.05*3.28+1.7*0.6+1.35*2.28+2.45*1.38+4.5*0.9+(3.05+3.5+1.5))*10.764</f>
        <v>657.30904199999998</v>
      </c>
      <c r="E247" s="80"/>
      <c r="F247" s="3">
        <v>0</v>
      </c>
      <c r="G247" s="3">
        <f t="shared" ref="G247:G256" si="22">D247*(($G$148)+1)+(IF(F247&lt;101,F247,IF(F247&lt;201,F247/2,IF(F247&lt;=301,F247/3,F247/4))))</f>
        <v>985.96356300000002</v>
      </c>
      <c r="H247" s="3" t="s">
        <v>86</v>
      </c>
      <c r="I247" s="81" t="str">
        <f>A246</f>
        <v>4th, 7th, 12th, 17th Floor (Part Refuge Area)</v>
      </c>
      <c r="J247" s="82"/>
    </row>
    <row r="248" spans="1:12" s="2" customFormat="1" x14ac:dyDescent="0.25">
      <c r="A248" s="3">
        <v>2</v>
      </c>
      <c r="B248" s="3" t="s">
        <v>183</v>
      </c>
      <c r="C248" s="3" t="s">
        <v>180</v>
      </c>
      <c r="D248" s="80">
        <f>(3.05*4.65+1.7*0.6+2.45*2.78+3.05*2.78+1.65*0.6+3.13*3.28+1.7*0.6+1.35*2.28+2.45*1.38+4.5*0.9+(3.05+3.5+1.5))*10.764</f>
        <v>660.13351560000001</v>
      </c>
      <c r="E248" s="80"/>
      <c r="F248" s="3">
        <v>0</v>
      </c>
      <c r="G248" s="3">
        <f t="shared" si="22"/>
        <v>990.20027340000001</v>
      </c>
      <c r="H248" s="3" t="s">
        <v>86</v>
      </c>
      <c r="I248" s="83"/>
      <c r="J248" s="84"/>
    </row>
    <row r="249" spans="1:12" s="2" customFormat="1" x14ac:dyDescent="0.25">
      <c r="A249" s="3">
        <v>3</v>
      </c>
      <c r="B249" s="3" t="s">
        <v>183</v>
      </c>
      <c r="C249" s="3" t="s">
        <v>180</v>
      </c>
      <c r="D249" s="80">
        <f>(3.05*4.65+1.7*0.6+2.45*2.78+3.05*2.78+1.65*0.6+3.13*3.28+1.7*0.6+1.35*2.28+2.45*1.38+4.5*0.9+(3.05+3.5+1.5))*10.764</f>
        <v>660.13351560000001</v>
      </c>
      <c r="E249" s="80"/>
      <c r="F249" s="3">
        <v>0</v>
      </c>
      <c r="G249" s="3">
        <f t="shared" si="22"/>
        <v>990.20027340000001</v>
      </c>
      <c r="H249" s="3" t="s">
        <v>86</v>
      </c>
      <c r="I249" s="83"/>
      <c r="J249" s="84"/>
    </row>
    <row r="250" spans="1:12" s="2" customFormat="1" x14ac:dyDescent="0.25">
      <c r="A250" s="3">
        <v>4</v>
      </c>
      <c r="B250" s="3" t="s">
        <v>182</v>
      </c>
      <c r="C250" s="3" t="s">
        <v>179</v>
      </c>
      <c r="D250" s="80">
        <f>(2.9*4.6+1.58*0.6+2.45*2.48+2.9*3.48+1.7*0.6+1.35*2.185+2*1.38+3*0.9+(2.9+5))*10.764</f>
        <v>514.36581299999989</v>
      </c>
      <c r="E250" s="80"/>
      <c r="F250" s="3">
        <v>0</v>
      </c>
      <c r="G250" s="3">
        <f t="shared" si="22"/>
        <v>771.54871949999983</v>
      </c>
      <c r="H250" s="3" t="s">
        <v>86</v>
      </c>
      <c r="I250" s="83"/>
      <c r="J250" s="84"/>
    </row>
    <row r="251" spans="1:12" s="2" customFormat="1" x14ac:dyDescent="0.25">
      <c r="A251" s="3">
        <v>5</v>
      </c>
      <c r="B251" s="71" t="s">
        <v>183</v>
      </c>
      <c r="C251" s="3" t="s">
        <v>298</v>
      </c>
      <c r="D251" s="80">
        <f>(3.38*4.63+1.25*1.35+2*0.6+1.1*2.35+2.45*2.8+1.8*0.6+2.38*3.08+1.01*0.6+3.02*3.08+1.75*0.6+3.35*3.65+2.1*0.6+2.25*1.35+2.28*1.35+1.35*2.28+1.9*0.9+3*0.9+(3.38+2.8+3+1))*10.764</f>
        <v>910.85936760000004</v>
      </c>
      <c r="E251" s="80"/>
      <c r="F251" s="3">
        <v>0</v>
      </c>
      <c r="G251" s="3">
        <f t="shared" si="22"/>
        <v>1366.2890514000001</v>
      </c>
      <c r="H251" s="3" t="s">
        <v>86</v>
      </c>
      <c r="I251" s="83"/>
      <c r="J251" s="84"/>
    </row>
    <row r="252" spans="1:12" s="2" customFormat="1" x14ac:dyDescent="0.25">
      <c r="A252" s="3">
        <v>6</v>
      </c>
      <c r="B252" s="3" t="s">
        <v>182</v>
      </c>
      <c r="C252" s="3" t="s">
        <v>179</v>
      </c>
      <c r="D252" s="80">
        <f>(2.93*4.65+1.25*1.35+2.45*2.48+3*3.48+1.83*0.6+2.18*1.38+1.55*2.18+3*0.9+(2.9*1.15+2.45+2.9))*10.764</f>
        <v>545.71757760000003</v>
      </c>
      <c r="E252" s="80"/>
      <c r="F252" s="3">
        <v>0</v>
      </c>
      <c r="G252" s="3">
        <f t="shared" si="22"/>
        <v>818.5763664000001</v>
      </c>
      <c r="H252" s="3" t="s">
        <v>86</v>
      </c>
      <c r="I252" s="83"/>
      <c r="J252" s="84"/>
    </row>
    <row r="253" spans="1:12" s="2" customFormat="1" x14ac:dyDescent="0.25">
      <c r="A253" s="3">
        <v>7</v>
      </c>
      <c r="B253" s="3" t="s">
        <v>183</v>
      </c>
      <c r="C253" s="3" t="s">
        <v>180</v>
      </c>
      <c r="D253" s="80">
        <f>(3.05*4.65+1.7*0.6+1.23*2.1+2.45*2.78+3.05*2.78+1.65*0.6+3.05*3.25+0.6*2.15+1.35*2.25+2.65*1.38+4.5*0.9+(3.05+3.5+2))*10.764</f>
        <v>694.95074999999997</v>
      </c>
      <c r="E253" s="80"/>
      <c r="F253" s="3">
        <v>0</v>
      </c>
      <c r="G253" s="3">
        <f t="shared" si="22"/>
        <v>1042.426125</v>
      </c>
      <c r="H253" s="3" t="s">
        <v>86</v>
      </c>
      <c r="I253" s="83"/>
      <c r="J253" s="84"/>
    </row>
    <row r="254" spans="1:12" s="2" customFormat="1" x14ac:dyDescent="0.25">
      <c r="A254" s="3">
        <v>8</v>
      </c>
      <c r="B254" s="107" t="s">
        <v>181</v>
      </c>
      <c r="C254" s="108"/>
      <c r="D254" s="108"/>
      <c r="E254" s="108"/>
      <c r="F254" s="108"/>
      <c r="G254" s="108"/>
      <c r="H254" s="109"/>
      <c r="I254" s="83"/>
      <c r="J254" s="84"/>
    </row>
    <row r="255" spans="1:12" s="2" customFormat="1" x14ac:dyDescent="0.25">
      <c r="A255" s="3">
        <v>9</v>
      </c>
      <c r="B255" s="3" t="s">
        <v>182</v>
      </c>
      <c r="C255" s="3" t="s">
        <v>179</v>
      </c>
      <c r="D255" s="80">
        <f>(2.93*4.65+1.25*1.35+2.45*2.48+3*3.47+1.83*0.6+2.18*1.38+1.55*2.18+3*0.9+(2.9*1.15+2.45+2.9))*10.764</f>
        <v>545.39465760000007</v>
      </c>
      <c r="E255" s="80"/>
      <c r="F255" s="3">
        <v>0</v>
      </c>
      <c r="G255" s="3">
        <f t="shared" si="22"/>
        <v>818.09198640000011</v>
      </c>
      <c r="H255" s="3" t="s">
        <v>86</v>
      </c>
      <c r="I255" s="83"/>
      <c r="J255" s="84"/>
    </row>
    <row r="256" spans="1:12" s="2" customFormat="1" x14ac:dyDescent="0.25">
      <c r="A256" s="3">
        <v>10</v>
      </c>
      <c r="B256" s="3" t="s">
        <v>183</v>
      </c>
      <c r="C256" s="3" t="s">
        <v>180</v>
      </c>
      <c r="D256" s="80">
        <f>(3.08*4.6+1.25*1.35+1.73*0.6+2.45*2.78+3.05*2.78+1.68*0.6+3.08*3.22+0.75*2.22+1.37*2.2+2.13*1.38+4*0.9+(3.08+2.45+1.4+2.2+1))*10.764</f>
        <v>693.82052999999996</v>
      </c>
      <c r="E256" s="80"/>
      <c r="F256" s="3">
        <v>0</v>
      </c>
      <c r="G256" s="3">
        <f t="shared" si="22"/>
        <v>1040.7307949999999</v>
      </c>
      <c r="H256" s="3" t="s">
        <v>86</v>
      </c>
      <c r="I256" s="85"/>
      <c r="J256" s="86"/>
    </row>
    <row r="257" spans="1:12" s="2" customFormat="1" x14ac:dyDescent="0.25">
      <c r="A257" s="87" t="s">
        <v>300</v>
      </c>
      <c r="B257" s="88"/>
      <c r="C257" s="88"/>
      <c r="D257" s="88"/>
      <c r="E257" s="88"/>
      <c r="F257" s="88"/>
      <c r="G257" s="88"/>
      <c r="H257" s="88"/>
      <c r="I257" s="88"/>
      <c r="J257" s="89"/>
      <c r="K257" s="11"/>
      <c r="L257" s="11"/>
    </row>
    <row r="258" spans="1:12" s="2" customFormat="1" x14ac:dyDescent="0.25">
      <c r="A258" s="3">
        <v>1</v>
      </c>
      <c r="B258" s="3" t="s">
        <v>183</v>
      </c>
      <c r="C258" s="3" t="s">
        <v>180</v>
      </c>
      <c r="D258" s="80">
        <f>(3.05*4.65+1.7*0.6+2.45*2.78+3.05*2.78+1.65*0.6+3.05*3.28+1.7*0.6+1.35*2.28+2.45*1.38+4.5*0.9+(3.05+3.5+1.5))*10.764</f>
        <v>657.30904199999998</v>
      </c>
      <c r="E258" s="80"/>
      <c r="F258" s="3">
        <v>0</v>
      </c>
      <c r="G258" s="3">
        <f t="shared" ref="G258:G267" si="23">D258*(($G$148)+1)+(IF(F258&lt;101,F258,IF(F258&lt;201,F258/2,IF(F258&lt;=301,F258/3,F258/4))))</f>
        <v>985.96356300000002</v>
      </c>
      <c r="H258" s="3" t="s">
        <v>86</v>
      </c>
      <c r="I258" s="81" t="str">
        <f>A257</f>
        <v>19th Floor</v>
      </c>
      <c r="J258" s="82"/>
    </row>
    <row r="259" spans="1:12" s="2" customFormat="1" x14ac:dyDescent="0.25">
      <c r="A259" s="3">
        <f>A258+1</f>
        <v>2</v>
      </c>
      <c r="B259" s="3" t="s">
        <v>183</v>
      </c>
      <c r="C259" s="3" t="s">
        <v>180</v>
      </c>
      <c r="D259" s="80">
        <f>(3.05*4.65+1.7*0.6+2.45*2.78+3.05*2.78+1.65*0.6+3.13*3.28+1.7*0.6+1.35*2.28+2.45*1.38+4.5*0.9+(3.05+3.5+1.5))*10.764</f>
        <v>660.13351560000001</v>
      </c>
      <c r="E259" s="80"/>
      <c r="F259" s="3">
        <v>0</v>
      </c>
      <c r="G259" s="3">
        <f t="shared" si="23"/>
        <v>990.20027340000001</v>
      </c>
      <c r="H259" s="3" t="s">
        <v>86</v>
      </c>
      <c r="I259" s="83"/>
      <c r="J259" s="84"/>
    </row>
    <row r="260" spans="1:12" s="2" customFormat="1" x14ac:dyDescent="0.25">
      <c r="A260" s="3">
        <f t="shared" ref="A260:A265" si="24">A259+1</f>
        <v>3</v>
      </c>
      <c r="B260" s="3" t="s">
        <v>183</v>
      </c>
      <c r="C260" s="3" t="s">
        <v>180</v>
      </c>
      <c r="D260" s="80">
        <f>(3.05*4.65+1.7*0.6+2.45*2.78+3.05*2.78+1.65*0.6+3.13*3.28+1.7*0.6+1.35*2.28+2.45*1.38+4.5*0.9+(3.05+3.5+1.5))*10.764</f>
        <v>660.13351560000001</v>
      </c>
      <c r="E260" s="80"/>
      <c r="F260" s="3">
        <v>0</v>
      </c>
      <c r="G260" s="3">
        <f t="shared" si="23"/>
        <v>990.20027340000001</v>
      </c>
      <c r="H260" s="3" t="s">
        <v>86</v>
      </c>
      <c r="I260" s="83"/>
      <c r="J260" s="84"/>
    </row>
    <row r="261" spans="1:12" s="2" customFormat="1" x14ac:dyDescent="0.25">
      <c r="A261" s="3">
        <f t="shared" si="24"/>
        <v>4</v>
      </c>
      <c r="B261" s="3" t="s">
        <v>182</v>
      </c>
      <c r="C261" s="3" t="s">
        <v>179</v>
      </c>
      <c r="D261" s="80">
        <f>(2.9*4.6+1.58*0.6+2.45*2.48+2.9*3.48+1.7*0.6+1.35*2.185+2*1.38+3*0.9+(2.9+5))*10.764</f>
        <v>514.36581299999989</v>
      </c>
      <c r="E261" s="80"/>
      <c r="F261" s="3">
        <v>0</v>
      </c>
      <c r="G261" s="3">
        <f t="shared" si="23"/>
        <v>771.54871949999983</v>
      </c>
      <c r="H261" s="3" t="s">
        <v>86</v>
      </c>
      <c r="I261" s="83"/>
      <c r="J261" s="84"/>
    </row>
    <row r="262" spans="1:12" s="2" customFormat="1" x14ac:dyDescent="0.25">
      <c r="A262" s="3">
        <f t="shared" si="24"/>
        <v>5</v>
      </c>
      <c r="B262" s="3" t="s">
        <v>183</v>
      </c>
      <c r="C262" s="3" t="s">
        <v>298</v>
      </c>
      <c r="D262" s="80">
        <f>(3.38*4.63+1.25*1.35+2*0.6+1.1*2.35+2.45*2.8+1.8*0.6+2.38*3.08+1.01*0.6+3.02*3.08+1.75*0.6+3.35*3.65+2.1*0.6+2.25*1.35+2.28*1.35+1.35*2.28+1.9*0.9+3*0.9+(3.38+2.8+3+1))*10.764</f>
        <v>910.85936760000004</v>
      </c>
      <c r="E262" s="80"/>
      <c r="F262" s="3">
        <v>0</v>
      </c>
      <c r="G262" s="3">
        <f t="shared" si="23"/>
        <v>1366.2890514000001</v>
      </c>
      <c r="H262" s="3" t="s">
        <v>86</v>
      </c>
      <c r="I262" s="83"/>
      <c r="J262" s="84"/>
    </row>
    <row r="263" spans="1:12" s="2" customFormat="1" x14ac:dyDescent="0.25">
      <c r="A263" s="3">
        <f t="shared" si="24"/>
        <v>6</v>
      </c>
      <c r="B263" s="3" t="s">
        <v>183</v>
      </c>
      <c r="C263" s="3" t="s">
        <v>179</v>
      </c>
      <c r="D263" s="80">
        <f>(2.93*4.65+1.25*1.35+2.45*2.48+3*3.48+1.83*0.6+2.18*1.38+1.55*2.18+3*0.9+(2.9*1.15+2.45+2.9))*10.764</f>
        <v>545.71757760000003</v>
      </c>
      <c r="E263" s="80"/>
      <c r="F263" s="3">
        <v>0</v>
      </c>
      <c r="G263" s="3">
        <f t="shared" si="23"/>
        <v>818.5763664000001</v>
      </c>
      <c r="H263" s="3" t="s">
        <v>86</v>
      </c>
      <c r="I263" s="83"/>
      <c r="J263" s="84"/>
    </row>
    <row r="264" spans="1:12" s="2" customFormat="1" x14ac:dyDescent="0.25">
      <c r="A264" s="3">
        <f t="shared" si="24"/>
        <v>7</v>
      </c>
      <c r="B264" s="3" t="s">
        <v>183</v>
      </c>
      <c r="C264" s="3" t="s">
        <v>180</v>
      </c>
      <c r="D264" s="80">
        <f>(3.05*4.65+1.7*0.6+1.23*2.1+2.45*2.78+3.05*2.78+1.65*0.6+3.05*3.25+0.6*2.15+1.35*2.25+2.65*1.38+4.5*0.9+(3.05+3.5+2))*10.764</f>
        <v>694.95074999999997</v>
      </c>
      <c r="E264" s="80"/>
      <c r="F264" s="3">
        <v>0</v>
      </c>
      <c r="G264" s="3">
        <f t="shared" si="23"/>
        <v>1042.426125</v>
      </c>
      <c r="H264" s="3" t="s">
        <v>86</v>
      </c>
      <c r="I264" s="83"/>
      <c r="J264" s="84"/>
    </row>
    <row r="265" spans="1:12" s="2" customFormat="1" x14ac:dyDescent="0.25">
      <c r="A265" s="3">
        <f t="shared" si="24"/>
        <v>8</v>
      </c>
      <c r="B265" s="3" t="s">
        <v>183</v>
      </c>
      <c r="C265" s="3" t="s">
        <v>180</v>
      </c>
      <c r="D265" s="80">
        <f>(3.05*4.65+1.7*0.6+1.23*2.1+2.45*2.78+3.05*2.78+1.65*0.6+3.05*3.25+0.6*2.15+1.35*2.25+2.65*1.38+4.5*0.9+(3.05+3.5+2))*10.764</f>
        <v>694.95074999999997</v>
      </c>
      <c r="E265" s="80"/>
      <c r="F265" s="3">
        <v>0</v>
      </c>
      <c r="G265" s="3">
        <f t="shared" si="23"/>
        <v>1042.426125</v>
      </c>
      <c r="H265" s="3" t="s">
        <v>86</v>
      </c>
      <c r="I265" s="83"/>
      <c r="J265" s="84"/>
    </row>
    <row r="266" spans="1:12" s="2" customFormat="1" x14ac:dyDescent="0.25">
      <c r="A266" s="3">
        <f>A265+1</f>
        <v>9</v>
      </c>
      <c r="B266" s="3" t="s">
        <v>183</v>
      </c>
      <c r="C266" s="3" t="s">
        <v>179</v>
      </c>
      <c r="D266" s="80">
        <f>(2.93*4.65+1.25*1.35+2.45*2.48+3*3.47+1.83*0.6+2.18*1.38+1.55*2.18+3*0.9+(2.9*1.15+2.45+2.9))*10.764</f>
        <v>545.39465760000007</v>
      </c>
      <c r="E266" s="80"/>
      <c r="F266" s="3">
        <v>0</v>
      </c>
      <c r="G266" s="3">
        <f t="shared" si="23"/>
        <v>818.09198640000011</v>
      </c>
      <c r="H266" s="3" t="s">
        <v>86</v>
      </c>
      <c r="I266" s="83"/>
      <c r="J266" s="84"/>
    </row>
    <row r="267" spans="1:12" s="2" customFormat="1" x14ac:dyDescent="0.25">
      <c r="A267" s="3">
        <f>A266+1</f>
        <v>10</v>
      </c>
      <c r="B267" s="3" t="s">
        <v>183</v>
      </c>
      <c r="C267" s="3" t="s">
        <v>180</v>
      </c>
      <c r="D267" s="80">
        <f>(3.08*4.6+1.25*1.35+1.73*0.6+2.45*2.78+3.05*2.78+1.68*0.6+3.08*3.22+0.75*2.22+1.37*2.2+2.13*1.38+4*0.9+(3.08+2.45+1.4+2.2+1))*10.764</f>
        <v>693.82052999999996</v>
      </c>
      <c r="E267" s="80"/>
      <c r="F267" s="3">
        <v>0</v>
      </c>
      <c r="G267" s="3">
        <f t="shared" si="23"/>
        <v>1040.7307949999999</v>
      </c>
      <c r="H267" s="3" t="s">
        <v>86</v>
      </c>
      <c r="I267" s="85"/>
      <c r="J267" s="86"/>
    </row>
    <row r="268" spans="1:12" s="2" customFormat="1" x14ac:dyDescent="0.25">
      <c r="A268" s="87" t="s">
        <v>301</v>
      </c>
      <c r="B268" s="88"/>
      <c r="C268" s="88"/>
      <c r="D268" s="88"/>
      <c r="E268" s="88"/>
      <c r="F268" s="88"/>
      <c r="G268" s="88"/>
      <c r="H268" s="88"/>
      <c r="I268" s="88"/>
      <c r="J268" s="89"/>
    </row>
    <row r="269" spans="1:12" s="2" customFormat="1" x14ac:dyDescent="0.25">
      <c r="A269" s="3">
        <v>1</v>
      </c>
      <c r="B269" s="3" t="s">
        <v>183</v>
      </c>
      <c r="C269" s="3" t="s">
        <v>180</v>
      </c>
      <c r="D269" s="80">
        <f>(3.05*4.65+1.7*0.6+2.45*2.78+3.05*2.78+1.65*0.6+3.05*3.28+1.7*0.6+1.35*2.28+2.45*1.38+4.5*0.9+(3.05+3.5+1.5))*10.764</f>
        <v>657.30904199999998</v>
      </c>
      <c r="E269" s="80"/>
      <c r="F269" s="3">
        <v>0</v>
      </c>
      <c r="G269" s="3">
        <f t="shared" ref="G269:G278" si="25">D269*(($G$148)+1)+(IF(F269&lt;101,F269,IF(F269&lt;201,F269/2,IF(F269&lt;=301,F269/3,F269/4))))</f>
        <v>985.96356300000002</v>
      </c>
      <c r="H269" s="3" t="s">
        <v>86</v>
      </c>
      <c r="I269" s="81" t="str">
        <f>A268</f>
        <v>20th, 21st, 23rd to 26th, 28th to 31st, 33rd &amp; 34th Floor</v>
      </c>
      <c r="J269" s="82"/>
    </row>
    <row r="270" spans="1:12" s="2" customFormat="1" x14ac:dyDescent="0.25">
      <c r="A270" s="3">
        <f>A269+1</f>
        <v>2</v>
      </c>
      <c r="B270" s="3" t="s">
        <v>183</v>
      </c>
      <c r="C270" s="3" t="s">
        <v>180</v>
      </c>
      <c r="D270" s="80">
        <f>(3.05*4.65+1.7*0.6+2.45*2.78+3.05*2.78+1.65*0.6+3.13*3.28+1.7*0.6+1.35*2.28+2.45*1.38+4.5*0.9+(3.05+3.5+1.5))*10.764</f>
        <v>660.13351560000001</v>
      </c>
      <c r="E270" s="80"/>
      <c r="F270" s="3">
        <v>0</v>
      </c>
      <c r="G270" s="3">
        <f t="shared" si="25"/>
        <v>990.20027340000001</v>
      </c>
      <c r="H270" s="3" t="s">
        <v>86</v>
      </c>
      <c r="I270" s="83"/>
      <c r="J270" s="84"/>
    </row>
    <row r="271" spans="1:12" s="2" customFormat="1" x14ac:dyDescent="0.25">
      <c r="A271" s="3">
        <f t="shared" ref="A271:A276" si="26">A270+1</f>
        <v>3</v>
      </c>
      <c r="B271" s="3" t="s">
        <v>183</v>
      </c>
      <c r="C271" s="3" t="s">
        <v>180</v>
      </c>
      <c r="D271" s="80">
        <f>(3.05*4.65+1.7*0.6+2.45*2.78+3.05*2.78+1.65*0.6+3.13*3.28+1.7*0.6+1.35*2.28+2.45*1.38+4.5*0.9+(3.05+3.5+1.5))*10.764</f>
        <v>660.13351560000001</v>
      </c>
      <c r="E271" s="80"/>
      <c r="F271" s="3">
        <v>0</v>
      </c>
      <c r="G271" s="3">
        <f t="shared" si="25"/>
        <v>990.20027340000001</v>
      </c>
      <c r="H271" s="3" t="s">
        <v>86</v>
      </c>
      <c r="I271" s="83"/>
      <c r="J271" s="84"/>
    </row>
    <row r="272" spans="1:12" s="2" customFormat="1" x14ac:dyDescent="0.25">
      <c r="A272" s="3">
        <f t="shared" si="26"/>
        <v>4</v>
      </c>
      <c r="B272" s="3" t="s">
        <v>183</v>
      </c>
      <c r="C272" s="3" t="s">
        <v>179</v>
      </c>
      <c r="D272" s="80">
        <f>(2.9*4.6+1.58*0.6+2.45*2.48+2.9*3.48+1.7*0.6+1.35*2.185+2*1.38+3*0.9+(2.9+5))*10.764</f>
        <v>514.36581299999989</v>
      </c>
      <c r="E272" s="80"/>
      <c r="F272" s="3">
        <v>0</v>
      </c>
      <c r="G272" s="3">
        <f t="shared" si="25"/>
        <v>771.54871949999983</v>
      </c>
      <c r="H272" s="3" t="s">
        <v>86</v>
      </c>
      <c r="I272" s="83"/>
      <c r="J272" s="84"/>
    </row>
    <row r="273" spans="1:12" s="2" customFormat="1" x14ac:dyDescent="0.25">
      <c r="A273" s="3">
        <f t="shared" si="26"/>
        <v>5</v>
      </c>
      <c r="B273" s="3" t="s">
        <v>183</v>
      </c>
      <c r="C273" s="3" t="s">
        <v>298</v>
      </c>
      <c r="D273" s="80">
        <f>(3.38*4.63+1.25*1.35+2*0.6+1.1*2.35+2.45*2.8+1.8*0.6+2.38*3.08+1.01*0.6+3.02*3.08+1.75*0.6+3.35*3.65+2.1*0.6+2.25*1.35+2.28*1.35+1.35*2.28+1.9*0.9+3*0.9+(3.38+2.8+3+1))*10.764</f>
        <v>910.85936760000004</v>
      </c>
      <c r="E273" s="80"/>
      <c r="F273" s="3">
        <v>0</v>
      </c>
      <c r="G273" s="3">
        <f t="shared" si="25"/>
        <v>1366.2890514000001</v>
      </c>
      <c r="H273" s="3" t="s">
        <v>86</v>
      </c>
      <c r="I273" s="83"/>
      <c r="J273" s="84"/>
    </row>
    <row r="274" spans="1:12" s="2" customFormat="1" x14ac:dyDescent="0.25">
      <c r="A274" s="3">
        <f t="shared" si="26"/>
        <v>6</v>
      </c>
      <c r="B274" s="3" t="s">
        <v>183</v>
      </c>
      <c r="C274" s="3" t="s">
        <v>179</v>
      </c>
      <c r="D274" s="80">
        <f>(2.93*4.65+1.25*1.35+2.45*2.48+3*3.48+1.83*0.6+2.18*1.38+1.55*2.18+3*0.9+(2.9*1.15+2.45+2.9))*10.764</f>
        <v>545.71757760000003</v>
      </c>
      <c r="E274" s="80"/>
      <c r="F274" s="3">
        <v>0</v>
      </c>
      <c r="G274" s="3">
        <f t="shared" si="25"/>
        <v>818.5763664000001</v>
      </c>
      <c r="H274" s="3" t="s">
        <v>86</v>
      </c>
      <c r="I274" s="83"/>
      <c r="J274" s="84"/>
    </row>
    <row r="275" spans="1:12" s="2" customFormat="1" x14ac:dyDescent="0.25">
      <c r="A275" s="3">
        <f t="shared" si="26"/>
        <v>7</v>
      </c>
      <c r="B275" s="3" t="s">
        <v>183</v>
      </c>
      <c r="C275" s="3" t="s">
        <v>180</v>
      </c>
      <c r="D275" s="80">
        <f>(3.05*4.65+1.7*0.6+1.23*2.1+2.45*2.78+3.05*2.78+1.65*0.6+3.05*3.25+0.6*2.15+1.35*2.25+2.65*1.38+4.5*0.9+(3.05+3.5+2))*10.764</f>
        <v>694.95074999999997</v>
      </c>
      <c r="E275" s="80"/>
      <c r="F275" s="3">
        <v>0</v>
      </c>
      <c r="G275" s="3">
        <f t="shared" si="25"/>
        <v>1042.426125</v>
      </c>
      <c r="H275" s="3" t="s">
        <v>86</v>
      </c>
      <c r="I275" s="83"/>
      <c r="J275" s="84"/>
    </row>
    <row r="276" spans="1:12" s="2" customFormat="1" x14ac:dyDescent="0.25">
      <c r="A276" s="3">
        <f t="shared" si="26"/>
        <v>8</v>
      </c>
      <c r="B276" s="3" t="s">
        <v>183</v>
      </c>
      <c r="C276" s="3" t="s">
        <v>180</v>
      </c>
      <c r="D276" s="80">
        <f>(3.05*4.65+1.7*0.6+1.23*2.1+2.45*2.78+3.05*2.78+1.65*0.6+3.05*3.25+0.6*2.15+1.35*2.25+2.65*1.38+4.5*0.9+(3.05+3.5+2))*10.764</f>
        <v>694.95074999999997</v>
      </c>
      <c r="E276" s="80"/>
      <c r="F276" s="3">
        <v>0</v>
      </c>
      <c r="G276" s="3">
        <f t="shared" si="25"/>
        <v>1042.426125</v>
      </c>
      <c r="H276" s="3" t="s">
        <v>86</v>
      </c>
      <c r="I276" s="83"/>
      <c r="J276" s="84"/>
    </row>
    <row r="277" spans="1:12" s="2" customFormat="1" x14ac:dyDescent="0.25">
      <c r="A277" s="3">
        <f>A276+1</f>
        <v>9</v>
      </c>
      <c r="B277" s="3" t="s">
        <v>183</v>
      </c>
      <c r="C277" s="3" t="s">
        <v>179</v>
      </c>
      <c r="D277" s="80">
        <f>(2.93*4.65+1.25*1.35+2.45*2.48+3*3.47+1.83*0.6+2.18*1.38+1.55*2.18+3*0.9+(2.9*1.15+2.45+2.9))*10.764</f>
        <v>545.39465760000007</v>
      </c>
      <c r="E277" s="80"/>
      <c r="F277" s="3">
        <v>0</v>
      </c>
      <c r="G277" s="3">
        <f t="shared" si="25"/>
        <v>818.09198640000011</v>
      </c>
      <c r="H277" s="3" t="s">
        <v>86</v>
      </c>
      <c r="I277" s="83"/>
      <c r="J277" s="84"/>
    </row>
    <row r="278" spans="1:12" s="2" customFormat="1" x14ac:dyDescent="0.25">
      <c r="A278" s="3">
        <f>A277+1</f>
        <v>10</v>
      </c>
      <c r="B278" s="3" t="s">
        <v>183</v>
      </c>
      <c r="C278" s="3" t="s">
        <v>180</v>
      </c>
      <c r="D278" s="80">
        <f>(3.08*4.6+1.25*1.35+1.73*0.6+2.45*2.78+3.05*2.78+1.68*0.6+3.08*3.22+0.75*2.22+1.37*2.2+2.13*1.38+4*0.9+(3.08+2.45+1.4+2.2+1))*10.764</f>
        <v>693.82052999999996</v>
      </c>
      <c r="E278" s="80"/>
      <c r="F278" s="3">
        <v>0</v>
      </c>
      <c r="G278" s="3">
        <f t="shared" si="25"/>
        <v>1040.7307949999999</v>
      </c>
      <c r="H278" s="3" t="s">
        <v>86</v>
      </c>
      <c r="I278" s="85"/>
      <c r="J278" s="86"/>
    </row>
    <row r="279" spans="1:12" s="2" customFormat="1" x14ac:dyDescent="0.25">
      <c r="A279" s="87" t="s">
        <v>302</v>
      </c>
      <c r="B279" s="88"/>
      <c r="C279" s="88"/>
      <c r="D279" s="88"/>
      <c r="E279" s="88"/>
      <c r="F279" s="88"/>
      <c r="G279" s="88"/>
      <c r="H279" s="88"/>
      <c r="I279" s="88"/>
      <c r="J279" s="89"/>
    </row>
    <row r="280" spans="1:12" s="2" customFormat="1" x14ac:dyDescent="0.25">
      <c r="A280" s="3">
        <v>1</v>
      </c>
      <c r="B280" s="3" t="s">
        <v>183</v>
      </c>
      <c r="C280" s="3" t="s">
        <v>180</v>
      </c>
      <c r="D280" s="80">
        <f>(3.05*4.65+1.7*0.6+2.45*2.78+3.05*2.78+1.65*0.6+3.05*3.28+1.7*0.6+1.35*2.28+2.45*1.38+4.5*0.9+(3.05+3.5+1.5))*10.764</f>
        <v>657.30904199999998</v>
      </c>
      <c r="E280" s="80"/>
      <c r="F280" s="3">
        <v>0</v>
      </c>
      <c r="G280" s="3">
        <f t="shared" ref="G280:G286" si="27">D280*(($G$148)+1)+(IF(F280&lt;101,F280,IF(F280&lt;201,F280/2,IF(F280&lt;=301,F280/3,F280/4))))</f>
        <v>985.96356300000002</v>
      </c>
      <c r="H280" s="3" t="s">
        <v>86</v>
      </c>
      <c r="I280" s="81" t="str">
        <f>A279</f>
        <v>22nd, 27th &amp; 32nd Floor (Part Refuge Area)</v>
      </c>
      <c r="J280" s="82"/>
    </row>
    <row r="281" spans="1:12" s="2" customFormat="1" x14ac:dyDescent="0.25">
      <c r="A281" s="3">
        <f>A280+1</f>
        <v>2</v>
      </c>
      <c r="B281" s="3" t="s">
        <v>183</v>
      </c>
      <c r="C281" s="3" t="s">
        <v>180</v>
      </c>
      <c r="D281" s="80">
        <f>(3.05*4.65+1.7*0.6+2.45*2.78+3.05*2.78+1.65*0.6+3.13*3.28+1.7*0.6+1.35*2.28+2.45*1.38+4.5*0.9+(3.05+3.5+1.5))*10.764</f>
        <v>660.13351560000001</v>
      </c>
      <c r="E281" s="80"/>
      <c r="F281" s="3">
        <v>0</v>
      </c>
      <c r="G281" s="3">
        <f t="shared" si="27"/>
        <v>990.20027340000001</v>
      </c>
      <c r="H281" s="3" t="s">
        <v>86</v>
      </c>
      <c r="I281" s="83"/>
      <c r="J281" s="84"/>
    </row>
    <row r="282" spans="1:12" s="2" customFormat="1" x14ac:dyDescent="0.25">
      <c r="A282" s="3">
        <f t="shared" ref="A282:A287" si="28">A281+1</f>
        <v>3</v>
      </c>
      <c r="B282" s="3" t="s">
        <v>183</v>
      </c>
      <c r="C282" s="3" t="s">
        <v>180</v>
      </c>
      <c r="D282" s="80">
        <f>(3.05*4.65+1.7*0.6+2.45*2.78+3.05*2.78+1.65*0.6+3.13*3.28+1.7*0.6+1.35*2.28+2.45*1.38+4.5*0.9+(3.05+3.5+1.5))*10.764</f>
        <v>660.13351560000001</v>
      </c>
      <c r="E282" s="80"/>
      <c r="F282" s="3">
        <v>0</v>
      </c>
      <c r="G282" s="3">
        <f t="shared" si="27"/>
        <v>990.20027340000001</v>
      </c>
      <c r="H282" s="3" t="s">
        <v>86</v>
      </c>
      <c r="I282" s="83"/>
      <c r="J282" s="84"/>
    </row>
    <row r="283" spans="1:12" x14ac:dyDescent="0.25">
      <c r="A283" s="3">
        <f t="shared" si="28"/>
        <v>4</v>
      </c>
      <c r="B283" s="3" t="s">
        <v>183</v>
      </c>
      <c r="C283" s="3" t="s">
        <v>179</v>
      </c>
      <c r="D283" s="80">
        <f>(2.9*4.6+1.58*0.6+2.45*2.48+2.9*3.48+1.7*0.6+1.35*2.185+2*1.38+3*0.9+(2.9+5))*10.764</f>
        <v>514.36581299999989</v>
      </c>
      <c r="E283" s="80"/>
      <c r="F283" s="3">
        <v>0</v>
      </c>
      <c r="G283" s="3">
        <f t="shared" si="27"/>
        <v>771.54871949999983</v>
      </c>
      <c r="H283" s="3" t="s">
        <v>86</v>
      </c>
      <c r="I283" s="83"/>
      <c r="J283" s="84"/>
      <c r="K283" s="2"/>
      <c r="L283" s="2"/>
    </row>
    <row r="284" spans="1:12" s="2" customFormat="1" x14ac:dyDescent="0.25">
      <c r="A284" s="3">
        <f t="shared" si="28"/>
        <v>5</v>
      </c>
      <c r="B284" s="3" t="s">
        <v>183</v>
      </c>
      <c r="C284" s="3" t="s">
        <v>298</v>
      </c>
      <c r="D284" s="80">
        <f>(3.38*4.63+1.25*1.35+2*0.6+1.1*2.35+2.45*2.8+1.8*0.6+2.38*3.08+1.01*0.6+3.02*3.08+1.75*0.6+3.35*3.65+2.1*0.6+2.25*1.35+2.28*1.35+1.35*2.28+1.9*0.9+3*0.9+(3.38+2.8+3+1))*10.764</f>
        <v>910.85936760000004</v>
      </c>
      <c r="E284" s="80"/>
      <c r="F284" s="3">
        <v>0</v>
      </c>
      <c r="G284" s="3">
        <f t="shared" si="27"/>
        <v>1366.2890514000001</v>
      </c>
      <c r="H284" s="3" t="s">
        <v>86</v>
      </c>
      <c r="I284" s="83"/>
      <c r="J284" s="84"/>
    </row>
    <row r="285" spans="1:12" s="2" customFormat="1" x14ac:dyDescent="0.25">
      <c r="A285" s="3">
        <f t="shared" si="28"/>
        <v>6</v>
      </c>
      <c r="B285" s="3" t="s">
        <v>183</v>
      </c>
      <c r="C285" s="3" t="s">
        <v>179</v>
      </c>
      <c r="D285" s="80">
        <f>(2.93*4.65+1.25*1.35+2.45*2.48+3*3.48+1.83*0.6+2.18*1.38+1.55*2.18+3*0.9+(2.9*1.15+2.45+2.9))*10.764</f>
        <v>545.71757760000003</v>
      </c>
      <c r="E285" s="80"/>
      <c r="F285" s="3">
        <v>0</v>
      </c>
      <c r="G285" s="3">
        <f t="shared" si="27"/>
        <v>818.5763664000001</v>
      </c>
      <c r="H285" s="3" t="s">
        <v>86</v>
      </c>
      <c r="I285" s="83"/>
      <c r="J285" s="84"/>
    </row>
    <row r="286" spans="1:12" s="2" customFormat="1" x14ac:dyDescent="0.25">
      <c r="A286" s="3">
        <f t="shared" si="28"/>
        <v>7</v>
      </c>
      <c r="B286" s="3" t="s">
        <v>183</v>
      </c>
      <c r="C286" s="3" t="s">
        <v>180</v>
      </c>
      <c r="D286" s="80">
        <f>(3.05*4.65+1.7*0.6+1.23*2.1+2.45*2.78+3.05*2.78+1.65*0.6+3.05*3.25+0.6*2.15+1.35*2.25+2.65*1.38+4.5*0.9+(3.05+3.5+2))*10.764</f>
        <v>694.95074999999997</v>
      </c>
      <c r="E286" s="80"/>
      <c r="F286" s="3">
        <v>0</v>
      </c>
      <c r="G286" s="3">
        <f t="shared" si="27"/>
        <v>1042.426125</v>
      </c>
      <c r="H286" s="3" t="s">
        <v>86</v>
      </c>
      <c r="I286" s="83"/>
      <c r="J286" s="84"/>
    </row>
    <row r="287" spans="1:12" ht="15" customHeight="1" x14ac:dyDescent="0.25">
      <c r="A287" s="3">
        <f t="shared" si="28"/>
        <v>8</v>
      </c>
      <c r="B287" s="107" t="s">
        <v>181</v>
      </c>
      <c r="C287" s="108"/>
      <c r="D287" s="108"/>
      <c r="E287" s="108"/>
      <c r="F287" s="108"/>
      <c r="G287" s="108"/>
      <c r="H287" s="109"/>
      <c r="I287" s="83"/>
      <c r="J287" s="84"/>
      <c r="K287" s="2"/>
      <c r="L287" s="2"/>
    </row>
    <row r="288" spans="1:12" ht="15" customHeight="1" x14ac:dyDescent="0.25">
      <c r="A288" s="3">
        <f>A287+1</f>
        <v>9</v>
      </c>
      <c r="B288" s="3" t="s">
        <v>183</v>
      </c>
      <c r="C288" s="3" t="s">
        <v>179</v>
      </c>
      <c r="D288" s="80">
        <f>(2.93*4.65+1.25*1.35+2.45*2.48+3*3.47+1.83*0.6+2.18*1.38+1.55*2.18+3*0.9+(2.9*1.15+2.45+2.9))*10.764</f>
        <v>545.39465760000007</v>
      </c>
      <c r="E288" s="80"/>
      <c r="F288" s="3">
        <v>0</v>
      </c>
      <c r="G288" s="3">
        <f>D288*(($G$148)+1)+(IF(F288&lt;101,F288,IF(F288&lt;201,F288/2,IF(F288&lt;=301,F288/3,F288/4))))</f>
        <v>818.09198640000011</v>
      </c>
      <c r="H288" s="3" t="s">
        <v>86</v>
      </c>
      <c r="I288" s="83"/>
      <c r="J288" s="84"/>
      <c r="K288" s="2"/>
      <c r="L288" s="2"/>
    </row>
    <row r="289" spans="1:12" x14ac:dyDescent="0.25">
      <c r="A289" s="3">
        <f>A288+1</f>
        <v>10</v>
      </c>
      <c r="B289" s="3" t="s">
        <v>183</v>
      </c>
      <c r="C289" s="3" t="s">
        <v>180</v>
      </c>
      <c r="D289" s="80">
        <f>(3.08*4.6+1.25*1.35+1.73*0.6+2.45*2.78+3.05*2.78+1.68*0.6+3.08*3.22+0.75*2.22+1.37*2.2+2.13*1.38+4*0.9+(3.08+2.45+1.4+2.2+1))*10.764</f>
        <v>693.82052999999996</v>
      </c>
      <c r="E289" s="80"/>
      <c r="F289" s="3">
        <v>0</v>
      </c>
      <c r="G289" s="3">
        <f>D289*(($G$148)+1)+(IF(F289&lt;101,F289,IF(F289&lt;201,F289/2,IF(F289&lt;=301,F289/3,F289/4))))</f>
        <v>1040.7307949999999</v>
      </c>
      <c r="H289" s="3" t="s">
        <v>86</v>
      </c>
      <c r="I289" s="85"/>
      <c r="J289" s="86"/>
      <c r="K289" s="2"/>
      <c r="L289" s="2"/>
    </row>
    <row r="290" spans="1:12" x14ac:dyDescent="0.25">
      <c r="A290" s="87" t="s">
        <v>303</v>
      </c>
      <c r="B290" s="88"/>
      <c r="C290" s="88"/>
      <c r="D290" s="88"/>
      <c r="E290" s="88"/>
      <c r="F290" s="88"/>
      <c r="G290" s="88"/>
      <c r="H290" s="88"/>
      <c r="I290" s="88"/>
      <c r="J290" s="89"/>
      <c r="K290" s="2"/>
      <c r="L290" s="2"/>
    </row>
    <row r="291" spans="1:12" ht="15" customHeight="1" x14ac:dyDescent="0.25">
      <c r="A291" s="3">
        <v>1</v>
      </c>
      <c r="B291" s="3" t="s">
        <v>183</v>
      </c>
      <c r="C291" s="3" t="s">
        <v>180</v>
      </c>
      <c r="D291" s="80">
        <f>(3.05*5.25+1.2*0.84+2.45*2.78+3.05*2.78+1.65*0.6+3.05*3.28+1.7*0.6+1.35*2.28+2.45*1.38+4.5*0.9+(3.05*1.5+3.5*1.5+1.5*1.5))*10.764</f>
        <v>720.20309399999996</v>
      </c>
      <c r="E291" s="80"/>
      <c r="F291" s="3">
        <v>0</v>
      </c>
      <c r="G291" s="3">
        <f t="shared" ref="G291:G298" si="29">D291*(($G$148)+1)+(IF(F291&lt;101,F291,IF(F291&lt;201,F291/2,IF(F291&lt;=301,F291/3,F291/4))))</f>
        <v>1080.3046409999999</v>
      </c>
      <c r="H291" s="3" t="s">
        <v>86</v>
      </c>
      <c r="I291" s="81" t="str">
        <f>A290</f>
        <v>35th, 36th, 38th to 41st Floor</v>
      </c>
      <c r="J291" s="82"/>
      <c r="K291" s="2"/>
      <c r="L291" s="2"/>
    </row>
    <row r="292" spans="1:12" x14ac:dyDescent="0.25">
      <c r="A292" s="3">
        <f>A291+1</f>
        <v>2</v>
      </c>
      <c r="B292" s="3" t="s">
        <v>183</v>
      </c>
      <c r="C292" s="3" t="s">
        <v>180</v>
      </c>
      <c r="D292" s="80">
        <f>(3.05*5.25+2.45*2.78+3.05*2.78+1.65*0.6+3.13*3.28+1.7*0.6+1.35*2.28+2.45*1.38+4.5*0.9+(3.05*1.5+3.5*1.5+1.5*1.5))*10.764</f>
        <v>712.17745559999992</v>
      </c>
      <c r="E292" s="80"/>
      <c r="F292" s="3">
        <v>0</v>
      </c>
      <c r="G292" s="3">
        <f t="shared" si="29"/>
        <v>1068.2661833999998</v>
      </c>
      <c r="H292" s="3" t="s">
        <v>86</v>
      </c>
      <c r="I292" s="83"/>
      <c r="J292" s="84"/>
      <c r="K292" s="2"/>
      <c r="L292" s="2"/>
    </row>
    <row r="293" spans="1:12" x14ac:dyDescent="0.25">
      <c r="A293" s="3">
        <f t="shared" ref="A293:A298" si="30">A292+1</f>
        <v>3</v>
      </c>
      <c r="B293" s="3" t="s">
        <v>183</v>
      </c>
      <c r="C293" s="3" t="s">
        <v>180</v>
      </c>
      <c r="D293" s="80">
        <f>(3.05*5.25+2.45*2.78+3.05*2.78+1.65*0.75+3.13*3.28+1.7*0.6+1.35*2.28+2.45*1.38+4.5*0.9+(3.05*1.5+3.5*1.5+1.5*1.5))*10.764</f>
        <v>714.8415455999999</v>
      </c>
      <c r="E293" s="80"/>
      <c r="F293" s="3">
        <v>0</v>
      </c>
      <c r="G293" s="3">
        <f t="shared" si="29"/>
        <v>1072.2623183999999</v>
      </c>
      <c r="H293" s="3" t="s">
        <v>86</v>
      </c>
      <c r="I293" s="83"/>
      <c r="J293" s="84"/>
      <c r="K293" s="2"/>
      <c r="L293" s="2"/>
    </row>
    <row r="294" spans="1:12" x14ac:dyDescent="0.25">
      <c r="A294" s="3">
        <f t="shared" si="30"/>
        <v>4</v>
      </c>
      <c r="B294" s="3" t="s">
        <v>183</v>
      </c>
      <c r="C294" s="3" t="s">
        <v>179</v>
      </c>
      <c r="D294" s="80">
        <f>(2.9*5.25+1.2*0.89+2.45*2.48+2.9*3.48+1.7*0.6+1.35*2.185+2*1.38+3*0.9+(2.9*1.5+5.2*1.5))*10.764</f>
        <v>581.69463299999995</v>
      </c>
      <c r="E294" s="80"/>
      <c r="F294" s="3">
        <v>0</v>
      </c>
      <c r="G294" s="3">
        <f t="shared" si="29"/>
        <v>872.54194949999987</v>
      </c>
      <c r="H294" s="3" t="s">
        <v>86</v>
      </c>
      <c r="I294" s="83"/>
      <c r="J294" s="84"/>
      <c r="K294" s="2"/>
      <c r="L294" s="2"/>
    </row>
    <row r="295" spans="1:12" x14ac:dyDescent="0.25">
      <c r="A295" s="3">
        <f t="shared" si="30"/>
        <v>5</v>
      </c>
      <c r="B295" s="3" t="s">
        <v>183</v>
      </c>
      <c r="C295" s="71" t="s">
        <v>326</v>
      </c>
      <c r="D295" s="80">
        <f>(6.4*4.65+1.25*1.35+2*0.6+1.1*2.35+2.45*2.8+1.8*0.6+2.38*3.08+1.01*0.6+3.02*3.08+1.75*0.6+3.35*3.65+2.1*0.6+3*3.48+1.83*0.6+2.45*2.48+2.18*1.38+1.25*1.23+1.55*2.18+2.25*1.35+2.28*1.35+1.35*2.28+1.9*0.9+3*0.9+3*0.9+(3*1.5+2.45*1.5+2.8*1.65+3*1.5+2.8*1.5+3.5*1.5+1.5*1.5))*10.764</f>
        <v>1569.2340455999999</v>
      </c>
      <c r="E295" s="80"/>
      <c r="F295" s="3">
        <v>0</v>
      </c>
      <c r="G295" s="3">
        <f t="shared" si="29"/>
        <v>2353.8510683999998</v>
      </c>
      <c r="H295" s="3" t="s">
        <v>86</v>
      </c>
      <c r="I295" s="83"/>
      <c r="J295" s="84"/>
    </row>
    <row r="296" spans="1:12" x14ac:dyDescent="0.25">
      <c r="A296" s="3">
        <v>7</v>
      </c>
      <c r="B296" s="3" t="s">
        <v>183</v>
      </c>
      <c r="C296" s="3" t="s">
        <v>180</v>
      </c>
      <c r="D296" s="80">
        <f>(3.05*4.65+1.7*0.6+1.23*2.1+2.45*2.78+3.05*2.78+1.65*0.6+3.05*3.25+0.6*2.15+1.35*2.25+2.65*1.38+4.5*0.9+(3.05*1.5+3.5*1.5+2*1.5))*10.764</f>
        <v>740.96684999999991</v>
      </c>
      <c r="E296" s="80"/>
      <c r="F296" s="3">
        <v>0</v>
      </c>
      <c r="G296" s="3">
        <f t="shared" si="29"/>
        <v>1111.4502749999999</v>
      </c>
      <c r="H296" s="3" t="s">
        <v>86</v>
      </c>
      <c r="I296" s="83"/>
      <c r="J296" s="84"/>
      <c r="K296" s="2"/>
      <c r="L296" s="2"/>
    </row>
    <row r="297" spans="1:12" x14ac:dyDescent="0.25">
      <c r="A297" s="3">
        <f t="shared" si="30"/>
        <v>8</v>
      </c>
      <c r="B297" s="3" t="s">
        <v>183</v>
      </c>
      <c r="C297" s="3" t="s">
        <v>180</v>
      </c>
      <c r="D297" s="80">
        <f>(3.05*4.65+1.7*0.6+1.23*2.1+2.45*2.78+3.05*2.78+1.65*0.6+3.05*3.25+0.6*2.15+1.35*2.25+2.65*1.38+4.5*0.9+(3.05*1.5+3.5*1.5+2*1.5))*10.764</f>
        <v>740.96684999999991</v>
      </c>
      <c r="E297" s="80"/>
      <c r="F297" s="3">
        <v>0</v>
      </c>
      <c r="G297" s="3">
        <f t="shared" si="29"/>
        <v>1111.4502749999999</v>
      </c>
      <c r="H297" s="3" t="s">
        <v>86</v>
      </c>
      <c r="I297" s="83"/>
      <c r="J297" s="84"/>
      <c r="K297" s="2"/>
      <c r="L297" s="2"/>
    </row>
    <row r="298" spans="1:12" x14ac:dyDescent="0.25">
      <c r="A298" s="3">
        <f t="shared" si="30"/>
        <v>9</v>
      </c>
      <c r="B298" s="3" t="s">
        <v>183</v>
      </c>
      <c r="C298" s="3" t="s">
        <v>304</v>
      </c>
      <c r="D298" s="80">
        <f>(6.1*4.65+1.25*1.35+1.73*0.6+2.45*2.78+3.05*2.78+1.68*0.6+3.08*3.22+0.75*2.22+3*3.47+1.83*0.6+2.45*2.48+2.18*1.38+1.73*1.35+1.37*2.2+2.13*1.38+1.55*2.18+4*0.9+3*0.9+(2.6*1.5+1.2*1.5+2.45*1.5+1.5*1.5+3*1.5+2.8*1.65+2.45*1.5+3*1.5))*10.764</f>
        <v>1361.1228696000001</v>
      </c>
      <c r="E298" s="80"/>
      <c r="F298" s="3">
        <v>0</v>
      </c>
      <c r="G298" s="3">
        <f t="shared" si="29"/>
        <v>2041.6843044000002</v>
      </c>
      <c r="H298" s="3" t="s">
        <v>86</v>
      </c>
      <c r="I298" s="83"/>
      <c r="J298" s="84"/>
      <c r="K298" s="2"/>
      <c r="L298" s="2"/>
    </row>
    <row r="299" spans="1:12" x14ac:dyDescent="0.25">
      <c r="A299" s="87" t="s">
        <v>305</v>
      </c>
      <c r="B299" s="88"/>
      <c r="C299" s="88"/>
      <c r="D299" s="88"/>
      <c r="E299" s="88"/>
      <c r="F299" s="88"/>
      <c r="G299" s="88"/>
      <c r="H299" s="88"/>
      <c r="I299" s="88"/>
      <c r="J299" s="89"/>
    </row>
    <row r="300" spans="1:12" x14ac:dyDescent="0.25">
      <c r="A300" s="3">
        <v>1</v>
      </c>
      <c r="B300" s="3" t="s">
        <v>183</v>
      </c>
      <c r="C300" s="3" t="s">
        <v>180</v>
      </c>
      <c r="D300" s="80">
        <f>(3.05*5.25+1.2*0.84+2.45*2.78+3.05*2.78+1.65*0.6+3.05*3.28+1.7*0.6+1.35*2.28+2.45*1.38+4.5*0.9+(3.05*1.5+3.5*1.5+1.5*1.5))*10.764</f>
        <v>720.20309399999996</v>
      </c>
      <c r="E300" s="80"/>
      <c r="F300" s="3">
        <v>0</v>
      </c>
      <c r="G300" s="3">
        <f t="shared" ref="G300:G305" si="31">D300*(($G$148)+1)+(IF(F300&lt;101,F300,IF(F300&lt;201,F300/2,IF(F300&lt;=301,F300/3,F300/4))))</f>
        <v>1080.3046409999999</v>
      </c>
      <c r="H300" s="3" t="s">
        <v>86</v>
      </c>
      <c r="I300" s="81" t="str">
        <f>A299</f>
        <v>37th &amp; 42nd Floor (Part Refuge Area)</v>
      </c>
      <c r="J300" s="82"/>
    </row>
    <row r="301" spans="1:12" x14ac:dyDescent="0.25">
      <c r="A301" s="3">
        <f>A300+1</f>
        <v>2</v>
      </c>
      <c r="B301" s="3" t="s">
        <v>183</v>
      </c>
      <c r="C301" s="3" t="s">
        <v>180</v>
      </c>
      <c r="D301" s="80">
        <f>(3.05*5.25+2.45*2.78+3.05*2.78+1.65*0.6+3.13*3.28+1.7*0.6+1.35*2.28+2.45*1.38+4.5*0.9+(3.05*1.5+3.5*1.5+1.5*1.5))*10.764</f>
        <v>712.17745559999992</v>
      </c>
      <c r="E301" s="80"/>
      <c r="F301" s="3">
        <v>0</v>
      </c>
      <c r="G301" s="3">
        <f t="shared" si="31"/>
        <v>1068.2661833999998</v>
      </c>
      <c r="H301" s="3" t="s">
        <v>86</v>
      </c>
      <c r="I301" s="83"/>
      <c r="J301" s="84"/>
    </row>
    <row r="302" spans="1:12" x14ac:dyDescent="0.25">
      <c r="A302" s="3">
        <f t="shared" ref="A302:A304" si="32">A301+1</f>
        <v>3</v>
      </c>
      <c r="B302" s="3" t="s">
        <v>183</v>
      </c>
      <c r="C302" s="3" t="s">
        <v>180</v>
      </c>
      <c r="D302" s="80">
        <f>(3.05*5.25+2.45*2.78+3.05*2.78+1.65*0.75+3.13*3.28+1.7*0.6+1.35*2.28+2.45*1.38+4.5*0.9+(3.05*1.5+3.5*1.5+1.5*1.5))*10.764</f>
        <v>714.8415455999999</v>
      </c>
      <c r="E302" s="80"/>
      <c r="F302" s="3">
        <v>0</v>
      </c>
      <c r="G302" s="3">
        <f t="shared" si="31"/>
        <v>1072.2623183999999</v>
      </c>
      <c r="H302" s="3" t="s">
        <v>86</v>
      </c>
      <c r="I302" s="83"/>
      <c r="J302" s="84"/>
    </row>
    <row r="303" spans="1:12" x14ac:dyDescent="0.25">
      <c r="A303" s="3">
        <f t="shared" si="32"/>
        <v>4</v>
      </c>
      <c r="B303" s="3" t="s">
        <v>183</v>
      </c>
      <c r="C303" s="3" t="s">
        <v>179</v>
      </c>
      <c r="D303" s="80">
        <f>(2.9*5.25+1.2*0.89+2.45*2.48+2.9*3.48+1.7*0.6+1.35*2.185+2*1.38+3*0.9+(2.9*1.5+5.2*1.5))*10.764</f>
        <v>581.69463299999995</v>
      </c>
      <c r="E303" s="80"/>
      <c r="F303" s="3">
        <v>0</v>
      </c>
      <c r="G303" s="3">
        <f t="shared" si="31"/>
        <v>872.54194949999987</v>
      </c>
      <c r="H303" s="3" t="s">
        <v>86</v>
      </c>
      <c r="I303" s="83"/>
      <c r="J303" s="84"/>
    </row>
    <row r="304" spans="1:12" x14ac:dyDescent="0.25">
      <c r="A304" s="3">
        <f t="shared" si="32"/>
        <v>5</v>
      </c>
      <c r="B304" s="3" t="s">
        <v>183</v>
      </c>
      <c r="C304" s="71" t="s">
        <v>326</v>
      </c>
      <c r="D304" s="80">
        <f>(6.4*4.65+1.25*1.35+2*0.6+1.1*2.35+2.45*2.8+1.8*0.6+2.38*3.08+1.01*0.6+3.02*3.08+1.75*0.6+3.35*3.65+2.1*0.6+3*3.48+1.83*0.6+2.45*2.48+2.18*1.38+1.25*1.23+1.55*2.18+2.25*1.35+2.28*1.35+1.35*2.28+1.9*0.9+3*0.9+3*0.9+(3*1.5+2.45*1.5+2.8*1.65+3*1.5+2.8*1.5+3.5*1.5+1.5*1.5))*10.764</f>
        <v>1569.2340455999999</v>
      </c>
      <c r="E304" s="80"/>
      <c r="F304" s="3">
        <v>0</v>
      </c>
      <c r="G304" s="3">
        <f t="shared" si="31"/>
        <v>2353.8510683999998</v>
      </c>
      <c r="H304" s="3" t="s">
        <v>86</v>
      </c>
      <c r="I304" s="83"/>
      <c r="J304" s="84"/>
    </row>
    <row r="305" spans="1:11" x14ac:dyDescent="0.25">
      <c r="A305" s="3">
        <v>7</v>
      </c>
      <c r="B305" s="3" t="s">
        <v>183</v>
      </c>
      <c r="C305" s="3" t="s">
        <v>180</v>
      </c>
      <c r="D305" s="80">
        <f>(3.05*4.65+1.7*0.6+1.23*2.1+2.45*2.78+3.05*2.78+1.65*0.6+3.05*3.25+0.6*2.15+1.35*2.25+2.65*1.38+4.5*0.9+(3.05*1.5+3.5*1.5+2*1.5))*10.764</f>
        <v>740.96684999999991</v>
      </c>
      <c r="E305" s="80"/>
      <c r="F305" s="3">
        <v>0</v>
      </c>
      <c r="G305" s="3">
        <f t="shared" si="31"/>
        <v>1111.4502749999999</v>
      </c>
      <c r="H305" s="3" t="s">
        <v>86</v>
      </c>
      <c r="I305" s="83"/>
      <c r="J305" s="84"/>
    </row>
    <row r="306" spans="1:11" x14ac:dyDescent="0.25">
      <c r="A306" s="3">
        <f t="shared" ref="A306:A307" si="33">A305+1</f>
        <v>8</v>
      </c>
      <c r="B306" s="107" t="s">
        <v>181</v>
      </c>
      <c r="C306" s="108"/>
      <c r="D306" s="108"/>
      <c r="E306" s="108"/>
      <c r="F306" s="108"/>
      <c r="G306" s="108"/>
      <c r="H306" s="109"/>
      <c r="I306" s="83"/>
      <c r="J306" s="84"/>
    </row>
    <row r="307" spans="1:11" x14ac:dyDescent="0.25">
      <c r="A307" s="3">
        <f t="shared" si="33"/>
        <v>9</v>
      </c>
      <c r="B307" s="3" t="s">
        <v>183</v>
      </c>
      <c r="C307" s="3" t="s">
        <v>304</v>
      </c>
      <c r="D307" s="80">
        <f>(6.1*4.65+1.25*1.35+1.73*0.6+2.45*2.78+3.05*2.78+1.68*0.6+3.08*3.22+0.75*2.22+3*3.47+1.83*0.6+2.45*2.48+2.18*1.38+1.73*1.35+1.37*2.2+2.13*1.38+1.55*2.18+4*0.9+3*0.9+(2.6*1.5+1.2*1.5+2.45*1.5+1.5*1.5+3*1.5+2.8*1.65+2.45*1.5+3*1.5))*10.764</f>
        <v>1361.1228696000001</v>
      </c>
      <c r="E307" s="80"/>
      <c r="F307" s="3">
        <v>0</v>
      </c>
      <c r="G307" s="3">
        <f>D307*(($G$148)+1)+(IF(F307&lt;101,F307,IF(F307&lt;201,F307/2,IF(F307&lt;=301,F307/3,F307/4))))</f>
        <v>2041.6843044000002</v>
      </c>
      <c r="H307" s="3" t="s">
        <v>86</v>
      </c>
      <c r="I307" s="83"/>
      <c r="J307" s="84"/>
    </row>
    <row r="308" spans="1:11" x14ac:dyDescent="0.25">
      <c r="A308" s="87"/>
      <c r="B308" s="88"/>
      <c r="C308" s="88"/>
      <c r="D308" s="88"/>
      <c r="E308" s="88"/>
      <c r="F308" s="88"/>
      <c r="G308" s="88"/>
      <c r="H308" s="88"/>
      <c r="I308" s="88"/>
      <c r="J308" s="89"/>
    </row>
    <row r="309" spans="1:11" x14ac:dyDescent="0.25">
      <c r="A309" s="251" t="s">
        <v>96</v>
      </c>
      <c r="B309" s="251"/>
      <c r="C309" s="251"/>
      <c r="D309" s="251"/>
      <c r="E309" s="251"/>
      <c r="F309" s="251"/>
      <c r="G309" s="251"/>
      <c r="H309" s="251"/>
      <c r="I309" s="251"/>
      <c r="J309" s="251"/>
    </row>
    <row r="310" spans="1:11" ht="210.75" customHeight="1" x14ac:dyDescent="0.25">
      <c r="A310" s="252" t="s">
        <v>333</v>
      </c>
      <c r="B310" s="252"/>
      <c r="C310" s="252"/>
      <c r="D310" s="252"/>
      <c r="E310" s="252"/>
      <c r="F310" s="252"/>
      <c r="G310" s="252"/>
      <c r="H310" s="252"/>
      <c r="I310" s="252"/>
      <c r="J310" s="252"/>
      <c r="K310" s="261">
        <f>489.762*(1.5)</f>
        <v>734.64300000000003</v>
      </c>
    </row>
    <row r="311" spans="1:11" x14ac:dyDescent="0.25">
      <c r="A311" s="248" t="s">
        <v>87</v>
      </c>
      <c r="B311" s="249"/>
      <c r="C311" s="249"/>
      <c r="D311" s="249"/>
      <c r="E311" s="249"/>
      <c r="F311" s="249"/>
      <c r="G311" s="249"/>
      <c r="H311" s="249"/>
      <c r="I311" s="249"/>
      <c r="J311" s="250"/>
    </row>
    <row r="312" spans="1:11" x14ac:dyDescent="0.25">
      <c r="A312" s="162" t="s">
        <v>88</v>
      </c>
      <c r="B312" s="163"/>
      <c r="C312" s="163"/>
      <c r="D312" s="163"/>
      <c r="E312" s="163"/>
      <c r="F312" s="163"/>
      <c r="G312" s="163"/>
      <c r="H312" s="163"/>
      <c r="I312" s="163"/>
      <c r="J312" s="164"/>
    </row>
    <row r="313" spans="1:11" x14ac:dyDescent="0.25">
      <c r="A313" s="248" t="s">
        <v>89</v>
      </c>
      <c r="B313" s="249"/>
      <c r="C313" s="249"/>
      <c r="D313" s="249"/>
      <c r="E313" s="249"/>
      <c r="F313" s="249"/>
      <c r="G313" s="249"/>
      <c r="H313" s="249"/>
      <c r="I313" s="249"/>
      <c r="J313" s="250"/>
    </row>
    <row r="314" spans="1:11" x14ac:dyDescent="0.25">
      <c r="A314" s="162" t="s">
        <v>90</v>
      </c>
      <c r="B314" s="163"/>
      <c r="C314" s="163"/>
      <c r="D314" s="163"/>
      <c r="E314" s="163"/>
      <c r="F314" s="163"/>
      <c r="G314" s="163"/>
      <c r="H314" s="163"/>
      <c r="I314" s="163"/>
      <c r="J314" s="164"/>
    </row>
    <row r="315" spans="1:11" x14ac:dyDescent="0.25">
      <c r="A315" s="162" t="s">
        <v>91</v>
      </c>
      <c r="B315" s="163"/>
      <c r="C315" s="163"/>
      <c r="D315" s="163"/>
      <c r="E315" s="163"/>
      <c r="F315" s="163"/>
      <c r="G315" s="163"/>
      <c r="H315" s="163"/>
      <c r="I315" s="163"/>
      <c r="J315" s="164"/>
    </row>
    <row r="316" spans="1:11" x14ac:dyDescent="0.25">
      <c r="A316" s="162" t="s">
        <v>92</v>
      </c>
      <c r="B316" s="163"/>
      <c r="C316" s="163"/>
      <c r="D316" s="163"/>
      <c r="E316" s="163"/>
      <c r="F316" s="163"/>
      <c r="G316" s="163"/>
      <c r="H316" s="163"/>
      <c r="I316" s="163"/>
      <c r="J316" s="164"/>
    </row>
    <row r="317" spans="1:11" x14ac:dyDescent="0.25">
      <c r="A317" s="72" t="s">
        <v>93</v>
      </c>
      <c r="B317" s="171"/>
      <c r="C317" s="171"/>
      <c r="D317" s="171"/>
      <c r="E317" s="171"/>
      <c r="F317" s="171"/>
      <c r="G317" s="171"/>
      <c r="H317" s="171"/>
      <c r="I317" s="171"/>
      <c r="J317" s="73"/>
    </row>
    <row r="318" spans="1:11" x14ac:dyDescent="0.25">
      <c r="A318" s="247" t="s">
        <v>168</v>
      </c>
      <c r="B318" s="247"/>
      <c r="C318" s="247" t="s">
        <v>264</v>
      </c>
      <c r="D318" s="247"/>
      <c r="E318" s="247" t="s">
        <v>169</v>
      </c>
      <c r="F318" s="247"/>
      <c r="G318" s="247"/>
      <c r="H318" s="247" t="s">
        <v>332</v>
      </c>
      <c r="I318" s="247"/>
      <c r="J318" s="247"/>
    </row>
    <row r="319" spans="1:11" x14ac:dyDescent="0.25">
      <c r="A319" s="246" t="s">
        <v>171</v>
      </c>
      <c r="B319" s="246"/>
      <c r="C319" s="246"/>
      <c r="D319" s="246"/>
      <c r="E319" s="246"/>
      <c r="F319" s="246"/>
      <c r="G319" s="246"/>
      <c r="H319" s="246"/>
      <c r="I319" s="246"/>
      <c r="J319" s="246"/>
    </row>
    <row r="320" spans="1:11" x14ac:dyDescent="0.25">
      <c r="A320" s="246"/>
      <c r="B320" s="246"/>
      <c r="C320" s="246"/>
      <c r="D320" s="246"/>
      <c r="E320" s="246"/>
      <c r="F320" s="246"/>
      <c r="G320" s="246"/>
      <c r="H320" s="246"/>
      <c r="I320" s="246"/>
      <c r="J320" s="246"/>
    </row>
    <row r="321" spans="1:10" x14ac:dyDescent="0.25">
      <c r="A321" s="246"/>
      <c r="B321" s="246"/>
      <c r="C321" s="246"/>
      <c r="D321" s="246"/>
      <c r="E321" s="246"/>
      <c r="F321" s="246"/>
      <c r="G321" s="246"/>
      <c r="H321" s="246"/>
      <c r="I321" s="246"/>
      <c r="J321" s="246"/>
    </row>
    <row r="322" spans="1:10" x14ac:dyDescent="0.25">
      <c r="A322" s="15" t="s">
        <v>94</v>
      </c>
      <c r="B322" s="16"/>
      <c r="C322" s="16"/>
      <c r="D322" s="15" t="str">
        <f>F8</f>
        <v>Mahavir Spring</v>
      </c>
      <c r="G322" s="16"/>
      <c r="H322" s="35"/>
      <c r="I322" s="90"/>
      <c r="J322" s="90"/>
    </row>
    <row r="323" spans="1:10" x14ac:dyDescent="0.25">
      <c r="A323" s="90"/>
      <c r="B323" s="90"/>
      <c r="C323" s="35"/>
      <c r="D323" s="90"/>
      <c r="E323" s="90"/>
      <c r="F323" s="35"/>
      <c r="G323" s="35"/>
      <c r="H323" s="35"/>
      <c r="I323" s="90"/>
      <c r="J323" s="90"/>
    </row>
    <row r="324" spans="1:10" x14ac:dyDescent="0.25">
      <c r="A324" s="90"/>
      <c r="B324" s="90"/>
      <c r="C324" s="35"/>
      <c r="D324" s="90"/>
      <c r="E324" s="90"/>
      <c r="F324" s="35"/>
      <c r="G324" s="35"/>
      <c r="H324" s="35"/>
      <c r="I324" s="90"/>
      <c r="J324" s="90"/>
    </row>
    <row r="325" spans="1:10" x14ac:dyDescent="0.25">
      <c r="A325" s="90"/>
      <c r="B325" s="90"/>
      <c r="C325" s="35"/>
      <c r="D325" s="90"/>
      <c r="E325" s="90"/>
      <c r="F325" s="35"/>
      <c r="G325" s="35"/>
      <c r="H325" s="35"/>
      <c r="I325" s="90"/>
      <c r="J325" s="90"/>
    </row>
    <row r="326" spans="1:10" x14ac:dyDescent="0.25">
      <c r="A326" s="90"/>
      <c r="B326" s="90"/>
      <c r="C326" s="35"/>
      <c r="D326" s="90"/>
      <c r="E326" s="90"/>
      <c r="F326" s="35"/>
      <c r="G326" s="35"/>
      <c r="H326" s="35"/>
      <c r="I326" s="90"/>
      <c r="J326" s="90"/>
    </row>
    <row r="327" spans="1:10" x14ac:dyDescent="0.25">
      <c r="A327" s="90"/>
      <c r="B327" s="90"/>
      <c r="C327" s="35"/>
      <c r="D327" s="90"/>
      <c r="E327" s="90"/>
      <c r="F327" s="35"/>
      <c r="G327" s="35"/>
      <c r="H327" s="35"/>
      <c r="I327" s="90"/>
      <c r="J327" s="90"/>
    </row>
    <row r="328" spans="1:10" x14ac:dyDescent="0.25">
      <c r="A328" s="90"/>
      <c r="B328" s="90"/>
      <c r="C328" s="35"/>
      <c r="D328" s="90"/>
      <c r="E328" s="90"/>
      <c r="F328" s="35"/>
      <c r="G328" s="35"/>
      <c r="H328" s="35"/>
      <c r="I328" s="90"/>
      <c r="J328" s="90"/>
    </row>
    <row r="329" spans="1:10" x14ac:dyDescent="0.25">
      <c r="A329" s="90"/>
      <c r="B329" s="90"/>
      <c r="C329" s="35"/>
      <c r="D329" s="90"/>
      <c r="E329" s="90"/>
      <c r="F329" s="35"/>
      <c r="G329" s="35"/>
      <c r="H329" s="35"/>
      <c r="I329" s="90"/>
      <c r="J329" s="90"/>
    </row>
    <row r="330" spans="1:10" x14ac:dyDescent="0.25">
      <c r="A330" s="90"/>
      <c r="B330" s="90"/>
      <c r="C330" s="35"/>
      <c r="D330" s="90"/>
      <c r="E330" s="90"/>
      <c r="F330" s="35"/>
      <c r="G330" s="35"/>
      <c r="H330" s="35"/>
      <c r="I330" s="90"/>
      <c r="J330" s="90"/>
    </row>
    <row r="331" spans="1:10" x14ac:dyDescent="0.25">
      <c r="A331" s="90"/>
      <c r="B331" s="90"/>
      <c r="C331" s="35"/>
      <c r="D331" s="90"/>
      <c r="E331" s="90"/>
      <c r="F331" s="35"/>
      <c r="G331" s="35"/>
      <c r="H331" s="35"/>
      <c r="I331" s="90"/>
      <c r="J331" s="90"/>
    </row>
    <row r="332" spans="1:10" x14ac:dyDescent="0.25">
      <c r="A332" s="90"/>
      <c r="B332" s="90"/>
      <c r="C332" s="35"/>
      <c r="D332" s="90"/>
      <c r="E332" s="90"/>
      <c r="F332" s="35"/>
      <c r="G332" s="35"/>
      <c r="H332" s="35"/>
      <c r="I332" s="90"/>
      <c r="J332" s="90"/>
    </row>
    <row r="333" spans="1:10" x14ac:dyDescent="0.25">
      <c r="A333" s="90"/>
      <c r="B333" s="90"/>
      <c r="C333" s="35"/>
      <c r="D333" s="90"/>
      <c r="E333" s="90"/>
      <c r="F333" s="35"/>
      <c r="G333" s="35"/>
      <c r="H333" s="35"/>
      <c r="I333" s="90"/>
      <c r="J333" s="90"/>
    </row>
    <row r="334" spans="1:10" x14ac:dyDescent="0.25">
      <c r="A334" s="90"/>
      <c r="B334" s="90"/>
      <c r="C334" s="35"/>
      <c r="D334" s="90"/>
      <c r="E334" s="90"/>
      <c r="F334" s="35"/>
      <c r="G334" s="35"/>
      <c r="H334" s="35"/>
      <c r="I334" s="90"/>
      <c r="J334" s="90"/>
    </row>
    <row r="335" spans="1:10" x14ac:dyDescent="0.25">
      <c r="A335" s="90"/>
      <c r="B335" s="90"/>
      <c r="C335" s="35"/>
      <c r="D335" s="90"/>
      <c r="E335" s="90"/>
      <c r="F335" s="35"/>
      <c r="G335" s="35"/>
      <c r="H335" s="35"/>
      <c r="I335" s="90"/>
      <c r="J335" s="90"/>
    </row>
    <row r="336" spans="1:10" x14ac:dyDescent="0.25">
      <c r="A336" s="90"/>
      <c r="B336" s="90"/>
      <c r="C336" s="35"/>
      <c r="D336" s="90"/>
      <c r="E336" s="90"/>
      <c r="F336" s="35"/>
      <c r="G336" s="35"/>
      <c r="H336" s="35"/>
      <c r="I336" s="90"/>
      <c r="J336" s="90"/>
    </row>
    <row r="337" spans="1:10" x14ac:dyDescent="0.25">
      <c r="A337" s="90"/>
      <c r="B337" s="90"/>
      <c r="C337" s="35"/>
      <c r="D337" s="90"/>
      <c r="E337" s="90"/>
      <c r="F337" s="35"/>
      <c r="G337" s="35"/>
      <c r="H337" s="35"/>
      <c r="I337" s="90"/>
      <c r="J337" s="90"/>
    </row>
    <row r="338" spans="1:10" x14ac:dyDescent="0.25">
      <c r="A338" s="90"/>
      <c r="B338" s="90"/>
      <c r="C338" s="35"/>
      <c r="D338" s="90"/>
      <c r="E338" s="90"/>
      <c r="F338" s="35"/>
      <c r="G338" s="35"/>
      <c r="H338" s="35"/>
      <c r="I338" s="90"/>
      <c r="J338" s="90"/>
    </row>
    <row r="339" spans="1:10" x14ac:dyDescent="0.25">
      <c r="A339" s="35"/>
      <c r="B339" s="35"/>
      <c r="C339" s="35"/>
      <c r="D339" s="35"/>
      <c r="E339" s="35"/>
      <c r="F339" s="35"/>
      <c r="G339" s="35"/>
      <c r="H339" s="35"/>
      <c r="I339" s="35"/>
      <c r="J339" s="35"/>
    </row>
    <row r="340" spans="1:10" x14ac:dyDescent="0.25">
      <c r="A340" s="35"/>
      <c r="B340" s="35"/>
      <c r="C340" s="35"/>
      <c r="D340" s="35"/>
      <c r="E340" s="35"/>
      <c r="F340" s="35"/>
      <c r="G340" s="35"/>
      <c r="H340" s="35"/>
      <c r="I340" s="35"/>
      <c r="J340" s="35"/>
    </row>
    <row r="341" spans="1:10" x14ac:dyDescent="0.25">
      <c r="A341" s="35"/>
      <c r="B341" s="35"/>
      <c r="C341" s="35"/>
      <c r="D341" s="35"/>
      <c r="E341" s="35"/>
      <c r="F341" s="35"/>
      <c r="G341" s="35"/>
      <c r="H341" s="35"/>
      <c r="I341" s="35"/>
      <c r="J341" s="35"/>
    </row>
    <row r="342" spans="1:10" x14ac:dyDescent="0.25">
      <c r="A342" s="35"/>
      <c r="B342" s="35"/>
      <c r="C342" s="35"/>
      <c r="D342" s="35"/>
      <c r="E342" s="35"/>
      <c r="F342" s="35"/>
      <c r="G342" s="35"/>
      <c r="H342" s="35"/>
      <c r="I342" s="35"/>
      <c r="J342" s="35"/>
    </row>
    <row r="343" spans="1:10" x14ac:dyDescent="0.25">
      <c r="A343" s="35"/>
      <c r="B343" s="35"/>
      <c r="C343" s="35"/>
      <c r="D343" s="35"/>
      <c r="E343" s="35"/>
      <c r="F343" s="35"/>
      <c r="G343" s="35"/>
      <c r="H343" s="35"/>
      <c r="I343" s="35"/>
      <c r="J343" s="35"/>
    </row>
    <row r="344" spans="1:10" x14ac:dyDescent="0.25">
      <c r="A344" s="35"/>
      <c r="B344" s="35"/>
      <c r="C344" s="35"/>
      <c r="D344" s="35"/>
      <c r="E344" s="35"/>
      <c r="F344" s="35"/>
      <c r="G344" s="35"/>
      <c r="H344" s="35"/>
      <c r="I344" s="35"/>
      <c r="J344" s="35"/>
    </row>
    <row r="345" spans="1:10" x14ac:dyDescent="0.25">
      <c r="A345" s="35"/>
      <c r="B345" s="35"/>
      <c r="C345" s="35"/>
      <c r="D345" s="35"/>
      <c r="E345" s="35"/>
      <c r="F345" s="35"/>
      <c r="G345" s="35"/>
      <c r="H345" s="35"/>
      <c r="I345" s="35"/>
      <c r="J345" s="35"/>
    </row>
    <row r="346" spans="1:10" x14ac:dyDescent="0.25">
      <c r="A346" s="35"/>
      <c r="B346" s="35"/>
      <c r="C346" s="35"/>
      <c r="D346" s="35"/>
      <c r="E346" s="35"/>
      <c r="F346" s="35"/>
      <c r="G346" s="35"/>
      <c r="H346" s="35"/>
      <c r="I346" s="35"/>
      <c r="J346" s="35"/>
    </row>
    <row r="347" spans="1:10" x14ac:dyDescent="0.25">
      <c r="A347" s="35"/>
      <c r="B347" s="35"/>
      <c r="C347" s="35"/>
      <c r="D347" s="35"/>
      <c r="E347" s="35"/>
      <c r="F347" s="35"/>
      <c r="G347" s="35"/>
      <c r="H347" s="35"/>
      <c r="I347" s="35"/>
      <c r="J347" s="35"/>
    </row>
    <row r="348" spans="1:10" x14ac:dyDescent="0.25">
      <c r="A348" s="35"/>
      <c r="B348" s="35"/>
      <c r="C348" s="35"/>
      <c r="D348" s="35"/>
      <c r="E348" s="35"/>
      <c r="F348" s="35"/>
      <c r="G348" s="35"/>
      <c r="H348" s="35"/>
      <c r="I348" s="35"/>
      <c r="J348" s="35"/>
    </row>
    <row r="349" spans="1:10" x14ac:dyDescent="0.25">
      <c r="A349" s="35"/>
      <c r="B349" s="35"/>
      <c r="C349" s="35"/>
      <c r="D349" s="35"/>
      <c r="E349" s="35"/>
      <c r="F349" s="35"/>
      <c r="G349" s="35"/>
      <c r="H349" s="35"/>
      <c r="I349" s="35"/>
      <c r="J349" s="35"/>
    </row>
    <row r="350" spans="1:10" x14ac:dyDescent="0.25">
      <c r="A350" s="35"/>
      <c r="B350" s="35"/>
      <c r="C350" s="35"/>
      <c r="D350" s="35"/>
      <c r="E350" s="35"/>
      <c r="F350" s="35"/>
      <c r="G350" s="35"/>
      <c r="H350" s="35"/>
      <c r="I350" s="35"/>
      <c r="J350" s="35"/>
    </row>
    <row r="351" spans="1:10" x14ac:dyDescent="0.25">
      <c r="A351" s="35"/>
      <c r="B351" s="35"/>
      <c r="C351" s="35"/>
      <c r="D351" s="35"/>
      <c r="E351" s="35"/>
      <c r="F351" s="35"/>
      <c r="G351" s="35"/>
      <c r="H351" s="35"/>
      <c r="I351" s="35"/>
      <c r="J351" s="35"/>
    </row>
    <row r="352" spans="1:10" x14ac:dyDescent="0.25">
      <c r="A352" s="35"/>
      <c r="B352" s="35"/>
      <c r="C352" s="35"/>
      <c r="D352" s="35"/>
      <c r="E352" s="35"/>
      <c r="F352" s="35"/>
      <c r="G352" s="35"/>
      <c r="H352" s="35"/>
      <c r="I352" s="35"/>
      <c r="J352" s="35"/>
    </row>
    <row r="353" spans="1:10" x14ac:dyDescent="0.25">
      <c r="A353" s="35"/>
      <c r="B353" s="35"/>
      <c r="C353" s="35"/>
      <c r="D353" s="35"/>
      <c r="E353" s="35"/>
      <c r="F353" s="35"/>
      <c r="G353" s="35"/>
      <c r="H353" s="35"/>
      <c r="I353" s="35"/>
      <c r="J353" s="35"/>
    </row>
    <row r="354" spans="1:10" x14ac:dyDescent="0.25">
      <c r="A354" s="35"/>
      <c r="B354" s="35"/>
      <c r="C354" s="35"/>
      <c r="D354" s="35"/>
      <c r="E354" s="35"/>
      <c r="F354" s="35"/>
      <c r="G354" s="35"/>
      <c r="H354" s="35"/>
      <c r="I354" s="35"/>
      <c r="J354" s="35"/>
    </row>
    <row r="355" spans="1:10" x14ac:dyDescent="0.25">
      <c r="A355" s="35"/>
      <c r="B355" s="35"/>
      <c r="C355" s="35"/>
      <c r="D355" s="35"/>
      <c r="E355" s="35"/>
      <c r="F355" s="35"/>
      <c r="G355" s="35"/>
      <c r="H355" s="35"/>
      <c r="I355" s="35"/>
      <c r="J355" s="35"/>
    </row>
    <row r="356" spans="1:10" x14ac:dyDescent="0.25">
      <c r="A356" s="35"/>
      <c r="B356" s="35"/>
      <c r="C356" s="35"/>
      <c r="D356" s="35"/>
      <c r="E356" s="35"/>
      <c r="F356" s="35"/>
      <c r="G356" s="35"/>
      <c r="H356" s="35"/>
      <c r="I356" s="35"/>
      <c r="J356" s="35"/>
    </row>
    <row r="357" spans="1:10" x14ac:dyDescent="0.25">
      <c r="A357" s="35"/>
      <c r="B357" s="35"/>
      <c r="C357" s="35"/>
      <c r="D357" s="35"/>
      <c r="E357" s="35"/>
      <c r="F357" s="35"/>
      <c r="G357" s="35"/>
      <c r="H357" s="35"/>
      <c r="I357" s="35"/>
      <c r="J357" s="35"/>
    </row>
    <row r="358" spans="1:10" x14ac:dyDescent="0.25">
      <c r="H358" s="16"/>
      <c r="I358" s="16"/>
      <c r="J358" s="16"/>
    </row>
    <row r="359" spans="1:10" x14ac:dyDescent="0.25">
      <c r="A359" s="90"/>
      <c r="B359" s="90"/>
      <c r="C359" s="35"/>
      <c r="D359" s="90"/>
      <c r="E359" s="90"/>
      <c r="F359" s="35"/>
      <c r="G359" s="35"/>
      <c r="H359" s="35"/>
      <c r="I359" s="90"/>
      <c r="J359" s="90"/>
    </row>
    <row r="360" spans="1:10" x14ac:dyDescent="0.25">
      <c r="A360" s="90"/>
      <c r="B360" s="90"/>
      <c r="C360" s="35"/>
      <c r="D360" s="90"/>
      <c r="E360" s="90"/>
      <c r="F360" s="35"/>
      <c r="G360" s="35"/>
      <c r="H360" s="35"/>
      <c r="I360" s="90"/>
      <c r="J360" s="90"/>
    </row>
    <row r="361" spans="1:10" x14ac:dyDescent="0.25">
      <c r="A361" s="90"/>
      <c r="B361" s="90"/>
      <c r="C361" s="35"/>
      <c r="D361" s="90"/>
      <c r="E361" s="90"/>
      <c r="F361" s="35"/>
      <c r="G361" s="35"/>
      <c r="H361" s="35"/>
      <c r="I361" s="90"/>
      <c r="J361" s="90"/>
    </row>
    <row r="362" spans="1:10" x14ac:dyDescent="0.25">
      <c r="A362" s="90"/>
      <c r="B362" s="90"/>
      <c r="C362" s="35"/>
      <c r="D362" s="90"/>
      <c r="E362" s="90"/>
      <c r="F362" s="35"/>
      <c r="G362" s="35"/>
      <c r="H362" s="35"/>
      <c r="I362" s="90"/>
      <c r="J362" s="90"/>
    </row>
    <row r="363" spans="1:10" x14ac:dyDescent="0.25">
      <c r="A363" s="15" t="s">
        <v>265</v>
      </c>
      <c r="B363" s="16"/>
      <c r="C363" s="16"/>
      <c r="D363" s="15"/>
      <c r="G363" s="16"/>
      <c r="H363" s="35"/>
      <c r="I363" s="90"/>
      <c r="J363" s="90"/>
    </row>
    <row r="364" spans="1:10" x14ac:dyDescent="0.25">
      <c r="A364" s="90"/>
      <c r="B364" s="90"/>
      <c r="C364" s="35"/>
      <c r="D364" s="90"/>
      <c r="E364" s="90"/>
      <c r="F364" s="35"/>
      <c r="G364" s="35"/>
      <c r="H364" s="35"/>
      <c r="I364" s="90"/>
      <c r="J364" s="90"/>
    </row>
    <row r="365" spans="1:10" x14ac:dyDescent="0.25">
      <c r="A365" s="90"/>
      <c r="B365" s="90"/>
      <c r="C365" s="35"/>
      <c r="D365" s="90"/>
      <c r="E365" s="90"/>
      <c r="F365" s="35"/>
      <c r="G365" s="35"/>
      <c r="H365" s="35"/>
      <c r="I365" s="90"/>
      <c r="J365" s="90"/>
    </row>
    <row r="366" spans="1:10" x14ac:dyDescent="0.25">
      <c r="A366" s="90"/>
      <c r="B366" s="90"/>
      <c r="C366" s="35"/>
      <c r="D366" s="90"/>
      <c r="E366" s="90"/>
      <c r="F366" s="35"/>
      <c r="G366" s="35"/>
      <c r="H366" s="35"/>
      <c r="I366" s="90"/>
      <c r="J366" s="90"/>
    </row>
    <row r="367" spans="1:10" x14ac:dyDescent="0.25">
      <c r="A367" s="90"/>
      <c r="B367" s="90"/>
      <c r="C367" s="35"/>
      <c r="D367" s="90"/>
      <c r="E367" s="90"/>
      <c r="F367" s="35"/>
      <c r="G367" s="35"/>
      <c r="H367" s="35"/>
      <c r="I367" s="90"/>
      <c r="J367" s="90"/>
    </row>
    <row r="368" spans="1:10" x14ac:dyDescent="0.25">
      <c r="A368" s="90"/>
      <c r="B368" s="90"/>
      <c r="C368" s="35"/>
      <c r="D368" s="90"/>
      <c r="E368" s="90"/>
      <c r="F368" s="35"/>
      <c r="G368" s="35"/>
      <c r="H368" s="35"/>
      <c r="I368" s="90"/>
      <c r="J368" s="90"/>
    </row>
    <row r="369" spans="1:10" x14ac:dyDescent="0.25">
      <c r="A369" s="90"/>
      <c r="B369" s="90"/>
      <c r="C369" s="35"/>
      <c r="D369" s="90"/>
      <c r="E369" s="90"/>
      <c r="F369" s="35"/>
      <c r="G369" s="35"/>
      <c r="H369" s="35"/>
      <c r="I369" s="90"/>
      <c r="J369" s="90"/>
    </row>
    <row r="370" spans="1:10" x14ac:dyDescent="0.25">
      <c r="A370" s="90"/>
      <c r="B370" s="90"/>
      <c r="C370" s="35"/>
      <c r="D370" s="90"/>
      <c r="E370" s="90"/>
      <c r="F370" s="35"/>
      <c r="G370" s="35"/>
      <c r="H370" s="35"/>
      <c r="I370" s="90"/>
      <c r="J370" s="90"/>
    </row>
    <row r="371" spans="1:10" x14ac:dyDescent="0.25">
      <c r="A371" s="90"/>
      <c r="B371" s="90"/>
      <c r="C371" s="35"/>
      <c r="D371" s="90"/>
      <c r="E371" s="90"/>
      <c r="F371" s="35"/>
      <c r="G371" s="35"/>
      <c r="H371" s="35"/>
      <c r="I371" s="90"/>
      <c r="J371" s="90"/>
    </row>
    <row r="372" spans="1:10" x14ac:dyDescent="0.25">
      <c r="A372" s="90"/>
      <c r="B372" s="90"/>
      <c r="C372" s="35"/>
      <c r="D372" s="90"/>
      <c r="E372" s="90"/>
      <c r="F372" s="35"/>
      <c r="G372" s="35"/>
      <c r="H372" s="35"/>
      <c r="I372" s="90"/>
      <c r="J372" s="90"/>
    </row>
    <row r="373" spans="1:10" x14ac:dyDescent="0.25">
      <c r="A373" s="90"/>
      <c r="B373" s="90"/>
      <c r="C373" s="35"/>
      <c r="D373" s="90"/>
      <c r="E373" s="90"/>
      <c r="F373" s="35"/>
      <c r="G373" s="35"/>
      <c r="H373" s="35"/>
      <c r="I373" s="90"/>
      <c r="J373" s="90"/>
    </row>
    <row r="374" spans="1:10" x14ac:dyDescent="0.25">
      <c r="A374" s="90"/>
      <c r="B374" s="90"/>
      <c r="C374" s="35"/>
      <c r="D374" s="90"/>
      <c r="E374" s="90"/>
      <c r="F374" s="35"/>
      <c r="G374" s="35"/>
      <c r="H374" s="35"/>
      <c r="I374" s="90"/>
      <c r="J374" s="90"/>
    </row>
    <row r="375" spans="1:10" x14ac:dyDescent="0.25">
      <c r="A375" s="90"/>
      <c r="B375" s="90"/>
      <c r="C375" s="35"/>
      <c r="D375" s="90"/>
      <c r="E375" s="90"/>
      <c r="F375" s="35"/>
      <c r="G375" s="35"/>
      <c r="H375" s="35"/>
      <c r="I375" s="90"/>
      <c r="J375" s="90"/>
    </row>
    <row r="376" spans="1:10" x14ac:dyDescent="0.25">
      <c r="A376" s="90"/>
      <c r="B376" s="90"/>
      <c r="C376" s="35"/>
      <c r="D376" s="90"/>
      <c r="E376" s="90"/>
      <c r="F376" s="35"/>
      <c r="G376" s="35"/>
      <c r="H376" s="35"/>
      <c r="I376" s="90"/>
      <c r="J376" s="90"/>
    </row>
    <row r="377" spans="1:10" x14ac:dyDescent="0.25">
      <c r="A377" s="90"/>
      <c r="B377" s="90"/>
      <c r="C377" s="35"/>
      <c r="D377" s="90"/>
      <c r="E377" s="90"/>
      <c r="F377" s="35"/>
      <c r="G377" s="35"/>
      <c r="H377" s="35"/>
      <c r="I377" s="90"/>
      <c r="J377" s="90"/>
    </row>
    <row r="378" spans="1:10" x14ac:dyDescent="0.25">
      <c r="A378" s="90"/>
      <c r="B378" s="90"/>
      <c r="C378" s="35"/>
      <c r="D378" s="90"/>
      <c r="E378" s="90"/>
      <c r="F378" s="35"/>
      <c r="G378" s="35"/>
      <c r="H378" s="35"/>
      <c r="I378" s="90"/>
      <c r="J378" s="90"/>
    </row>
    <row r="379" spans="1:10" x14ac:dyDescent="0.25">
      <c r="A379" s="90"/>
      <c r="B379" s="90"/>
      <c r="C379" s="35"/>
      <c r="D379" s="90"/>
      <c r="E379" s="90"/>
      <c r="F379" s="35"/>
      <c r="G379" s="35"/>
      <c r="H379" s="35"/>
      <c r="I379" s="90"/>
      <c r="J379" s="90"/>
    </row>
    <row r="380" spans="1:10" x14ac:dyDescent="0.25">
      <c r="A380" s="35"/>
      <c r="B380" s="35"/>
      <c r="C380" s="35"/>
      <c r="D380" s="35"/>
      <c r="E380" s="35"/>
      <c r="F380" s="35"/>
      <c r="G380" s="35"/>
      <c r="H380" s="35"/>
      <c r="I380" s="35"/>
      <c r="J380" s="35"/>
    </row>
    <row r="381" spans="1:10" x14ac:dyDescent="0.25">
      <c r="A381" s="35"/>
      <c r="B381" s="35"/>
      <c r="C381" s="35"/>
      <c r="D381" s="35"/>
      <c r="E381" s="35"/>
      <c r="F381" s="35"/>
      <c r="G381" s="35"/>
      <c r="H381" s="35"/>
      <c r="I381" s="35"/>
      <c r="J381" s="35"/>
    </row>
    <row r="382" spans="1:10" x14ac:dyDescent="0.25">
      <c r="A382" s="35"/>
      <c r="B382" s="35"/>
      <c r="C382" s="35"/>
      <c r="D382" s="35"/>
      <c r="E382" s="35"/>
      <c r="F382" s="35"/>
      <c r="G382" s="35"/>
      <c r="H382" s="35"/>
      <c r="I382" s="35"/>
      <c r="J382" s="35"/>
    </row>
    <row r="383" spans="1:10" x14ac:dyDescent="0.25">
      <c r="A383" s="35"/>
      <c r="B383" s="35"/>
      <c r="C383" s="35"/>
      <c r="D383" s="35"/>
      <c r="E383" s="35"/>
      <c r="F383" s="35"/>
      <c r="G383" s="35"/>
      <c r="H383" s="35"/>
      <c r="I383" s="35"/>
      <c r="J383" s="35"/>
    </row>
    <row r="384" spans="1:10" x14ac:dyDescent="0.25">
      <c r="A384" s="35"/>
      <c r="B384" s="35"/>
      <c r="C384" s="35"/>
      <c r="D384" s="35"/>
      <c r="E384" s="35"/>
      <c r="F384" s="35"/>
      <c r="G384" s="35"/>
      <c r="H384" s="35"/>
      <c r="I384" s="35"/>
      <c r="J384" s="35"/>
    </row>
    <row r="385" spans="1:10" x14ac:dyDescent="0.25">
      <c r="A385" s="35"/>
      <c r="B385" s="35"/>
      <c r="C385" s="35"/>
      <c r="D385" s="35"/>
      <c r="E385" s="35"/>
      <c r="F385" s="35"/>
      <c r="G385" s="35"/>
      <c r="H385" s="35"/>
      <c r="I385" s="35"/>
      <c r="J385" s="35"/>
    </row>
    <row r="386" spans="1:10" x14ac:dyDescent="0.25">
      <c r="A386" s="35"/>
      <c r="B386" s="35"/>
      <c r="C386" s="35"/>
      <c r="D386" s="35"/>
      <c r="E386" s="35"/>
      <c r="F386" s="35"/>
      <c r="G386" s="35"/>
      <c r="H386" s="35"/>
      <c r="I386" s="35"/>
      <c r="J386" s="35"/>
    </row>
    <row r="387" spans="1:10" x14ac:dyDescent="0.25">
      <c r="A387" s="35"/>
      <c r="B387" s="35"/>
      <c r="C387" s="35"/>
      <c r="D387" s="35"/>
      <c r="E387" s="35"/>
      <c r="F387" s="35"/>
      <c r="G387" s="35"/>
      <c r="H387" s="35"/>
      <c r="I387" s="35"/>
      <c r="J387" s="35"/>
    </row>
    <row r="388" spans="1:10" x14ac:dyDescent="0.25">
      <c r="A388" s="35"/>
      <c r="B388" s="35"/>
      <c r="C388" s="35"/>
      <c r="D388" s="35"/>
      <c r="E388" s="35"/>
      <c r="F388" s="35"/>
      <c r="G388" s="35"/>
      <c r="H388" s="35"/>
      <c r="I388" s="35"/>
      <c r="J388" s="35"/>
    </row>
    <row r="389" spans="1:10" x14ac:dyDescent="0.25">
      <c r="A389" s="35"/>
      <c r="B389" s="35"/>
      <c r="C389" s="35"/>
      <c r="D389" s="35"/>
      <c r="E389" s="35"/>
      <c r="F389" s="35"/>
      <c r="G389" s="35"/>
      <c r="H389" s="35"/>
      <c r="I389" s="35"/>
      <c r="J389" s="35"/>
    </row>
    <row r="390" spans="1:10" x14ac:dyDescent="0.25">
      <c r="A390" s="35"/>
      <c r="B390" s="35"/>
      <c r="C390" s="35"/>
      <c r="D390" s="35"/>
      <c r="E390" s="35"/>
      <c r="F390" s="35"/>
      <c r="G390" s="35"/>
      <c r="H390" s="35"/>
      <c r="I390" s="35"/>
      <c r="J390" s="35"/>
    </row>
    <row r="391" spans="1:10" x14ac:dyDescent="0.25">
      <c r="A391" s="35"/>
      <c r="B391" s="35"/>
      <c r="C391" s="35"/>
      <c r="D391" s="35"/>
      <c r="E391" s="35"/>
      <c r="F391" s="35"/>
      <c r="G391" s="35"/>
      <c r="H391" s="35"/>
      <c r="I391" s="35"/>
      <c r="J391" s="35"/>
    </row>
    <row r="392" spans="1:10" x14ac:dyDescent="0.25">
      <c r="A392" s="35"/>
      <c r="B392" s="35"/>
      <c r="C392" s="35"/>
      <c r="D392" s="35"/>
      <c r="E392" s="35"/>
      <c r="F392" s="35"/>
      <c r="G392" s="35"/>
      <c r="H392" s="35"/>
      <c r="I392" s="35"/>
      <c r="J392" s="35"/>
    </row>
    <row r="393" spans="1:10" x14ac:dyDescent="0.25">
      <c r="A393" s="35"/>
      <c r="B393" s="35"/>
      <c r="C393" s="35"/>
      <c r="D393" s="35"/>
      <c r="E393" s="35"/>
      <c r="F393" s="35"/>
      <c r="G393" s="35"/>
      <c r="H393" s="35"/>
      <c r="I393" s="35"/>
      <c r="J393" s="35"/>
    </row>
    <row r="394" spans="1:10" x14ac:dyDescent="0.25">
      <c r="A394" s="35"/>
      <c r="B394" s="35"/>
      <c r="C394" s="35"/>
      <c r="D394" s="35"/>
      <c r="E394" s="35"/>
      <c r="F394" s="35"/>
      <c r="G394" s="35"/>
      <c r="H394" s="35"/>
      <c r="I394" s="35"/>
      <c r="J394" s="35"/>
    </row>
    <row r="395" spans="1:10" x14ac:dyDescent="0.25">
      <c r="A395" s="35"/>
      <c r="B395" s="35"/>
      <c r="C395" s="35"/>
      <c r="D395" s="35"/>
      <c r="E395" s="35"/>
      <c r="F395" s="35"/>
      <c r="G395" s="35"/>
      <c r="H395" s="35"/>
      <c r="I395" s="35"/>
      <c r="J395" s="35"/>
    </row>
    <row r="396" spans="1:10" x14ac:dyDescent="0.25">
      <c r="A396" s="35"/>
      <c r="B396" s="35"/>
      <c r="C396" s="35"/>
      <c r="D396" s="35"/>
      <c r="E396" s="35"/>
      <c r="F396" s="35"/>
      <c r="G396" s="35"/>
      <c r="H396" s="35"/>
      <c r="I396" s="35"/>
      <c r="J396" s="35"/>
    </row>
    <row r="397" spans="1:10" x14ac:dyDescent="0.25">
      <c r="A397" s="35"/>
      <c r="B397" s="35"/>
      <c r="C397" s="35"/>
      <c r="D397" s="35"/>
      <c r="E397" s="35"/>
      <c r="F397" s="35"/>
      <c r="G397" s="35"/>
      <c r="H397" s="35"/>
      <c r="I397" s="35"/>
      <c r="J397" s="35"/>
    </row>
    <row r="398" spans="1:10" x14ac:dyDescent="0.25">
      <c r="A398" s="35"/>
      <c r="B398" s="35"/>
      <c r="C398" s="35"/>
      <c r="D398" s="35"/>
      <c r="E398" s="35"/>
      <c r="F398" s="35"/>
      <c r="G398" s="35"/>
      <c r="H398" s="35"/>
      <c r="I398" s="35"/>
      <c r="J398" s="35"/>
    </row>
    <row r="399" spans="1:10" x14ac:dyDescent="0.25">
      <c r="H399" s="16"/>
      <c r="I399" s="16"/>
      <c r="J399" s="16"/>
    </row>
    <row r="400" spans="1:10" x14ac:dyDescent="0.25">
      <c r="A400" s="90"/>
      <c r="B400" s="90"/>
      <c r="C400" s="35"/>
      <c r="D400" s="90"/>
      <c r="E400" s="90"/>
      <c r="F400" s="35"/>
      <c r="G400" s="35"/>
      <c r="H400" s="35"/>
      <c r="I400" s="90"/>
      <c r="J400" s="90"/>
    </row>
    <row r="401" spans="1:10" x14ac:dyDescent="0.25">
      <c r="A401" s="90"/>
      <c r="B401" s="90"/>
      <c r="C401" s="35"/>
      <c r="D401" s="90"/>
      <c r="E401" s="90"/>
      <c r="F401" s="35"/>
      <c r="G401" s="35"/>
      <c r="H401" s="35"/>
      <c r="I401" s="90"/>
      <c r="J401" s="90"/>
    </row>
    <row r="402" spans="1:10" x14ac:dyDescent="0.25">
      <c r="A402" s="90"/>
      <c r="B402" s="90"/>
      <c r="C402" s="35"/>
      <c r="D402" s="90"/>
      <c r="E402" s="90"/>
      <c r="F402" s="35"/>
      <c r="G402" s="35"/>
      <c r="H402" s="35"/>
      <c r="I402" s="90"/>
      <c r="J402" s="90"/>
    </row>
    <row r="403" spans="1:10" x14ac:dyDescent="0.25">
      <c r="A403" s="90"/>
      <c r="B403" s="90"/>
      <c r="C403" s="35"/>
      <c r="D403" s="90"/>
      <c r="E403" s="90"/>
      <c r="F403" s="35"/>
      <c r="G403" s="35"/>
      <c r="H403" s="35"/>
      <c r="I403" s="90"/>
      <c r="J403" s="90"/>
    </row>
    <row r="404" spans="1:10" x14ac:dyDescent="0.25">
      <c r="A404" s="17" t="s">
        <v>95</v>
      </c>
      <c r="C404" s="35"/>
      <c r="D404" s="90"/>
      <c r="E404" s="90"/>
      <c r="F404" s="35"/>
      <c r="G404" s="35"/>
      <c r="H404" s="35"/>
      <c r="I404" s="90"/>
      <c r="J404" s="90"/>
    </row>
    <row r="405" spans="1:10" x14ac:dyDescent="0.25">
      <c r="A405" s="90"/>
      <c r="B405" s="90"/>
      <c r="C405" s="35"/>
      <c r="D405" s="90"/>
      <c r="E405" s="90"/>
      <c r="F405" s="35"/>
      <c r="G405" s="35"/>
      <c r="H405" s="35"/>
      <c r="I405" s="90"/>
      <c r="J405" s="90"/>
    </row>
    <row r="406" spans="1:10" x14ac:dyDescent="0.25">
      <c r="A406" s="90"/>
      <c r="B406" s="90"/>
      <c r="C406" s="35"/>
      <c r="D406" s="90"/>
      <c r="E406" s="90"/>
      <c r="F406" s="35"/>
      <c r="G406" s="35"/>
      <c r="H406" s="35"/>
      <c r="I406" s="90"/>
      <c r="J406" s="90"/>
    </row>
    <row r="407" spans="1:10" x14ac:dyDescent="0.25">
      <c r="A407" s="90"/>
      <c r="B407" s="90"/>
      <c r="C407" s="35"/>
      <c r="D407" s="90"/>
      <c r="E407" s="90"/>
      <c r="F407" s="35"/>
      <c r="G407" s="35"/>
      <c r="H407" s="35"/>
      <c r="I407" s="90"/>
      <c r="J407" s="90"/>
    </row>
    <row r="408" spans="1:10" x14ac:dyDescent="0.25">
      <c r="A408" s="90"/>
      <c r="B408" s="90"/>
      <c r="C408" s="35"/>
      <c r="D408" s="90"/>
      <c r="E408" s="90"/>
      <c r="F408" s="35"/>
      <c r="G408" s="35"/>
      <c r="H408" s="35"/>
      <c r="I408" s="90"/>
      <c r="J408" s="90"/>
    </row>
    <row r="409" spans="1:10" x14ac:dyDescent="0.25">
      <c r="A409" s="90"/>
      <c r="B409" s="90"/>
      <c r="C409" s="35"/>
      <c r="D409" s="90"/>
      <c r="E409" s="90"/>
      <c r="F409" s="35"/>
      <c r="G409" s="35"/>
      <c r="H409" s="35"/>
      <c r="I409" s="90"/>
      <c r="J409" s="90"/>
    </row>
    <row r="410" spans="1:10" x14ac:dyDescent="0.25">
      <c r="A410" s="90"/>
      <c r="B410" s="90"/>
      <c r="C410" s="35"/>
      <c r="D410" s="90"/>
      <c r="E410" s="90"/>
      <c r="F410" s="35"/>
      <c r="G410" s="35"/>
      <c r="H410" s="35"/>
      <c r="I410" s="90"/>
      <c r="J410" s="90"/>
    </row>
    <row r="411" spans="1:10" x14ac:dyDescent="0.25">
      <c r="A411" s="90"/>
      <c r="B411" s="90"/>
      <c r="C411" s="35"/>
      <c r="D411" s="90"/>
      <c r="E411" s="90"/>
      <c r="F411" s="35"/>
      <c r="G411" s="35"/>
      <c r="H411" s="35"/>
      <c r="I411" s="90"/>
      <c r="J411" s="90"/>
    </row>
    <row r="412" spans="1:10" x14ac:dyDescent="0.25">
      <c r="A412" s="90"/>
      <c r="B412" s="90"/>
      <c r="C412" s="35"/>
      <c r="D412" s="90"/>
      <c r="E412" s="90"/>
      <c r="F412" s="35"/>
      <c r="G412" s="35"/>
      <c r="H412" s="35"/>
      <c r="I412" s="90"/>
      <c r="J412" s="90"/>
    </row>
    <row r="413" spans="1:10" x14ac:dyDescent="0.25">
      <c r="A413" s="90"/>
      <c r="B413" s="90"/>
      <c r="C413" s="35"/>
      <c r="D413" s="90"/>
      <c r="E413" s="90"/>
      <c r="F413" s="35"/>
      <c r="G413" s="35"/>
      <c r="H413" s="35"/>
      <c r="I413" s="90"/>
      <c r="J413" s="90"/>
    </row>
    <row r="414" spans="1:10" x14ac:dyDescent="0.25">
      <c r="A414" s="90"/>
      <c r="B414" s="90"/>
      <c r="C414" s="35"/>
      <c r="D414" s="90"/>
      <c r="E414" s="90"/>
      <c r="F414" s="35"/>
      <c r="G414" s="35"/>
      <c r="H414" s="35"/>
      <c r="I414" s="90"/>
      <c r="J414" s="90"/>
    </row>
    <row r="415" spans="1:10" x14ac:dyDescent="0.25">
      <c r="A415" s="90"/>
      <c r="B415" s="90"/>
      <c r="C415" s="35"/>
      <c r="D415" s="90"/>
      <c r="E415" s="90"/>
      <c r="F415" s="35"/>
      <c r="G415" s="35"/>
      <c r="H415" s="35"/>
      <c r="I415" s="90"/>
      <c r="J415" s="90"/>
    </row>
    <row r="416" spans="1:10" x14ac:dyDescent="0.25">
      <c r="A416" s="90"/>
      <c r="B416" s="90"/>
      <c r="C416" s="35"/>
      <c r="D416" s="90"/>
      <c r="E416" s="90"/>
      <c r="F416" s="35"/>
      <c r="G416" s="35"/>
      <c r="H416" s="35"/>
      <c r="I416" s="90"/>
      <c r="J416" s="90"/>
    </row>
    <row r="417" spans="1:10" x14ac:dyDescent="0.25">
      <c r="A417" s="90"/>
      <c r="B417" s="90"/>
      <c r="C417" s="35"/>
      <c r="D417" s="90"/>
      <c r="E417" s="90"/>
      <c r="F417" s="35"/>
      <c r="G417" s="35"/>
      <c r="H417" s="35"/>
      <c r="I417" s="90"/>
      <c r="J417" s="90"/>
    </row>
    <row r="418" spans="1:10" x14ac:dyDescent="0.25">
      <c r="A418" s="90"/>
      <c r="B418" s="90"/>
      <c r="C418" s="35"/>
      <c r="D418" s="90"/>
      <c r="E418" s="90"/>
      <c r="F418" s="35"/>
      <c r="G418" s="35"/>
      <c r="H418" s="35"/>
      <c r="I418" s="90"/>
      <c r="J418" s="90"/>
    </row>
    <row r="419" spans="1:10" x14ac:dyDescent="0.25">
      <c r="A419" s="90"/>
      <c r="B419" s="90"/>
      <c r="C419" s="35"/>
      <c r="D419" s="90"/>
      <c r="E419" s="90"/>
      <c r="F419" s="35"/>
      <c r="G419" s="35"/>
      <c r="H419" s="35"/>
      <c r="I419" s="90"/>
      <c r="J419" s="90"/>
    </row>
    <row r="420" spans="1:10" x14ac:dyDescent="0.25">
      <c r="A420" s="90"/>
      <c r="B420" s="90"/>
      <c r="C420" s="35"/>
      <c r="D420" s="90"/>
      <c r="E420" s="90"/>
      <c r="F420" s="35"/>
      <c r="G420" s="35"/>
      <c r="H420" s="35"/>
      <c r="I420" s="90"/>
      <c r="J420" s="90"/>
    </row>
    <row r="421" spans="1:10" x14ac:dyDescent="0.25">
      <c r="A421" s="90"/>
      <c r="B421" s="90"/>
      <c r="C421" s="35"/>
      <c r="D421" s="90"/>
      <c r="E421" s="90"/>
      <c r="F421" s="35"/>
      <c r="G421" s="35"/>
      <c r="H421" s="35"/>
      <c r="I421" s="90"/>
      <c r="J421" s="90"/>
    </row>
    <row r="422" spans="1:10" x14ac:dyDescent="0.25">
      <c r="A422" s="90"/>
      <c r="B422" s="90"/>
      <c r="C422" s="35"/>
      <c r="D422" s="90"/>
      <c r="E422" s="90"/>
      <c r="F422" s="35"/>
      <c r="G422" s="35"/>
      <c r="H422" s="35"/>
      <c r="I422" s="90"/>
      <c r="J422" s="90"/>
    </row>
    <row r="423" spans="1:10" x14ac:dyDescent="0.25">
      <c r="A423" s="90"/>
      <c r="B423" s="90"/>
      <c r="C423" s="35"/>
      <c r="D423" s="90"/>
      <c r="E423" s="90"/>
      <c r="F423" s="35"/>
      <c r="G423" s="35"/>
      <c r="H423" s="35"/>
      <c r="I423" s="90"/>
      <c r="J423" s="90"/>
    </row>
    <row r="424" spans="1:10" x14ac:dyDescent="0.25">
      <c r="A424" s="90"/>
      <c r="B424" s="90"/>
      <c r="C424" s="35"/>
      <c r="D424" s="90"/>
      <c r="E424" s="90"/>
      <c r="F424" s="35"/>
      <c r="G424" s="35"/>
      <c r="H424" s="35"/>
      <c r="I424" s="90"/>
      <c r="J424" s="90"/>
    </row>
    <row r="425" spans="1:10" x14ac:dyDescent="0.25">
      <c r="A425" s="90"/>
      <c r="B425" s="90"/>
      <c r="C425" s="35"/>
      <c r="D425" s="90"/>
      <c r="E425" s="90"/>
      <c r="F425" s="35"/>
      <c r="G425" s="35"/>
      <c r="H425" s="35"/>
      <c r="I425" s="90"/>
      <c r="J425" s="90"/>
    </row>
    <row r="426" spans="1:10" x14ac:dyDescent="0.25">
      <c r="A426" s="90"/>
      <c r="B426" s="90"/>
      <c r="C426" s="35"/>
      <c r="D426" s="90"/>
      <c r="E426" s="90"/>
      <c r="F426" s="35"/>
      <c r="G426" s="35"/>
      <c r="H426" s="35"/>
      <c r="I426" s="90"/>
      <c r="J426" s="90"/>
    </row>
    <row r="427" spans="1:10" x14ac:dyDescent="0.25">
      <c r="A427" s="90"/>
      <c r="B427" s="90"/>
      <c r="C427" s="35"/>
      <c r="D427" s="90"/>
      <c r="E427" s="90"/>
      <c r="F427" s="35"/>
      <c r="G427" s="35"/>
      <c r="H427" s="35"/>
      <c r="I427" s="90"/>
      <c r="J427" s="90"/>
    </row>
    <row r="428" spans="1:10" x14ac:dyDescent="0.25">
      <c r="A428" s="90"/>
      <c r="B428" s="90"/>
      <c r="C428" s="35"/>
      <c r="D428" s="90"/>
      <c r="E428" s="90"/>
      <c r="F428" s="35"/>
      <c r="G428" s="35"/>
      <c r="H428" s="35"/>
      <c r="I428" s="90"/>
      <c r="J428" s="90"/>
    </row>
    <row r="429" spans="1:10" x14ac:dyDescent="0.25">
      <c r="A429" s="90"/>
      <c r="B429" s="90"/>
      <c r="C429" s="35"/>
      <c r="D429" s="90"/>
      <c r="E429" s="90"/>
      <c r="F429" s="35"/>
      <c r="G429" s="35"/>
      <c r="H429" s="35"/>
      <c r="I429" s="90"/>
      <c r="J429" s="90"/>
    </row>
    <row r="430" spans="1:10" x14ac:dyDescent="0.25">
      <c r="A430" s="90"/>
      <c r="B430" s="90"/>
      <c r="C430" s="35"/>
      <c r="D430" s="90"/>
      <c r="E430" s="90"/>
      <c r="F430" s="35"/>
      <c r="G430" s="35"/>
      <c r="H430" s="35"/>
      <c r="I430" s="90"/>
      <c r="J430" s="90"/>
    </row>
    <row r="431" spans="1:10" x14ac:dyDescent="0.25">
      <c r="A431" s="90"/>
      <c r="B431" s="90"/>
      <c r="C431" s="35"/>
      <c r="D431" s="90"/>
      <c r="E431" s="90"/>
      <c r="F431" s="35"/>
      <c r="G431" s="35"/>
      <c r="H431" s="35"/>
      <c r="I431" s="90"/>
      <c r="J431" s="90"/>
    </row>
    <row r="432" spans="1:10" x14ac:dyDescent="0.25">
      <c r="A432" s="90"/>
      <c r="B432" s="90"/>
      <c r="C432" s="35"/>
      <c r="D432" s="90"/>
      <c r="E432" s="90"/>
      <c r="F432" s="35"/>
      <c r="G432" s="35"/>
      <c r="H432" s="35"/>
      <c r="I432" s="90"/>
      <c r="J432" s="90"/>
    </row>
    <row r="433" spans="1:10" x14ac:dyDescent="0.25">
      <c r="A433" s="90"/>
      <c r="B433" s="90"/>
      <c r="C433" s="35"/>
      <c r="D433" s="90"/>
      <c r="E433" s="90"/>
      <c r="F433" s="35"/>
      <c r="G433" s="35"/>
      <c r="H433" s="35"/>
      <c r="I433" s="90"/>
      <c r="J433" s="90"/>
    </row>
    <row r="434" spans="1:10" x14ac:dyDescent="0.25">
      <c r="A434" s="90"/>
      <c r="B434" s="90"/>
      <c r="C434" s="35"/>
      <c r="D434" s="90"/>
      <c r="E434" s="90"/>
      <c r="F434" s="35"/>
      <c r="G434" s="35"/>
      <c r="H434" s="35"/>
      <c r="I434" s="90"/>
      <c r="J434" s="90"/>
    </row>
    <row r="435" spans="1:10" x14ac:dyDescent="0.25">
      <c r="A435" s="90"/>
      <c r="B435" s="90"/>
      <c r="C435" s="35"/>
      <c r="D435" s="90"/>
      <c r="E435" s="90"/>
      <c r="F435" s="35"/>
      <c r="G435" s="35"/>
      <c r="H435" s="35"/>
      <c r="I435" s="90"/>
      <c r="J435" s="90"/>
    </row>
    <row r="436" spans="1:10" x14ac:dyDescent="0.25">
      <c r="A436" s="35"/>
      <c r="B436" s="35"/>
      <c r="C436" s="35"/>
      <c r="D436" s="35"/>
      <c r="E436" s="35"/>
      <c r="F436" s="35"/>
      <c r="G436" s="35"/>
      <c r="H436" s="35"/>
      <c r="I436" s="35"/>
      <c r="J436" s="35"/>
    </row>
    <row r="437" spans="1:10" x14ac:dyDescent="0.25">
      <c r="A437" s="35"/>
      <c r="B437" s="35"/>
      <c r="C437" s="35"/>
      <c r="D437" s="35"/>
      <c r="E437" s="35"/>
      <c r="F437" s="35"/>
      <c r="G437" s="35"/>
      <c r="H437" s="35"/>
      <c r="I437" s="35"/>
      <c r="J437" s="35"/>
    </row>
    <row r="438" spans="1:10" x14ac:dyDescent="0.25">
      <c r="A438" s="90"/>
      <c r="B438" s="90"/>
      <c r="C438" s="35"/>
      <c r="D438" s="90"/>
      <c r="E438" s="90"/>
      <c r="F438" s="35"/>
      <c r="G438" s="35"/>
      <c r="H438" s="35"/>
      <c r="I438" s="90"/>
      <c r="J438" s="90"/>
    </row>
    <row r="440" spans="1:10" x14ac:dyDescent="0.25">
      <c r="A440" s="90"/>
      <c r="B440" s="90"/>
      <c r="C440" s="35"/>
      <c r="D440" s="90"/>
      <c r="E440" s="90"/>
      <c r="F440" s="35"/>
      <c r="G440" s="35"/>
      <c r="H440" s="35"/>
      <c r="I440" s="90"/>
      <c r="J440" s="90"/>
    </row>
    <row r="441" spans="1:10" x14ac:dyDescent="0.25">
      <c r="A441" s="2"/>
      <c r="B441" s="2"/>
      <c r="C441" s="35"/>
      <c r="D441" s="90"/>
      <c r="E441" s="90"/>
      <c r="F441" s="35"/>
      <c r="G441" s="35"/>
      <c r="H441" s="35"/>
      <c r="I441" s="90"/>
      <c r="J441" s="90"/>
    </row>
    <row r="442" spans="1:10" x14ac:dyDescent="0.25">
      <c r="A442" s="90"/>
      <c r="B442" s="90"/>
      <c r="C442" s="35"/>
      <c r="D442" s="90"/>
      <c r="E442" s="90"/>
      <c r="F442" s="35"/>
      <c r="G442" s="35"/>
      <c r="H442" s="35"/>
      <c r="I442" s="90"/>
      <c r="J442" s="90"/>
    </row>
    <row r="443" spans="1:10" x14ac:dyDescent="0.25">
      <c r="A443" s="15"/>
      <c r="B443" s="16"/>
      <c r="C443" s="16"/>
      <c r="D443" s="16"/>
      <c r="E443" s="16"/>
      <c r="F443" s="16"/>
      <c r="G443" s="16"/>
      <c r="H443" s="16"/>
      <c r="I443" s="16"/>
      <c r="J443" s="16"/>
    </row>
    <row r="444" spans="1:10" x14ac:dyDescent="0.25">
      <c r="A444" s="15"/>
      <c r="B444" s="16"/>
      <c r="C444" s="16"/>
      <c r="D444" s="16"/>
      <c r="E444" s="16"/>
      <c r="F444" s="16"/>
      <c r="G444" s="16"/>
      <c r="H444" s="16"/>
      <c r="I444" s="16"/>
      <c r="J444" s="16"/>
    </row>
    <row r="445" spans="1:10" x14ac:dyDescent="0.25">
      <c r="A445" s="16"/>
      <c r="B445" s="16"/>
      <c r="C445" s="16"/>
      <c r="D445" s="16"/>
      <c r="E445" s="16"/>
      <c r="F445" s="16"/>
      <c r="G445" s="16"/>
      <c r="H445" s="16"/>
      <c r="I445" s="16"/>
      <c r="J445" s="16"/>
    </row>
    <row r="446" spans="1:10" x14ac:dyDescent="0.25">
      <c r="A446" s="16"/>
      <c r="B446" s="16"/>
      <c r="C446" s="16"/>
      <c r="D446" s="16"/>
      <c r="E446" s="16"/>
      <c r="F446" s="16"/>
      <c r="G446" s="16"/>
      <c r="H446" s="16"/>
      <c r="I446" s="16"/>
      <c r="J446" s="16"/>
    </row>
  </sheetData>
  <mergeCells count="715">
    <mergeCell ref="L119:M119"/>
    <mergeCell ref="A114:B114"/>
    <mergeCell ref="D114:F114"/>
    <mergeCell ref="G114:J114"/>
    <mergeCell ref="D300:E300"/>
    <mergeCell ref="D307:E307"/>
    <mergeCell ref="B306:H306"/>
    <mergeCell ref="D103:F103"/>
    <mergeCell ref="G103:J103"/>
    <mergeCell ref="A110:J110"/>
    <mergeCell ref="A111:B111"/>
    <mergeCell ref="D111:F111"/>
    <mergeCell ref="G111:J111"/>
    <mergeCell ref="A112:B112"/>
    <mergeCell ref="D112:F112"/>
    <mergeCell ref="G112:J112"/>
    <mergeCell ref="A113:B113"/>
    <mergeCell ref="D113:F113"/>
    <mergeCell ref="G113:J113"/>
    <mergeCell ref="B214:H214"/>
    <mergeCell ref="B192:H192"/>
    <mergeCell ref="B170:H170"/>
    <mergeCell ref="A102:A103"/>
    <mergeCell ref="D281:E281"/>
    <mergeCell ref="B228:H228"/>
    <mergeCell ref="I228:J233"/>
    <mergeCell ref="D233:E233"/>
    <mergeCell ref="A234:J234"/>
    <mergeCell ref="A235:J235"/>
    <mergeCell ref="B254:H254"/>
    <mergeCell ref="D276:E276"/>
    <mergeCell ref="D243:E243"/>
    <mergeCell ref="D267:E267"/>
    <mergeCell ref="D232:E232"/>
    <mergeCell ref="D231:E231"/>
    <mergeCell ref="D230:E230"/>
    <mergeCell ref="D261:E261"/>
    <mergeCell ref="D260:E260"/>
    <mergeCell ref="D247:E247"/>
    <mergeCell ref="D245:E245"/>
    <mergeCell ref="I236:J245"/>
    <mergeCell ref="D242:E242"/>
    <mergeCell ref="D251:E251"/>
    <mergeCell ref="I429:J429"/>
    <mergeCell ref="D414:E414"/>
    <mergeCell ref="I414:J414"/>
    <mergeCell ref="D264:E264"/>
    <mergeCell ref="D304:E304"/>
    <mergeCell ref="D305:E305"/>
    <mergeCell ref="D288:E288"/>
    <mergeCell ref="D289:E289"/>
    <mergeCell ref="B287:H287"/>
    <mergeCell ref="I322:J322"/>
    <mergeCell ref="D368:E368"/>
    <mergeCell ref="I368:J368"/>
    <mergeCell ref="A369:B369"/>
    <mergeCell ref="D369:E369"/>
    <mergeCell ref="I369:J369"/>
    <mergeCell ref="A370:B370"/>
    <mergeCell ref="I416:J416"/>
    <mergeCell ref="A417:B417"/>
    <mergeCell ref="D417:E417"/>
    <mergeCell ref="I417:J417"/>
    <mergeCell ref="A414:B414"/>
    <mergeCell ref="D278:E278"/>
    <mergeCell ref="I258:J267"/>
    <mergeCell ref="D259:E259"/>
    <mergeCell ref="D258:E258"/>
    <mergeCell ref="D273:E273"/>
    <mergeCell ref="D272:E272"/>
    <mergeCell ref="D271:E271"/>
    <mergeCell ref="D270:E270"/>
    <mergeCell ref="A315:J315"/>
    <mergeCell ref="D253:E253"/>
    <mergeCell ref="A316:J316"/>
    <mergeCell ref="A317:J317"/>
    <mergeCell ref="A309:J309"/>
    <mergeCell ref="A310:J310"/>
    <mergeCell ref="A311:J311"/>
    <mergeCell ref="A312:J312"/>
    <mergeCell ref="I247:J256"/>
    <mergeCell ref="D256:E256"/>
    <mergeCell ref="D255:E255"/>
    <mergeCell ref="D252:E252"/>
    <mergeCell ref="I423:J423"/>
    <mergeCell ref="A420:B420"/>
    <mergeCell ref="D420:E420"/>
    <mergeCell ref="I420:J420"/>
    <mergeCell ref="A421:B421"/>
    <mergeCell ref="D421:E421"/>
    <mergeCell ref="I421:J421"/>
    <mergeCell ref="A422:B422"/>
    <mergeCell ref="A426:B426"/>
    <mergeCell ref="D426:E426"/>
    <mergeCell ref="I426:J426"/>
    <mergeCell ref="D422:E422"/>
    <mergeCell ref="I422:J422"/>
    <mergeCell ref="A423:B423"/>
    <mergeCell ref="D423:E423"/>
    <mergeCell ref="D269:E269"/>
    <mergeCell ref="A268:J268"/>
    <mergeCell ref="I269:J278"/>
    <mergeCell ref="D277:E277"/>
    <mergeCell ref="D266:E266"/>
    <mergeCell ref="D262:E262"/>
    <mergeCell ref="A299:J299"/>
    <mergeCell ref="I300:J307"/>
    <mergeCell ref="D301:E301"/>
    <mergeCell ref="D302:E302"/>
    <mergeCell ref="D303:E303"/>
    <mergeCell ref="D274:E274"/>
    <mergeCell ref="D263:E263"/>
    <mergeCell ref="A428:B428"/>
    <mergeCell ref="A424:B424"/>
    <mergeCell ref="D424:E424"/>
    <mergeCell ref="I424:J424"/>
    <mergeCell ref="A425:B425"/>
    <mergeCell ref="D425:E425"/>
    <mergeCell ref="I425:J425"/>
    <mergeCell ref="D428:E428"/>
    <mergeCell ref="I428:J428"/>
    <mergeCell ref="A427:B427"/>
    <mergeCell ref="D427:E427"/>
    <mergeCell ref="I427:J427"/>
    <mergeCell ref="A432:B432"/>
    <mergeCell ref="D432:E432"/>
    <mergeCell ref="I432:J432"/>
    <mergeCell ref="A433:B433"/>
    <mergeCell ref="D433:E433"/>
    <mergeCell ref="I433:J433"/>
    <mergeCell ref="A430:B430"/>
    <mergeCell ref="D430:E430"/>
    <mergeCell ref="I430:J430"/>
    <mergeCell ref="A431:B431"/>
    <mergeCell ref="D431:E431"/>
    <mergeCell ref="I431:J431"/>
    <mergeCell ref="A429:B429"/>
    <mergeCell ref="D429:E429"/>
    <mergeCell ref="A308:J308"/>
    <mergeCell ref="A218:J218"/>
    <mergeCell ref="A219:J219"/>
    <mergeCell ref="A257:J257"/>
    <mergeCell ref="D237:E237"/>
    <mergeCell ref="D222:E222"/>
    <mergeCell ref="A246:J246"/>
    <mergeCell ref="D236:E236"/>
    <mergeCell ref="D238:E238"/>
    <mergeCell ref="D229:E229"/>
    <mergeCell ref="D241:E241"/>
    <mergeCell ref="D239:E239"/>
    <mergeCell ref="D240:E240"/>
    <mergeCell ref="D244:E244"/>
    <mergeCell ref="A418:B418"/>
    <mergeCell ref="D418:E418"/>
    <mergeCell ref="I418:J418"/>
    <mergeCell ref="A419:B419"/>
    <mergeCell ref="D419:E419"/>
    <mergeCell ref="I419:J419"/>
    <mergeCell ref="A416:B416"/>
    <mergeCell ref="D416:E416"/>
    <mergeCell ref="I442:J442"/>
    <mergeCell ref="A438:B438"/>
    <mergeCell ref="D438:E438"/>
    <mergeCell ref="D440:E440"/>
    <mergeCell ref="I440:J440"/>
    <mergeCell ref="A434:B434"/>
    <mergeCell ref="D434:E434"/>
    <mergeCell ref="I434:J434"/>
    <mergeCell ref="A435:B435"/>
    <mergeCell ref="D435:E435"/>
    <mergeCell ref="I435:J435"/>
    <mergeCell ref="A442:B442"/>
    <mergeCell ref="D441:E441"/>
    <mergeCell ref="I441:J441"/>
    <mergeCell ref="D442:E442"/>
    <mergeCell ref="I438:J438"/>
    <mergeCell ref="A440:B440"/>
    <mergeCell ref="A415:B415"/>
    <mergeCell ref="D415:E415"/>
    <mergeCell ref="I415:J415"/>
    <mergeCell ref="A412:B412"/>
    <mergeCell ref="D412:E412"/>
    <mergeCell ref="I412:J412"/>
    <mergeCell ref="A413:B413"/>
    <mergeCell ref="D413:E413"/>
    <mergeCell ref="I413:J413"/>
    <mergeCell ref="A410:B410"/>
    <mergeCell ref="D410:E410"/>
    <mergeCell ref="I410:J410"/>
    <mergeCell ref="A411:B411"/>
    <mergeCell ref="D411:E411"/>
    <mergeCell ref="I411:J411"/>
    <mergeCell ref="A408:B408"/>
    <mergeCell ref="D408:E408"/>
    <mergeCell ref="I408:J408"/>
    <mergeCell ref="A409:B409"/>
    <mergeCell ref="D409:E409"/>
    <mergeCell ref="I409:J409"/>
    <mergeCell ref="A362:B362"/>
    <mergeCell ref="D362:E362"/>
    <mergeCell ref="I362:J362"/>
    <mergeCell ref="A406:B406"/>
    <mergeCell ref="D406:E406"/>
    <mergeCell ref="I406:J406"/>
    <mergeCell ref="A407:B407"/>
    <mergeCell ref="D407:E407"/>
    <mergeCell ref="I407:J407"/>
    <mergeCell ref="D404:E404"/>
    <mergeCell ref="I404:J404"/>
    <mergeCell ref="A405:B405"/>
    <mergeCell ref="D405:E405"/>
    <mergeCell ref="I405:J405"/>
    <mergeCell ref="A365:B365"/>
    <mergeCell ref="D365:E365"/>
    <mergeCell ref="I365:J365"/>
    <mergeCell ref="A366:B366"/>
    <mergeCell ref="D366:E366"/>
    <mergeCell ref="I366:J366"/>
    <mergeCell ref="A367:B367"/>
    <mergeCell ref="D367:E367"/>
    <mergeCell ref="I367:J367"/>
    <mergeCell ref="A368:B368"/>
    <mergeCell ref="A361:B361"/>
    <mergeCell ref="D361:E361"/>
    <mergeCell ref="I361:J361"/>
    <mergeCell ref="A359:B359"/>
    <mergeCell ref="D359:E359"/>
    <mergeCell ref="I359:J359"/>
    <mergeCell ref="A360:B360"/>
    <mergeCell ref="D360:E360"/>
    <mergeCell ref="I360:J360"/>
    <mergeCell ref="A338:B338"/>
    <mergeCell ref="D338:E338"/>
    <mergeCell ref="I338:J338"/>
    <mergeCell ref="A336:B336"/>
    <mergeCell ref="D336:E336"/>
    <mergeCell ref="I336:J336"/>
    <mergeCell ref="A337:B337"/>
    <mergeCell ref="D337:E337"/>
    <mergeCell ref="I337:J337"/>
    <mergeCell ref="A334:B334"/>
    <mergeCell ref="D334:E334"/>
    <mergeCell ref="I334:J334"/>
    <mergeCell ref="A335:B335"/>
    <mergeCell ref="D335:E335"/>
    <mergeCell ref="I335:J335"/>
    <mergeCell ref="A332:B332"/>
    <mergeCell ref="D332:E332"/>
    <mergeCell ref="I332:J332"/>
    <mergeCell ref="A333:B333"/>
    <mergeCell ref="D333:E333"/>
    <mergeCell ref="I333:J333"/>
    <mergeCell ref="A330:B330"/>
    <mergeCell ref="D330:E330"/>
    <mergeCell ref="I330:J330"/>
    <mergeCell ref="A331:B331"/>
    <mergeCell ref="D331:E331"/>
    <mergeCell ref="I331:J331"/>
    <mergeCell ref="A328:B328"/>
    <mergeCell ref="D328:E328"/>
    <mergeCell ref="I328:J328"/>
    <mergeCell ref="A329:B329"/>
    <mergeCell ref="D329:E329"/>
    <mergeCell ref="I329:J329"/>
    <mergeCell ref="A327:B327"/>
    <mergeCell ref="D327:E327"/>
    <mergeCell ref="I327:J327"/>
    <mergeCell ref="A324:B324"/>
    <mergeCell ref="D324:E324"/>
    <mergeCell ref="I324:J324"/>
    <mergeCell ref="A325:B325"/>
    <mergeCell ref="D325:E325"/>
    <mergeCell ref="I325:J325"/>
    <mergeCell ref="A326:B326"/>
    <mergeCell ref="D326:E326"/>
    <mergeCell ref="I326:J326"/>
    <mergeCell ref="D185:E185"/>
    <mergeCell ref="I185:J194"/>
    <mergeCell ref="D186:E186"/>
    <mergeCell ref="D191:E191"/>
    <mergeCell ref="D193:E193"/>
    <mergeCell ref="D194:E194"/>
    <mergeCell ref="D196:E196"/>
    <mergeCell ref="I196:J205"/>
    <mergeCell ref="D197:E197"/>
    <mergeCell ref="D198:E198"/>
    <mergeCell ref="D199:E199"/>
    <mergeCell ref="D200:E200"/>
    <mergeCell ref="D201:E201"/>
    <mergeCell ref="D202:E202"/>
    <mergeCell ref="D203:E203"/>
    <mergeCell ref="D204:E204"/>
    <mergeCell ref="D205:E205"/>
    <mergeCell ref="A195:J195"/>
    <mergeCell ref="D224:E224"/>
    <mergeCell ref="D226:E226"/>
    <mergeCell ref="D225:E225"/>
    <mergeCell ref="D181:E181"/>
    <mergeCell ref="A290:J290"/>
    <mergeCell ref="D291:E291"/>
    <mergeCell ref="I291:J298"/>
    <mergeCell ref="D292:E292"/>
    <mergeCell ref="D293:E293"/>
    <mergeCell ref="D294:E294"/>
    <mergeCell ref="D295:E295"/>
    <mergeCell ref="D296:E296"/>
    <mergeCell ref="D297:E297"/>
    <mergeCell ref="D298:E298"/>
    <mergeCell ref="D187:E187"/>
    <mergeCell ref="D188:E188"/>
    <mergeCell ref="D189:E189"/>
    <mergeCell ref="D190:E190"/>
    <mergeCell ref="D265:E265"/>
    <mergeCell ref="D275:E275"/>
    <mergeCell ref="D250:E250"/>
    <mergeCell ref="D249:E249"/>
    <mergeCell ref="D248:E248"/>
    <mergeCell ref="A184:J184"/>
    <mergeCell ref="A323:B323"/>
    <mergeCell ref="D323:E323"/>
    <mergeCell ref="I323:J323"/>
    <mergeCell ref="A217:J217"/>
    <mergeCell ref="A220:J220"/>
    <mergeCell ref="B221:H221"/>
    <mergeCell ref="I221:J226"/>
    <mergeCell ref="I280:J289"/>
    <mergeCell ref="D282:E282"/>
    <mergeCell ref="D283:E283"/>
    <mergeCell ref="D284:E284"/>
    <mergeCell ref="D285:E285"/>
    <mergeCell ref="D286:E286"/>
    <mergeCell ref="A319:J321"/>
    <mergeCell ref="A318:B318"/>
    <mergeCell ref="E318:G318"/>
    <mergeCell ref="C318:D318"/>
    <mergeCell ref="H318:J318"/>
    <mergeCell ref="A279:J279"/>
    <mergeCell ref="D280:E280"/>
    <mergeCell ref="A227:J227"/>
    <mergeCell ref="A313:J313"/>
    <mergeCell ref="A314:J314"/>
    <mergeCell ref="D223:E223"/>
    <mergeCell ref="D139:E139"/>
    <mergeCell ref="A146:J146"/>
    <mergeCell ref="I124:J139"/>
    <mergeCell ref="A140:J140"/>
    <mergeCell ref="D124:E124"/>
    <mergeCell ref="I141:J145"/>
    <mergeCell ref="C142:H142"/>
    <mergeCell ref="D145:E145"/>
    <mergeCell ref="C141:H141"/>
    <mergeCell ref="C143:H143"/>
    <mergeCell ref="C144:H144"/>
    <mergeCell ref="A109:B109"/>
    <mergeCell ref="D109:F109"/>
    <mergeCell ref="G109:J109"/>
    <mergeCell ref="A115:J115"/>
    <mergeCell ref="A116:J116"/>
    <mergeCell ref="D122:E122"/>
    <mergeCell ref="A121:J121"/>
    <mergeCell ref="A120:J120"/>
    <mergeCell ref="A119:J119"/>
    <mergeCell ref="A117:B118"/>
    <mergeCell ref="C117:C118"/>
    <mergeCell ref="D117:E118"/>
    <mergeCell ref="H117:H118"/>
    <mergeCell ref="F117:F118"/>
    <mergeCell ref="I117:J118"/>
    <mergeCell ref="I122:J122"/>
    <mergeCell ref="A92:J92"/>
    <mergeCell ref="A64:B64"/>
    <mergeCell ref="C64:J64"/>
    <mergeCell ref="A100:J100"/>
    <mergeCell ref="A98:F98"/>
    <mergeCell ref="G98:J98"/>
    <mergeCell ref="A99:F99"/>
    <mergeCell ref="G99:J99"/>
    <mergeCell ref="A95:J95"/>
    <mergeCell ref="A96:F96"/>
    <mergeCell ref="G96:J96"/>
    <mergeCell ref="A93:J93"/>
    <mergeCell ref="A94:B94"/>
    <mergeCell ref="C94:J94"/>
    <mergeCell ref="A97:F97"/>
    <mergeCell ref="G97:J97"/>
    <mergeCell ref="A72:B72"/>
    <mergeCell ref="D72:E72"/>
    <mergeCell ref="A73:B73"/>
    <mergeCell ref="D73:E73"/>
    <mergeCell ref="A74:B74"/>
    <mergeCell ref="D74:E74"/>
    <mergeCell ref="A89:B89"/>
    <mergeCell ref="D89:E89"/>
    <mergeCell ref="A56:J56"/>
    <mergeCell ref="A59:B59"/>
    <mergeCell ref="A62:C62"/>
    <mergeCell ref="D62:J62"/>
    <mergeCell ref="C59:J59"/>
    <mergeCell ref="A58:B58"/>
    <mergeCell ref="C58:J58"/>
    <mergeCell ref="A57:B57"/>
    <mergeCell ref="C57:J57"/>
    <mergeCell ref="H53:J53"/>
    <mergeCell ref="A53:B53"/>
    <mergeCell ref="C53:F53"/>
    <mergeCell ref="D54:E54"/>
    <mergeCell ref="H54:J54"/>
    <mergeCell ref="A43:E43"/>
    <mergeCell ref="F43:J43"/>
    <mergeCell ref="H50:J50"/>
    <mergeCell ref="H51:J51"/>
    <mergeCell ref="A51:B51"/>
    <mergeCell ref="C51:F51"/>
    <mergeCell ref="A52:B52"/>
    <mergeCell ref="C52:F52"/>
    <mergeCell ref="A50:B50"/>
    <mergeCell ref="C50:F50"/>
    <mergeCell ref="A45:E45"/>
    <mergeCell ref="F45:J45"/>
    <mergeCell ref="A46:E46"/>
    <mergeCell ref="F46:J46"/>
    <mergeCell ref="A47:E47"/>
    <mergeCell ref="F47:J47"/>
    <mergeCell ref="A48:E48"/>
    <mergeCell ref="B54:C55"/>
    <mergeCell ref="D55:E55"/>
    <mergeCell ref="A20:B20"/>
    <mergeCell ref="C20:E20"/>
    <mergeCell ref="F20:G20"/>
    <mergeCell ref="H20:J20"/>
    <mergeCell ref="A29:E29"/>
    <mergeCell ref="A1:J1"/>
    <mergeCell ref="A2:J2"/>
    <mergeCell ref="A3:E3"/>
    <mergeCell ref="F3:J3"/>
    <mergeCell ref="A4:E4"/>
    <mergeCell ref="A8:E8"/>
    <mergeCell ref="F8:J8"/>
    <mergeCell ref="A11:E11"/>
    <mergeCell ref="F11:J11"/>
    <mergeCell ref="F4:J4"/>
    <mergeCell ref="F29:J29"/>
    <mergeCell ref="A28:E28"/>
    <mergeCell ref="F28:J28"/>
    <mergeCell ref="A22:B22"/>
    <mergeCell ref="C22:E22"/>
    <mergeCell ref="F22:G22"/>
    <mergeCell ref="H22:J22"/>
    <mergeCell ref="A13:E13"/>
    <mergeCell ref="F13:J13"/>
    <mergeCell ref="A5:E5"/>
    <mergeCell ref="F5:J5"/>
    <mergeCell ref="A6:E6"/>
    <mergeCell ref="F6:J6"/>
    <mergeCell ref="A7:E7"/>
    <mergeCell ref="F7:J7"/>
    <mergeCell ref="A19:B19"/>
    <mergeCell ref="A14:E14"/>
    <mergeCell ref="F14:J14"/>
    <mergeCell ref="A17:B17"/>
    <mergeCell ref="C17:J17"/>
    <mergeCell ref="A9:E10"/>
    <mergeCell ref="F9:H9"/>
    <mergeCell ref="F10:H10"/>
    <mergeCell ref="A12:E12"/>
    <mergeCell ref="F12:J12"/>
    <mergeCell ref="I9:J9"/>
    <mergeCell ref="I10:J10"/>
    <mergeCell ref="A15:E16"/>
    <mergeCell ref="F15:G15"/>
    <mergeCell ref="F16:G16"/>
    <mergeCell ref="H15:J15"/>
    <mergeCell ref="H16:J16"/>
    <mergeCell ref="C19:J19"/>
    <mergeCell ref="A33:B33"/>
    <mergeCell ref="C33:D33"/>
    <mergeCell ref="E33:F33"/>
    <mergeCell ref="G33:H33"/>
    <mergeCell ref="I33:J33"/>
    <mergeCell ref="A44:E44"/>
    <mergeCell ref="F44:J44"/>
    <mergeCell ref="A40:E40"/>
    <mergeCell ref="H52:J52"/>
    <mergeCell ref="F40:J40"/>
    <mergeCell ref="A34:B34"/>
    <mergeCell ref="C34:D34"/>
    <mergeCell ref="E34:F34"/>
    <mergeCell ref="G34:H34"/>
    <mergeCell ref="I34:J34"/>
    <mergeCell ref="A36:J36"/>
    <mergeCell ref="A37:B37"/>
    <mergeCell ref="A35:J35"/>
    <mergeCell ref="A39:J39"/>
    <mergeCell ref="A41:E41"/>
    <mergeCell ref="F41:J41"/>
    <mergeCell ref="A42:J42"/>
    <mergeCell ref="F48:J48"/>
    <mergeCell ref="A49:J49"/>
    <mergeCell ref="A21:B21"/>
    <mergeCell ref="C21:E21"/>
    <mergeCell ref="F21:G21"/>
    <mergeCell ref="H21:J21"/>
    <mergeCell ref="A32:B32"/>
    <mergeCell ref="C32:D32"/>
    <mergeCell ref="E32:F32"/>
    <mergeCell ref="G32:H32"/>
    <mergeCell ref="I32:J32"/>
    <mergeCell ref="A30:E30"/>
    <mergeCell ref="F30:J30"/>
    <mergeCell ref="A31:E31"/>
    <mergeCell ref="F31:J31"/>
    <mergeCell ref="A23:B23"/>
    <mergeCell ref="C23:E23"/>
    <mergeCell ref="F23:G23"/>
    <mergeCell ref="H23:J23"/>
    <mergeCell ref="A24:E25"/>
    <mergeCell ref="F24:J25"/>
    <mergeCell ref="A26:E27"/>
    <mergeCell ref="F26:J27"/>
    <mergeCell ref="A108:B108"/>
    <mergeCell ref="D108:F108"/>
    <mergeCell ref="G108:J108"/>
    <mergeCell ref="A101:B101"/>
    <mergeCell ref="D101:F101"/>
    <mergeCell ref="G101:J101"/>
    <mergeCell ref="D102:F102"/>
    <mergeCell ref="G102:J102"/>
    <mergeCell ref="A105:J105"/>
    <mergeCell ref="A104:B104"/>
    <mergeCell ref="D104:F104"/>
    <mergeCell ref="G104:J104"/>
    <mergeCell ref="A107:B107"/>
    <mergeCell ref="A106:B106"/>
    <mergeCell ref="D106:F106"/>
    <mergeCell ref="G106:J106"/>
    <mergeCell ref="D107:F107"/>
    <mergeCell ref="G107:J107"/>
    <mergeCell ref="C37:J37"/>
    <mergeCell ref="A38:B38"/>
    <mergeCell ref="C38:J38"/>
    <mergeCell ref="A75:B75"/>
    <mergeCell ref="D75:E75"/>
    <mergeCell ref="A76:B76"/>
    <mergeCell ref="D76:E76"/>
    <mergeCell ref="A77:B77"/>
    <mergeCell ref="D77:E77"/>
    <mergeCell ref="E65:F65"/>
    <mergeCell ref="I65:J65"/>
    <mergeCell ref="A66:B66"/>
    <mergeCell ref="C66:J66"/>
    <mergeCell ref="A67:B67"/>
    <mergeCell ref="D67:E67"/>
    <mergeCell ref="F67:G67"/>
    <mergeCell ref="H67:J67"/>
    <mergeCell ref="A68:B68"/>
    <mergeCell ref="D68:E68"/>
    <mergeCell ref="F68:G77"/>
    <mergeCell ref="H68:J77"/>
    <mergeCell ref="A69:B69"/>
    <mergeCell ref="D69:E69"/>
    <mergeCell ref="A70:B70"/>
    <mergeCell ref="F54:G55"/>
    <mergeCell ref="H55:J55"/>
    <mergeCell ref="I363:J363"/>
    <mergeCell ref="A364:B364"/>
    <mergeCell ref="D364:E364"/>
    <mergeCell ref="I364:J364"/>
    <mergeCell ref="A78:B78"/>
    <mergeCell ref="C78:J78"/>
    <mergeCell ref="E79:F79"/>
    <mergeCell ref="I79:J79"/>
    <mergeCell ref="A80:B80"/>
    <mergeCell ref="C80:J80"/>
    <mergeCell ref="A81:B81"/>
    <mergeCell ref="D81:E81"/>
    <mergeCell ref="F81:G81"/>
    <mergeCell ref="H81:J81"/>
    <mergeCell ref="A82:B82"/>
    <mergeCell ref="D82:E82"/>
    <mergeCell ref="F82:G91"/>
    <mergeCell ref="H82:J91"/>
    <mergeCell ref="A83:B83"/>
    <mergeCell ref="D70:E70"/>
    <mergeCell ref="A88:B88"/>
    <mergeCell ref="D88:E88"/>
    <mergeCell ref="D370:E370"/>
    <mergeCell ref="I370:J370"/>
    <mergeCell ref="A371:B371"/>
    <mergeCell ref="D371:E371"/>
    <mergeCell ref="I371:J371"/>
    <mergeCell ref="A372:B372"/>
    <mergeCell ref="D372:E372"/>
    <mergeCell ref="I372:J372"/>
    <mergeCell ref="A373:B373"/>
    <mergeCell ref="D373:E373"/>
    <mergeCell ref="I373:J373"/>
    <mergeCell ref="A374:B374"/>
    <mergeCell ref="D374:E374"/>
    <mergeCell ref="I374:J374"/>
    <mergeCell ref="A375:B375"/>
    <mergeCell ref="D375:E375"/>
    <mergeCell ref="I375:J375"/>
    <mergeCell ref="A376:B376"/>
    <mergeCell ref="D376:E376"/>
    <mergeCell ref="I376:J376"/>
    <mergeCell ref="A377:B377"/>
    <mergeCell ref="D377:E377"/>
    <mergeCell ref="I377:J377"/>
    <mergeCell ref="A378:B378"/>
    <mergeCell ref="D378:E378"/>
    <mergeCell ref="I378:J378"/>
    <mergeCell ref="A379:B379"/>
    <mergeCell ref="D379:E379"/>
    <mergeCell ref="I379:J379"/>
    <mergeCell ref="A400:B400"/>
    <mergeCell ref="D400:E400"/>
    <mergeCell ref="I400:J400"/>
    <mergeCell ref="A401:B401"/>
    <mergeCell ref="D401:E401"/>
    <mergeCell ref="I401:J401"/>
    <mergeCell ref="A402:B402"/>
    <mergeCell ref="D402:E402"/>
    <mergeCell ref="I402:J402"/>
    <mergeCell ref="A403:B403"/>
    <mergeCell ref="D403:E403"/>
    <mergeCell ref="I403:J403"/>
    <mergeCell ref="A90:B90"/>
    <mergeCell ref="D90:E90"/>
    <mergeCell ref="A91:B91"/>
    <mergeCell ref="D91:E91"/>
    <mergeCell ref="C60:J60"/>
    <mergeCell ref="A60:B61"/>
    <mergeCell ref="C61:J61"/>
    <mergeCell ref="D83:E83"/>
    <mergeCell ref="A84:B84"/>
    <mergeCell ref="D84:E84"/>
    <mergeCell ref="A85:B85"/>
    <mergeCell ref="D85:E85"/>
    <mergeCell ref="A86:B86"/>
    <mergeCell ref="D86:E86"/>
    <mergeCell ref="A87:B87"/>
    <mergeCell ref="D87:E87"/>
    <mergeCell ref="A71:B71"/>
    <mergeCell ref="D71:E71"/>
    <mergeCell ref="A63:J63"/>
    <mergeCell ref="A123:J123"/>
    <mergeCell ref="C125:H125"/>
    <mergeCell ref="D182:E182"/>
    <mergeCell ref="D171:E171"/>
    <mergeCell ref="D126:E126"/>
    <mergeCell ref="D130:E130"/>
    <mergeCell ref="D131:E131"/>
    <mergeCell ref="D128:E128"/>
    <mergeCell ref="D129:E129"/>
    <mergeCell ref="D127:E127"/>
    <mergeCell ref="D136:E136"/>
    <mergeCell ref="D179:E179"/>
    <mergeCell ref="D180:E180"/>
    <mergeCell ref="A149:J149"/>
    <mergeCell ref="D134:E134"/>
    <mergeCell ref="D135:E135"/>
    <mergeCell ref="D132:E132"/>
    <mergeCell ref="D133:E133"/>
    <mergeCell ref="A147:B148"/>
    <mergeCell ref="C147:C148"/>
    <mergeCell ref="D147:E148"/>
    <mergeCell ref="F147:F148"/>
    <mergeCell ref="H147:H148"/>
    <mergeCell ref="I147:J148"/>
    <mergeCell ref="D137:E137"/>
    <mergeCell ref="D138:E138"/>
    <mergeCell ref="D154:E154"/>
    <mergeCell ref="D152:E152"/>
    <mergeCell ref="D153:E153"/>
    <mergeCell ref="D161:E161"/>
    <mergeCell ref="D155:E155"/>
    <mergeCell ref="D156:E156"/>
    <mergeCell ref="D163:E163"/>
    <mergeCell ref="D159:E159"/>
    <mergeCell ref="D160:E160"/>
    <mergeCell ref="A162:J162"/>
    <mergeCell ref="I163:J172"/>
    <mergeCell ref="D157:E157"/>
    <mergeCell ref="D158:E158"/>
    <mergeCell ref="D168:E168"/>
    <mergeCell ref="D169:E169"/>
    <mergeCell ref="D166:E166"/>
    <mergeCell ref="D167:E167"/>
    <mergeCell ref="D164:E164"/>
    <mergeCell ref="D165:E165"/>
    <mergeCell ref="D172:E172"/>
    <mergeCell ref="A18:B18"/>
    <mergeCell ref="C18:J18"/>
    <mergeCell ref="A206:J206"/>
    <mergeCell ref="D207:E207"/>
    <mergeCell ref="I207:J216"/>
    <mergeCell ref="D208:E208"/>
    <mergeCell ref="D209:E209"/>
    <mergeCell ref="D210:E210"/>
    <mergeCell ref="D211:E211"/>
    <mergeCell ref="D212:E212"/>
    <mergeCell ref="D213:E213"/>
    <mergeCell ref="D215:E215"/>
    <mergeCell ref="D216:E216"/>
    <mergeCell ref="A150:J150"/>
    <mergeCell ref="I152:J161"/>
    <mergeCell ref="A151:J151"/>
    <mergeCell ref="A173:J173"/>
    <mergeCell ref="D174:E174"/>
    <mergeCell ref="I174:J183"/>
    <mergeCell ref="D175:E175"/>
    <mergeCell ref="D176:E176"/>
    <mergeCell ref="D177:E177"/>
    <mergeCell ref="D178:E178"/>
    <mergeCell ref="D183:E183"/>
  </mergeCells>
  <dataValidations count="1">
    <dataValidation type="list" allowBlank="1" showInputMessage="1" showErrorMessage="1" sqref="G118 G148">
      <formula1>".45,.50,.55,.60"</formula1>
    </dataValidation>
  </dataValidations>
  <hyperlinks>
    <hyperlink ref="C38" r:id="rId1"/>
  </hyperlinks>
  <pageMargins left="0.31496062992125984" right="0.23622047244094491" top="0.74803149606299213" bottom="0.59055118110236227" header="0.19685039370078741" footer="0.19685039370078741"/>
  <pageSetup paperSize="9" scale="96" fitToHeight="0" orientation="portrait" r:id="rId2"/>
  <headerFooter>
    <oddHeader>&amp;C&amp;"Times New Roman,Bold"&amp;20&amp;G</oddHeader>
    <oddFooter>&amp;L&amp;"Times New Roman,Bold"&amp;12Ref No: &amp;F&amp;C&amp;G&amp;R&amp;"Times New Roman,Bold"&amp;12&amp;P</oddFooter>
  </headerFooter>
  <rowBreaks count="4" manualBreakCount="4">
    <brk id="63" max="16383" man="1"/>
    <brk id="321" max="9" man="1"/>
    <brk id="362" max="9" man="1"/>
    <brk id="403"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E25" sqref="E25"/>
    </sheetView>
  </sheetViews>
  <sheetFormatPr defaultRowHeight="15" x14ac:dyDescent="0.25"/>
  <cols>
    <col min="1" max="1" width="20.5703125" style="19" customWidth="1"/>
    <col min="2" max="2" width="11.7109375" style="19" customWidth="1"/>
    <col min="3" max="4" width="9.140625" style="19"/>
    <col min="5" max="5" width="10.140625" style="19" customWidth="1"/>
    <col min="6" max="6" width="10.7109375" style="19" customWidth="1"/>
    <col min="7" max="7" width="9.140625" style="19"/>
    <col min="8" max="8" width="10.42578125" style="19" customWidth="1"/>
    <col min="9" max="9" width="15.42578125" style="19" customWidth="1"/>
    <col min="10" max="258" width="9.140625" style="19"/>
    <col min="259" max="259" width="11.7109375" style="19" customWidth="1"/>
    <col min="260" max="260" width="9.140625" style="19"/>
    <col min="261" max="261" width="14.7109375" style="19" customWidth="1"/>
    <col min="262" max="262" width="10.7109375" style="19" customWidth="1"/>
    <col min="263" max="514" width="9.140625" style="19"/>
    <col min="515" max="515" width="11.7109375" style="19" customWidth="1"/>
    <col min="516" max="516" width="9.140625" style="19"/>
    <col min="517" max="517" width="14.7109375" style="19" customWidth="1"/>
    <col min="518" max="518" width="10.7109375" style="19" customWidth="1"/>
    <col min="519" max="770" width="9.140625" style="19"/>
    <col min="771" max="771" width="11.7109375" style="19" customWidth="1"/>
    <col min="772" max="772" width="9.140625" style="19"/>
    <col min="773" max="773" width="14.7109375" style="19" customWidth="1"/>
    <col min="774" max="774" width="10.7109375" style="19" customWidth="1"/>
    <col min="775" max="1026" width="9.140625" style="19"/>
    <col min="1027" max="1027" width="11.7109375" style="19" customWidth="1"/>
    <col min="1028" max="1028" width="9.140625" style="19"/>
    <col min="1029" max="1029" width="14.7109375" style="19" customWidth="1"/>
    <col min="1030" max="1030" width="10.7109375" style="19" customWidth="1"/>
    <col min="1031" max="1282" width="9.140625" style="19"/>
    <col min="1283" max="1283" width="11.7109375" style="19" customWidth="1"/>
    <col min="1284" max="1284" width="9.140625" style="19"/>
    <col min="1285" max="1285" width="14.7109375" style="19" customWidth="1"/>
    <col min="1286" max="1286" width="10.7109375" style="19" customWidth="1"/>
    <col min="1287" max="1538" width="9.140625" style="19"/>
    <col min="1539" max="1539" width="11.7109375" style="19" customWidth="1"/>
    <col min="1540" max="1540" width="9.140625" style="19"/>
    <col min="1541" max="1541" width="14.7109375" style="19" customWidth="1"/>
    <col min="1542" max="1542" width="10.7109375" style="19" customWidth="1"/>
    <col min="1543" max="1794" width="9.140625" style="19"/>
    <col min="1795" max="1795" width="11.7109375" style="19" customWidth="1"/>
    <col min="1796" max="1796" width="9.140625" style="19"/>
    <col min="1797" max="1797" width="14.7109375" style="19" customWidth="1"/>
    <col min="1798" max="1798" width="10.7109375" style="19" customWidth="1"/>
    <col min="1799" max="2050" width="9.140625" style="19"/>
    <col min="2051" max="2051" width="11.7109375" style="19" customWidth="1"/>
    <col min="2052" max="2052" width="9.140625" style="19"/>
    <col min="2053" max="2053" width="14.7109375" style="19" customWidth="1"/>
    <col min="2054" max="2054" width="10.7109375" style="19" customWidth="1"/>
    <col min="2055" max="2306" width="9.140625" style="19"/>
    <col min="2307" max="2307" width="11.7109375" style="19" customWidth="1"/>
    <col min="2308" max="2308" width="9.140625" style="19"/>
    <col min="2309" max="2309" width="14.7109375" style="19" customWidth="1"/>
    <col min="2310" max="2310" width="10.7109375" style="19" customWidth="1"/>
    <col min="2311" max="2562" width="9.140625" style="19"/>
    <col min="2563" max="2563" width="11.7109375" style="19" customWidth="1"/>
    <col min="2564" max="2564" width="9.140625" style="19"/>
    <col min="2565" max="2565" width="14.7109375" style="19" customWidth="1"/>
    <col min="2566" max="2566" width="10.7109375" style="19" customWidth="1"/>
    <col min="2567" max="2818" width="9.140625" style="19"/>
    <col min="2819" max="2819" width="11.7109375" style="19" customWidth="1"/>
    <col min="2820" max="2820" width="9.140625" style="19"/>
    <col min="2821" max="2821" width="14.7109375" style="19" customWidth="1"/>
    <col min="2822" max="2822" width="10.7109375" style="19" customWidth="1"/>
    <col min="2823" max="3074" width="9.140625" style="19"/>
    <col min="3075" max="3075" width="11.7109375" style="19" customWidth="1"/>
    <col min="3076" max="3076" width="9.140625" style="19"/>
    <col min="3077" max="3077" width="14.7109375" style="19" customWidth="1"/>
    <col min="3078" max="3078" width="10.7109375" style="19" customWidth="1"/>
    <col min="3079" max="3330" width="9.140625" style="19"/>
    <col min="3331" max="3331" width="11.7109375" style="19" customWidth="1"/>
    <col min="3332" max="3332" width="9.140625" style="19"/>
    <col min="3333" max="3333" width="14.7109375" style="19" customWidth="1"/>
    <col min="3334" max="3334" width="10.7109375" style="19" customWidth="1"/>
    <col min="3335" max="3586" width="9.140625" style="19"/>
    <col min="3587" max="3587" width="11.7109375" style="19" customWidth="1"/>
    <col min="3588" max="3588" width="9.140625" style="19"/>
    <col min="3589" max="3589" width="14.7109375" style="19" customWidth="1"/>
    <col min="3590" max="3590" width="10.7109375" style="19" customWidth="1"/>
    <col min="3591" max="3842" width="9.140625" style="19"/>
    <col min="3843" max="3843" width="11.7109375" style="19" customWidth="1"/>
    <col min="3844" max="3844" width="9.140625" style="19"/>
    <col min="3845" max="3845" width="14.7109375" style="19" customWidth="1"/>
    <col min="3846" max="3846" width="10.7109375" style="19" customWidth="1"/>
    <col min="3847" max="4098" width="9.140625" style="19"/>
    <col min="4099" max="4099" width="11.7109375" style="19" customWidth="1"/>
    <col min="4100" max="4100" width="9.140625" style="19"/>
    <col min="4101" max="4101" width="14.7109375" style="19" customWidth="1"/>
    <col min="4102" max="4102" width="10.7109375" style="19" customWidth="1"/>
    <col min="4103" max="4354" width="9.140625" style="19"/>
    <col min="4355" max="4355" width="11.7109375" style="19" customWidth="1"/>
    <col min="4356" max="4356" width="9.140625" style="19"/>
    <col min="4357" max="4357" width="14.7109375" style="19" customWidth="1"/>
    <col min="4358" max="4358" width="10.7109375" style="19" customWidth="1"/>
    <col min="4359" max="4610" width="9.140625" style="19"/>
    <col min="4611" max="4611" width="11.7109375" style="19" customWidth="1"/>
    <col min="4612" max="4612" width="9.140625" style="19"/>
    <col min="4613" max="4613" width="14.7109375" style="19" customWidth="1"/>
    <col min="4614" max="4614" width="10.7109375" style="19" customWidth="1"/>
    <col min="4615" max="4866" width="9.140625" style="19"/>
    <col min="4867" max="4867" width="11.7109375" style="19" customWidth="1"/>
    <col min="4868" max="4868" width="9.140625" style="19"/>
    <col min="4869" max="4869" width="14.7109375" style="19" customWidth="1"/>
    <col min="4870" max="4870" width="10.7109375" style="19" customWidth="1"/>
    <col min="4871" max="5122" width="9.140625" style="19"/>
    <col min="5123" max="5123" width="11.7109375" style="19" customWidth="1"/>
    <col min="5124" max="5124" width="9.140625" style="19"/>
    <col min="5125" max="5125" width="14.7109375" style="19" customWidth="1"/>
    <col min="5126" max="5126" width="10.7109375" style="19" customWidth="1"/>
    <col min="5127" max="5378" width="9.140625" style="19"/>
    <col min="5379" max="5379" width="11.7109375" style="19" customWidth="1"/>
    <col min="5380" max="5380" width="9.140625" style="19"/>
    <col min="5381" max="5381" width="14.7109375" style="19" customWidth="1"/>
    <col min="5382" max="5382" width="10.7109375" style="19" customWidth="1"/>
    <col min="5383" max="5634" width="9.140625" style="19"/>
    <col min="5635" max="5635" width="11.7109375" style="19" customWidth="1"/>
    <col min="5636" max="5636" width="9.140625" style="19"/>
    <col min="5637" max="5637" width="14.7109375" style="19" customWidth="1"/>
    <col min="5638" max="5638" width="10.7109375" style="19" customWidth="1"/>
    <col min="5639" max="5890" width="9.140625" style="19"/>
    <col min="5891" max="5891" width="11.7109375" style="19" customWidth="1"/>
    <col min="5892" max="5892" width="9.140625" style="19"/>
    <col min="5893" max="5893" width="14.7109375" style="19" customWidth="1"/>
    <col min="5894" max="5894" width="10.7109375" style="19" customWidth="1"/>
    <col min="5895" max="6146" width="9.140625" style="19"/>
    <col min="6147" max="6147" width="11.7109375" style="19" customWidth="1"/>
    <col min="6148" max="6148" width="9.140625" style="19"/>
    <col min="6149" max="6149" width="14.7109375" style="19" customWidth="1"/>
    <col min="6150" max="6150" width="10.7109375" style="19" customWidth="1"/>
    <col min="6151" max="6402" width="9.140625" style="19"/>
    <col min="6403" max="6403" width="11.7109375" style="19" customWidth="1"/>
    <col min="6404" max="6404" width="9.140625" style="19"/>
    <col min="6405" max="6405" width="14.7109375" style="19" customWidth="1"/>
    <col min="6406" max="6406" width="10.7109375" style="19" customWidth="1"/>
    <col min="6407" max="6658" width="9.140625" style="19"/>
    <col min="6659" max="6659" width="11.7109375" style="19" customWidth="1"/>
    <col min="6660" max="6660" width="9.140625" style="19"/>
    <col min="6661" max="6661" width="14.7109375" style="19" customWidth="1"/>
    <col min="6662" max="6662" width="10.7109375" style="19" customWidth="1"/>
    <col min="6663" max="6914" width="9.140625" style="19"/>
    <col min="6915" max="6915" width="11.7109375" style="19" customWidth="1"/>
    <col min="6916" max="6916" width="9.140625" style="19"/>
    <col min="6917" max="6917" width="14.7109375" style="19" customWidth="1"/>
    <col min="6918" max="6918" width="10.7109375" style="19" customWidth="1"/>
    <col min="6919" max="7170" width="9.140625" style="19"/>
    <col min="7171" max="7171" width="11.7109375" style="19" customWidth="1"/>
    <col min="7172" max="7172" width="9.140625" style="19"/>
    <col min="7173" max="7173" width="14.7109375" style="19" customWidth="1"/>
    <col min="7174" max="7174" width="10.7109375" style="19" customWidth="1"/>
    <col min="7175" max="7426" width="9.140625" style="19"/>
    <col min="7427" max="7427" width="11.7109375" style="19" customWidth="1"/>
    <col min="7428" max="7428" width="9.140625" style="19"/>
    <col min="7429" max="7429" width="14.7109375" style="19" customWidth="1"/>
    <col min="7430" max="7430" width="10.7109375" style="19" customWidth="1"/>
    <col min="7431" max="7682" width="9.140625" style="19"/>
    <col min="7683" max="7683" width="11.7109375" style="19" customWidth="1"/>
    <col min="7684" max="7684" width="9.140625" style="19"/>
    <col min="7685" max="7685" width="14.7109375" style="19" customWidth="1"/>
    <col min="7686" max="7686" width="10.7109375" style="19" customWidth="1"/>
    <col min="7687" max="7938" width="9.140625" style="19"/>
    <col min="7939" max="7939" width="11.7109375" style="19" customWidth="1"/>
    <col min="7940" max="7940" width="9.140625" style="19"/>
    <col min="7941" max="7941" width="14.7109375" style="19" customWidth="1"/>
    <col min="7942" max="7942" width="10.7109375" style="19" customWidth="1"/>
    <col min="7943" max="8194" width="9.140625" style="19"/>
    <col min="8195" max="8195" width="11.7109375" style="19" customWidth="1"/>
    <col min="8196" max="8196" width="9.140625" style="19"/>
    <col min="8197" max="8197" width="14.7109375" style="19" customWidth="1"/>
    <col min="8198" max="8198" width="10.7109375" style="19" customWidth="1"/>
    <col min="8199" max="8450" width="9.140625" style="19"/>
    <col min="8451" max="8451" width="11.7109375" style="19" customWidth="1"/>
    <col min="8452" max="8452" width="9.140625" style="19"/>
    <col min="8453" max="8453" width="14.7109375" style="19" customWidth="1"/>
    <col min="8454" max="8454" width="10.7109375" style="19" customWidth="1"/>
    <col min="8455" max="8706" width="9.140625" style="19"/>
    <col min="8707" max="8707" width="11.7109375" style="19" customWidth="1"/>
    <col min="8708" max="8708" width="9.140625" style="19"/>
    <col min="8709" max="8709" width="14.7109375" style="19" customWidth="1"/>
    <col min="8710" max="8710" width="10.7109375" style="19" customWidth="1"/>
    <col min="8711" max="8962" width="9.140625" style="19"/>
    <col min="8963" max="8963" width="11.7109375" style="19" customWidth="1"/>
    <col min="8964" max="8964" width="9.140625" style="19"/>
    <col min="8965" max="8965" width="14.7109375" style="19" customWidth="1"/>
    <col min="8966" max="8966" width="10.7109375" style="19" customWidth="1"/>
    <col min="8967" max="9218" width="9.140625" style="19"/>
    <col min="9219" max="9219" width="11.7109375" style="19" customWidth="1"/>
    <col min="9220" max="9220" width="9.140625" style="19"/>
    <col min="9221" max="9221" width="14.7109375" style="19" customWidth="1"/>
    <col min="9222" max="9222" width="10.7109375" style="19" customWidth="1"/>
    <col min="9223" max="9474" width="9.140625" style="19"/>
    <col min="9475" max="9475" width="11.7109375" style="19" customWidth="1"/>
    <col min="9476" max="9476" width="9.140625" style="19"/>
    <col min="9477" max="9477" width="14.7109375" style="19" customWidth="1"/>
    <col min="9478" max="9478" width="10.7109375" style="19" customWidth="1"/>
    <col min="9479" max="9730" width="9.140625" style="19"/>
    <col min="9731" max="9731" width="11.7109375" style="19" customWidth="1"/>
    <col min="9732" max="9732" width="9.140625" style="19"/>
    <col min="9733" max="9733" width="14.7109375" style="19" customWidth="1"/>
    <col min="9734" max="9734" width="10.7109375" style="19" customWidth="1"/>
    <col min="9735" max="9986" width="9.140625" style="19"/>
    <col min="9987" max="9987" width="11.7109375" style="19" customWidth="1"/>
    <col min="9988" max="9988" width="9.140625" style="19"/>
    <col min="9989" max="9989" width="14.7109375" style="19" customWidth="1"/>
    <col min="9990" max="9990" width="10.7109375" style="19" customWidth="1"/>
    <col min="9991" max="10242" width="9.140625" style="19"/>
    <col min="10243" max="10243" width="11.7109375" style="19" customWidth="1"/>
    <col min="10244" max="10244" width="9.140625" style="19"/>
    <col min="10245" max="10245" width="14.7109375" style="19" customWidth="1"/>
    <col min="10246" max="10246" width="10.7109375" style="19" customWidth="1"/>
    <col min="10247" max="10498" width="9.140625" style="19"/>
    <col min="10499" max="10499" width="11.7109375" style="19" customWidth="1"/>
    <col min="10500" max="10500" width="9.140625" style="19"/>
    <col min="10501" max="10501" width="14.7109375" style="19" customWidth="1"/>
    <col min="10502" max="10502" width="10.7109375" style="19" customWidth="1"/>
    <col min="10503" max="10754" width="9.140625" style="19"/>
    <col min="10755" max="10755" width="11.7109375" style="19" customWidth="1"/>
    <col min="10756" max="10756" width="9.140625" style="19"/>
    <col min="10757" max="10757" width="14.7109375" style="19" customWidth="1"/>
    <col min="10758" max="10758" width="10.7109375" style="19" customWidth="1"/>
    <col min="10759" max="11010" width="9.140625" style="19"/>
    <col min="11011" max="11011" width="11.7109375" style="19" customWidth="1"/>
    <col min="11012" max="11012" width="9.140625" style="19"/>
    <col min="11013" max="11013" width="14.7109375" style="19" customWidth="1"/>
    <col min="11014" max="11014" width="10.7109375" style="19" customWidth="1"/>
    <col min="11015" max="11266" width="9.140625" style="19"/>
    <col min="11267" max="11267" width="11.7109375" style="19" customWidth="1"/>
    <col min="11268" max="11268" width="9.140625" style="19"/>
    <col min="11269" max="11269" width="14.7109375" style="19" customWidth="1"/>
    <col min="11270" max="11270" width="10.7109375" style="19" customWidth="1"/>
    <col min="11271" max="11522" width="9.140625" style="19"/>
    <col min="11523" max="11523" width="11.7109375" style="19" customWidth="1"/>
    <col min="11524" max="11524" width="9.140625" style="19"/>
    <col min="11525" max="11525" width="14.7109375" style="19" customWidth="1"/>
    <col min="11526" max="11526" width="10.7109375" style="19" customWidth="1"/>
    <col min="11527" max="11778" width="9.140625" style="19"/>
    <col min="11779" max="11779" width="11.7109375" style="19" customWidth="1"/>
    <col min="11780" max="11780" width="9.140625" style="19"/>
    <col min="11781" max="11781" width="14.7109375" style="19" customWidth="1"/>
    <col min="11782" max="11782" width="10.7109375" style="19" customWidth="1"/>
    <col min="11783" max="12034" width="9.140625" style="19"/>
    <col min="12035" max="12035" width="11.7109375" style="19" customWidth="1"/>
    <col min="12036" max="12036" width="9.140625" style="19"/>
    <col min="12037" max="12037" width="14.7109375" style="19" customWidth="1"/>
    <col min="12038" max="12038" width="10.7109375" style="19" customWidth="1"/>
    <col min="12039" max="12290" width="9.140625" style="19"/>
    <col min="12291" max="12291" width="11.7109375" style="19" customWidth="1"/>
    <col min="12292" max="12292" width="9.140625" style="19"/>
    <col min="12293" max="12293" width="14.7109375" style="19" customWidth="1"/>
    <col min="12294" max="12294" width="10.7109375" style="19" customWidth="1"/>
    <col min="12295" max="12546" width="9.140625" style="19"/>
    <col min="12547" max="12547" width="11.7109375" style="19" customWidth="1"/>
    <col min="12548" max="12548" width="9.140625" style="19"/>
    <col min="12549" max="12549" width="14.7109375" style="19" customWidth="1"/>
    <col min="12550" max="12550" width="10.7109375" style="19" customWidth="1"/>
    <col min="12551" max="12802" width="9.140625" style="19"/>
    <col min="12803" max="12803" width="11.7109375" style="19" customWidth="1"/>
    <col min="12804" max="12804" width="9.140625" style="19"/>
    <col min="12805" max="12805" width="14.7109375" style="19" customWidth="1"/>
    <col min="12806" max="12806" width="10.7109375" style="19" customWidth="1"/>
    <col min="12807" max="13058" width="9.140625" style="19"/>
    <col min="13059" max="13059" width="11.7109375" style="19" customWidth="1"/>
    <col min="13060" max="13060" width="9.140625" style="19"/>
    <col min="13061" max="13061" width="14.7109375" style="19" customWidth="1"/>
    <col min="13062" max="13062" width="10.7109375" style="19" customWidth="1"/>
    <col min="13063" max="13314" width="9.140625" style="19"/>
    <col min="13315" max="13315" width="11.7109375" style="19" customWidth="1"/>
    <col min="13316" max="13316" width="9.140625" style="19"/>
    <col min="13317" max="13317" width="14.7109375" style="19" customWidth="1"/>
    <col min="13318" max="13318" width="10.7109375" style="19" customWidth="1"/>
    <col min="13319" max="13570" width="9.140625" style="19"/>
    <col min="13571" max="13571" width="11.7109375" style="19" customWidth="1"/>
    <col min="13572" max="13572" width="9.140625" style="19"/>
    <col min="13573" max="13573" width="14.7109375" style="19" customWidth="1"/>
    <col min="13574" max="13574" width="10.7109375" style="19" customWidth="1"/>
    <col min="13575" max="13826" width="9.140625" style="19"/>
    <col min="13827" max="13827" width="11.7109375" style="19" customWidth="1"/>
    <col min="13828" max="13828" width="9.140625" style="19"/>
    <col min="13829" max="13829" width="14.7109375" style="19" customWidth="1"/>
    <col min="13830" max="13830" width="10.7109375" style="19" customWidth="1"/>
    <col min="13831" max="14082" width="9.140625" style="19"/>
    <col min="14083" max="14083" width="11.7109375" style="19" customWidth="1"/>
    <col min="14084" max="14084" width="9.140625" style="19"/>
    <col min="14085" max="14085" width="14.7109375" style="19" customWidth="1"/>
    <col min="14086" max="14086" width="10.7109375" style="19" customWidth="1"/>
    <col min="14087" max="14338" width="9.140625" style="19"/>
    <col min="14339" max="14339" width="11.7109375" style="19" customWidth="1"/>
    <col min="14340" max="14340" width="9.140625" style="19"/>
    <col min="14341" max="14341" width="14.7109375" style="19" customWidth="1"/>
    <col min="14342" max="14342" width="10.7109375" style="19" customWidth="1"/>
    <col min="14343" max="14594" width="9.140625" style="19"/>
    <col min="14595" max="14595" width="11.7109375" style="19" customWidth="1"/>
    <col min="14596" max="14596" width="9.140625" style="19"/>
    <col min="14597" max="14597" width="14.7109375" style="19" customWidth="1"/>
    <col min="14598" max="14598" width="10.7109375" style="19" customWidth="1"/>
    <col min="14599" max="14850" width="9.140625" style="19"/>
    <col min="14851" max="14851" width="11.7109375" style="19" customWidth="1"/>
    <col min="14852" max="14852" width="9.140625" style="19"/>
    <col min="14853" max="14853" width="14.7109375" style="19" customWidth="1"/>
    <col min="14854" max="14854" width="10.7109375" style="19" customWidth="1"/>
    <col min="14855" max="15106" width="9.140625" style="19"/>
    <col min="15107" max="15107" width="11.7109375" style="19" customWidth="1"/>
    <col min="15108" max="15108" width="9.140625" style="19"/>
    <col min="15109" max="15109" width="14.7109375" style="19" customWidth="1"/>
    <col min="15110" max="15110" width="10.7109375" style="19" customWidth="1"/>
    <col min="15111" max="15362" width="9.140625" style="19"/>
    <col min="15363" max="15363" width="11.7109375" style="19" customWidth="1"/>
    <col min="15364" max="15364" width="9.140625" style="19"/>
    <col min="15365" max="15365" width="14.7109375" style="19" customWidth="1"/>
    <col min="15366" max="15366" width="10.7109375" style="19" customWidth="1"/>
    <col min="15367" max="15618" width="9.140625" style="19"/>
    <col min="15619" max="15619" width="11.7109375" style="19" customWidth="1"/>
    <col min="15620" max="15620" width="9.140625" style="19"/>
    <col min="15621" max="15621" width="14.7109375" style="19" customWidth="1"/>
    <col min="15622" max="15622" width="10.7109375" style="19" customWidth="1"/>
    <col min="15623" max="15874" width="9.140625" style="19"/>
    <col min="15875" max="15875" width="11.7109375" style="19" customWidth="1"/>
    <col min="15876" max="15876" width="9.140625" style="19"/>
    <col min="15877" max="15877" width="14.7109375" style="19" customWidth="1"/>
    <col min="15878" max="15878" width="10.7109375" style="19" customWidth="1"/>
    <col min="15879" max="16130" width="9.140625" style="19"/>
    <col min="16131" max="16131" width="11.7109375" style="19" customWidth="1"/>
    <col min="16132" max="16132" width="9.140625" style="19"/>
    <col min="16133" max="16133" width="14.7109375" style="19" customWidth="1"/>
    <col min="16134" max="16134" width="10.7109375" style="19" customWidth="1"/>
    <col min="16135" max="16384" width="9.140625" style="19"/>
  </cols>
  <sheetData>
    <row r="2" spans="1:13" x14ac:dyDescent="0.25">
      <c r="A2" s="20" t="s">
        <v>131</v>
      </c>
      <c r="B2" s="20" t="s">
        <v>132</v>
      </c>
      <c r="C2" s="20" t="s">
        <v>133</v>
      </c>
      <c r="D2" s="254" t="s">
        <v>134</v>
      </c>
      <c r="E2" s="254"/>
    </row>
    <row r="3" spans="1:13" x14ac:dyDescent="0.25">
      <c r="A3" s="23">
        <v>0</v>
      </c>
      <c r="B3" s="23">
        <v>0</v>
      </c>
      <c r="C3" s="23">
        <v>1</v>
      </c>
      <c r="D3" s="256">
        <v>38</v>
      </c>
      <c r="E3" s="256"/>
    </row>
    <row r="5" spans="1:13" hidden="1" x14ac:dyDescent="0.25">
      <c r="A5" s="19" t="s">
        <v>97</v>
      </c>
      <c r="B5" s="21" t="s">
        <v>148</v>
      </c>
      <c r="C5" s="21">
        <f>D3</f>
        <v>38</v>
      </c>
      <c r="D5" s="22"/>
    </row>
    <row r="6" spans="1:13" x14ac:dyDescent="0.25">
      <c r="A6" s="19" t="s">
        <v>98</v>
      </c>
      <c r="B6" s="24">
        <v>10</v>
      </c>
      <c r="C6" s="25">
        <v>7</v>
      </c>
      <c r="D6" s="26">
        <f>((100/B6)*C6)/100</f>
        <v>0.7</v>
      </c>
    </row>
    <row r="7" spans="1:13" x14ac:dyDescent="0.25">
      <c r="A7" s="19" t="s">
        <v>99</v>
      </c>
      <c r="B7" s="24">
        <f>A3+B3+C3+D3</f>
        <v>39</v>
      </c>
      <c r="C7" s="25">
        <v>0</v>
      </c>
      <c r="D7" s="26">
        <f t="shared" ref="D7:D12" si="0">((100/B7)*C7)/100</f>
        <v>0</v>
      </c>
      <c r="F7" s="257" t="s">
        <v>149</v>
      </c>
      <c r="G7" s="257"/>
      <c r="H7" s="27" t="s">
        <v>150</v>
      </c>
      <c r="J7" s="33"/>
    </row>
    <row r="8" spans="1:13" x14ac:dyDescent="0.25">
      <c r="A8" s="19" t="s">
        <v>104</v>
      </c>
      <c r="B8" s="24">
        <f>C5</f>
        <v>38</v>
      </c>
      <c r="C8" s="25">
        <v>0</v>
      </c>
      <c r="D8" s="26">
        <f t="shared" si="0"/>
        <v>0</v>
      </c>
      <c r="F8" s="255" t="s">
        <v>151</v>
      </c>
      <c r="G8" s="255"/>
      <c r="H8" s="24" t="s">
        <v>152</v>
      </c>
    </row>
    <row r="9" spans="1:13" x14ac:dyDescent="0.25">
      <c r="A9" s="19" t="s">
        <v>106</v>
      </c>
      <c r="B9" s="24">
        <f>C5</f>
        <v>38</v>
      </c>
      <c r="C9" s="25">
        <v>0</v>
      </c>
      <c r="D9" s="26">
        <f t="shared" si="0"/>
        <v>0</v>
      </c>
      <c r="F9" s="255" t="s">
        <v>153</v>
      </c>
      <c r="G9" s="255"/>
      <c r="H9" s="24" t="s">
        <v>154</v>
      </c>
    </row>
    <row r="10" spans="1:13" x14ac:dyDescent="0.25">
      <c r="A10" s="19" t="s">
        <v>68</v>
      </c>
      <c r="B10" s="24">
        <f>C5</f>
        <v>38</v>
      </c>
      <c r="C10" s="25">
        <v>0</v>
      </c>
      <c r="D10" s="26">
        <f t="shared" si="0"/>
        <v>0</v>
      </c>
      <c r="F10" s="255" t="s">
        <v>155</v>
      </c>
      <c r="G10" s="255"/>
      <c r="H10" s="24" t="s">
        <v>156</v>
      </c>
    </row>
    <row r="11" spans="1:13" x14ac:dyDescent="0.25">
      <c r="A11" s="28" t="s">
        <v>102</v>
      </c>
      <c r="B11" s="24">
        <f>C5</f>
        <v>38</v>
      </c>
      <c r="C11" s="25">
        <v>0</v>
      </c>
      <c r="D11" s="26">
        <f t="shared" si="0"/>
        <v>0</v>
      </c>
      <c r="F11" s="255" t="s">
        <v>157</v>
      </c>
      <c r="G11" s="255"/>
      <c r="H11" s="24" t="s">
        <v>158</v>
      </c>
    </row>
    <row r="12" spans="1:13" x14ac:dyDescent="0.25">
      <c r="A12" s="19" t="s">
        <v>69</v>
      </c>
      <c r="B12" s="24">
        <f>C5</f>
        <v>38</v>
      </c>
      <c r="C12" s="25">
        <v>0</v>
      </c>
      <c r="D12" s="26">
        <f t="shared" si="0"/>
        <v>0</v>
      </c>
      <c r="F12" s="255" t="s">
        <v>159</v>
      </c>
      <c r="G12" s="255"/>
      <c r="H12" s="24" t="s">
        <v>160</v>
      </c>
    </row>
    <row r="13" spans="1:13" x14ac:dyDescent="0.25">
      <c r="F13" s="255" t="s">
        <v>161</v>
      </c>
      <c r="G13" s="255"/>
      <c r="H13" s="24" t="s">
        <v>162</v>
      </c>
    </row>
    <row r="14" spans="1:13" hidden="1" x14ac:dyDescent="0.25">
      <c r="A14" s="20"/>
      <c r="B14" s="20" t="s">
        <v>103</v>
      </c>
      <c r="C14" s="20" t="s">
        <v>107</v>
      </c>
      <c r="G14" s="20" t="s">
        <v>98</v>
      </c>
      <c r="H14" s="20" t="s">
        <v>100</v>
      </c>
      <c r="I14" s="20" t="s">
        <v>101</v>
      </c>
      <c r="J14" s="20" t="s">
        <v>67</v>
      </c>
      <c r="K14" s="20" t="s">
        <v>68</v>
      </c>
      <c r="L14" s="20" t="s">
        <v>102</v>
      </c>
      <c r="M14" s="20" t="s">
        <v>69</v>
      </c>
    </row>
    <row r="15" spans="1:13" hidden="1" x14ac:dyDescent="0.25">
      <c r="A15" s="20" t="s">
        <v>65</v>
      </c>
      <c r="B15" s="20">
        <f>G15</f>
        <v>7</v>
      </c>
      <c r="C15" s="20">
        <f>G16</f>
        <v>27</v>
      </c>
      <c r="E15" s="254" t="s">
        <v>103</v>
      </c>
      <c r="F15" s="254"/>
      <c r="G15" s="29">
        <f>C6</f>
        <v>7</v>
      </c>
      <c r="H15" s="29">
        <f>40/B7*C7</f>
        <v>0</v>
      </c>
      <c r="I15" s="29">
        <f>15/B8*C8</f>
        <v>0</v>
      </c>
      <c r="J15" s="29">
        <f>10/B9*C9</f>
        <v>0</v>
      </c>
      <c r="K15" s="29">
        <f>10/B10*C10</f>
        <v>0</v>
      </c>
      <c r="L15" s="29">
        <f>5/B11*C11</f>
        <v>0</v>
      </c>
      <c r="M15" s="29">
        <f>5/B12*C12</f>
        <v>0</v>
      </c>
    </row>
    <row r="16" spans="1:13" hidden="1" x14ac:dyDescent="0.25">
      <c r="A16" s="20" t="s">
        <v>66</v>
      </c>
      <c r="B16" s="20">
        <f>H15</f>
        <v>0</v>
      </c>
      <c r="C16" s="20">
        <f>H16</f>
        <v>0</v>
      </c>
      <c r="E16" s="254" t="s">
        <v>105</v>
      </c>
      <c r="F16" s="254"/>
      <c r="G16" s="20">
        <f>G15+20</f>
        <v>27</v>
      </c>
      <c r="H16" s="20">
        <f>30/B7*C7</f>
        <v>0</v>
      </c>
      <c r="I16" s="20">
        <f>15/B8*C8</f>
        <v>0</v>
      </c>
      <c r="J16" s="20">
        <f>10/B9*C9</f>
        <v>0</v>
      </c>
      <c r="K16" s="20">
        <f>5/B10*C10</f>
        <v>0</v>
      </c>
      <c r="L16" s="20">
        <f>5/B11*C11</f>
        <v>0</v>
      </c>
      <c r="M16" s="20">
        <f>5/B12*C12</f>
        <v>0</v>
      </c>
    </row>
    <row r="17" spans="1:8" hidden="1" x14ac:dyDescent="0.25">
      <c r="A17" s="20" t="s">
        <v>101</v>
      </c>
      <c r="B17" s="20">
        <f>I15</f>
        <v>0</v>
      </c>
      <c r="C17" s="20">
        <f>I16</f>
        <v>0</v>
      </c>
    </row>
    <row r="18" spans="1:8" hidden="1" x14ac:dyDescent="0.25">
      <c r="A18" s="20" t="s">
        <v>67</v>
      </c>
      <c r="B18" s="20">
        <f>J15</f>
        <v>0</v>
      </c>
      <c r="C18" s="20">
        <f>J16</f>
        <v>0</v>
      </c>
    </row>
    <row r="19" spans="1:8" hidden="1" x14ac:dyDescent="0.25">
      <c r="A19" s="20" t="s">
        <v>68</v>
      </c>
      <c r="B19" s="20">
        <f>K15</f>
        <v>0</v>
      </c>
      <c r="C19" s="20">
        <f>K16</f>
        <v>0</v>
      </c>
    </row>
    <row r="20" spans="1:8" hidden="1" x14ac:dyDescent="0.25">
      <c r="A20" s="30" t="s">
        <v>102</v>
      </c>
      <c r="B20" s="20">
        <f>L15</f>
        <v>0</v>
      </c>
      <c r="C20" s="20">
        <f>L16</f>
        <v>0</v>
      </c>
    </row>
    <row r="21" spans="1:8" hidden="1" x14ac:dyDescent="0.25">
      <c r="A21" s="20" t="s">
        <v>69</v>
      </c>
      <c r="B21" s="20">
        <f>M15</f>
        <v>0</v>
      </c>
      <c r="C21" s="20">
        <f>M16</f>
        <v>0</v>
      </c>
    </row>
    <row r="22" spans="1:8" x14ac:dyDescent="0.25">
      <c r="A22" s="20" t="s">
        <v>108</v>
      </c>
      <c r="B22" s="31">
        <f>(B15+B16+B17+B18+B19+B20+B21)/100</f>
        <v>7.0000000000000007E-2</v>
      </c>
      <c r="C22" s="31">
        <f>(C15+C16+C17+C18+C19+C20+C21)/100</f>
        <v>0.27</v>
      </c>
      <c r="F22" s="255" t="s">
        <v>163</v>
      </c>
      <c r="G22" s="255"/>
      <c r="H22" s="24" t="s">
        <v>154</v>
      </c>
    </row>
    <row r="23" spans="1:8" x14ac:dyDescent="0.25">
      <c r="F23" s="255" t="s">
        <v>164</v>
      </c>
      <c r="G23" s="255"/>
      <c r="H23" s="24" t="s">
        <v>165</v>
      </c>
    </row>
    <row r="24" spans="1:8" x14ac:dyDescent="0.25">
      <c r="A24" s="19" t="s">
        <v>138</v>
      </c>
      <c r="B24" s="32">
        <v>0.01</v>
      </c>
      <c r="C24" s="32">
        <v>0.02</v>
      </c>
      <c r="F24" s="255" t="s">
        <v>166</v>
      </c>
      <c r="G24" s="255"/>
      <c r="H24" s="24" t="s">
        <v>167</v>
      </c>
    </row>
    <row r="25" spans="1:8" x14ac:dyDescent="0.25">
      <c r="A25" s="19" t="s">
        <v>139</v>
      </c>
      <c r="B25" s="32">
        <v>0.01</v>
      </c>
      <c r="C25" s="32">
        <v>0.03</v>
      </c>
    </row>
    <row r="26" spans="1:8" x14ac:dyDescent="0.25">
      <c r="A26" s="19" t="s">
        <v>140</v>
      </c>
      <c r="B26" s="32">
        <v>0.03</v>
      </c>
      <c r="C26" s="32">
        <v>0.08</v>
      </c>
    </row>
    <row r="27" spans="1:8" x14ac:dyDescent="0.25">
      <c r="A27" s="19" t="s">
        <v>141</v>
      </c>
      <c r="B27" s="32">
        <v>0.05</v>
      </c>
      <c r="C27" s="32">
        <v>0.15</v>
      </c>
    </row>
    <row r="28" spans="1:8" x14ac:dyDescent="0.25">
      <c r="A28" s="19" t="s">
        <v>142</v>
      </c>
      <c r="B28" s="32">
        <v>7.0000000000000007E-2</v>
      </c>
      <c r="C28" s="32">
        <v>0.2</v>
      </c>
    </row>
    <row r="29" spans="1:8" x14ac:dyDescent="0.25">
      <c r="A29" s="19" t="s">
        <v>143</v>
      </c>
      <c r="B29" s="32">
        <v>0.1</v>
      </c>
      <c r="C29" s="32">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85" zoomScaleNormal="85" workbookViewId="0">
      <selection activeCell="S3" sqref="S3"/>
    </sheetView>
  </sheetViews>
  <sheetFormatPr defaultRowHeight="15" x14ac:dyDescent="0.25"/>
  <cols>
    <col min="1" max="1" width="11.5703125" customWidth="1"/>
    <col min="2" max="2" width="13.28515625" customWidth="1"/>
  </cols>
  <sheetData>
    <row r="1" spans="1:3" x14ac:dyDescent="0.25">
      <c r="A1" t="s">
        <v>198</v>
      </c>
      <c r="B1" t="s">
        <v>184</v>
      </c>
      <c r="C1" t="s">
        <v>210</v>
      </c>
    </row>
    <row r="2" spans="1:3" x14ac:dyDescent="0.25">
      <c r="C2" t="s">
        <v>211</v>
      </c>
    </row>
    <row r="4" spans="1:3" x14ac:dyDescent="0.25">
      <c r="A4" s="51">
        <v>44184</v>
      </c>
      <c r="B4" t="s">
        <v>212</v>
      </c>
      <c r="C4" t="s">
        <v>213</v>
      </c>
    </row>
    <row r="5" spans="1:3" x14ac:dyDescent="0.25">
      <c r="C5" t="s">
        <v>214</v>
      </c>
    </row>
    <row r="6" spans="1:3" x14ac:dyDescent="0.25">
      <c r="C6" t="s">
        <v>215</v>
      </c>
    </row>
    <row r="23" spans="1:3" ht="15.75" x14ac:dyDescent="0.25">
      <c r="A23" s="51">
        <v>44189</v>
      </c>
      <c r="B23" t="s">
        <v>216</v>
      </c>
      <c r="C23" s="1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4" workbookViewId="0">
      <selection activeCell="H5" sqref="H5"/>
    </sheetView>
  </sheetViews>
  <sheetFormatPr defaultColWidth="8.7109375" defaultRowHeight="15" x14ac:dyDescent="0.25"/>
  <cols>
    <col min="1" max="1" width="8.7109375" style="36"/>
    <col min="2" max="2" width="22.140625" style="36" customWidth="1"/>
    <col min="3" max="3" width="37" style="36" customWidth="1"/>
    <col min="4" max="5" width="11.42578125" style="36" customWidth="1"/>
    <col min="6" max="6" width="14" style="36" customWidth="1"/>
    <col min="7" max="7" width="20" style="36" customWidth="1"/>
    <col min="8" max="8" width="16.42578125" style="36" customWidth="1"/>
    <col min="9" max="9" width="8.7109375" style="36"/>
    <col min="10" max="10" width="9.85546875" style="36" bestFit="1" customWidth="1"/>
    <col min="11" max="16384" width="8.7109375" style="36"/>
  </cols>
  <sheetData>
    <row r="1" spans="1:10" ht="15" customHeight="1" x14ac:dyDescent="0.25"/>
    <row r="2" spans="1:10" ht="15" customHeight="1" x14ac:dyDescent="0.25">
      <c r="A2" s="37"/>
      <c r="B2" s="37"/>
      <c r="C2" s="37"/>
      <c r="D2" s="37"/>
      <c r="E2" s="37"/>
      <c r="F2" s="37"/>
      <c r="G2" s="37"/>
      <c r="H2" s="37"/>
    </row>
    <row r="3" spans="1:10" x14ac:dyDescent="0.25">
      <c r="A3" s="37"/>
      <c r="B3" s="258" t="s">
        <v>199</v>
      </c>
      <c r="C3" s="258"/>
      <c r="D3" s="258"/>
      <c r="E3" s="258"/>
      <c r="F3" s="258"/>
      <c r="G3" s="258"/>
      <c r="H3" s="258"/>
    </row>
    <row r="4" spans="1:10" x14ac:dyDescent="0.25">
      <c r="A4" s="37"/>
      <c r="B4" s="38" t="s">
        <v>200</v>
      </c>
      <c r="C4" s="38" t="s">
        <v>201</v>
      </c>
      <c r="D4" s="38" t="s">
        <v>110</v>
      </c>
      <c r="E4" s="38" t="s">
        <v>202</v>
      </c>
      <c r="F4" s="38" t="s">
        <v>203</v>
      </c>
      <c r="G4" s="38" t="s">
        <v>204</v>
      </c>
      <c r="H4" s="38" t="s">
        <v>205</v>
      </c>
    </row>
    <row r="5" spans="1:10" x14ac:dyDescent="0.25">
      <c r="A5" s="37"/>
      <c r="B5" s="39" t="s">
        <v>209</v>
      </c>
      <c r="C5" s="40" t="s">
        <v>173</v>
      </c>
      <c r="D5" s="41" t="s">
        <v>179</v>
      </c>
      <c r="E5" s="41">
        <v>460.05</v>
      </c>
      <c r="F5" s="42">
        <f>E5*1.5</f>
        <v>690.07500000000005</v>
      </c>
      <c r="G5" s="42">
        <f>H5/F5</f>
        <v>11158.207441220156</v>
      </c>
      <c r="H5" s="43">
        <v>7700000</v>
      </c>
      <c r="J5" s="44"/>
    </row>
    <row r="6" spans="1:10" x14ac:dyDescent="0.25">
      <c r="A6" s="37"/>
      <c r="B6" s="39" t="s">
        <v>209</v>
      </c>
      <c r="C6" s="40" t="s">
        <v>173</v>
      </c>
      <c r="D6" s="41" t="s">
        <v>180</v>
      </c>
      <c r="E6" s="41">
        <v>599.98</v>
      </c>
      <c r="F6" s="42">
        <f t="shared" ref="F6:F9" si="0">E6*1.5</f>
        <v>899.97</v>
      </c>
      <c r="G6" s="42">
        <f t="shared" ref="G6:G11" si="1">H6/F6</f>
        <v>11778.170383457225</v>
      </c>
      <c r="H6" s="43">
        <v>10600000</v>
      </c>
      <c r="J6" s="44"/>
    </row>
    <row r="7" spans="1:10" x14ac:dyDescent="0.25">
      <c r="A7" s="37"/>
      <c r="B7" s="39" t="s">
        <v>209</v>
      </c>
      <c r="C7" s="40" t="s">
        <v>173</v>
      </c>
      <c r="D7" s="41" t="s">
        <v>180</v>
      </c>
      <c r="E7" s="41">
        <v>630.33000000000004</v>
      </c>
      <c r="F7" s="42">
        <f t="shared" si="0"/>
        <v>945.49500000000012</v>
      </c>
      <c r="G7" s="42">
        <f t="shared" si="1"/>
        <v>13114.823452265742</v>
      </c>
      <c r="H7" s="43">
        <v>12400000</v>
      </c>
      <c r="J7" s="44"/>
    </row>
    <row r="8" spans="1:10" ht="15" customHeight="1" x14ac:dyDescent="0.25">
      <c r="A8" s="37"/>
      <c r="B8" s="39" t="s">
        <v>209</v>
      </c>
      <c r="C8" s="40" t="s">
        <v>173</v>
      </c>
      <c r="D8" s="41" t="s">
        <v>178</v>
      </c>
      <c r="E8" s="41">
        <v>841.95</v>
      </c>
      <c r="F8" s="42">
        <f t="shared" si="0"/>
        <v>1262.9250000000002</v>
      </c>
      <c r="G8" s="42">
        <f t="shared" si="1"/>
        <v>14173.4465625433</v>
      </c>
      <c r="H8" s="43">
        <v>17900000</v>
      </c>
      <c r="J8" s="44"/>
    </row>
    <row r="9" spans="1:10" x14ac:dyDescent="0.25">
      <c r="A9" s="37"/>
      <c r="B9" s="39" t="s">
        <v>209</v>
      </c>
      <c r="C9" s="40" t="s">
        <v>173</v>
      </c>
      <c r="D9" s="41" t="s">
        <v>178</v>
      </c>
      <c r="E9" s="41">
        <v>822</v>
      </c>
      <c r="F9" s="42">
        <f t="shared" si="0"/>
        <v>1233</v>
      </c>
      <c r="G9" s="42">
        <f t="shared" si="1"/>
        <v>14193.025141930251</v>
      </c>
      <c r="H9" s="43">
        <v>17500000</v>
      </c>
      <c r="J9" s="44"/>
    </row>
    <row r="10" spans="1:10" ht="15" customHeight="1" x14ac:dyDescent="0.25">
      <c r="A10" s="37"/>
      <c r="B10" s="39" t="s">
        <v>206</v>
      </c>
      <c r="C10" s="40" t="s">
        <v>173</v>
      </c>
      <c r="D10" s="41" t="s">
        <v>179</v>
      </c>
      <c r="E10" s="41">
        <v>0</v>
      </c>
      <c r="F10" s="42">
        <v>560</v>
      </c>
      <c r="G10" s="42">
        <f t="shared" si="1"/>
        <v>14946.428571428571</v>
      </c>
      <c r="H10" s="43">
        <v>8370000</v>
      </c>
      <c r="J10" s="44"/>
    </row>
    <row r="11" spans="1:10" x14ac:dyDescent="0.25">
      <c r="A11" s="37"/>
      <c r="B11" s="39" t="s">
        <v>206</v>
      </c>
      <c r="C11" s="40" t="s">
        <v>173</v>
      </c>
      <c r="D11" s="41" t="s">
        <v>179</v>
      </c>
      <c r="E11" s="41">
        <v>0</v>
      </c>
      <c r="F11" s="42">
        <v>460</v>
      </c>
      <c r="G11" s="42">
        <f t="shared" si="1"/>
        <v>16739.130434782608</v>
      </c>
      <c r="H11" s="43">
        <v>7700000</v>
      </c>
      <c r="J11" s="44"/>
    </row>
    <row r="12" spans="1:10" ht="15" customHeight="1" x14ac:dyDescent="0.25">
      <c r="A12" s="37"/>
      <c r="B12" s="45" t="s">
        <v>207</v>
      </c>
      <c r="C12" s="41"/>
      <c r="D12" s="41"/>
      <c r="E12" s="41">
        <v>0</v>
      </c>
      <c r="F12" s="42">
        <f>E12*1.5</f>
        <v>0</v>
      </c>
      <c r="G12" s="46">
        <f>AVERAGE(G5:G11)</f>
        <v>13729.033141089692</v>
      </c>
      <c r="H12" s="41"/>
      <c r="J12" s="44"/>
    </row>
    <row r="13" spans="1:10" ht="15" customHeight="1" x14ac:dyDescent="0.25">
      <c r="B13" s="45" t="s">
        <v>208</v>
      </c>
      <c r="C13" s="41"/>
      <c r="D13" s="41"/>
      <c r="E13" s="41"/>
      <c r="F13" s="47"/>
      <c r="G13" s="45">
        <v>13800</v>
      </c>
      <c r="H13" s="45"/>
      <c r="I13" s="48"/>
      <c r="J13" s="44"/>
    </row>
    <row r="14" spans="1:10" ht="15" customHeight="1" x14ac:dyDescent="0.25">
      <c r="G14" s="49"/>
    </row>
    <row r="15" spans="1:10" x14ac:dyDescent="0.25">
      <c r="E15" s="49"/>
      <c r="G15" s="49"/>
    </row>
    <row r="16" spans="1:10" x14ac:dyDescent="0.25">
      <c r="E16" s="49"/>
      <c r="G16" s="49"/>
    </row>
    <row r="17" spans="2:7" x14ac:dyDescent="0.25">
      <c r="E17" s="49"/>
      <c r="G17" s="49"/>
    </row>
    <row r="18" spans="2:7" x14ac:dyDescent="0.25">
      <c r="E18" s="49"/>
      <c r="G18" s="49"/>
    </row>
    <row r="19" spans="2:7" x14ac:dyDescent="0.25">
      <c r="E19" s="49"/>
      <c r="G19" s="49"/>
    </row>
    <row r="20" spans="2:7" x14ac:dyDescent="0.25">
      <c r="E20" s="49"/>
      <c r="G20" s="49"/>
    </row>
    <row r="21" spans="2:7" x14ac:dyDescent="0.25">
      <c r="G21" s="49"/>
    </row>
    <row r="22" spans="2:7" x14ac:dyDescent="0.25">
      <c r="G22" s="49"/>
    </row>
    <row r="23" spans="2:7" x14ac:dyDescent="0.25">
      <c r="B23" s="50"/>
      <c r="G23" s="49"/>
    </row>
  </sheetData>
  <mergeCells count="1">
    <mergeCell ref="B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37" workbookViewId="0">
      <selection activeCell="A39" sqref="A39"/>
    </sheetView>
  </sheetViews>
  <sheetFormatPr defaultRowHeight="15" x14ac:dyDescent="0.25"/>
  <cols>
    <col min="2" max="2" width="12.28515625" customWidth="1"/>
  </cols>
  <sheetData>
    <row r="2" spans="1:12" x14ac:dyDescent="0.25">
      <c r="B2" s="4" t="s">
        <v>109</v>
      </c>
      <c r="C2" s="259"/>
      <c r="D2" s="259"/>
    </row>
    <row r="3" spans="1:12" x14ac:dyDescent="0.25">
      <c r="D3" s="5"/>
      <c r="E3" s="5"/>
      <c r="F3" s="5"/>
      <c r="G3" s="5"/>
      <c r="H3" s="5"/>
      <c r="I3" s="5"/>
    </row>
    <row r="4" spans="1:12" x14ac:dyDescent="0.25">
      <c r="A4" s="4" t="s">
        <v>110</v>
      </c>
      <c r="B4" s="6" t="s">
        <v>111</v>
      </c>
      <c r="C4" s="260" t="s">
        <v>112</v>
      </c>
      <c r="D4" s="260"/>
      <c r="E4" s="260"/>
      <c r="F4" s="7"/>
      <c r="G4" s="260" t="s">
        <v>113</v>
      </c>
      <c r="H4" s="260"/>
      <c r="I4" s="260"/>
      <c r="J4" s="260" t="s">
        <v>114</v>
      </c>
      <c r="K4" s="260"/>
      <c r="L4" s="260"/>
    </row>
    <row r="5" spans="1:12" x14ac:dyDescent="0.25">
      <c r="A5" s="4">
        <v>1</v>
      </c>
      <c r="B5" s="6"/>
      <c r="C5" s="6" t="s">
        <v>115</v>
      </c>
      <c r="D5" s="6" t="s">
        <v>116</v>
      </c>
      <c r="E5" s="6" t="s">
        <v>77</v>
      </c>
      <c r="F5" s="6"/>
      <c r="G5" s="6" t="s">
        <v>115</v>
      </c>
      <c r="H5" s="6" t="s">
        <v>116</v>
      </c>
      <c r="I5" s="6" t="s">
        <v>77</v>
      </c>
      <c r="J5" s="6" t="s">
        <v>115</v>
      </c>
      <c r="K5" s="6" t="s">
        <v>116</v>
      </c>
      <c r="L5" s="6" t="s">
        <v>77</v>
      </c>
    </row>
    <row r="6" spans="1:12" x14ac:dyDescent="0.25">
      <c r="B6" s="8" t="s">
        <v>117</v>
      </c>
      <c r="C6" s="8">
        <v>3.05</v>
      </c>
      <c r="D6" s="8">
        <v>4.5999999999999996</v>
      </c>
      <c r="E6" s="8">
        <f>C6*D6</f>
        <v>14.029999999999998</v>
      </c>
      <c r="F6" s="8" t="s">
        <v>118</v>
      </c>
      <c r="G6" s="8">
        <v>1.7</v>
      </c>
      <c r="H6" s="8">
        <v>0.6</v>
      </c>
      <c r="I6" s="8">
        <f>G6*H6</f>
        <v>1.02</v>
      </c>
      <c r="J6" s="8"/>
      <c r="K6" s="8"/>
      <c r="L6" s="8">
        <f>J6*K6</f>
        <v>0</v>
      </c>
    </row>
    <row r="7" spans="1:12" x14ac:dyDescent="0.25">
      <c r="B7" s="8"/>
      <c r="C7" s="8"/>
      <c r="D7" s="8"/>
      <c r="E7" s="8">
        <f t="shared" ref="E7:E33" si="0">C7*D7</f>
        <v>0</v>
      </c>
      <c r="F7" s="8" t="s">
        <v>119</v>
      </c>
      <c r="G7" s="8"/>
      <c r="H7" s="8"/>
      <c r="I7" s="8">
        <f t="shared" ref="I7:I29" si="1">G7*H7</f>
        <v>0</v>
      </c>
      <c r="J7" s="8"/>
      <c r="K7" s="8"/>
      <c r="L7" s="8">
        <f t="shared" ref="L7:L29" si="2">J7*K7</f>
        <v>0</v>
      </c>
    </row>
    <row r="8" spans="1:12" x14ac:dyDescent="0.25">
      <c r="B8" s="8"/>
      <c r="C8" s="8"/>
      <c r="D8" s="8"/>
      <c r="E8" s="8">
        <f t="shared" si="0"/>
        <v>0</v>
      </c>
      <c r="F8" s="8"/>
      <c r="G8" s="8"/>
      <c r="H8" s="8"/>
      <c r="I8" s="8">
        <f t="shared" si="1"/>
        <v>0</v>
      </c>
      <c r="J8" s="8"/>
      <c r="K8" s="8"/>
      <c r="L8" s="8">
        <f t="shared" si="2"/>
        <v>0</v>
      </c>
    </row>
    <row r="9" spans="1:12" x14ac:dyDescent="0.25">
      <c r="B9" s="8" t="s">
        <v>120</v>
      </c>
      <c r="C9" s="8">
        <v>2.4500000000000002</v>
      </c>
      <c r="D9" s="8">
        <v>2.75</v>
      </c>
      <c r="E9" s="8">
        <f t="shared" si="0"/>
        <v>6.7375000000000007</v>
      </c>
      <c r="F9" s="8" t="s">
        <v>118</v>
      </c>
      <c r="G9" s="8"/>
      <c r="H9" s="8"/>
      <c r="I9" s="8">
        <f t="shared" si="1"/>
        <v>0</v>
      </c>
      <c r="J9" s="8"/>
      <c r="K9" s="8"/>
      <c r="L9" s="8">
        <f t="shared" si="2"/>
        <v>0</v>
      </c>
    </row>
    <row r="10" spans="1:12" x14ac:dyDescent="0.25">
      <c r="B10" s="8"/>
      <c r="C10" s="8"/>
      <c r="D10" s="8"/>
      <c r="E10" s="8">
        <f t="shared" si="0"/>
        <v>0</v>
      </c>
      <c r="F10" s="8" t="s">
        <v>119</v>
      </c>
      <c r="G10" s="8"/>
      <c r="H10" s="8"/>
      <c r="I10" s="8">
        <f t="shared" si="1"/>
        <v>0</v>
      </c>
      <c r="J10" s="8"/>
      <c r="K10" s="8"/>
      <c r="L10" s="8">
        <f t="shared" si="2"/>
        <v>0</v>
      </c>
    </row>
    <row r="11" spans="1:12" x14ac:dyDescent="0.25">
      <c r="B11" s="8"/>
      <c r="C11" s="8"/>
      <c r="D11" s="8"/>
      <c r="E11" s="8">
        <f t="shared" si="0"/>
        <v>0</v>
      </c>
      <c r="F11" s="8"/>
      <c r="G11" s="8"/>
      <c r="H11" s="8"/>
      <c r="I11" s="8">
        <f t="shared" si="1"/>
        <v>0</v>
      </c>
      <c r="J11" s="8"/>
      <c r="K11" s="8"/>
      <c r="L11" s="8">
        <f t="shared" si="2"/>
        <v>0</v>
      </c>
    </row>
    <row r="12" spans="1:12" x14ac:dyDescent="0.25">
      <c r="B12" s="8"/>
      <c r="C12" s="8"/>
      <c r="D12" s="8"/>
      <c r="E12" s="8">
        <f t="shared" si="0"/>
        <v>0</v>
      </c>
      <c r="F12" s="8"/>
      <c r="G12" s="8"/>
      <c r="H12" s="8"/>
      <c r="I12" s="8">
        <f t="shared" si="1"/>
        <v>0</v>
      </c>
      <c r="J12" s="8"/>
      <c r="K12" s="8"/>
      <c r="L12" s="8">
        <f t="shared" si="2"/>
        <v>0</v>
      </c>
    </row>
    <row r="13" spans="1:12" x14ac:dyDescent="0.25">
      <c r="B13" s="8" t="s">
        <v>121</v>
      </c>
      <c r="C13" s="8">
        <v>3.05</v>
      </c>
      <c r="D13" s="8">
        <v>2.75</v>
      </c>
      <c r="E13" s="8">
        <f t="shared" si="0"/>
        <v>8.3874999999999993</v>
      </c>
      <c r="F13" s="8" t="s">
        <v>118</v>
      </c>
      <c r="G13" s="8">
        <v>1.65</v>
      </c>
      <c r="H13" s="8">
        <v>0.6</v>
      </c>
      <c r="I13" s="8">
        <f t="shared" si="1"/>
        <v>0.98999999999999988</v>
      </c>
      <c r="J13" s="8"/>
      <c r="K13" s="8"/>
      <c r="L13" s="8">
        <f t="shared" si="2"/>
        <v>0</v>
      </c>
    </row>
    <row r="14" spans="1:12" x14ac:dyDescent="0.25">
      <c r="B14" s="8"/>
      <c r="C14" s="8"/>
      <c r="D14" s="8"/>
      <c r="E14" s="8">
        <f t="shared" si="0"/>
        <v>0</v>
      </c>
      <c r="F14" s="8" t="s">
        <v>119</v>
      </c>
      <c r="G14" s="8"/>
      <c r="H14" s="8"/>
      <c r="I14" s="8">
        <f t="shared" si="1"/>
        <v>0</v>
      </c>
      <c r="J14" s="8"/>
      <c r="K14" s="8"/>
      <c r="L14" s="8">
        <f t="shared" si="2"/>
        <v>0</v>
      </c>
    </row>
    <row r="15" spans="1:12" x14ac:dyDescent="0.25">
      <c r="B15" s="8"/>
      <c r="C15" s="8"/>
      <c r="D15" s="8"/>
      <c r="E15" s="8">
        <f t="shared" si="0"/>
        <v>0</v>
      </c>
      <c r="F15" s="8"/>
      <c r="G15" s="8"/>
      <c r="H15" s="8"/>
      <c r="I15" s="8">
        <f t="shared" si="1"/>
        <v>0</v>
      </c>
      <c r="J15" s="8"/>
      <c r="K15" s="8"/>
      <c r="L15" s="8">
        <f t="shared" si="2"/>
        <v>0</v>
      </c>
    </row>
    <row r="16" spans="1:12" x14ac:dyDescent="0.25">
      <c r="B16" s="8"/>
      <c r="C16" s="8"/>
      <c r="D16" s="8"/>
      <c r="E16" s="8">
        <f t="shared" si="0"/>
        <v>0</v>
      </c>
      <c r="F16" s="8"/>
      <c r="G16" s="8"/>
      <c r="H16" s="8"/>
      <c r="I16" s="8">
        <f t="shared" si="1"/>
        <v>0</v>
      </c>
      <c r="J16" s="8"/>
      <c r="K16" s="8"/>
      <c r="L16" s="8">
        <f t="shared" si="2"/>
        <v>0</v>
      </c>
    </row>
    <row r="17" spans="2:12" x14ac:dyDescent="0.25">
      <c r="B17" s="8" t="s">
        <v>122</v>
      </c>
      <c r="C17" s="8">
        <v>3.05</v>
      </c>
      <c r="D17" s="8">
        <v>3.2</v>
      </c>
      <c r="E17" s="8">
        <f t="shared" si="0"/>
        <v>9.76</v>
      </c>
      <c r="F17" s="8" t="s">
        <v>118</v>
      </c>
      <c r="G17" s="8">
        <v>0.6</v>
      </c>
      <c r="H17" s="8">
        <v>2.15</v>
      </c>
      <c r="I17" s="8">
        <f t="shared" si="1"/>
        <v>1.2899999999999998</v>
      </c>
      <c r="J17" s="8"/>
      <c r="K17" s="8"/>
      <c r="L17" s="8">
        <f t="shared" si="2"/>
        <v>0</v>
      </c>
    </row>
    <row r="18" spans="2:12" x14ac:dyDescent="0.25">
      <c r="B18" s="8"/>
      <c r="C18" s="8"/>
      <c r="D18" s="8"/>
      <c r="E18" s="8">
        <f t="shared" si="0"/>
        <v>0</v>
      </c>
      <c r="F18" s="8" t="s">
        <v>119</v>
      </c>
      <c r="G18" s="8"/>
      <c r="H18" s="8"/>
      <c r="I18" s="8">
        <f t="shared" si="1"/>
        <v>0</v>
      </c>
      <c r="J18" s="8"/>
      <c r="K18" s="8"/>
      <c r="L18" s="8">
        <f t="shared" si="2"/>
        <v>0</v>
      </c>
    </row>
    <row r="19" spans="2:12" x14ac:dyDescent="0.25">
      <c r="B19" s="8"/>
      <c r="C19" s="8"/>
      <c r="D19" s="8"/>
      <c r="E19" s="8">
        <f t="shared" si="0"/>
        <v>0</v>
      </c>
      <c r="F19" s="8"/>
      <c r="G19" s="8"/>
      <c r="H19" s="8"/>
      <c r="I19" s="8">
        <f t="shared" si="1"/>
        <v>0</v>
      </c>
      <c r="J19" s="8"/>
      <c r="K19" s="8"/>
      <c r="L19" s="8">
        <f t="shared" si="2"/>
        <v>0</v>
      </c>
    </row>
    <row r="20" spans="2:12" x14ac:dyDescent="0.25">
      <c r="B20" s="8" t="s">
        <v>122</v>
      </c>
      <c r="C20" s="8"/>
      <c r="D20" s="8"/>
      <c r="E20" s="8">
        <f t="shared" si="0"/>
        <v>0</v>
      </c>
      <c r="F20" s="8" t="s">
        <v>118</v>
      </c>
      <c r="G20" s="8"/>
      <c r="H20" s="8"/>
      <c r="I20" s="8">
        <f t="shared" si="1"/>
        <v>0</v>
      </c>
      <c r="J20" s="8"/>
      <c r="K20" s="8"/>
      <c r="L20" s="8">
        <f t="shared" si="2"/>
        <v>0</v>
      </c>
    </row>
    <row r="21" spans="2:12" x14ac:dyDescent="0.25">
      <c r="B21" s="8"/>
      <c r="C21" s="8"/>
      <c r="D21" s="8"/>
      <c r="E21" s="8">
        <f t="shared" si="0"/>
        <v>0</v>
      </c>
      <c r="F21" s="8" t="s">
        <v>119</v>
      </c>
      <c r="G21" s="8"/>
      <c r="H21" s="8"/>
      <c r="I21" s="8">
        <f t="shared" si="1"/>
        <v>0</v>
      </c>
      <c r="J21" s="8"/>
      <c r="K21" s="8"/>
      <c r="L21" s="8">
        <f t="shared" si="2"/>
        <v>0</v>
      </c>
    </row>
    <row r="22" spans="2:12" x14ac:dyDescent="0.25">
      <c r="B22" s="8"/>
      <c r="C22" s="8"/>
      <c r="D22" s="8"/>
      <c r="E22" s="8">
        <f t="shared" si="0"/>
        <v>0</v>
      </c>
      <c r="F22" s="8"/>
      <c r="G22" s="8"/>
      <c r="H22" s="8"/>
      <c r="I22" s="8">
        <f t="shared" si="1"/>
        <v>0</v>
      </c>
      <c r="J22" s="8"/>
      <c r="K22" s="8"/>
      <c r="L22" s="8">
        <f t="shared" si="2"/>
        <v>0</v>
      </c>
    </row>
    <row r="23" spans="2:12" x14ac:dyDescent="0.25">
      <c r="B23" s="8" t="s">
        <v>123</v>
      </c>
      <c r="C23" s="8">
        <v>1.35</v>
      </c>
      <c r="D23" s="8">
        <v>2.2000000000000002</v>
      </c>
      <c r="E23" s="8">
        <f t="shared" si="0"/>
        <v>2.9700000000000006</v>
      </c>
      <c r="F23" s="8" t="s">
        <v>124</v>
      </c>
      <c r="G23" s="8"/>
      <c r="H23" s="8"/>
      <c r="I23" s="8">
        <f t="shared" si="1"/>
        <v>0</v>
      </c>
      <c r="J23" s="8"/>
      <c r="K23" s="8"/>
      <c r="L23" s="8">
        <f t="shared" si="2"/>
        <v>0</v>
      </c>
    </row>
    <row r="24" spans="2:12" x14ac:dyDescent="0.25">
      <c r="B24" s="8" t="s">
        <v>125</v>
      </c>
      <c r="C24" s="8">
        <v>2.15</v>
      </c>
      <c r="D24" s="8">
        <v>1.35</v>
      </c>
      <c r="E24" s="8">
        <f t="shared" si="0"/>
        <v>2.9024999999999999</v>
      </c>
      <c r="F24" s="8" t="s">
        <v>124</v>
      </c>
      <c r="G24" s="8"/>
      <c r="H24" s="8"/>
      <c r="I24" s="8">
        <f t="shared" si="1"/>
        <v>0</v>
      </c>
      <c r="J24" s="8"/>
      <c r="K24" s="8"/>
      <c r="L24" s="8">
        <f t="shared" si="2"/>
        <v>0</v>
      </c>
    </row>
    <row r="25" spans="2:12" x14ac:dyDescent="0.25">
      <c r="B25" s="8" t="s">
        <v>126</v>
      </c>
      <c r="C25" s="8"/>
      <c r="D25" s="8"/>
      <c r="E25" s="8">
        <f t="shared" si="0"/>
        <v>0</v>
      </c>
      <c r="F25" s="8" t="s">
        <v>124</v>
      </c>
      <c r="G25" s="8"/>
      <c r="H25" s="8"/>
      <c r="I25" s="8">
        <f t="shared" si="1"/>
        <v>0</v>
      </c>
      <c r="J25" s="8"/>
      <c r="K25" s="8"/>
      <c r="L25" s="8">
        <f t="shared" si="2"/>
        <v>0</v>
      </c>
    </row>
    <row r="26" spans="2:12" x14ac:dyDescent="0.25">
      <c r="B26" s="8"/>
      <c r="C26" s="8"/>
      <c r="D26" s="8"/>
      <c r="E26" s="8">
        <f t="shared" si="0"/>
        <v>0</v>
      </c>
      <c r="F26" s="8"/>
      <c r="G26" s="8"/>
      <c r="H26" s="8"/>
      <c r="I26" s="8">
        <f t="shared" si="1"/>
        <v>0</v>
      </c>
      <c r="J26" s="8"/>
      <c r="K26" s="8"/>
      <c r="L26" s="8">
        <f t="shared" si="2"/>
        <v>0</v>
      </c>
    </row>
    <row r="27" spans="2:12" x14ac:dyDescent="0.25">
      <c r="B27" s="8" t="s">
        <v>127</v>
      </c>
      <c r="C27" s="8">
        <v>1.2</v>
      </c>
      <c r="D27" s="8">
        <v>1.35</v>
      </c>
      <c r="E27" s="8">
        <f t="shared" si="0"/>
        <v>1.62</v>
      </c>
      <c r="F27" s="8"/>
      <c r="G27" s="8"/>
      <c r="H27" s="8"/>
      <c r="I27" s="8">
        <f t="shared" si="1"/>
        <v>0</v>
      </c>
      <c r="J27" s="8"/>
      <c r="K27" s="8"/>
      <c r="L27" s="8">
        <f t="shared" si="2"/>
        <v>0</v>
      </c>
    </row>
    <row r="28" spans="2:12" x14ac:dyDescent="0.25">
      <c r="B28" s="8" t="s">
        <v>128</v>
      </c>
      <c r="C28" s="8">
        <v>0.9</v>
      </c>
      <c r="D28" s="8">
        <v>4.0999999999999996</v>
      </c>
      <c r="E28" s="8">
        <f t="shared" si="0"/>
        <v>3.69</v>
      </c>
      <c r="F28" s="8"/>
      <c r="G28" s="8"/>
      <c r="H28" s="8"/>
      <c r="I28" s="8">
        <f t="shared" si="1"/>
        <v>0</v>
      </c>
      <c r="J28" s="8"/>
      <c r="K28" s="8"/>
      <c r="L28" s="8">
        <f t="shared" si="2"/>
        <v>0</v>
      </c>
    </row>
    <row r="29" spans="2:12" x14ac:dyDescent="0.25">
      <c r="B29" s="8" t="s">
        <v>129</v>
      </c>
      <c r="C29" s="8"/>
      <c r="D29" s="8"/>
      <c r="E29" s="8">
        <f t="shared" si="0"/>
        <v>0</v>
      </c>
      <c r="F29" s="8"/>
      <c r="G29" s="8"/>
      <c r="H29" s="8"/>
      <c r="I29" s="8">
        <f t="shared" si="1"/>
        <v>0</v>
      </c>
      <c r="J29" s="8"/>
      <c r="K29" s="8"/>
      <c r="L29" s="8">
        <f t="shared" si="2"/>
        <v>0</v>
      </c>
    </row>
    <row r="30" spans="2:12" x14ac:dyDescent="0.25">
      <c r="B30" s="8" t="s">
        <v>130</v>
      </c>
      <c r="C30" s="8"/>
      <c r="D30" s="8"/>
      <c r="E30" s="8">
        <f t="shared" si="0"/>
        <v>0</v>
      </c>
      <c r="F30" s="8"/>
      <c r="G30" s="8"/>
      <c r="H30" s="8"/>
      <c r="I30" s="8">
        <f>G30*H30</f>
        <v>0</v>
      </c>
      <c r="J30" s="8"/>
      <c r="K30" s="8"/>
      <c r="L30" s="8">
        <f>J30*K30</f>
        <v>0</v>
      </c>
    </row>
    <row r="31" spans="2:12" x14ac:dyDescent="0.25">
      <c r="B31" s="8"/>
      <c r="C31" s="8"/>
      <c r="D31" s="8"/>
      <c r="E31" s="8">
        <f t="shared" si="0"/>
        <v>0</v>
      </c>
      <c r="F31" s="8"/>
      <c r="G31" s="8"/>
      <c r="H31" s="8"/>
      <c r="I31" s="8">
        <f>G31*H31</f>
        <v>0</v>
      </c>
      <c r="J31" s="8"/>
      <c r="K31" s="8"/>
      <c r="L31" s="8">
        <f>J31*K31</f>
        <v>0</v>
      </c>
    </row>
    <row r="32" spans="2:12" x14ac:dyDescent="0.25">
      <c r="B32" s="8"/>
      <c r="C32" s="8"/>
      <c r="D32" s="8"/>
      <c r="E32" s="8">
        <f t="shared" si="0"/>
        <v>0</v>
      </c>
      <c r="F32" s="8"/>
      <c r="G32" s="8"/>
      <c r="H32" s="8"/>
      <c r="I32" s="8">
        <f>G32*H32</f>
        <v>0</v>
      </c>
      <c r="J32" s="8"/>
      <c r="K32" s="8"/>
      <c r="L32" s="8">
        <f>J32*K32</f>
        <v>0</v>
      </c>
    </row>
    <row r="33" spans="2:12" x14ac:dyDescent="0.25">
      <c r="B33" s="8"/>
      <c r="C33" s="8"/>
      <c r="D33" s="8"/>
      <c r="E33" s="8">
        <f t="shared" si="0"/>
        <v>0</v>
      </c>
      <c r="F33" s="8"/>
      <c r="G33" s="8"/>
      <c r="H33" s="8"/>
      <c r="I33" s="8">
        <f>G33*H33</f>
        <v>0</v>
      </c>
      <c r="J33" s="8"/>
      <c r="K33" s="8"/>
      <c r="L33" s="8">
        <f>J33*K33</f>
        <v>0</v>
      </c>
    </row>
    <row r="34" spans="2:12" x14ac:dyDescent="0.25">
      <c r="B34" s="8" t="s">
        <v>78</v>
      </c>
      <c r="C34" s="8"/>
      <c r="D34" s="8">
        <f>E34*10.764</f>
        <v>539.24948999999981</v>
      </c>
      <c r="E34" s="8">
        <f>SUM(E6:E33)</f>
        <v>50.097499999999989</v>
      </c>
      <c r="F34" s="8"/>
      <c r="G34" s="8"/>
      <c r="H34" s="8">
        <f>I34*10.764</f>
        <v>35.521199999999993</v>
      </c>
      <c r="I34" s="8">
        <f>SUM(I6:I33)</f>
        <v>3.3</v>
      </c>
      <c r="J34" s="8"/>
      <c r="K34" s="8">
        <f>L34*10.764</f>
        <v>0</v>
      </c>
      <c r="L34" s="8">
        <f>SUM(L6:L33)</f>
        <v>0</v>
      </c>
    </row>
    <row r="36" spans="2:12" x14ac:dyDescent="0.25">
      <c r="D36">
        <f>D34+H34</f>
        <v>574.77068999999983</v>
      </c>
      <c r="E36">
        <f>E34+I34</f>
        <v>53.397499999999987</v>
      </c>
    </row>
  </sheetData>
  <mergeCells count="4">
    <mergeCell ref="C2:D2"/>
    <mergeCell ref="C4:E4"/>
    <mergeCell ref="G4:I4"/>
    <mergeCell ref="J4:L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C%</vt:lpstr>
      <vt:lpstr>NOTE</vt:lpstr>
      <vt:lpstr>VALUATION</vt:lpstr>
      <vt:lpstr>Sheet1</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2025-09-23T13:01:34Z</cp:lastPrinted>
  <dcterms:created xsi:type="dcterms:W3CDTF">2019-07-16T09:29:46Z</dcterms:created>
  <dcterms:modified xsi:type="dcterms:W3CDTF">2025-09-23T13:01:36Z</dcterms:modified>
</cp:coreProperties>
</file>