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1.07 Dump\"/>
    </mc:Choice>
  </mc:AlternateContent>
  <xr:revisionPtr revIDLastSave="0" documentId="13_ncr:1_{F0FF6D02-88A0-41BA-A6C7-C8A2FF8EF2A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Sheet1" sheetId="6" r:id="rId3"/>
    <sheet name="Research" sheetId="4" r:id="rId4"/>
  </sheets>
  <definedNames>
    <definedName name="_xlnm.Print_Area" localSheetId="0">Report!$A$1:$H$513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G52" i="1"/>
  <c r="E203" i="1"/>
  <c r="D203" i="1"/>
  <c r="E202" i="1"/>
  <c r="D202" i="1"/>
  <c r="E200" i="1"/>
  <c r="D200" i="1"/>
  <c r="E199" i="1"/>
  <c r="D199" i="1"/>
  <c r="E274" i="1"/>
  <c r="D274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H267" i="1" s="1"/>
  <c r="E266" i="1"/>
  <c r="D266" i="1"/>
  <c r="E265" i="1"/>
  <c r="D265" i="1"/>
  <c r="E264" i="1"/>
  <c r="D264" i="1"/>
  <c r="H264" i="1" s="1"/>
  <c r="E263" i="1"/>
  <c r="D263" i="1"/>
  <c r="H263" i="1" s="1"/>
  <c r="E262" i="1"/>
  <c r="D262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258" i="1"/>
  <c r="D258" i="1"/>
  <c r="D257" i="1"/>
  <c r="E257" i="1"/>
  <c r="E256" i="1"/>
  <c r="E221" i="1"/>
  <c r="D25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260" i="1"/>
  <c r="D260" i="1"/>
  <c r="E259" i="1"/>
  <c r="D259" i="1"/>
  <c r="E255" i="1"/>
  <c r="D255" i="1"/>
  <c r="E254" i="1"/>
  <c r="D254" i="1"/>
  <c r="E253" i="1"/>
  <c r="D253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168" i="1"/>
  <c r="D168" i="1"/>
  <c r="E167" i="1"/>
  <c r="D167" i="1"/>
  <c r="J173" i="1"/>
  <c r="I173" i="1"/>
  <c r="E173" i="1"/>
  <c r="D173" i="1"/>
  <c r="J172" i="1"/>
  <c r="I172" i="1"/>
  <c r="E172" i="1"/>
  <c r="D172" i="1"/>
  <c r="J171" i="1"/>
  <c r="I171" i="1"/>
  <c r="E171" i="1"/>
  <c r="D171" i="1"/>
  <c r="J170" i="1"/>
  <c r="I170" i="1"/>
  <c r="E170" i="1"/>
  <c r="D170" i="1"/>
  <c r="J169" i="1"/>
  <c r="I169" i="1"/>
  <c r="E169" i="1"/>
  <c r="D169" i="1"/>
  <c r="J168" i="1"/>
  <c r="I168" i="1"/>
  <c r="I167" i="1"/>
  <c r="J166" i="1"/>
  <c r="I166" i="1"/>
  <c r="E166" i="1"/>
  <c r="D166" i="1"/>
  <c r="J165" i="1"/>
  <c r="I165" i="1"/>
  <c r="E165" i="1"/>
  <c r="D165" i="1"/>
  <c r="E158" i="1"/>
  <c r="D158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163" i="1"/>
  <c r="D163" i="1"/>
  <c r="E162" i="1"/>
  <c r="D162" i="1"/>
  <c r="E161" i="1"/>
  <c r="D161" i="1"/>
  <c r="E160" i="1"/>
  <c r="D160" i="1"/>
  <c r="E157" i="1"/>
  <c r="D157" i="1"/>
  <c r="E156" i="1"/>
  <c r="D156" i="1"/>
  <c r="E155" i="1"/>
  <c r="D155" i="1"/>
  <c r="E154" i="1"/>
  <c r="D154" i="1"/>
  <c r="E227" i="1"/>
  <c r="D227" i="1"/>
  <c r="D224" i="1"/>
  <c r="E224" i="1"/>
  <c r="D225" i="1"/>
  <c r="E225" i="1"/>
  <c r="D226" i="1"/>
  <c r="E226" i="1"/>
  <c r="D223" i="1"/>
  <c r="E223" i="1"/>
  <c r="E222" i="1"/>
  <c r="D222" i="1"/>
  <c r="D221" i="1"/>
  <c r="D219" i="1"/>
  <c r="E219" i="1"/>
  <c r="D220" i="1"/>
  <c r="E220" i="1"/>
  <c r="D218" i="1"/>
  <c r="E218" i="1"/>
  <c r="E217" i="1"/>
  <c r="D217" i="1"/>
  <c r="H265" i="1" l="1"/>
  <c r="H269" i="1"/>
  <c r="H203" i="1"/>
  <c r="H266" i="1"/>
  <c r="F270" i="1"/>
  <c r="H274" i="1"/>
  <c r="F250" i="1"/>
  <c r="H271" i="1"/>
  <c r="H272" i="1"/>
  <c r="F203" i="1"/>
  <c r="H200" i="1"/>
  <c r="F200" i="1"/>
  <c r="F170" i="1"/>
  <c r="H262" i="1"/>
  <c r="H268" i="1"/>
  <c r="F274" i="1"/>
  <c r="F267" i="1"/>
  <c r="F264" i="1"/>
  <c r="F262" i="1"/>
  <c r="F265" i="1"/>
  <c r="F268" i="1"/>
  <c r="F271" i="1"/>
  <c r="H270" i="1"/>
  <c r="F263" i="1"/>
  <c r="F266" i="1"/>
  <c r="F269" i="1"/>
  <c r="F272" i="1"/>
  <c r="H254" i="1"/>
  <c r="H253" i="1"/>
  <c r="H165" i="1"/>
  <c r="H255" i="1"/>
  <c r="H251" i="1"/>
  <c r="F248" i="1"/>
  <c r="F257" i="1"/>
  <c r="H258" i="1"/>
  <c r="H177" i="1"/>
  <c r="H183" i="1"/>
  <c r="H245" i="1"/>
  <c r="H178" i="1"/>
  <c r="H184" i="1"/>
  <c r="H179" i="1"/>
  <c r="H185" i="1"/>
  <c r="H169" i="1"/>
  <c r="H172" i="1"/>
  <c r="H241" i="1"/>
  <c r="H247" i="1"/>
  <c r="H242" i="1"/>
  <c r="H248" i="1"/>
  <c r="H175" i="1"/>
  <c r="H181" i="1"/>
  <c r="F246" i="1"/>
  <c r="F176" i="1"/>
  <c r="F182" i="1"/>
  <c r="H167" i="1"/>
  <c r="F251" i="1"/>
  <c r="F245" i="1"/>
  <c r="F242" i="1"/>
  <c r="H166" i="1"/>
  <c r="F243" i="1"/>
  <c r="F259" i="1"/>
  <c r="F244" i="1"/>
  <c r="H249" i="1"/>
  <c r="H260" i="1"/>
  <c r="H180" i="1"/>
  <c r="F256" i="1"/>
  <c r="H176" i="1"/>
  <c r="F179" i="1"/>
  <c r="F183" i="1"/>
  <c r="H182" i="1"/>
  <c r="F175" i="1"/>
  <c r="F178" i="1"/>
  <c r="F181" i="1"/>
  <c r="F184" i="1"/>
  <c r="F177" i="1"/>
  <c r="F185" i="1"/>
  <c r="F180" i="1"/>
  <c r="H257" i="1"/>
  <c r="F255" i="1"/>
  <c r="F253" i="1"/>
  <c r="H256" i="1"/>
  <c r="H259" i="1"/>
  <c r="F254" i="1"/>
  <c r="F258" i="1"/>
  <c r="F260" i="1"/>
  <c r="F249" i="1"/>
  <c r="H246" i="1"/>
  <c r="F241" i="1"/>
  <c r="F247" i="1"/>
  <c r="H244" i="1"/>
  <c r="H250" i="1"/>
  <c r="H243" i="1"/>
  <c r="H173" i="1"/>
  <c r="H171" i="1"/>
  <c r="H168" i="1"/>
  <c r="F168" i="1"/>
  <c r="F172" i="1"/>
  <c r="F166" i="1"/>
  <c r="H170" i="1"/>
  <c r="F169" i="1"/>
  <c r="F171" i="1"/>
  <c r="F173" i="1"/>
  <c r="F165" i="1"/>
  <c r="F167" i="1"/>
  <c r="E152" i="1"/>
  <c r="D152" i="1"/>
  <c r="D150" i="1"/>
  <c r="D151" i="1"/>
  <c r="D149" i="1"/>
  <c r="E151" i="1"/>
  <c r="E150" i="1"/>
  <c r="E149" i="1"/>
  <c r="E148" i="1"/>
  <c r="D148" i="1"/>
  <c r="E147" i="1"/>
  <c r="D147" i="1"/>
  <c r="D145" i="1"/>
  <c r="E145" i="1"/>
  <c r="D146" i="1"/>
  <c r="E146" i="1"/>
  <c r="E144" i="1" l="1"/>
  <c r="D144" i="1"/>
  <c r="D143" i="1"/>
  <c r="E142" i="1"/>
  <c r="D142" i="1"/>
  <c r="E215" i="1"/>
  <c r="D215" i="1"/>
  <c r="E140" i="1"/>
  <c r="D140" i="1"/>
  <c r="E213" i="1"/>
  <c r="D138" i="1"/>
  <c r="D213" i="1"/>
  <c r="E138" i="1"/>
  <c r="D211" i="1"/>
  <c r="D210" i="1"/>
  <c r="D209" i="1"/>
  <c r="D208" i="1"/>
  <c r="D207" i="1"/>
  <c r="D136" i="1"/>
  <c r="D135" i="1"/>
  <c r="C113" i="1" s="1"/>
  <c r="D133" i="1"/>
  <c r="J133" i="1"/>
  <c r="D132" i="1"/>
  <c r="D131" i="1"/>
  <c r="D57" i="1"/>
  <c r="C114" i="1" l="1"/>
  <c r="J280" i="1"/>
  <c r="F109" i="1"/>
  <c r="E133" i="6"/>
  <c r="D133" i="6"/>
  <c r="E131" i="6"/>
  <c r="D131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J117" i="6"/>
  <c r="E117" i="6"/>
  <c r="D117" i="6"/>
  <c r="J116" i="6"/>
  <c r="E116" i="6"/>
  <c r="D116" i="6"/>
  <c r="J115" i="6"/>
  <c r="E115" i="6"/>
  <c r="D115" i="6"/>
  <c r="F115" i="6" s="1"/>
  <c r="J114" i="6"/>
  <c r="E114" i="6"/>
  <c r="D114" i="6"/>
  <c r="J113" i="6"/>
  <c r="E113" i="6"/>
  <c r="F113" i="6" s="1"/>
  <c r="D113" i="6"/>
  <c r="J112" i="6"/>
  <c r="E112" i="6"/>
  <c r="D112" i="6"/>
  <c r="J111" i="6"/>
  <c r="E111" i="6"/>
  <c r="D111" i="6"/>
  <c r="J110" i="6"/>
  <c r="E110" i="6"/>
  <c r="D110" i="6"/>
  <c r="J109" i="6"/>
  <c r="E109" i="6"/>
  <c r="D109" i="6"/>
  <c r="J108" i="6"/>
  <c r="E108" i="6"/>
  <c r="F108" i="6" s="1"/>
  <c r="D108" i="6"/>
  <c r="J107" i="6"/>
  <c r="E107" i="6"/>
  <c r="D107" i="6"/>
  <c r="E104" i="6"/>
  <c r="D104" i="6"/>
  <c r="F104" i="6" s="1"/>
  <c r="E103" i="6"/>
  <c r="D103" i="6"/>
  <c r="E102" i="6"/>
  <c r="D102" i="6"/>
  <c r="E101" i="6"/>
  <c r="D101" i="6"/>
  <c r="E100" i="6"/>
  <c r="D100" i="6"/>
  <c r="F100" i="6" s="1"/>
  <c r="E99" i="6"/>
  <c r="D99" i="6"/>
  <c r="E98" i="6"/>
  <c r="D98" i="6"/>
  <c r="F98" i="6" s="1"/>
  <c r="E97" i="6"/>
  <c r="D97" i="6"/>
  <c r="E96" i="6"/>
  <c r="D96" i="6"/>
  <c r="F96" i="6" s="1"/>
  <c r="E95" i="6"/>
  <c r="D95" i="6"/>
  <c r="E94" i="6"/>
  <c r="D94" i="6"/>
  <c r="F94" i="6" s="1"/>
  <c r="E92" i="6"/>
  <c r="D92" i="6"/>
  <c r="E90" i="6"/>
  <c r="D90" i="6"/>
  <c r="F90" i="6" s="1"/>
  <c r="D88" i="6"/>
  <c r="F88" i="6" s="1"/>
  <c r="D87" i="6"/>
  <c r="F87" i="6" s="1"/>
  <c r="D86" i="6"/>
  <c r="D85" i="6"/>
  <c r="D84" i="6"/>
  <c r="F84" i="6" s="1"/>
  <c r="D83" i="6"/>
  <c r="F83" i="6" s="1"/>
  <c r="D82" i="6"/>
  <c r="D81" i="6"/>
  <c r="E77" i="6"/>
  <c r="D77" i="6"/>
  <c r="E74" i="6"/>
  <c r="D74" i="6"/>
  <c r="F74" i="6" s="1"/>
  <c r="E72" i="6"/>
  <c r="D72" i="6"/>
  <c r="E71" i="6"/>
  <c r="D71" i="6"/>
  <c r="F71" i="6" s="1"/>
  <c r="E70" i="6"/>
  <c r="D70" i="6"/>
  <c r="E69" i="6"/>
  <c r="D69" i="6"/>
  <c r="F69" i="6" s="1"/>
  <c r="E68" i="6"/>
  <c r="D68" i="6"/>
  <c r="E67" i="6"/>
  <c r="D67" i="6"/>
  <c r="F67" i="6" s="1"/>
  <c r="E66" i="6"/>
  <c r="D66" i="6"/>
  <c r="D65" i="6"/>
  <c r="F65" i="6" s="1"/>
  <c r="D64" i="6"/>
  <c r="F64" i="6" s="1"/>
  <c r="E63" i="6"/>
  <c r="D63" i="6"/>
  <c r="E62" i="6"/>
  <c r="D62" i="6"/>
  <c r="J60" i="6"/>
  <c r="I60" i="6"/>
  <c r="E60" i="6"/>
  <c r="D60" i="6"/>
  <c r="J59" i="6"/>
  <c r="I59" i="6"/>
  <c r="E59" i="6"/>
  <c r="D59" i="6"/>
  <c r="J58" i="6"/>
  <c r="I58" i="6"/>
  <c r="E58" i="6"/>
  <c r="D58" i="6"/>
  <c r="J57" i="6"/>
  <c r="I57" i="6"/>
  <c r="E57" i="6"/>
  <c r="D57" i="6"/>
  <c r="J56" i="6"/>
  <c r="I56" i="6"/>
  <c r="E56" i="6"/>
  <c r="D56" i="6"/>
  <c r="J55" i="6"/>
  <c r="I55" i="6"/>
  <c r="E55" i="6"/>
  <c r="D55" i="6"/>
  <c r="J54" i="6"/>
  <c r="I54" i="6"/>
  <c r="E54" i="6"/>
  <c r="D54" i="6"/>
  <c r="I53" i="6"/>
  <c r="D53" i="6"/>
  <c r="I52" i="6"/>
  <c r="D52" i="6"/>
  <c r="J51" i="6"/>
  <c r="I51" i="6"/>
  <c r="E51" i="6"/>
  <c r="D51" i="6"/>
  <c r="J50" i="6"/>
  <c r="I50" i="6"/>
  <c r="E50" i="6"/>
  <c r="D50" i="6"/>
  <c r="E48" i="6"/>
  <c r="D48" i="6"/>
  <c r="F48" i="6" s="1"/>
  <c r="E47" i="6"/>
  <c r="D47" i="6"/>
  <c r="E46" i="6"/>
  <c r="D46" i="6"/>
  <c r="E45" i="6"/>
  <c r="D45" i="6"/>
  <c r="E43" i="6"/>
  <c r="D43" i="6"/>
  <c r="F43" i="6" s="1"/>
  <c r="E42" i="6"/>
  <c r="D42" i="6"/>
  <c r="D41" i="6"/>
  <c r="F41" i="6" s="1"/>
  <c r="D40" i="6"/>
  <c r="F40" i="6" s="1"/>
  <c r="E39" i="6"/>
  <c r="D39" i="6"/>
  <c r="E38" i="6"/>
  <c r="D38" i="6"/>
  <c r="J36" i="6"/>
  <c r="I36" i="6"/>
  <c r="E36" i="6"/>
  <c r="D36" i="6"/>
  <c r="J35" i="6"/>
  <c r="I35" i="6"/>
  <c r="E35" i="6"/>
  <c r="D35" i="6"/>
  <c r="J34" i="6"/>
  <c r="I34" i="6"/>
  <c r="E34" i="6"/>
  <c r="D34" i="6"/>
  <c r="J33" i="6"/>
  <c r="I33" i="6"/>
  <c r="E33" i="6"/>
  <c r="D33" i="6"/>
  <c r="J32" i="6"/>
  <c r="I32" i="6"/>
  <c r="E32" i="6"/>
  <c r="D32" i="6"/>
  <c r="J31" i="6"/>
  <c r="I31" i="6"/>
  <c r="E31" i="6"/>
  <c r="D31" i="6"/>
  <c r="J30" i="6"/>
  <c r="I30" i="6"/>
  <c r="E30" i="6"/>
  <c r="D30" i="6"/>
  <c r="I29" i="6"/>
  <c r="D29" i="6"/>
  <c r="I28" i="6"/>
  <c r="D28" i="6"/>
  <c r="J27" i="6"/>
  <c r="I27" i="6"/>
  <c r="E27" i="6"/>
  <c r="D27" i="6"/>
  <c r="J26" i="6"/>
  <c r="I26" i="6"/>
  <c r="E26" i="6"/>
  <c r="D26" i="6"/>
  <c r="E24" i="6"/>
  <c r="D24" i="6"/>
  <c r="F24" i="6" s="1"/>
  <c r="E22" i="6"/>
  <c r="D22" i="6"/>
  <c r="D20" i="6"/>
  <c r="F20" i="6" s="1"/>
  <c r="D19" i="6"/>
  <c r="F19" i="6" s="1"/>
  <c r="D18" i="6"/>
  <c r="D17" i="6"/>
  <c r="D16" i="6"/>
  <c r="F16" i="6" s="1"/>
  <c r="D15" i="6"/>
  <c r="F15" i="6" s="1"/>
  <c r="D14" i="6"/>
  <c r="I13" i="6"/>
  <c r="D13" i="6"/>
  <c r="I12" i="6"/>
  <c r="D11" i="6"/>
  <c r="I10" i="6"/>
  <c r="D10" i="6"/>
  <c r="D9" i="6"/>
  <c r="I8" i="6"/>
  <c r="D8" i="6"/>
  <c r="D7" i="6"/>
  <c r="F7" i="6" s="1"/>
  <c r="J6" i="6"/>
  <c r="I6" i="6"/>
  <c r="D6" i="6"/>
  <c r="C51" i="1"/>
  <c r="G51" i="1"/>
  <c r="F102" i="6" l="1"/>
  <c r="F116" i="6"/>
  <c r="F55" i="6"/>
  <c r="F57" i="6"/>
  <c r="F59" i="6"/>
  <c r="F62" i="6"/>
  <c r="F27" i="6"/>
  <c r="F46" i="6"/>
  <c r="F111" i="6"/>
  <c r="F51" i="6"/>
  <c r="F31" i="6"/>
  <c r="F33" i="6"/>
  <c r="F35" i="6"/>
  <c r="F38" i="6"/>
  <c r="F112" i="6"/>
  <c r="F39" i="6"/>
  <c r="F63" i="6"/>
  <c r="F22" i="6"/>
  <c r="F26" i="6"/>
  <c r="F30" i="6"/>
  <c r="F32" i="6"/>
  <c r="F34" i="6"/>
  <c r="F36" i="6"/>
  <c r="F42" i="6"/>
  <c r="F45" i="6"/>
  <c r="F47" i="6"/>
  <c r="F50" i="6"/>
  <c r="F54" i="6"/>
  <c r="F56" i="6"/>
  <c r="F58" i="6"/>
  <c r="F60" i="6"/>
  <c r="F66" i="6"/>
  <c r="F68" i="6"/>
  <c r="F70" i="6"/>
  <c r="F72" i="6"/>
  <c r="F77" i="6"/>
  <c r="F92" i="6"/>
  <c r="F95" i="6"/>
  <c r="F97" i="6"/>
  <c r="F99" i="6"/>
  <c r="F101" i="6"/>
  <c r="F103" i="6"/>
  <c r="F107" i="6"/>
  <c r="F13" i="6"/>
  <c r="F10" i="6"/>
  <c r="F18" i="6"/>
  <c r="F11" i="6"/>
  <c r="F14" i="6"/>
  <c r="F82" i="6"/>
  <c r="F86" i="6"/>
  <c r="F109" i="6"/>
  <c r="F117" i="6"/>
  <c r="F6" i="6"/>
  <c r="F8" i="6"/>
  <c r="F9" i="6"/>
  <c r="F17" i="6"/>
  <c r="F28" i="6"/>
  <c r="F29" i="6"/>
  <c r="F52" i="6"/>
  <c r="F53" i="6"/>
  <c r="F81" i="6"/>
  <c r="F85" i="6"/>
  <c r="F110" i="6"/>
  <c r="F114" i="6"/>
  <c r="F119" i="6"/>
  <c r="F120" i="6"/>
  <c r="F121" i="6"/>
  <c r="F122" i="6"/>
  <c r="F123" i="6"/>
  <c r="F124" i="6"/>
  <c r="F125" i="6"/>
  <c r="F126" i="6"/>
  <c r="F127" i="6"/>
  <c r="F128" i="6"/>
  <c r="F129" i="6"/>
  <c r="F131" i="6"/>
  <c r="F133" i="6"/>
  <c r="J229" i="1" l="1"/>
  <c r="J175" i="1"/>
  <c r="I175" i="1"/>
  <c r="I135" i="1" l="1"/>
  <c r="I134" i="1"/>
  <c r="I133" i="1"/>
  <c r="E286" i="1" l="1"/>
  <c r="D286" i="1"/>
  <c r="E284" i="1"/>
  <c r="D284" i="1"/>
  <c r="F152" i="1"/>
  <c r="E143" i="1"/>
  <c r="H286" i="1" l="1"/>
  <c r="H284" i="1"/>
  <c r="F286" i="1"/>
  <c r="F199" i="1"/>
  <c r="H202" i="1"/>
  <c r="H197" i="1"/>
  <c r="F192" i="1"/>
  <c r="F197" i="1"/>
  <c r="H196" i="1"/>
  <c r="F196" i="1"/>
  <c r="H195" i="1"/>
  <c r="F195" i="1"/>
  <c r="H194" i="1"/>
  <c r="F194" i="1"/>
  <c r="H193" i="1"/>
  <c r="F193" i="1"/>
  <c r="H192" i="1"/>
  <c r="H191" i="1"/>
  <c r="F191" i="1"/>
  <c r="H190" i="1"/>
  <c r="F190" i="1"/>
  <c r="H189" i="1"/>
  <c r="F189" i="1"/>
  <c r="F188" i="1"/>
  <c r="H187" i="1"/>
  <c r="F284" i="1" l="1"/>
  <c r="F202" i="1"/>
  <c r="H199" i="1"/>
  <c r="H188" i="1"/>
  <c r="F187" i="1"/>
  <c r="H223" i="1"/>
  <c r="H217" i="1"/>
  <c r="J239" i="1"/>
  <c r="J238" i="1"/>
  <c r="J237" i="1"/>
  <c r="J236" i="1"/>
  <c r="J235" i="1"/>
  <c r="J234" i="1"/>
  <c r="J233" i="1"/>
  <c r="J232" i="1"/>
  <c r="J231" i="1"/>
  <c r="J230" i="1"/>
  <c r="H149" i="1"/>
  <c r="H148" i="1"/>
  <c r="F147" i="1"/>
  <c r="H145" i="1"/>
  <c r="H144" i="1"/>
  <c r="J185" i="1"/>
  <c r="J184" i="1"/>
  <c r="J183" i="1"/>
  <c r="J182" i="1"/>
  <c r="J181" i="1"/>
  <c r="J180" i="1"/>
  <c r="J179" i="1"/>
  <c r="J176" i="1"/>
  <c r="J152" i="1"/>
  <c r="J151" i="1"/>
  <c r="J150" i="1"/>
  <c r="J149" i="1"/>
  <c r="J148" i="1"/>
  <c r="J147" i="1"/>
  <c r="J146" i="1"/>
  <c r="J143" i="1"/>
  <c r="J142" i="1"/>
  <c r="I185" i="1"/>
  <c r="I184" i="1"/>
  <c r="I183" i="1"/>
  <c r="I182" i="1"/>
  <c r="I181" i="1"/>
  <c r="I180" i="1"/>
  <c r="I179" i="1"/>
  <c r="I178" i="1"/>
  <c r="I177" i="1"/>
  <c r="I176" i="1"/>
  <c r="I152" i="1"/>
  <c r="I151" i="1"/>
  <c r="I150" i="1"/>
  <c r="I149" i="1"/>
  <c r="I148" i="1"/>
  <c r="I147" i="1"/>
  <c r="I146" i="1"/>
  <c r="I145" i="1"/>
  <c r="I144" i="1"/>
  <c r="I143" i="1"/>
  <c r="I142" i="1"/>
  <c r="F239" i="1"/>
  <c r="F238" i="1"/>
  <c r="H237" i="1"/>
  <c r="H236" i="1"/>
  <c r="F235" i="1"/>
  <c r="F234" i="1"/>
  <c r="H233" i="1"/>
  <c r="H232" i="1"/>
  <c r="F231" i="1"/>
  <c r="F230" i="1"/>
  <c r="H163" i="1"/>
  <c r="F163" i="1"/>
  <c r="H162" i="1"/>
  <c r="F161" i="1"/>
  <c r="F160" i="1"/>
  <c r="H158" i="1"/>
  <c r="F157" i="1"/>
  <c r="H156" i="1"/>
  <c r="F156" i="1"/>
  <c r="F154" i="1"/>
  <c r="H225" i="1"/>
  <c r="H221" i="1"/>
  <c r="F217" i="1"/>
  <c r="H224" i="1"/>
  <c r="H218" i="1"/>
  <c r="H151" i="1"/>
  <c r="F150" i="1"/>
  <c r="F144" i="1"/>
  <c r="F155" i="1" l="1"/>
  <c r="H220" i="1"/>
  <c r="H146" i="1"/>
  <c r="F151" i="1"/>
  <c r="F220" i="1"/>
  <c r="H157" i="1"/>
  <c r="H161" i="1"/>
  <c r="H231" i="1"/>
  <c r="F233" i="1"/>
  <c r="H235" i="1"/>
  <c r="F237" i="1"/>
  <c r="H239" i="1"/>
  <c r="F158" i="1"/>
  <c r="H160" i="1"/>
  <c r="F162" i="1"/>
  <c r="H230" i="1"/>
  <c r="F232" i="1"/>
  <c r="H234" i="1"/>
  <c r="F236" i="1"/>
  <c r="H238" i="1"/>
  <c r="F229" i="1"/>
  <c r="H226" i="1"/>
  <c r="H227" i="1"/>
  <c r="F219" i="1"/>
  <c r="H222" i="1"/>
  <c r="F218" i="1"/>
  <c r="H229" i="1"/>
  <c r="H154" i="1"/>
  <c r="H155" i="1"/>
  <c r="H219" i="1"/>
  <c r="F221" i="1"/>
  <c r="F222" i="1"/>
  <c r="F223" i="1"/>
  <c r="F224" i="1"/>
  <c r="F225" i="1"/>
  <c r="F226" i="1"/>
  <c r="F227" i="1"/>
  <c r="H152" i="1"/>
  <c r="H150" i="1"/>
  <c r="F148" i="1"/>
  <c r="H147" i="1"/>
  <c r="H143" i="1"/>
  <c r="H215" i="1"/>
  <c r="F143" i="1"/>
  <c r="H142" i="1"/>
  <c r="F142" i="1"/>
  <c r="F145" i="1"/>
  <c r="F149" i="1"/>
  <c r="F146" i="1"/>
  <c r="H140" i="1"/>
  <c r="F215" i="1"/>
  <c r="F140" i="1"/>
  <c r="H213" i="1"/>
  <c r="F213" i="1"/>
  <c r="H138" i="1"/>
  <c r="H211" i="1"/>
  <c r="H210" i="1"/>
  <c r="H209" i="1"/>
  <c r="H208" i="1"/>
  <c r="H207" i="1"/>
  <c r="F207" i="1"/>
  <c r="H136" i="1"/>
  <c r="F135" i="1"/>
  <c r="H133" i="1"/>
  <c r="F131" i="1"/>
  <c r="H132" i="1"/>
  <c r="J131" i="1"/>
  <c r="I131" i="1"/>
  <c r="I46" i="1"/>
  <c r="G114" i="1" l="1"/>
  <c r="J154" i="1"/>
  <c r="F211" i="1"/>
  <c r="F132" i="1"/>
  <c r="F138" i="1"/>
  <c r="F210" i="1"/>
  <c r="F209" i="1"/>
  <c r="F208" i="1"/>
  <c r="F133" i="1"/>
  <c r="H135" i="1"/>
  <c r="G113" i="1" s="1"/>
  <c r="F136" i="1"/>
  <c r="H131" i="1"/>
  <c r="G112" i="1" s="1"/>
  <c r="S33" i="1"/>
  <c r="E114" i="1" l="1"/>
  <c r="E112" i="1"/>
  <c r="E113" i="1"/>
  <c r="C112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48" i="1"/>
  <c r="B322" i="1"/>
  <c r="B321" i="1"/>
  <c r="F318" i="1"/>
  <c r="H318" i="1" s="1"/>
  <c r="F317" i="1"/>
  <c r="H317" i="1" s="1"/>
  <c r="F316" i="1"/>
  <c r="H316" i="1" s="1"/>
  <c r="F315" i="1"/>
  <c r="H315" i="1" s="1"/>
  <c r="F314" i="1"/>
  <c r="H314" i="1" s="1"/>
  <c r="F312" i="1"/>
  <c r="H312" i="1" s="1"/>
  <c r="F311" i="1"/>
  <c r="H311" i="1" s="1"/>
  <c r="F310" i="1"/>
  <c r="H310" i="1" s="1"/>
  <c r="F309" i="1"/>
  <c r="H309" i="1" s="1"/>
  <c r="F308" i="1"/>
  <c r="H308" i="1" s="1"/>
  <c r="F306" i="1"/>
  <c r="H306" i="1" s="1"/>
  <c r="F305" i="1"/>
  <c r="H305" i="1" s="1"/>
  <c r="F304" i="1"/>
  <c r="H304" i="1" s="1"/>
  <c r="F303" i="1"/>
  <c r="H303" i="1" s="1"/>
  <c r="F302" i="1"/>
  <c r="H302" i="1" s="1"/>
  <c r="F300" i="1"/>
  <c r="H300" i="1" s="1"/>
  <c r="F299" i="1"/>
  <c r="H299" i="1" s="1"/>
  <c r="F298" i="1"/>
  <c r="H298" i="1" s="1"/>
  <c r="F297" i="1"/>
  <c r="H297" i="1" s="1"/>
  <c r="F296" i="1"/>
  <c r="H296" i="1" s="1"/>
  <c r="A296" i="1"/>
  <c r="A297" i="1" s="1"/>
  <c r="A298" i="1" s="1"/>
  <c r="A299" i="1" s="1"/>
  <c r="A300" i="1" s="1"/>
  <c r="F294" i="1"/>
  <c r="H294" i="1" s="1"/>
  <c r="F293" i="1"/>
  <c r="H293" i="1" s="1"/>
  <c r="F292" i="1"/>
  <c r="H292" i="1" s="1"/>
  <c r="A292" i="1"/>
  <c r="A293" i="1" s="1"/>
  <c r="A294" i="1" s="1"/>
  <c r="F291" i="1"/>
  <c r="H291" i="1" s="1"/>
  <c r="C83" i="1"/>
  <c r="C69" i="1"/>
  <c r="D63" i="1"/>
  <c r="E44" i="1"/>
  <c r="E45" i="1" s="1"/>
  <c r="E31" i="1"/>
  <c r="E28" i="1"/>
  <c r="E26" i="1"/>
  <c r="C16" i="1"/>
  <c r="I15" i="1"/>
  <c r="Z13" i="1"/>
  <c r="E8" i="1"/>
  <c r="E3" i="1"/>
  <c r="H70" i="1"/>
  <c r="A314" i="1"/>
  <c r="A302" i="1"/>
  <c r="A308" i="1"/>
  <c r="H84" i="1"/>
  <c r="J113" i="1" l="1"/>
  <c r="C115" i="1"/>
  <c r="C121" i="1" s="1"/>
  <c r="E115" i="1"/>
  <c r="E121" i="1" s="1"/>
  <c r="G115" i="1"/>
  <c r="G121" i="1" s="1"/>
  <c r="J69" i="1"/>
  <c r="J71" i="1" s="1"/>
  <c r="J72" i="1"/>
  <c r="J73" i="1"/>
  <c r="J74" i="1"/>
  <c r="C73" i="1" s="1"/>
  <c r="J88" i="1"/>
  <c r="C87" i="1" s="1"/>
  <c r="D87" i="1" s="1"/>
  <c r="D92" i="1"/>
  <c r="D94" i="1"/>
  <c r="J87" i="1"/>
  <c r="D93" i="1"/>
  <c r="J83" i="1"/>
  <c r="J85" i="1" s="1"/>
  <c r="D91" i="1"/>
  <c r="J86" i="1"/>
  <c r="D90" i="1"/>
  <c r="D96" i="1"/>
  <c r="D95" i="1"/>
  <c r="D89" i="1"/>
  <c r="D77" i="1"/>
  <c r="D79" i="1"/>
  <c r="D78" i="1"/>
  <c r="D82" i="1"/>
  <c r="D76" i="1"/>
  <c r="D81" i="1"/>
  <c r="D75" i="1"/>
  <c r="D80" i="1"/>
  <c r="B84" i="1"/>
  <c r="B70" i="1"/>
  <c r="J75" i="1" s="1"/>
  <c r="A309" i="1"/>
  <c r="A315" i="1"/>
  <c r="A303" i="1"/>
  <c r="D73" i="1" l="1"/>
  <c r="J94" i="1"/>
  <c r="J91" i="1"/>
  <c r="J93" i="1"/>
  <c r="J92" i="1"/>
  <c r="J89" i="1"/>
  <c r="J90" i="1" s="1"/>
  <c r="J79" i="1"/>
  <c r="J77" i="1"/>
  <c r="J78" i="1"/>
  <c r="J76" i="1"/>
  <c r="J81" i="1" s="1"/>
  <c r="J82" i="1" s="1"/>
  <c r="C74" i="1" s="1"/>
  <c r="J80" i="1"/>
  <c r="A304" i="1"/>
  <c r="A310" i="1"/>
  <c r="A316" i="1"/>
  <c r="J70" i="1" l="1"/>
  <c r="J95" i="1"/>
  <c r="J96" i="1" s="1"/>
  <c r="E73" i="1"/>
  <c r="D74" i="1"/>
  <c r="I70" i="1" s="1"/>
  <c r="G73" i="1"/>
  <c r="D67" i="1" s="1"/>
  <c r="A311" i="1"/>
  <c r="A305" i="1"/>
  <c r="A317" i="1"/>
  <c r="C88" i="1" l="1"/>
  <c r="F68" i="1"/>
  <c r="D68" i="1"/>
  <c r="I71" i="1"/>
  <c r="I69" i="1" s="1"/>
  <c r="C71" i="1" s="1"/>
  <c r="A306" i="1"/>
  <c r="A312" i="1"/>
  <c r="A318" i="1"/>
  <c r="E87" i="1" l="1"/>
  <c r="D88" i="1"/>
  <c r="I84" i="1" s="1"/>
  <c r="I85" i="1" s="1"/>
  <c r="G87" i="1"/>
  <c r="J84" i="1"/>
  <c r="I83" i="1" l="1"/>
  <c r="C85" i="1" s="1"/>
  <c r="H87" i="6" l="1"/>
  <c r="H92" i="6"/>
  <c r="H116" i="6"/>
  <c r="H10" i="6"/>
  <c r="H14" i="6"/>
  <c r="H45" i="6"/>
  <c r="H9" i="6"/>
  <c r="H115" i="6"/>
  <c r="H56" i="6"/>
  <c r="H63" i="6"/>
  <c r="H123" i="6"/>
  <c r="H46" i="6"/>
  <c r="H86" i="6"/>
  <c r="H24" i="6"/>
  <c r="H29" i="6"/>
  <c r="H128" i="6"/>
  <c r="H98" i="6"/>
  <c r="H7" i="6"/>
  <c r="H42" i="6"/>
  <c r="H69" i="6"/>
  <c r="H99" i="6"/>
  <c r="H67" i="6"/>
  <c r="H88" i="6"/>
  <c r="H120" i="6"/>
  <c r="H26" i="6"/>
  <c r="H38" i="6"/>
  <c r="H6" i="6"/>
  <c r="H94" i="6"/>
  <c r="H103" i="6"/>
  <c r="H13" i="6"/>
  <c r="H51" i="6"/>
  <c r="H33" i="6"/>
  <c r="H54" i="6"/>
  <c r="H109" i="6"/>
  <c r="H85" i="6"/>
  <c r="H72" i="6"/>
  <c r="H108" i="6"/>
  <c r="H27" i="6"/>
  <c r="H15" i="6"/>
  <c r="H36" i="6"/>
  <c r="H8" i="6"/>
  <c r="H59" i="6"/>
  <c r="H101" i="6"/>
  <c r="H81" i="6"/>
  <c r="H68" i="6"/>
  <c r="H11" i="6"/>
  <c r="H39" i="6"/>
  <c r="H113" i="6"/>
  <c r="H57" i="6"/>
  <c r="H18" i="6"/>
  <c r="H34" i="6"/>
  <c r="H48" i="6"/>
  <c r="H126" i="6"/>
  <c r="H28" i="6"/>
  <c r="H20" i="6"/>
  <c r="H70" i="6"/>
  <c r="H107" i="6"/>
  <c r="H96" i="6"/>
  <c r="H102" i="6"/>
  <c r="H32" i="6"/>
  <c r="H100" i="6"/>
  <c r="H52" i="6"/>
  <c r="H31" i="6"/>
  <c r="H114" i="6"/>
  <c r="H121" i="6"/>
  <c r="H112" i="6"/>
  <c r="H58" i="6"/>
  <c r="H77" i="6"/>
  <c r="H84" i="6"/>
  <c r="H65" i="6"/>
  <c r="H129" i="6"/>
  <c r="H17" i="6"/>
  <c r="H117" i="6"/>
  <c r="H60" i="6"/>
  <c r="H127" i="6"/>
  <c r="H110" i="6"/>
  <c r="H82" i="6"/>
  <c r="H83" i="6"/>
  <c r="H122" i="6"/>
  <c r="H43" i="6"/>
  <c r="H74" i="6"/>
  <c r="H19" i="6"/>
  <c r="H66" i="6"/>
  <c r="H95" i="6"/>
  <c r="H90" i="6"/>
  <c r="H104" i="6"/>
  <c r="H53" i="6"/>
  <c r="H55" i="6"/>
  <c r="H62" i="6"/>
  <c r="H71" i="6"/>
  <c r="H30" i="6"/>
  <c r="H16" i="6"/>
  <c r="H40" i="6"/>
  <c r="H64" i="6"/>
  <c r="H124" i="6"/>
  <c r="H50" i="6"/>
  <c r="H47" i="6"/>
  <c r="H41" i="6"/>
  <c r="H22" i="6"/>
  <c r="H111" i="6"/>
  <c r="H97" i="6"/>
  <c r="H119" i="6"/>
  <c r="H131" i="6"/>
  <c r="H35" i="6"/>
  <c r="H125" i="6"/>
  <c r="H13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<sst xmlns="http://schemas.openxmlformats.org/spreadsheetml/2006/main" count="840" uniqueCount="368">
  <si>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</si>
  <si>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</si>
  <si>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</si>
  <si>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</si>
  <si>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</si>
  <si>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</si>
  <si>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</si>
  <si>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</si>
  <si>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</si>
  <si>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</si>
  <si>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</si>
  <si>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</si>
  <si>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</si>
  <si>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</si>
  <si>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</si>
  <si>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</si>
  <si>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</si>
  <si>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</si>
  <si>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</si>
  <si>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</si>
  <si>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</si>
  <si>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</si>
  <si>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</si>
  <si>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</si>
  <si>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</si>
  <si>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</si>
  <si>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</si>
  <si>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</si>
  <si>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</si>
  <si>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</si>
  <si>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</si>
  <si>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</si>
  <si>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</si>
  <si>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</si>
  <si>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</si>
  <si>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</si>
  <si>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</si>
  <si>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</si>
  <si>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</si>
  <si>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</si>
  <si>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</si>
  <si>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</si>
  <si>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</si>
  <si>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</si>
  <si>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</si>
  <si>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</si>
  <si>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</si>
  <si>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</si>
  <si>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</si>
  <si>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</si>
  <si>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</si>
  <si>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</si>
  <si>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</si>
  <si>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</si>
  <si>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</si>
  <si>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</si>
  <si>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</si>
  <si>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</si>
  <si>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</si>
  <si>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</si>
  <si>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</si>
  <si>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</si>
  <si>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</si>
  <si>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</si>
  <si>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</si>
  <si>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</si>
  <si>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</si>
  <si>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</si>
  <si>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</si>
  <si>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</si>
  <si>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</si>
  <si>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</si>
  <si>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</si>
  <si>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</si>
  <si>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</si>
  <si>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</si>
  <si>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</si>
  <si>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</si>
  <si>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</si>
  <si>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</si>
  <si>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</si>
  <si>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</si>
  <si>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</si>
  <si>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</si>
  <si>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</si>
  <si>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</si>
  <si>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</si>
  <si>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</si>
  <si>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</si>
  <si>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</si>
  <si>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</si>
  <si>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</si>
  <si>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</si>
  <si>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</si>
  <si>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</si>
  <si>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</si>
  <si>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</si>
  <si>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</si>
  <si>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</si>
  <si>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</si>
  <si>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</si>
  <si>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</si>
  <si>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</si>
  <si>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</si>
  <si>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</si>
  <si>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</si>
  <si>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</si>
  <si>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</si>
  <si>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</si>
  <si>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</si>
  <si>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</si>
  <si>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</si>
  <si>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</si>
  <si>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</si>
  <si>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</si>
  <si>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</si>
  <si>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</si>
  <si>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</si>
  <si>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</si>
  <si>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</si>
  <si>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</si>
  <si>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</si>
  <si>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</si>
  <si>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</si>
  <si>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</si>
  <si>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</si>
  <si>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</si>
  <si>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</si>
  <si>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</si>
  <si>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</si>
  <si>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</si>
  <si>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</si>
  <si>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</si>
  <si>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</si>
  <si>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</si>
  <si>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</si>
  <si>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</si>
  <si>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</si>
  <si>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</si>
  <si>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</si>
  <si>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</si>
  <si>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</si>
  <si>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</si>
  <si>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</si>
  <si>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</si>
  <si>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</si>
  <si>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</si>
  <si>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</si>
  <si>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</si>
  <si>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</si>
  <si>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</si>
  <si>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</si>
  <si>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</si>
  <si>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</si>
  <si>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</si>
  <si>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</si>
  <si>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</si>
  <si>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</si>
  <si>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</si>
  <si>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</si>
  <si>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</si>
  <si>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</si>
  <si>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</si>
  <si>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</si>
  <si>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</si>
  <si>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</si>
  <si>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</si>
  <si>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</si>
  <si>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</si>
  <si>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</si>
  <si>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</si>
  <si>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>Floor Rise Rate from    Floor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</si>
  <si>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</si>
  <si>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</si>
  <si>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</si>
  <si>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</si>
  <si>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</si>
  <si>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</si>
  <si>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</si>
  <si>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</si>
  <si>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</si>
  <si>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</si>
  <si>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</si>
  <si>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</si>
  <si>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</si>
  <si>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</si>
  <si>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</si>
  <si>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</si>
  <si>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</si>
  <si>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</si>
  <si>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</si>
  <si>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</si>
  <si>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</si>
  <si>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</si>
  <si>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</si>
  <si>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</si>
  <si>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</si>
  <si>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</si>
  <si>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</si>
  <si>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</si>
  <si>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</si>
  <si>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</si>
  <si>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</si>
  <si>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</si>
  <si>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</si>
  <si>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</si>
  <si>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</si>
  <si>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</si>
  <si>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</si>
  <si>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</si>
  <si>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</si>
  <si>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</si>
  <si>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</si>
  <si>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</si>
  <si>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</si>
  <si>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</si>
  <si>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</si>
  <si>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</si>
  <si>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</si>
  <si>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</si>
  <si>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</si>
  <si>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</si>
  <si>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</si>
  <si>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</si>
  <si>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</si>
  <si>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</si>
  <si>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</si>
  <si>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Fungible area</t>
  </si>
  <si>
    <t>Carpet area</t>
  </si>
  <si>
    <t>Bank Name:</t>
  </si>
  <si>
    <t>Axis Bank</t>
  </si>
  <si>
    <t>Branch</t>
  </si>
  <si>
    <t>Bank</t>
  </si>
  <si>
    <t>Cent Bank</t>
  </si>
  <si>
    <t>Indiabulls Housing Finance Ltd</t>
  </si>
  <si>
    <t>PNB Housing Finance Limited</t>
  </si>
  <si>
    <t>ABFHL</t>
  </si>
  <si>
    <t>Axis Thane</t>
  </si>
  <si>
    <t>Axis Sanpada</t>
  </si>
  <si>
    <t>Axis Badlapur</t>
  </si>
  <si>
    <t>PNB Thane</t>
  </si>
  <si>
    <t>PNB Borivali</t>
  </si>
  <si>
    <t>Cent Kalyan</t>
  </si>
  <si>
    <t>Cent Belapur</t>
  </si>
  <si>
    <t>IBHF Kalyan</t>
  </si>
  <si>
    <t>IBHF Badlapur</t>
  </si>
  <si>
    <t>IBHF Vashi</t>
  </si>
  <si>
    <t>IBHF Thane</t>
  </si>
  <si>
    <t>IBHF Andheri</t>
  </si>
  <si>
    <t>Authorites</t>
  </si>
  <si>
    <t>Slum Rehabilitation Authority (SRA)</t>
  </si>
  <si>
    <t>Municipal Corporation of Greater Mumbai (MCGM)</t>
  </si>
  <si>
    <t>Maharashtra Housing and Area Development Authority(MHADA)</t>
  </si>
  <si>
    <t>Mumbai Metropolitan Region Development Authority (MMRDA)</t>
  </si>
  <si>
    <t>Maharashtra State Road Development Corporation Limited (MSRDC)</t>
  </si>
  <si>
    <t>Navi Mumbai Municipal Corporation (NMMC)</t>
  </si>
  <si>
    <t>Thane Muncipal Cooperation (TMC)</t>
  </si>
  <si>
    <t>Kalyan Dombivli Municipal Corporation (KMDC)</t>
  </si>
  <si>
    <t>Kulgoan Badlapur Municipal Council</t>
  </si>
  <si>
    <t>Town Planning Thane</t>
  </si>
  <si>
    <t>Ambernath Municipal Council (AMC)</t>
  </si>
  <si>
    <t>Ulhasnagar Municipal Corporation</t>
  </si>
  <si>
    <t>Nagar Rachana Ani Mulya Nirdharan Vibhag Thane</t>
  </si>
  <si>
    <t>Bhiwandi Nizampur City Municipal Corporation</t>
  </si>
  <si>
    <t>City and Industrial Development Corporation (CIDCO)</t>
  </si>
  <si>
    <t>Maharashtra Industrial Development Corporation (MIDC)</t>
  </si>
  <si>
    <t>Panvel Municipal Corporation</t>
  </si>
  <si>
    <t>Navi Mumbai Airport Influence Notified Area (NAINA)</t>
  </si>
  <si>
    <t>Pen Municipal Council</t>
  </si>
  <si>
    <t>Raigad Zilha Parishad</t>
  </si>
  <si>
    <t>Roha Municipal Council</t>
  </si>
  <si>
    <t>Vasai-Virar City Municipal Corporation. (VVCMC)</t>
  </si>
  <si>
    <t>Collector Of Palghar</t>
  </si>
  <si>
    <t>Town Planner, Palghar</t>
  </si>
  <si>
    <t>Mira-Bhayandar Municipal Corporation</t>
  </si>
  <si>
    <t>Documents Provided</t>
  </si>
  <si>
    <t>Does the boundaries at site match, as mentioned in the Documentation: NA</t>
  </si>
  <si>
    <t>Thane Municipal Corporation (TMC)</t>
  </si>
  <si>
    <t xml:space="preserve">Mira-Bhayandar Municipal Corporation
</t>
  </si>
  <si>
    <t>Sunrise Lifespaces LLP</t>
  </si>
  <si>
    <t>Sunrise Corporate Park ­ Phase I</t>
  </si>
  <si>
    <t>Wing A1 &amp; A2</t>
  </si>
  <si>
    <t>P51700050406</t>
  </si>
  <si>
    <t>Plot No</t>
  </si>
  <si>
    <t>Nehru Nagar, Wagle Industrial Estate</t>
  </si>
  <si>
    <t>Aambika Foods and Beverages LLP</t>
  </si>
  <si>
    <t>3.6 KM from Mulund Railway Station</t>
  </si>
  <si>
    <t>Mulund West</t>
  </si>
  <si>
    <t>19.196861,72.944861</t>
  </si>
  <si>
    <t>https://maps.app.goo.gl/zEjgCwcnXmPXAxGo9</t>
  </si>
  <si>
    <t>Road Number 27 &amp; Road U</t>
  </si>
  <si>
    <t>Road Number 27/Open Plot</t>
  </si>
  <si>
    <t>Area Under Encrochment</t>
  </si>
  <si>
    <t>Adj. Plot No. C-36</t>
  </si>
  <si>
    <t>Road No.07</t>
  </si>
  <si>
    <t>02 Wings</t>
  </si>
  <si>
    <t xml:space="preserve">Maharashtra Industrial Development Corporation
</t>
  </si>
  <si>
    <t xml:space="preserve">EC Certificate No.: </t>
  </si>
  <si>
    <t>Approved area of building (Sq.Mt) Wing A1 &amp; A2</t>
  </si>
  <si>
    <t>As per RERA - 31/12/2028</t>
  </si>
  <si>
    <t>Wing A1</t>
  </si>
  <si>
    <t xml:space="preserve">Details of Commercials in Building   </t>
  </si>
  <si>
    <t>Lower ground Floor Entrance Lobby, Meter Room &amp; Parking</t>
  </si>
  <si>
    <t>ITSS Unit</t>
  </si>
  <si>
    <t>Wing A2</t>
  </si>
  <si>
    <t>Lower ground Floor For Commercial, Entrance Lobby, Meter Room &amp; Parking</t>
  </si>
  <si>
    <t>Basement Floor For Pump Room &amp; Parking</t>
  </si>
  <si>
    <t>Upper ground Floor</t>
  </si>
  <si>
    <t>IT Office</t>
  </si>
  <si>
    <t>1st Floor</t>
  </si>
  <si>
    <t>Balcony Area</t>
  </si>
  <si>
    <t>2nd &amp; 3rd Floor</t>
  </si>
  <si>
    <t>4th &amp; 6th Floor</t>
  </si>
  <si>
    <t>5th Floor (Part Refuge Area)</t>
  </si>
  <si>
    <t>Refuge Area</t>
  </si>
  <si>
    <t>-</t>
  </si>
  <si>
    <t>7th Floor</t>
  </si>
  <si>
    <t>Upper ground Floor For Commercial</t>
  </si>
  <si>
    <t>8th, 10th, 11th, 12th Floor</t>
  </si>
  <si>
    <t>8th Floor</t>
  </si>
  <si>
    <t>9th Floor (Part Refuge Area)</t>
  </si>
  <si>
    <t>10th Floor</t>
  </si>
  <si>
    <t>We have considered carpet area for 7th to 12th Floor (wing A2) As per future proposed for IOD approval</t>
  </si>
  <si>
    <t>We considered Gross carpet area = Net carpet + Balcony + AHU Area</t>
  </si>
  <si>
    <t>Phase 1</t>
  </si>
  <si>
    <t>Wing A2 = 1B + Lw. Gr + Up. Gr + 1st to 15th Floor</t>
  </si>
  <si>
    <t>IT Building (Wing A1 &amp; A2)</t>
  </si>
  <si>
    <t>Entrance Gate, Parking, Watchman Cabin, EV Charging Station, Share Conference Room, Café &amp; Meeting Sapce, Yoga &amp; Meditation Space, Indoor Games, Fitness Center etc.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</si>
  <si>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</si>
  <si>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Approved Plans, Sale Plans, Cost Sheet</t>
  </si>
  <si>
    <t>Approved Plan, Sale Plans, Cost Sheet</t>
  </si>
  <si>
    <r>
      <t xml:space="preserve">ITSS Unit  / IT Office Unit
</t>
    </r>
    <r>
      <rPr>
        <b/>
        <sz val="11"/>
        <color rgb="FF000000"/>
        <rFont val="Times New Roman"/>
        <family val="1"/>
      </rPr>
      <t>(Approved Plan)</t>
    </r>
  </si>
  <si>
    <t>Shop / Office No. (Sale Plan)</t>
  </si>
  <si>
    <t>E-5 &amp;  E-5/1</t>
  </si>
  <si>
    <t>Internal Road</t>
  </si>
  <si>
    <t>Road U</t>
  </si>
  <si>
    <t xml:space="preserve">We have received two sets of plans, one of which, Dtd. 29/07/2022, amends the plan approval letter, and the other, Dtd. 10/11/2022, amends the plan for the purpose of environmental clearance. 
Guide us on which plan is to be considered for drafting APF.
</t>
  </si>
  <si>
    <t>Combined Building
Approval Letter No.
Valid Up for:</t>
  </si>
  <si>
    <t>Wing A1 = 1B + Lw. Gr + Up. Gr + 1st to 15th Floor</t>
  </si>
  <si>
    <t>Terrace Area</t>
  </si>
  <si>
    <t>The Declaration about CC letter provided by the bank is attached below.</t>
  </si>
  <si>
    <t>CC Decleration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</si>
  <si>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</si>
  <si>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 xml:space="preserve">Ajay Songare </t>
  </si>
  <si>
    <t>Jeenat</t>
  </si>
  <si>
    <t>9500 to 10000</t>
  </si>
  <si>
    <t xml:space="preserve"> viraj</t>
  </si>
  <si>
    <t>5th Floor</t>
  </si>
  <si>
    <t>5 + 6</t>
  </si>
  <si>
    <t>6th Floor</t>
  </si>
  <si>
    <t>3 + 4</t>
  </si>
  <si>
    <t>4th Floor</t>
  </si>
  <si>
    <t>15 + 16</t>
  </si>
  <si>
    <t>17 + 18</t>
  </si>
  <si>
    <t>19 + 20</t>
  </si>
  <si>
    <t>Incubation Centre</t>
  </si>
  <si>
    <t>9th Floor (Part Terrace Area)</t>
  </si>
  <si>
    <t xml:space="preserve">Wing A1 = 1B + Lw. Gr + Up. Gr + 1st to 10th Floor
Wing A2 = 1B + Lw. Gr + Up. Gr + 1st to 9th Floor
</t>
  </si>
  <si>
    <t>DE&amp;PAIII/THN/SPA/BPAMS/I-84749/2024</t>
  </si>
  <si>
    <t>Wing A1 = 1B + Lw. Gr + Up. Gr + 1st to 10th Floor
Wing A2 = 1B + Lw. Gr + Up. Gr + 1st to 9th Floor</t>
  </si>
  <si>
    <t>ITSS Unit - 3, IT Office - 121</t>
  </si>
  <si>
    <t xml:space="preserve">We have updated revised plans &amp; Combined Letter (on 19/12/2024).
</t>
  </si>
  <si>
    <t xml:space="preserve">Recommended Rates/Other Charges of the Property have been revised on 21/03/2025
</t>
  </si>
  <si>
    <t>10K to 12K by snjay on 21/03/2025</t>
  </si>
  <si>
    <t xml:space="preserve">Please provide revised approved plans &amp; CC, As the construction work goes beyond the approved no of floors &amp;  CC permission.
</t>
  </si>
  <si>
    <t>Ext. Facade &amp; Plumbing</t>
  </si>
  <si>
    <t xml:space="preserve">Construction work is in process at the time of Visit (Slow Speed)
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</si>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</sst>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3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6" fontId="6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45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1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7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20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19" fillId="0" borderId="0" xfId="0" applyFont="1" applyProtection="1">
      <protection hidden="1"/>
    </xf>
    <xf numFmtId="0" fontId="19" fillId="0" borderId="10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6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5" fillId="0" borderId="0" xfId="1" applyFont="1"/>
    <xf numFmtId="0" fontId="8" fillId="0" borderId="9" xfId="1" applyFont="1" applyBorder="1"/>
    <xf numFmtId="0" fontId="19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6" fillId="2" borderId="29" xfId="0" applyFont="1" applyFill="1" applyBorder="1"/>
    <xf numFmtId="0" fontId="27" fillId="0" borderId="30" xfId="0" applyFont="1" applyBorder="1"/>
    <xf numFmtId="0" fontId="27" fillId="0" borderId="1" xfId="0" applyFont="1" applyBorder="1"/>
    <xf numFmtId="0" fontId="27" fillId="0" borderId="4" xfId="0" applyFont="1" applyBorder="1"/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9" fontId="18" fillId="0" borderId="15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31" fillId="0" borderId="0" xfId="1" applyFont="1"/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" fillId="0" borderId="0" xfId="1" applyFont="1" applyAlignment="1">
      <alignment wrapText="1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9" fontId="11" fillId="0" borderId="15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center" vertical="center" wrapText="1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>
      <alignment horizontal="center" vertical="center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/>
      <protection locked="0"/>
    </xf>
    <xf numFmtId="1" fontId="7" fillId="0" borderId="23" xfId="1" applyNumberFormat="1" applyFont="1" applyBorder="1" applyAlignment="1" applyProtection="1">
      <alignment horizontal="center" vertical="center"/>
      <protection locked="0"/>
    </xf>
    <xf numFmtId="1" fontId="7" fillId="0" borderId="17" xfId="1" applyNumberFormat="1" applyFont="1" applyBorder="1" applyAlignment="1" applyProtection="1">
      <alignment horizontal="center" vertical="center"/>
      <protection locked="0"/>
    </xf>
    <xf numFmtId="1" fontId="7" fillId="0" borderId="24" xfId="1" applyNumberFormat="1" applyFont="1" applyBorder="1" applyAlignment="1" applyProtection="1">
      <alignment horizontal="center" vertical="center"/>
      <protection locked="0"/>
    </xf>
    <xf numFmtId="1" fontId="7" fillId="0" borderId="0" xfId="1" applyNumberFormat="1" applyFont="1" applyAlignment="1" applyProtection="1">
      <alignment horizontal="center" vertical="center"/>
      <protection locked="0"/>
    </xf>
    <xf numFmtId="1" fontId="7" fillId="0" borderId="25" xfId="1" applyNumberFormat="1" applyFont="1" applyBorder="1" applyAlignment="1" applyProtection="1">
      <alignment horizontal="center" vertical="center"/>
      <protection locked="0"/>
    </xf>
    <xf numFmtId="1" fontId="7" fillId="0" borderId="18" xfId="1" applyNumberFormat="1" applyFont="1" applyBorder="1" applyAlignment="1" applyProtection="1">
      <alignment horizontal="center" vertical="center"/>
      <protection locked="0"/>
    </xf>
    <xf numFmtId="1" fontId="7" fillId="0" borderId="34" xfId="1" applyNumberFormat="1" applyFont="1" applyBorder="1" applyAlignment="1" applyProtection="1">
      <alignment horizontal="center" vertical="center"/>
      <protection locked="0"/>
    </xf>
    <xf numFmtId="1" fontId="7" fillId="0" borderId="19" xfId="1" applyNumberFormat="1" applyFont="1" applyBorder="1" applyAlignment="1" applyProtection="1">
      <alignment horizontal="center" vertical="center"/>
      <protection locked="0"/>
    </xf>
    <xf numFmtId="1" fontId="14" fillId="0" borderId="7" xfId="1" applyNumberFormat="1" applyFont="1" applyBorder="1" applyAlignment="1" applyProtection="1">
      <alignment horizontal="center" vertical="center" wrapText="1"/>
      <protection locked="0"/>
    </xf>
    <xf numFmtId="1" fontId="14" fillId="0" borderId="20" xfId="1" applyNumberFormat="1" applyFont="1" applyBorder="1" applyAlignment="1" applyProtection="1">
      <alignment horizontal="center" vertical="center" wrapText="1"/>
      <protection locked="0"/>
    </xf>
    <xf numFmtId="1" fontId="14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9" fillId="0" borderId="7" xfId="0" applyNumberFormat="1" applyFont="1" applyBorder="1" applyAlignment="1" applyProtection="1">
      <alignment vertical="top" wrapText="1"/>
      <protection locked="0"/>
    </xf>
    <xf numFmtId="1" fontId="9" fillId="0" borderId="20" xfId="0" applyNumberFormat="1" applyFont="1" applyBorder="1" applyAlignment="1" applyProtection="1">
      <alignment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7" xfId="1" applyNumberFormat="1" applyFont="1" applyBorder="1" applyAlignment="1" applyProtection="1">
      <alignment horizontal="center" vertical="center" wrapText="1"/>
      <protection locked="0"/>
    </xf>
    <xf numFmtId="1" fontId="11" fillId="0" borderId="20" xfId="1" applyNumberFormat="1" applyFont="1" applyBorder="1" applyAlignment="1" applyProtection="1">
      <alignment horizontal="center" vertical="center" wrapText="1"/>
      <protection locked="0"/>
    </xf>
    <xf numFmtId="1" fontId="11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4" fillId="0" borderId="0" xfId="1" applyFont="1" applyAlignment="1" applyProtection="1">
      <alignment horizontal="center" vertical="top"/>
      <protection locked="0"/>
    </xf>
    <xf numFmtId="0" fontId="13" fillId="0" borderId="0" xfId="1" applyFont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5" xfId="1" applyFont="1" applyBorder="1" applyAlignment="1" applyProtection="1">
      <alignment horizontal="center" vertical="top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28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32" xfId="0" applyNumberFormat="1" applyFont="1" applyBorder="1" applyAlignment="1" applyProtection="1">
      <alignment horizontal="center" vertical="top" wrapText="1"/>
      <protection locked="0"/>
    </xf>
    <xf numFmtId="1" fontId="9" fillId="0" borderId="33" xfId="0" applyNumberFormat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left" vertical="top"/>
      <protection locked="0"/>
    </xf>
    <xf numFmtId="9" fontId="8" fillId="0" borderId="16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24" xfId="8" applyFont="1" applyFill="1" applyBorder="1" applyAlignment="1" applyProtection="1">
      <alignment horizontal="center" vertical="center" wrapText="1"/>
      <protection locked="0"/>
    </xf>
    <xf numFmtId="9" fontId="8" fillId="0" borderId="9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11" xfId="8" applyFont="1" applyFill="1" applyBorder="1" applyAlignment="1" applyProtection="1">
      <alignment horizontal="center" vertical="center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9" fontId="8" fillId="0" borderId="17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4" fillId="0" borderId="7" xfId="1" applyFont="1" applyBorder="1" applyAlignment="1" applyProtection="1">
      <alignment horizontal="center" vertical="top"/>
      <protection locked="0"/>
    </xf>
    <xf numFmtId="0" fontId="14" fillId="0" borderId="20" xfId="1" applyFont="1" applyBorder="1" applyAlignment="1" applyProtection="1">
      <alignment horizontal="center" vertical="top"/>
      <protection locked="0"/>
    </xf>
    <xf numFmtId="0" fontId="14" fillId="0" borderId="8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1" fontId="9" fillId="0" borderId="2" xfId="0" applyNumberFormat="1" applyFont="1" applyBorder="1" applyAlignment="1" applyProtection="1">
      <alignment horizontal="center" vertical="top" wrapText="1"/>
      <protection locked="0"/>
    </xf>
    <xf numFmtId="1" fontId="11" fillId="0" borderId="7" xfId="0" applyNumberFormat="1" applyFont="1" applyBorder="1" applyAlignment="1" applyProtection="1">
      <alignment vertical="top" wrapText="1"/>
      <protection locked="0"/>
    </xf>
    <xf numFmtId="1" fontId="11" fillId="0" borderId="20" xfId="0" applyNumberFormat="1" applyFont="1" applyBorder="1" applyAlignment="1" applyProtection="1">
      <alignment vertical="top" wrapText="1"/>
      <protection locked="0"/>
    </xf>
    <xf numFmtId="1" fontId="11" fillId="0" borderId="8" xfId="0" applyNumberFormat="1" applyFont="1" applyBorder="1" applyAlignment="1" applyProtection="1">
      <alignment vertical="top" wrapText="1"/>
      <protection locked="0"/>
    </xf>
    <xf numFmtId="1" fontId="18" fillId="0" borderId="7" xfId="0" applyNumberFormat="1" applyFont="1" applyBorder="1" applyAlignment="1" applyProtection="1">
      <alignment vertical="top" wrapText="1"/>
      <protection locked="0"/>
    </xf>
    <xf numFmtId="1" fontId="18" fillId="0" borderId="20" xfId="0" applyNumberFormat="1" applyFont="1" applyBorder="1" applyAlignment="1" applyProtection="1">
      <alignment vertical="top" wrapText="1"/>
      <protection locked="0"/>
    </xf>
    <xf numFmtId="1" fontId="18" fillId="0" borderId="8" xfId="0" applyNumberFormat="1" applyFont="1" applyBorder="1" applyAlignment="1" applyProtection="1">
      <alignment vertical="top" wrapText="1"/>
      <protection locked="0"/>
    </xf>
    <xf numFmtId="1" fontId="7" fillId="0" borderId="7" xfId="1" applyNumberFormat="1" applyFont="1" applyBorder="1" applyAlignment="1" applyProtection="1">
      <alignment horizontal="center" vertical="center"/>
      <protection locked="0"/>
    </xf>
    <xf numFmtId="1" fontId="7" fillId="0" borderId="20" xfId="1" applyNumberFormat="1" applyFont="1" applyBorder="1" applyAlignment="1" applyProtection="1">
      <alignment horizontal="center" vertical="center"/>
      <protection locked="0"/>
    </xf>
    <xf numFmtId="1" fontId="7" fillId="0" borderId="8" xfId="1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top" wrapText="1"/>
      <protection locked="0"/>
    </xf>
    <xf numFmtId="0" fontId="18" fillId="0" borderId="7" xfId="1" applyFont="1" applyBorder="1" applyAlignment="1" applyProtection="1">
      <alignment horizontal="left" vertical="top" wrapText="1"/>
      <protection locked="0"/>
    </xf>
    <xf numFmtId="0" fontId="18" fillId="0" borderId="8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8" xfId="1" applyNumberFormat="1" applyFont="1" applyBorder="1" applyAlignment="1" applyProtection="1">
      <alignment horizontal="center" vertical="top" wrapText="1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8" fillId="0" borderId="2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1" fillId="0" borderId="1" xfId="1" applyFont="1" applyBorder="1" applyAlignment="1" applyProtection="1">
      <alignment horizontal="center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1" fillId="0" borderId="12" xfId="1" applyFont="1" applyBorder="1" applyAlignment="1" applyProtection="1">
      <alignment horizontal="left" vertical="top" wrapText="1"/>
      <protection locked="0"/>
    </xf>
    <xf numFmtId="0" fontId="11" fillId="0" borderId="13" xfId="1" applyFont="1" applyBorder="1" applyAlignment="1" applyProtection="1">
      <alignment horizontal="left" vertical="top" wrapText="1"/>
      <protection locked="0"/>
    </xf>
    <xf numFmtId="0" fontId="11" fillId="0" borderId="22" xfId="1" applyFont="1" applyBorder="1" applyAlignment="1" applyProtection="1">
      <alignment horizontal="left" vertical="top" wrapText="1"/>
      <protection locked="0"/>
    </xf>
    <xf numFmtId="0" fontId="10" fillId="0" borderId="1" xfId="5" applyFont="1" applyBorder="1" applyAlignment="1">
      <alignment horizontal="left"/>
    </xf>
    <xf numFmtId="1" fontId="18" fillId="0" borderId="7" xfId="1" applyNumberFormat="1" applyFont="1" applyBorder="1" applyAlignment="1" applyProtection="1">
      <alignment horizontal="center" vertical="center" wrapText="1"/>
      <protection locked="0"/>
    </xf>
    <xf numFmtId="1" fontId="18" fillId="0" borderId="20" xfId="1" applyNumberFormat="1" applyFont="1" applyBorder="1" applyAlignment="1" applyProtection="1">
      <alignment horizontal="center" vertical="center" wrapText="1"/>
      <protection locked="0"/>
    </xf>
    <xf numFmtId="1" fontId="18" fillId="0" borderId="8" xfId="1" applyNumberFormat="1" applyFont="1" applyBorder="1" applyAlignment="1" applyProtection="1">
      <alignment horizontal="center" vertical="center" wrapText="1"/>
      <protection locked="0"/>
    </xf>
    <xf numFmtId="1" fontId="14" fillId="0" borderId="1" xfId="0" applyNumberFormat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618441</xdr:colOff>
      <xdr:row>472</xdr:row>
      <xdr:rowOff>56029</xdr:rowOff>
    </xdr:from>
    <xdr:to>
      <xdr:col>6</xdr:col>
      <xdr:colOff>639305</xdr:colOff>
      <xdr:row>491</xdr:row>
      <xdr:rowOff>24133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355" t="20833" r="24671" b="19531"/>
        <a:stretch/>
      </xdr:blipFill>
      <xdr:spPr>
        <a:xfrm>
          <a:off x="618441" y="37304382"/>
          <a:ext cx="4895423" cy="3800513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649382</xdr:colOff>
      <xdr:row>321</xdr:row>
      <xdr:rowOff>28575</xdr:rowOff>
    </xdr:from>
    <xdr:to>
      <xdr:col>14</xdr:col>
      <xdr:colOff>395159</xdr:colOff>
      <xdr:row>337</xdr:row>
      <xdr:rowOff>85522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7082" y="20621625"/>
          <a:ext cx="3050952" cy="3103042"/>
        </a:xfrm>
        <a:prstGeom prst="rect">
          <a:avLst/>
        </a:prstGeom>
      </xdr:spPr>
    </xdr:pic>
    <xdr:clientData/>
  </xdr:twoCellAnchor>
  <xdr:twoCellAnchor>
    <xdr:from>
      <xdr:col>0</xdr:col>
      <xdr:colOff>291352</xdr:colOff>
      <xdr:row>491</xdr:row>
      <xdr:rowOff>196029</xdr:rowOff>
    </xdr:from>
    <xdr:to>
      <xdr:col>7</xdr:col>
      <xdr:colOff>252248</xdr:colOff>
      <xdr:row>512</xdr:row>
      <xdr:rowOff>63063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91352" y="91035394"/>
          <a:ext cx="5725202" cy="4008728"/>
          <a:chOff x="513113" y="40949325"/>
          <a:chExt cx="5359378" cy="4095286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27418" t="18585" r="16213" b="9540"/>
          <a:stretch/>
        </xdr:blipFill>
        <xdr:spPr>
          <a:xfrm>
            <a:off x="513113" y="40949325"/>
            <a:ext cx="5359378" cy="4095286"/>
          </a:xfrm>
          <a:prstGeom prst="rect">
            <a:avLst/>
          </a:prstGeom>
          <a:ln w="9525">
            <a:solidFill>
              <a:schemeClr val="tx1"/>
            </a:solidFill>
          </a:ln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 rot="292733">
            <a:off x="2364441" y="42178941"/>
            <a:ext cx="1142999" cy="795618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1</xdr:col>
      <xdr:colOff>564867</xdr:colOff>
      <xdr:row>390</xdr:row>
      <xdr:rowOff>0</xdr:rowOff>
    </xdr:from>
    <xdr:to>
      <xdr:col>6</xdr:col>
      <xdr:colOff>21492</xdr:colOff>
      <xdr:row>405</xdr:row>
      <xdr:rowOff>190674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6867" y="65363912"/>
          <a:ext cx="3569184" cy="3216262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0</xdr:col>
      <xdr:colOff>593913</xdr:colOff>
      <xdr:row>406</xdr:row>
      <xdr:rowOff>125990</xdr:rowOff>
    </xdr:from>
    <xdr:to>
      <xdr:col>7</xdr:col>
      <xdr:colOff>34174</xdr:colOff>
      <xdr:row>428</xdr:row>
      <xdr:rowOff>71792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93913" y="74201355"/>
          <a:ext cx="5204567" cy="4284719"/>
          <a:chOff x="672354" y="68851666"/>
          <a:chExt cx="5043202" cy="4383331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72354" y="68851666"/>
            <a:ext cx="5043202" cy="4383331"/>
          </a:xfrm>
          <a:prstGeom prst="rect">
            <a:avLst/>
          </a:prstGeom>
          <a:ln w="9525">
            <a:solidFill>
              <a:schemeClr val="tx1"/>
            </a:solidFill>
          </a:ln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654994" y="70653089"/>
            <a:ext cx="739589" cy="2577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0000FF"/>
                </a:solidFill>
              </a:rPr>
              <a:t>Wing</a:t>
            </a:r>
            <a:r>
              <a:rPr lang="en-IN" sz="1200" b="1" baseline="0">
                <a:solidFill>
                  <a:srgbClr val="0000FF"/>
                </a:solidFill>
              </a:rPr>
              <a:t> A2</a:t>
            </a:r>
            <a:endParaRPr lang="en-IN" sz="1200" b="1">
              <a:solidFill>
                <a:srgbClr val="0000FF"/>
              </a:solidFill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3921258" y="70451383"/>
            <a:ext cx="739589" cy="2577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Wing</a:t>
            </a:r>
            <a:r>
              <a:rPr lang="en-IN" sz="1200" b="1" baseline="0">
                <a:solidFill>
                  <a:srgbClr val="FF0000"/>
                </a:solidFill>
              </a:rPr>
              <a:t> A1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442082" y="69622148"/>
            <a:ext cx="1187823" cy="1030941"/>
          </a:xfrm>
          <a:prstGeom prst="rect">
            <a:avLst/>
          </a:prstGeom>
          <a:noFill/>
          <a:ln w="28575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3652318" y="69375618"/>
            <a:ext cx="1210235" cy="1064559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1</xdr:col>
      <xdr:colOff>142875</xdr:colOff>
      <xdr:row>432</xdr:row>
      <xdr:rowOff>38099</xdr:rowOff>
    </xdr:from>
    <xdr:to>
      <xdr:col>6</xdr:col>
      <xdr:colOff>645493</xdr:colOff>
      <xdr:row>464</xdr:row>
      <xdr:rowOff>117299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4875" y="73647299"/>
          <a:ext cx="4617418" cy="64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22273</xdr:colOff>
      <xdr:row>347</xdr:row>
      <xdr:rowOff>38672</xdr:rowOff>
    </xdr:from>
    <xdr:to>
      <xdr:col>16</xdr:col>
      <xdr:colOff>394127</xdr:colOff>
      <xdr:row>385</xdr:row>
      <xdr:rowOff>12598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A02DC4E-D387-D76D-F593-A4944E7E5F4E}"/>
            </a:ext>
          </a:extLst>
        </xdr:cNvPr>
        <xdr:cNvGrpSpPr/>
      </xdr:nvGrpSpPr>
      <xdr:grpSpPr>
        <a:xfrm>
          <a:off x="8520814" y="62477848"/>
          <a:ext cx="5410019" cy="7468421"/>
          <a:chOff x="533401" y="254674"/>
          <a:chExt cx="5412043" cy="7502486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89FC7FA7-9260-3EF9-1ECF-A38DBEB8023B}"/>
              </a:ext>
            </a:extLst>
          </xdr:cNvPr>
          <xdr:cNvGrpSpPr/>
        </xdr:nvGrpSpPr>
        <xdr:grpSpPr>
          <a:xfrm>
            <a:off x="533401" y="5237160"/>
            <a:ext cx="5412043" cy="2520000"/>
            <a:chOff x="533401" y="5237160"/>
            <a:chExt cx="5412043" cy="252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669B833F-6D8A-DBD2-C25A-CA500FF05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3401" y="5237160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11DF6ABD-FB4B-A0A3-5B4D-67E279D9761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57413" y="52371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15416BC-0722-5D84-6717-367BD09FC4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39422" y="254674"/>
            <a:ext cx="3600000" cy="48050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" name="TextBox 8">
            <a:extLst>
              <a:ext uri="{FF2B5EF4-FFF2-40B4-BE49-F238E27FC236}">
                <a16:creationId xmlns:a16="http://schemas.microsoft.com/office/drawing/2014/main" id="{ED1CA579-6665-EB73-2FB6-9E33C4F7385A}"/>
              </a:ext>
            </a:extLst>
          </xdr:cNvPr>
          <xdr:cNvSpPr txBox="1"/>
        </xdr:nvSpPr>
        <xdr:spPr>
          <a:xfrm>
            <a:off x="4175760" y="371177"/>
            <a:ext cx="641522" cy="58477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3200" b="1"/>
              <a:t>A1</a:t>
            </a:r>
            <a:endParaRPr lang="en-IN" sz="3200" b="1"/>
          </a:p>
        </xdr:txBody>
      </xdr:sp>
      <xdr:sp macro="" textlink="">
        <xdr:nvSpPr>
          <xdr:cNvPr id="7" name="TextBox 15">
            <a:extLst>
              <a:ext uri="{FF2B5EF4-FFF2-40B4-BE49-F238E27FC236}">
                <a16:creationId xmlns:a16="http://schemas.microsoft.com/office/drawing/2014/main" id="{E57C2AFA-9D4E-31EA-6733-C27120FF0200}"/>
              </a:ext>
            </a:extLst>
          </xdr:cNvPr>
          <xdr:cNvSpPr txBox="1"/>
        </xdr:nvSpPr>
        <xdr:spPr>
          <a:xfrm>
            <a:off x="1601524" y="1848832"/>
            <a:ext cx="470000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/>
              <a:t>A2</a:t>
            </a:r>
            <a:endParaRPr lang="en-IN" sz="2000" b="1"/>
          </a:p>
        </xdr:txBody>
      </xdr:sp>
    </xdr:grpSp>
    <xdr:clientData/>
  </xdr:twoCellAnchor>
  <xdr:twoCellAnchor>
    <xdr:from>
      <xdr:col>0</xdr:col>
      <xdr:colOff>586740</xdr:colOff>
      <xdr:row>348</xdr:row>
      <xdr:rowOff>91440</xdr:rowOff>
    </xdr:from>
    <xdr:to>
      <xdr:col>7</xdr:col>
      <xdr:colOff>434340</xdr:colOff>
      <xdr:row>387</xdr:row>
      <xdr:rowOff>91439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E0265B0E-7DE1-AED3-B561-AD398576839E}"/>
            </a:ext>
          </a:extLst>
        </xdr:cNvPr>
        <xdr:cNvGrpSpPr/>
      </xdr:nvGrpSpPr>
      <xdr:grpSpPr>
        <a:xfrm>
          <a:off x="586740" y="62727840"/>
          <a:ext cx="5611906" cy="7691717"/>
          <a:chOff x="571500" y="63185041"/>
          <a:chExt cx="5234940" cy="7528560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011461F3-5FF2-CD14-D9BA-3DFD8D89A9E6}"/>
              </a:ext>
            </a:extLst>
          </xdr:cNvPr>
          <xdr:cNvGrpSpPr/>
        </xdr:nvGrpSpPr>
        <xdr:grpSpPr>
          <a:xfrm>
            <a:off x="571500" y="63185041"/>
            <a:ext cx="5234940" cy="7528560"/>
            <a:chOff x="417050" y="278399"/>
            <a:chExt cx="5236926" cy="8134081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AFAB6571-E25A-4055-39D8-1A88A614E04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41492" y="6660880"/>
              <a:ext cx="1312484" cy="17516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0208044A-6893-06CB-041C-29A4D4BDDC1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7050" y="6660880"/>
              <a:ext cx="1312484" cy="17516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9ACEF886-D897-C7FD-FF88-4B6675417F4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62454" y="6660880"/>
              <a:ext cx="2333306" cy="17516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E88FD41F-FD09-0A9C-BF3D-9F453CA9B9E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44854" y="278399"/>
              <a:ext cx="4671292" cy="623416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8" name="TextBox 15">
            <a:extLst>
              <a:ext uri="{FF2B5EF4-FFF2-40B4-BE49-F238E27FC236}">
                <a16:creationId xmlns:a16="http://schemas.microsoft.com/office/drawing/2014/main" id="{F85DB3CC-8928-4832-B882-83FC5CB8F81A}"/>
              </a:ext>
            </a:extLst>
          </xdr:cNvPr>
          <xdr:cNvSpPr txBox="1"/>
        </xdr:nvSpPr>
        <xdr:spPr>
          <a:xfrm>
            <a:off x="1706880" y="64640461"/>
            <a:ext cx="470000" cy="40011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/>
              <a:t>A2</a:t>
            </a:r>
            <a:endParaRPr lang="en-IN" sz="2000" b="1"/>
          </a:p>
        </xdr:txBody>
      </xdr:sp>
      <xdr:sp macro="" textlink="">
        <xdr:nvSpPr>
          <xdr:cNvPr id="39" name="TextBox 15">
            <a:extLst>
              <a:ext uri="{FF2B5EF4-FFF2-40B4-BE49-F238E27FC236}">
                <a16:creationId xmlns:a16="http://schemas.microsoft.com/office/drawing/2014/main" id="{6357DD83-67CD-DCAF-7C7D-886A44AA81EE}"/>
              </a:ext>
            </a:extLst>
          </xdr:cNvPr>
          <xdr:cNvSpPr txBox="1"/>
        </xdr:nvSpPr>
        <xdr:spPr>
          <a:xfrm>
            <a:off x="2385060" y="63406021"/>
            <a:ext cx="470000" cy="40011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/>
              <a:t>A1</a:t>
            </a:r>
            <a:endParaRPr lang="en-IN" sz="20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zEjgCwcnXmPXAxGo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472"/>
  <sheetViews>
    <sheetView tabSelected="1" showWhiteSpace="0" view="pageBreakPreview" topLeftCell="A266" zoomScale="85" zoomScaleNormal="100" zoomScaleSheetLayoutView="85" zoomScalePageLayoutView="85" workbookViewId="0">
      <selection activeCell="K276" sqref="K276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5" width="11.6640625" style="38" customWidth="1"/>
    <col min="6" max="6" width="11.109375" style="38" customWidth="1"/>
    <col min="7" max="8" width="11" style="38" customWidth="1"/>
    <col min="9" max="9" width="17.44140625" style="19" customWidth="1"/>
    <col min="10" max="10" width="11.44140625" style="19" customWidth="1"/>
    <col min="11" max="11" width="11.33203125" style="19" bestFit="1" customWidth="1"/>
    <col min="12" max="12" width="13.88671875" style="19" bestFit="1" customWidth="1"/>
    <col min="13" max="13" width="11.88671875" style="19" customWidth="1"/>
    <col min="14" max="14" width="12.5546875" style="19" customWidth="1"/>
    <col min="15" max="15" width="12.109375" style="19" customWidth="1"/>
    <col min="16" max="16" width="11.6640625" style="19" customWidth="1"/>
    <col min="17" max="18" width="9.109375" style="19"/>
    <col min="19" max="19" width="10.88671875" style="19" bestFit="1" customWidth="1"/>
    <col min="20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26" ht="46.5" customHeight="1" x14ac:dyDescent="0.3">
      <c r="A1" s="182" t="s">
        <v>342</v>
      </c>
      <c r="B1" s="182"/>
      <c r="C1" s="182"/>
      <c r="D1" s="182"/>
      <c r="E1" s="182"/>
      <c r="F1" s="182"/>
      <c r="G1" s="182"/>
      <c r="H1" s="182"/>
    </row>
    <row r="2" spans="1:26" ht="16.5" customHeight="1" x14ac:dyDescent="0.3">
      <c r="A2" s="183" t="s">
        <v>0</v>
      </c>
      <c r="B2" s="183"/>
      <c r="C2" s="183"/>
      <c r="D2" s="183"/>
      <c r="E2" s="183"/>
      <c r="F2" s="183"/>
      <c r="G2" s="183"/>
      <c r="H2" s="183"/>
    </row>
    <row r="3" spans="1:26" x14ac:dyDescent="0.3">
      <c r="A3" s="129" t="s">
        <v>1</v>
      </c>
      <c r="B3" s="129"/>
      <c r="C3" s="129"/>
      <c r="D3" s="129"/>
      <c r="E3" s="129" t="str">
        <f ca="1">TEXT(TODAY(),"DD/MM/YYYY")</f>
        <v>11/07/2025</v>
      </c>
      <c r="F3" s="129"/>
      <c r="G3" s="129"/>
      <c r="H3" s="129"/>
      <c r="K3" s="53" t="s">
        <v>232</v>
      </c>
      <c r="L3" s="50" t="s">
        <v>230</v>
      </c>
      <c r="M3" s="50" t="s">
        <v>235</v>
      </c>
      <c r="N3" s="50" t="s">
        <v>233</v>
      </c>
      <c r="O3" s="50" t="s">
        <v>234</v>
      </c>
      <c r="P3" s="50" t="s">
        <v>236</v>
      </c>
    </row>
    <row r="4" spans="1:26" ht="15" customHeight="1" x14ac:dyDescent="0.3">
      <c r="A4" s="129" t="s">
        <v>229</v>
      </c>
      <c r="B4" s="129"/>
      <c r="C4" s="129"/>
      <c r="D4" s="129"/>
      <c r="E4" s="175" t="s">
        <v>230</v>
      </c>
      <c r="F4" s="175"/>
      <c r="G4" s="175"/>
      <c r="H4" s="175"/>
      <c r="K4" s="49" t="s">
        <v>231</v>
      </c>
      <c r="L4" s="50" t="s">
        <v>167</v>
      </c>
      <c r="M4" s="50" t="s">
        <v>240</v>
      </c>
      <c r="N4" s="50" t="s">
        <v>242</v>
      </c>
      <c r="O4" s="50" t="s">
        <v>244</v>
      </c>
      <c r="P4" s="50"/>
    </row>
    <row r="5" spans="1:26" ht="15" customHeight="1" x14ac:dyDescent="0.3">
      <c r="A5" s="129" t="s">
        <v>2</v>
      </c>
      <c r="B5" s="129"/>
      <c r="C5" s="129"/>
      <c r="D5" s="129"/>
      <c r="E5" s="175" t="s">
        <v>237</v>
      </c>
      <c r="F5" s="175"/>
      <c r="G5" s="175"/>
      <c r="H5" s="175"/>
      <c r="K5" s="49"/>
      <c r="L5" s="50" t="s">
        <v>237</v>
      </c>
      <c r="M5" s="50" t="s">
        <v>241</v>
      </c>
      <c r="N5" s="50" t="s">
        <v>243</v>
      </c>
      <c r="O5" s="50" t="s">
        <v>245</v>
      </c>
      <c r="P5" s="50"/>
    </row>
    <row r="6" spans="1:26" x14ac:dyDescent="0.3">
      <c r="A6" s="129" t="s">
        <v>3</v>
      </c>
      <c r="B6" s="129"/>
      <c r="C6" s="129"/>
      <c r="D6" s="129"/>
      <c r="E6" s="185">
        <v>45847</v>
      </c>
      <c r="F6" s="129"/>
      <c r="G6" s="129"/>
      <c r="H6" s="129"/>
      <c r="K6" s="49"/>
      <c r="L6" s="50" t="s">
        <v>238</v>
      </c>
      <c r="M6" s="50"/>
      <c r="N6" s="50"/>
      <c r="O6" s="50" t="s">
        <v>246</v>
      </c>
      <c r="P6" s="50"/>
    </row>
    <row r="7" spans="1:26" ht="16.5" customHeight="1" x14ac:dyDescent="0.3">
      <c r="A7" s="129" t="s">
        <v>4</v>
      </c>
      <c r="B7" s="129"/>
      <c r="C7" s="129"/>
      <c r="D7" s="129"/>
      <c r="E7" s="129" t="s">
        <v>279</v>
      </c>
      <c r="F7" s="129"/>
      <c r="G7" s="129"/>
      <c r="H7" s="129"/>
      <c r="K7" s="49"/>
      <c r="L7" s="50" t="s">
        <v>239</v>
      </c>
      <c r="M7" s="50"/>
      <c r="N7" s="50"/>
      <c r="O7" s="50" t="s">
        <v>246</v>
      </c>
      <c r="P7" s="50"/>
    </row>
    <row r="8" spans="1:26" ht="15" customHeight="1" x14ac:dyDescent="0.3">
      <c r="A8" s="129" t="s">
        <v>5</v>
      </c>
      <c r="B8" s="129"/>
      <c r="C8" s="129"/>
      <c r="D8" s="129"/>
      <c r="E8" s="129" t="str">
        <f>E7</f>
        <v>Sunrise Lifespaces LLP</v>
      </c>
      <c r="F8" s="129"/>
      <c r="G8" s="129"/>
      <c r="H8" s="129"/>
      <c r="K8" s="49"/>
      <c r="L8" s="50"/>
      <c r="M8" s="50"/>
      <c r="N8" s="50"/>
      <c r="O8" s="50" t="s">
        <v>247</v>
      </c>
      <c r="P8" s="50"/>
    </row>
    <row r="9" spans="1:26" x14ac:dyDescent="0.3">
      <c r="A9" s="129" t="s">
        <v>6</v>
      </c>
      <c r="B9" s="129"/>
      <c r="C9" s="129"/>
      <c r="D9" s="129"/>
      <c r="E9" s="184" t="s">
        <v>280</v>
      </c>
      <c r="F9" s="154"/>
      <c r="G9" s="154"/>
      <c r="H9" s="154"/>
      <c r="K9" s="49"/>
      <c r="L9" s="50"/>
      <c r="M9" s="50"/>
      <c r="N9" s="50"/>
      <c r="O9" s="50" t="s">
        <v>248</v>
      </c>
      <c r="P9" s="50"/>
    </row>
    <row r="10" spans="1:26" x14ac:dyDescent="0.3">
      <c r="A10" s="129" t="s">
        <v>164</v>
      </c>
      <c r="B10" s="129"/>
      <c r="C10" s="129"/>
      <c r="D10" s="129"/>
      <c r="E10" s="129">
        <v>9821117813</v>
      </c>
      <c r="F10" s="129"/>
      <c r="G10" s="129"/>
      <c r="H10" s="129"/>
      <c r="K10" s="49"/>
      <c r="L10" s="50"/>
      <c r="M10" s="50"/>
      <c r="N10" s="50"/>
      <c r="O10" s="50"/>
      <c r="P10" s="50"/>
    </row>
    <row r="11" spans="1:26" x14ac:dyDescent="0.3">
      <c r="A11" s="129" t="s">
        <v>165</v>
      </c>
      <c r="B11" s="129"/>
      <c r="C11" s="129"/>
      <c r="D11" s="129"/>
      <c r="E11" s="129" t="s">
        <v>344</v>
      </c>
      <c r="F11" s="129"/>
      <c r="G11" s="129"/>
      <c r="H11" s="129"/>
    </row>
    <row r="12" spans="1:26" x14ac:dyDescent="0.3">
      <c r="A12" s="129" t="s">
        <v>7</v>
      </c>
      <c r="B12" s="129"/>
      <c r="C12" s="129"/>
      <c r="D12" s="129"/>
      <c r="E12" s="129" t="s">
        <v>326</v>
      </c>
      <c r="F12" s="129"/>
      <c r="G12" s="129"/>
      <c r="H12" s="129"/>
    </row>
    <row r="13" spans="1:26" x14ac:dyDescent="0.3">
      <c r="A13" s="129" t="s">
        <v>168</v>
      </c>
      <c r="B13" s="129"/>
      <c r="C13" s="129"/>
      <c r="D13" s="129"/>
      <c r="E13" s="129" t="s">
        <v>28</v>
      </c>
      <c r="F13" s="129"/>
      <c r="G13" s="129"/>
      <c r="H13" s="129"/>
      <c r="S13" s="50" t="s">
        <v>174</v>
      </c>
      <c r="T13" s="50" t="s">
        <v>184</v>
      </c>
      <c r="U13" s="50" t="s">
        <v>169</v>
      </c>
      <c r="V13" s="50" t="s">
        <v>189</v>
      </c>
      <c r="W13" s="50" t="s">
        <v>207</v>
      </c>
      <c r="X13"/>
      <c r="Y13" t="s">
        <v>189</v>
      </c>
      <c r="Z13" t="e">
        <f ca="1">OFFSET($S$13,1,MATCH($G20,$S$13:$W$13,0)-1,15,1)</f>
        <v>#VALUE!</v>
      </c>
    </row>
    <row r="14" spans="1:26" x14ac:dyDescent="0.3">
      <c r="A14" s="112" t="s">
        <v>275</v>
      </c>
      <c r="B14" s="112"/>
      <c r="C14" s="112"/>
      <c r="D14" s="112"/>
      <c r="E14" s="172" t="s">
        <v>330</v>
      </c>
      <c r="F14" s="172"/>
      <c r="G14" s="172"/>
      <c r="H14" s="181"/>
      <c r="I14" s="99" t="s">
        <v>329</v>
      </c>
      <c r="J14" s="99"/>
      <c r="K14" s="99"/>
      <c r="L14" s="99"/>
      <c r="S14" s="50" t="s">
        <v>175</v>
      </c>
      <c r="T14" s="50" t="s">
        <v>182</v>
      </c>
      <c r="U14" s="50" t="s">
        <v>204</v>
      </c>
      <c r="V14" s="50" t="s">
        <v>190</v>
      </c>
      <c r="W14" s="50" t="s">
        <v>208</v>
      </c>
      <c r="X14"/>
      <c r="Y14"/>
      <c r="Z14"/>
    </row>
    <row r="15" spans="1:26" x14ac:dyDescent="0.3">
      <c r="A15" s="112" t="s">
        <v>8</v>
      </c>
      <c r="B15" s="112"/>
      <c r="C15" s="112"/>
      <c r="D15" s="112"/>
      <c r="E15" s="172" t="s">
        <v>282</v>
      </c>
      <c r="F15" s="175"/>
      <c r="G15" s="175"/>
      <c r="H15" s="175"/>
      <c r="I15" s="233" t="e">
        <f ca="1">OFFSET($D$5,1,MATCH($J13,$D$5:$H$5,0)-1,15,1)</f>
        <v>#N/A</v>
      </c>
      <c r="J15" s="234"/>
      <c r="K15" s="234"/>
      <c r="L15" s="234"/>
      <c r="M15" s="234"/>
      <c r="N15" s="234"/>
      <c r="O15" s="234"/>
      <c r="P15" s="234"/>
      <c r="S15" s="50" t="s">
        <v>176</v>
      </c>
      <c r="T15" s="50" t="s">
        <v>183</v>
      </c>
      <c r="U15" s="50" t="s">
        <v>205</v>
      </c>
      <c r="V15" s="50" t="s">
        <v>191</v>
      </c>
      <c r="W15" s="50" t="s">
        <v>221</v>
      </c>
      <c r="X15"/>
      <c r="Y15"/>
      <c r="Z15"/>
    </row>
    <row r="16" spans="1:26" ht="49.5" customHeight="1" x14ac:dyDescent="0.3">
      <c r="A16" s="128" t="s">
        <v>9</v>
      </c>
      <c r="B16" s="128"/>
      <c r="C16" s="128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Sunrise Corporate Park ­ Phase I, Plot No.E-5 &amp;  E-5/1, near Aambika Foods and Beverages LLP, Road Number 27 &amp; Road U, Nehru Nagar, Wagle Industrial Estate, Thane, Mulund West, Thane, Thane  - 400606.</v>
      </c>
      <c r="D16" s="128"/>
      <c r="E16" s="128"/>
      <c r="F16" s="128"/>
      <c r="G16" s="128"/>
      <c r="H16" s="128"/>
      <c r="S16" s="50" t="s">
        <v>177</v>
      </c>
      <c r="T16" s="50" t="s">
        <v>185</v>
      </c>
      <c r="U16" s="50" t="s">
        <v>206</v>
      </c>
      <c r="V16" s="50" t="s">
        <v>192</v>
      </c>
      <c r="W16" s="50" t="s">
        <v>209</v>
      </c>
      <c r="X16"/>
      <c r="Y16"/>
      <c r="Z16"/>
    </row>
    <row r="17" spans="1:26" x14ac:dyDescent="0.3">
      <c r="A17" s="172" t="s">
        <v>283</v>
      </c>
      <c r="B17" s="172"/>
      <c r="C17" s="172" t="s">
        <v>333</v>
      </c>
      <c r="D17" s="172"/>
      <c r="E17" s="172"/>
      <c r="F17" s="172"/>
      <c r="G17" s="172"/>
      <c r="H17" s="172"/>
      <c r="S17" s="50" t="s">
        <v>178</v>
      </c>
      <c r="T17" s="50" t="s">
        <v>186</v>
      </c>
      <c r="U17" s="50" t="s">
        <v>169</v>
      </c>
      <c r="V17" s="50" t="s">
        <v>193</v>
      </c>
      <c r="W17" s="50" t="s">
        <v>210</v>
      </c>
      <c r="X17"/>
      <c r="Y17"/>
      <c r="Z17"/>
    </row>
    <row r="18" spans="1:26" ht="15.75" customHeight="1" x14ac:dyDescent="0.3">
      <c r="A18" s="117" t="s">
        <v>160</v>
      </c>
      <c r="B18" s="117"/>
      <c r="C18" s="117" t="s">
        <v>284</v>
      </c>
      <c r="D18" s="117"/>
      <c r="E18" s="117"/>
      <c r="F18" s="117"/>
      <c r="G18" s="117"/>
      <c r="H18" s="117"/>
      <c r="S18" s="50" t="s">
        <v>179</v>
      </c>
      <c r="T18" s="50" t="s">
        <v>184</v>
      </c>
      <c r="U18" s="50"/>
      <c r="V18" s="50" t="s">
        <v>194</v>
      </c>
      <c r="W18" s="50" t="s">
        <v>211</v>
      </c>
      <c r="X18"/>
      <c r="Y18"/>
      <c r="Z18"/>
    </row>
    <row r="19" spans="1:26" x14ac:dyDescent="0.3">
      <c r="A19" s="128" t="s">
        <v>10</v>
      </c>
      <c r="B19" s="128"/>
      <c r="C19" s="129" t="s">
        <v>290</v>
      </c>
      <c r="D19" s="129"/>
      <c r="E19" s="128" t="s">
        <v>70</v>
      </c>
      <c r="F19" s="128"/>
      <c r="G19" s="117" t="s">
        <v>175</v>
      </c>
      <c r="H19" s="117"/>
      <c r="S19" s="50" t="s">
        <v>180</v>
      </c>
      <c r="T19" s="50" t="s">
        <v>187</v>
      </c>
      <c r="U19" s="50"/>
      <c r="V19" s="50" t="s">
        <v>195</v>
      </c>
      <c r="W19" s="50" t="s">
        <v>212</v>
      </c>
      <c r="X19"/>
      <c r="Y19"/>
      <c r="Z19"/>
    </row>
    <row r="20" spans="1:26" x14ac:dyDescent="0.3">
      <c r="A20" s="112" t="s">
        <v>12</v>
      </c>
      <c r="B20" s="112"/>
      <c r="C20" s="172" t="s">
        <v>287</v>
      </c>
      <c r="D20" s="172"/>
      <c r="E20" s="172" t="s">
        <v>11</v>
      </c>
      <c r="F20" s="172"/>
      <c r="G20" s="180" t="s">
        <v>174</v>
      </c>
      <c r="H20" s="180"/>
      <c r="S20" s="50" t="s">
        <v>181</v>
      </c>
      <c r="T20" s="50" t="s">
        <v>188</v>
      </c>
      <c r="U20" s="50"/>
      <c r="V20" s="50" t="s">
        <v>196</v>
      </c>
      <c r="W20" s="50" t="s">
        <v>213</v>
      </c>
      <c r="X20"/>
      <c r="Y20"/>
      <c r="Z20"/>
    </row>
    <row r="21" spans="1:26" x14ac:dyDescent="0.3">
      <c r="A21" s="112" t="s">
        <v>71</v>
      </c>
      <c r="B21" s="112"/>
      <c r="C21" s="172" t="s">
        <v>175</v>
      </c>
      <c r="D21" s="172"/>
      <c r="E21" s="172" t="s">
        <v>13</v>
      </c>
      <c r="F21" s="172"/>
      <c r="G21" s="172">
        <v>400606</v>
      </c>
      <c r="H21" s="172"/>
      <c r="S21" s="50"/>
      <c r="T21" s="50"/>
      <c r="U21" s="50"/>
      <c r="V21" s="50" t="s">
        <v>197</v>
      </c>
      <c r="W21" s="50" t="s">
        <v>214</v>
      </c>
      <c r="X21"/>
      <c r="Y21"/>
      <c r="Z21"/>
    </row>
    <row r="22" spans="1:26" ht="32.25" customHeight="1" x14ac:dyDescent="0.3">
      <c r="A22" s="112" t="s">
        <v>119</v>
      </c>
      <c r="B22" s="112"/>
      <c r="C22" s="117" t="s">
        <v>285</v>
      </c>
      <c r="D22" s="117"/>
      <c r="E22" s="128" t="s">
        <v>14</v>
      </c>
      <c r="F22" s="128"/>
      <c r="G22" s="172" t="s">
        <v>286</v>
      </c>
      <c r="H22" s="172"/>
      <c r="S22" s="50"/>
      <c r="T22" s="50"/>
      <c r="U22" s="50"/>
      <c r="V22" s="50" t="s">
        <v>198</v>
      </c>
      <c r="W22" s="50" t="s">
        <v>215</v>
      </c>
      <c r="X22"/>
      <c r="Y22"/>
      <c r="Z22"/>
    </row>
    <row r="23" spans="1:26" ht="15" customHeight="1" x14ac:dyDescent="0.3">
      <c r="A23" s="128" t="s">
        <v>73</v>
      </c>
      <c r="B23" s="128"/>
      <c r="C23" s="128"/>
      <c r="D23" s="128"/>
      <c r="E23" s="129" t="s">
        <v>15</v>
      </c>
      <c r="F23" s="129"/>
      <c r="G23" s="129"/>
      <c r="H23" s="129"/>
      <c r="S23" s="50"/>
      <c r="T23" s="50"/>
      <c r="U23" s="50"/>
      <c r="V23" s="50" t="s">
        <v>199</v>
      </c>
      <c r="W23" s="50" t="s">
        <v>216</v>
      </c>
      <c r="X23"/>
      <c r="Y23"/>
      <c r="Z23"/>
    </row>
    <row r="24" spans="1:26" ht="18.75" customHeight="1" x14ac:dyDescent="0.3">
      <c r="A24" s="128"/>
      <c r="B24" s="128"/>
      <c r="C24" s="128"/>
      <c r="D24" s="128"/>
      <c r="E24" s="129"/>
      <c r="F24" s="129"/>
      <c r="G24" s="129"/>
      <c r="H24" s="129"/>
      <c r="S24" s="50"/>
      <c r="T24" s="50"/>
      <c r="U24" s="50"/>
      <c r="V24" s="50" t="s">
        <v>200</v>
      </c>
      <c r="W24" s="50" t="s">
        <v>217</v>
      </c>
      <c r="X24"/>
      <c r="Y24"/>
      <c r="Z24"/>
    </row>
    <row r="25" spans="1:26" ht="15" customHeight="1" x14ac:dyDescent="0.3">
      <c r="A25" s="128" t="s">
        <v>16</v>
      </c>
      <c r="B25" s="128"/>
      <c r="C25" s="128"/>
      <c r="D25" s="128"/>
      <c r="E25" s="117" t="s">
        <v>17</v>
      </c>
      <c r="F25" s="117"/>
      <c r="G25" s="117"/>
      <c r="H25" s="117"/>
      <c r="S25" s="50"/>
      <c r="T25" s="50"/>
      <c r="U25" s="50"/>
      <c r="V25" s="50" t="s">
        <v>201</v>
      </c>
      <c r="W25" s="50" t="s">
        <v>218</v>
      </c>
      <c r="X25"/>
      <c r="Y25"/>
      <c r="Z25"/>
    </row>
    <row r="26" spans="1:26" ht="15" customHeight="1" x14ac:dyDescent="0.3">
      <c r="A26" s="112" t="s">
        <v>18</v>
      </c>
      <c r="B26" s="112"/>
      <c r="C26" s="112"/>
      <c r="D26" s="112"/>
      <c r="E26" s="117" t="str">
        <f>IF(AND(G20="Mumbai"),"Upper Class","Middle Class")</f>
        <v>Middle Class</v>
      </c>
      <c r="F26" s="117"/>
      <c r="G26" s="117"/>
      <c r="H26" s="117"/>
      <c r="S26" s="50"/>
      <c r="T26" s="50"/>
      <c r="U26" s="50"/>
      <c r="V26" s="50" t="s">
        <v>202</v>
      </c>
      <c r="W26" s="50" t="s">
        <v>219</v>
      </c>
      <c r="X26"/>
      <c r="Y26"/>
      <c r="Z26"/>
    </row>
    <row r="27" spans="1:26" x14ac:dyDescent="0.3">
      <c r="A27" s="112" t="s">
        <v>19</v>
      </c>
      <c r="B27" s="112"/>
      <c r="C27" s="112"/>
      <c r="D27" s="112"/>
      <c r="E27" s="117" t="s">
        <v>20</v>
      </c>
      <c r="F27" s="117"/>
      <c r="G27" s="117"/>
      <c r="H27" s="117"/>
      <c r="S27" s="50"/>
      <c r="T27" s="50"/>
      <c r="U27" s="50"/>
      <c r="V27" s="50" t="s">
        <v>203</v>
      </c>
      <c r="W27" s="50" t="s">
        <v>220</v>
      </c>
      <c r="X27"/>
      <c r="Y27"/>
      <c r="Z27"/>
    </row>
    <row r="28" spans="1:26" ht="15.75" customHeight="1" x14ac:dyDescent="0.3">
      <c r="A28" s="112" t="s">
        <v>21</v>
      </c>
      <c r="B28" s="112"/>
      <c r="C28" s="112"/>
      <c r="D28" s="112"/>
      <c r="E28" s="117" t="str">
        <f>IF(AND(G20="Mumbai"),"Developed","Developing")</f>
        <v>Developing</v>
      </c>
      <c r="F28" s="117"/>
      <c r="G28" s="117"/>
      <c r="H28" s="117"/>
    </row>
    <row r="29" spans="1:26" x14ac:dyDescent="0.3">
      <c r="A29" s="112" t="s">
        <v>22</v>
      </c>
      <c r="B29" s="112"/>
      <c r="C29" s="112"/>
      <c r="D29" s="112"/>
      <c r="E29" s="117" t="s">
        <v>23</v>
      </c>
      <c r="F29" s="117"/>
      <c r="G29" s="117"/>
      <c r="H29" s="117"/>
    </row>
    <row r="30" spans="1:26" ht="15.75" customHeight="1" x14ac:dyDescent="0.3">
      <c r="A30" s="112" t="s">
        <v>78</v>
      </c>
      <c r="B30" s="112"/>
      <c r="C30" s="112"/>
      <c r="D30" s="112"/>
      <c r="E30" s="117" t="s">
        <v>79</v>
      </c>
      <c r="F30" s="117"/>
      <c r="G30" s="117"/>
      <c r="H30" s="117"/>
    </row>
    <row r="31" spans="1:26" ht="15" customHeight="1" x14ac:dyDescent="0.3">
      <c r="A31" s="112" t="s">
        <v>30</v>
      </c>
      <c r="B31" s="112"/>
      <c r="C31" s="112"/>
      <c r="D31" s="112"/>
      <c r="E31" s="117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Commercial</v>
      </c>
      <c r="F31" s="117"/>
      <c r="G31" s="117"/>
      <c r="H31" s="117"/>
    </row>
    <row r="32" spans="1:26" ht="15.75" customHeight="1" x14ac:dyDescent="0.3">
      <c r="A32" s="112" t="s">
        <v>89</v>
      </c>
      <c r="B32" s="112"/>
      <c r="C32" s="112"/>
      <c r="D32" s="112"/>
      <c r="E32" s="117" t="s">
        <v>31</v>
      </c>
      <c r="F32" s="117"/>
      <c r="G32" s="117"/>
      <c r="H32" s="117"/>
    </row>
    <row r="33" spans="1:19" s="20" customFormat="1" x14ac:dyDescent="0.3">
      <c r="A33" s="179" t="s">
        <v>90</v>
      </c>
      <c r="B33" s="179"/>
      <c r="C33" s="176" t="s">
        <v>170</v>
      </c>
      <c r="D33" s="177"/>
      <c r="E33" s="178"/>
      <c r="F33" s="176" t="s">
        <v>29</v>
      </c>
      <c r="G33" s="177"/>
      <c r="H33" s="177"/>
      <c r="I33" s="103"/>
      <c r="J33" s="103"/>
      <c r="K33" s="103"/>
      <c r="S33" s="20" t="e">
        <f ca="1">OFFSET($S$13,1,MATCH($G20,$S$13:$W$13,0)-1,15,1)</f>
        <v>#VALUE!</v>
      </c>
    </row>
    <row r="34" spans="1:19" s="20" customFormat="1" ht="15.75" customHeight="1" x14ac:dyDescent="0.3">
      <c r="A34" s="166" t="s">
        <v>24</v>
      </c>
      <c r="B34" s="166" t="s">
        <v>28</v>
      </c>
      <c r="C34" s="167" t="s">
        <v>292</v>
      </c>
      <c r="D34" s="168"/>
      <c r="E34" s="169"/>
      <c r="F34" s="167" t="s">
        <v>291</v>
      </c>
      <c r="G34" s="168"/>
      <c r="H34" s="168"/>
      <c r="I34" s="104"/>
      <c r="J34" s="104"/>
      <c r="K34" s="104"/>
    </row>
    <row r="35" spans="1:19" ht="15.75" customHeight="1" x14ac:dyDescent="0.3">
      <c r="A35" s="166" t="s">
        <v>25</v>
      </c>
      <c r="B35" s="166" t="s">
        <v>28</v>
      </c>
      <c r="C35" s="167" t="s">
        <v>293</v>
      </c>
      <c r="D35" s="168"/>
      <c r="E35" s="169"/>
      <c r="F35" s="167" t="s">
        <v>285</v>
      </c>
      <c r="G35" s="168"/>
      <c r="H35" s="168"/>
      <c r="I35" s="104"/>
      <c r="J35" s="104"/>
      <c r="K35" s="104"/>
    </row>
    <row r="36" spans="1:19" s="20" customFormat="1" ht="15.75" customHeight="1" x14ac:dyDescent="0.3">
      <c r="A36" s="166" t="s">
        <v>27</v>
      </c>
      <c r="B36" s="166" t="s">
        <v>28</v>
      </c>
      <c r="C36" s="167" t="s">
        <v>294</v>
      </c>
      <c r="D36" s="168"/>
      <c r="E36" s="169"/>
      <c r="F36" s="167" t="s">
        <v>335</v>
      </c>
      <c r="G36" s="168"/>
      <c r="H36" s="168"/>
      <c r="I36" s="104"/>
      <c r="J36" s="104"/>
      <c r="K36" s="104"/>
    </row>
    <row r="37" spans="1:19" ht="15.75" customHeight="1" x14ac:dyDescent="0.3">
      <c r="A37" s="166" t="s">
        <v>26</v>
      </c>
      <c r="B37" s="166" t="s">
        <v>28</v>
      </c>
      <c r="C37" s="167" t="s">
        <v>10</v>
      </c>
      <c r="D37" s="168"/>
      <c r="E37" s="169"/>
      <c r="F37" s="167" t="s">
        <v>334</v>
      </c>
      <c r="G37" s="168"/>
      <c r="H37" s="168"/>
      <c r="I37" s="104"/>
      <c r="J37" s="104"/>
      <c r="K37" s="104"/>
    </row>
    <row r="38" spans="1:19" x14ac:dyDescent="0.3">
      <c r="A38" s="112" t="s">
        <v>276</v>
      </c>
      <c r="B38" s="112"/>
      <c r="C38" s="112"/>
      <c r="D38" s="112"/>
      <c r="E38" s="112"/>
      <c r="F38" s="112"/>
      <c r="G38" s="112"/>
      <c r="H38" s="112"/>
    </row>
    <row r="39" spans="1:19" ht="15.75" customHeight="1" x14ac:dyDescent="0.3">
      <c r="A39" s="112" t="s">
        <v>162</v>
      </c>
      <c r="B39" s="112"/>
      <c r="C39" s="171" t="s">
        <v>288</v>
      </c>
      <c r="D39" s="171"/>
      <c r="E39" s="171"/>
      <c r="F39" s="171"/>
      <c r="G39" s="171"/>
      <c r="H39" s="171"/>
    </row>
    <row r="40" spans="1:19" x14ac:dyDescent="0.3">
      <c r="A40" s="112" t="s">
        <v>159</v>
      </c>
      <c r="B40" s="112"/>
      <c r="C40" s="116" t="s">
        <v>289</v>
      </c>
      <c r="D40" s="117"/>
      <c r="E40" s="117"/>
      <c r="F40" s="117"/>
      <c r="G40" s="117"/>
      <c r="H40" s="117"/>
    </row>
    <row r="41" spans="1:19" x14ac:dyDescent="0.3">
      <c r="A41" s="171" t="s">
        <v>32</v>
      </c>
      <c r="B41" s="171"/>
      <c r="C41" s="171"/>
      <c r="D41" s="171"/>
      <c r="E41" s="171"/>
      <c r="F41" s="171"/>
      <c r="G41" s="171"/>
      <c r="H41" s="171"/>
    </row>
    <row r="42" spans="1:19" x14ac:dyDescent="0.3">
      <c r="A42" s="112" t="s">
        <v>33</v>
      </c>
      <c r="B42" s="112"/>
      <c r="C42" s="112"/>
      <c r="D42" s="112"/>
      <c r="E42" s="170">
        <v>17601</v>
      </c>
      <c r="F42" s="170"/>
      <c r="G42" s="170"/>
      <c r="H42" s="170"/>
    </row>
    <row r="43" spans="1:19" x14ac:dyDescent="0.3">
      <c r="A43" s="112" t="s">
        <v>34</v>
      </c>
      <c r="B43" s="112"/>
      <c r="C43" s="112"/>
      <c r="D43" s="112"/>
      <c r="E43" s="173">
        <v>1</v>
      </c>
      <c r="F43" s="173"/>
      <c r="G43" s="173"/>
      <c r="H43" s="173"/>
    </row>
    <row r="44" spans="1:19" x14ac:dyDescent="0.3">
      <c r="A44" s="112" t="s">
        <v>35</v>
      </c>
      <c r="B44" s="112"/>
      <c r="C44" s="112"/>
      <c r="D44" s="112"/>
      <c r="E44" s="173">
        <f>E46/E42-E43</f>
        <v>5.3</v>
      </c>
      <c r="F44" s="173"/>
      <c r="G44" s="173"/>
      <c r="H44" s="173"/>
    </row>
    <row r="45" spans="1:19" x14ac:dyDescent="0.3">
      <c r="A45" s="112" t="s">
        <v>36</v>
      </c>
      <c r="B45" s="112"/>
      <c r="C45" s="112"/>
      <c r="D45" s="112"/>
      <c r="E45" s="173">
        <f>E43+E44</f>
        <v>6.3</v>
      </c>
      <c r="F45" s="173"/>
      <c r="G45" s="173"/>
      <c r="H45" s="173"/>
    </row>
    <row r="46" spans="1:19" x14ac:dyDescent="0.3">
      <c r="A46" s="112" t="s">
        <v>88</v>
      </c>
      <c r="B46" s="112"/>
      <c r="C46" s="112"/>
      <c r="D46" s="112"/>
      <c r="E46" s="174">
        <v>110886.3</v>
      </c>
      <c r="F46" s="174"/>
      <c r="G46" s="174"/>
      <c r="H46" s="174"/>
      <c r="I46" s="19">
        <f>12467.73+5362.84</f>
        <v>17830.57</v>
      </c>
    </row>
    <row r="47" spans="1:19" x14ac:dyDescent="0.3">
      <c r="A47" s="129" t="s">
        <v>37</v>
      </c>
      <c r="B47" s="129"/>
      <c r="C47" s="129"/>
      <c r="D47" s="129"/>
      <c r="E47" s="175" t="s">
        <v>295</v>
      </c>
      <c r="F47" s="175"/>
      <c r="G47" s="175"/>
      <c r="H47" s="175"/>
    </row>
    <row r="48" spans="1:19" x14ac:dyDescent="0.3">
      <c r="A48" s="171" t="s">
        <v>38</v>
      </c>
      <c r="B48" s="171"/>
      <c r="C48" s="171"/>
      <c r="D48" s="171"/>
      <c r="E48" s="171"/>
      <c r="F48" s="171"/>
      <c r="G48" s="171"/>
      <c r="H48" s="171"/>
    </row>
    <row r="49" spans="1:23" ht="33.75" customHeight="1" x14ac:dyDescent="0.3">
      <c r="A49" s="100" t="s">
        <v>150</v>
      </c>
      <c r="B49" s="102"/>
      <c r="C49" s="136" t="s">
        <v>296</v>
      </c>
      <c r="D49" s="137"/>
      <c r="E49" s="137"/>
      <c r="F49" s="137"/>
      <c r="G49" s="137"/>
      <c r="H49" s="138"/>
      <c r="R49" t="s">
        <v>249</v>
      </c>
      <c r="S49" t="s">
        <v>169</v>
      </c>
      <c r="T49" t="s">
        <v>174</v>
      </c>
      <c r="U49" t="s">
        <v>189</v>
      </c>
      <c r="V49" t="s">
        <v>184</v>
      </c>
    </row>
    <row r="50" spans="1:23" ht="32.25" customHeight="1" x14ac:dyDescent="0.3">
      <c r="A50" s="125" t="s">
        <v>39</v>
      </c>
      <c r="B50" s="126"/>
      <c r="C50" s="100" t="s">
        <v>358</v>
      </c>
      <c r="D50" s="101"/>
      <c r="E50" s="102"/>
      <c r="F50" s="16" t="s">
        <v>40</v>
      </c>
      <c r="G50" s="124">
        <v>45612</v>
      </c>
      <c r="H50" s="145"/>
      <c r="I50" s="23">
        <v>44875</v>
      </c>
      <c r="R50"/>
      <c r="S50" t="s">
        <v>250</v>
      </c>
      <c r="T50" t="s">
        <v>255</v>
      </c>
      <c r="U50" t="s">
        <v>266</v>
      </c>
      <c r="V50" t="s">
        <v>271</v>
      </c>
    </row>
    <row r="51" spans="1:23" ht="33" customHeight="1" x14ac:dyDescent="0.3">
      <c r="A51" s="125" t="s">
        <v>41</v>
      </c>
      <c r="B51" s="126"/>
      <c r="C51" s="100" t="str">
        <f>C50</f>
        <v>DE&amp;PAIII/THN/SPA/BPAMS/I-84749/2024</v>
      </c>
      <c r="D51" s="101"/>
      <c r="E51" s="102"/>
      <c r="F51" s="16" t="s">
        <v>40</v>
      </c>
      <c r="G51" s="124">
        <f>G50</f>
        <v>45612</v>
      </c>
      <c r="H51" s="145"/>
      <c r="R51"/>
      <c r="S51" t="s">
        <v>251</v>
      </c>
      <c r="T51" t="s">
        <v>277</v>
      </c>
      <c r="U51" t="s">
        <v>264</v>
      </c>
      <c r="V51" t="s">
        <v>272</v>
      </c>
      <c r="W51" s="54" t="s">
        <v>278</v>
      </c>
    </row>
    <row r="52" spans="1:23" s="21" customFormat="1" ht="34.5" customHeight="1" x14ac:dyDescent="0.3">
      <c r="A52" s="146" t="s">
        <v>337</v>
      </c>
      <c r="B52" s="147"/>
      <c r="C52" s="100" t="str">
        <f>C50</f>
        <v>DE&amp;PAIII/THN/SPA/BPAMS/I-84749/2024</v>
      </c>
      <c r="D52" s="101"/>
      <c r="E52" s="102"/>
      <c r="F52" s="16" t="s">
        <v>40</v>
      </c>
      <c r="G52" s="124">
        <f>G50</f>
        <v>45612</v>
      </c>
      <c r="H52" s="102"/>
      <c r="R52"/>
      <c r="S52" t="s">
        <v>252</v>
      </c>
      <c r="T52" t="s">
        <v>257</v>
      </c>
      <c r="U52" t="s">
        <v>254</v>
      </c>
      <c r="V52" t="s">
        <v>273</v>
      </c>
    </row>
    <row r="53" spans="1:23" s="21" customFormat="1" ht="35.25" customHeight="1" x14ac:dyDescent="0.3">
      <c r="A53" s="148"/>
      <c r="B53" s="149"/>
      <c r="C53" s="100" t="s">
        <v>359</v>
      </c>
      <c r="D53" s="101"/>
      <c r="E53" s="101"/>
      <c r="F53" s="101"/>
      <c r="G53" s="101"/>
      <c r="H53" s="102"/>
      <c r="R53"/>
      <c r="S53" t="s">
        <v>253</v>
      </c>
      <c r="T53" t="s">
        <v>260</v>
      </c>
      <c r="U53" t="s">
        <v>267</v>
      </c>
    </row>
    <row r="54" spans="1:23" s="21" customFormat="1" ht="30.75" hidden="1" customHeight="1" x14ac:dyDescent="0.3">
      <c r="A54" s="210" t="s">
        <v>297</v>
      </c>
      <c r="B54" s="211"/>
      <c r="C54" s="212"/>
      <c r="D54" s="213"/>
      <c r="E54" s="214"/>
      <c r="F54" s="41" t="s">
        <v>40</v>
      </c>
      <c r="G54" s="157"/>
      <c r="H54" s="158"/>
      <c r="R54"/>
      <c r="S54"/>
      <c r="T54"/>
      <c r="U54"/>
    </row>
    <row r="55" spans="1:23" x14ac:dyDescent="0.3">
      <c r="A55" s="212" t="s">
        <v>42</v>
      </c>
      <c r="B55" s="214"/>
      <c r="C55" s="212" t="s">
        <v>102</v>
      </c>
      <c r="D55" s="213"/>
      <c r="E55" s="214"/>
      <c r="F55" s="41" t="s">
        <v>40</v>
      </c>
      <c r="G55" s="157" t="s">
        <v>28</v>
      </c>
      <c r="H55" s="158"/>
      <c r="R55"/>
      <c r="S55" t="s">
        <v>254</v>
      </c>
      <c r="T55" t="s">
        <v>258</v>
      </c>
      <c r="U55" t="s">
        <v>268</v>
      </c>
    </row>
    <row r="56" spans="1:23" ht="16.5" customHeight="1" x14ac:dyDescent="0.3">
      <c r="A56" s="127" t="s">
        <v>44</v>
      </c>
      <c r="B56" s="127"/>
      <c r="C56" s="127"/>
      <c r="D56" s="127"/>
      <c r="E56" s="127"/>
      <c r="F56" s="127"/>
      <c r="G56" s="127"/>
      <c r="H56" s="127"/>
      <c r="S56" s="57" t="s">
        <v>296</v>
      </c>
      <c r="T56" t="s">
        <v>259</v>
      </c>
      <c r="U56" t="s">
        <v>269</v>
      </c>
    </row>
    <row r="57" spans="1:23" ht="33" customHeight="1" x14ac:dyDescent="0.3">
      <c r="A57" s="128" t="s">
        <v>298</v>
      </c>
      <c r="B57" s="128"/>
      <c r="C57" s="128"/>
      <c r="D57" s="112">
        <f>17530.8</f>
        <v>17530.8</v>
      </c>
      <c r="E57" s="112"/>
      <c r="F57" s="112"/>
      <c r="G57" s="112"/>
      <c r="H57" s="112"/>
      <c r="R57"/>
      <c r="T57" t="s">
        <v>261</v>
      </c>
      <c r="U57" t="s">
        <v>270</v>
      </c>
    </row>
    <row r="58" spans="1:23" x14ac:dyDescent="0.3">
      <c r="A58" s="117" t="s">
        <v>45</v>
      </c>
      <c r="B58" s="129"/>
      <c r="C58" s="129"/>
      <c r="D58" s="129" t="s">
        <v>360</v>
      </c>
      <c r="E58" s="129"/>
      <c r="F58" s="129"/>
      <c r="G58" s="129"/>
      <c r="H58" s="129"/>
      <c r="I58" s="22"/>
      <c r="R58"/>
      <c r="T58" t="s">
        <v>262</v>
      </c>
    </row>
    <row r="59" spans="1:23" ht="33.75" customHeight="1" x14ac:dyDescent="0.3">
      <c r="A59" s="218" t="s">
        <v>46</v>
      </c>
      <c r="B59" s="219"/>
      <c r="C59" s="220"/>
      <c r="D59" s="216" t="s">
        <v>357</v>
      </c>
      <c r="E59" s="217"/>
      <c r="F59" s="217"/>
      <c r="G59" s="217"/>
      <c r="H59" s="217"/>
      <c r="R59"/>
      <c r="T59" t="s">
        <v>263</v>
      </c>
    </row>
    <row r="60" spans="1:23" ht="15.75" customHeight="1" x14ac:dyDescent="0.3">
      <c r="A60" s="218" t="s">
        <v>86</v>
      </c>
      <c r="B60" s="219"/>
      <c r="C60" s="219"/>
      <c r="D60" s="129" t="s">
        <v>338</v>
      </c>
      <c r="E60" s="129"/>
      <c r="F60" s="129"/>
      <c r="G60" s="129"/>
      <c r="H60" s="129"/>
      <c r="R60"/>
      <c r="T60" t="s">
        <v>265</v>
      </c>
    </row>
    <row r="61" spans="1:23" ht="15.75" customHeight="1" x14ac:dyDescent="0.3">
      <c r="A61" s="223"/>
      <c r="B61" s="224"/>
      <c r="C61" s="224"/>
      <c r="D61" s="129" t="s">
        <v>325</v>
      </c>
      <c r="E61" s="129"/>
      <c r="F61" s="129"/>
      <c r="G61" s="129"/>
      <c r="H61" s="129"/>
      <c r="R61"/>
      <c r="T61" t="s">
        <v>274</v>
      </c>
    </row>
    <row r="62" spans="1:23" ht="15.75" customHeight="1" x14ac:dyDescent="0.3">
      <c r="A62" s="112" t="s">
        <v>43</v>
      </c>
      <c r="B62" s="112"/>
      <c r="C62" s="112"/>
      <c r="D62" s="172" t="s">
        <v>299</v>
      </c>
      <c r="E62" s="172"/>
      <c r="F62" s="172"/>
      <c r="G62" s="172"/>
      <c r="H62" s="172"/>
      <c r="J62" s="23"/>
      <c r="K62" s="22"/>
      <c r="N62" s="22"/>
      <c r="S62"/>
    </row>
    <row r="63" spans="1:23" ht="15.75" customHeight="1" x14ac:dyDescent="0.3">
      <c r="A63" s="112" t="s">
        <v>84</v>
      </c>
      <c r="B63" s="112"/>
      <c r="C63" s="112"/>
      <c r="D63" s="170" t="str">
        <f>(IF(G55="NA","60 Years After Completion",IF(G55&lt;&gt;"NA",""&amp;60-ROUNDDOWN((E3-G55)/360,0)&amp;" Years"," ")))</f>
        <v>60 Years After Completion</v>
      </c>
      <c r="E63" s="170"/>
      <c r="F63" s="170"/>
      <c r="G63" s="170"/>
      <c r="H63" s="170"/>
      <c r="N63" s="22"/>
      <c r="S63"/>
    </row>
    <row r="64" spans="1:23" ht="15.75" customHeight="1" x14ac:dyDescent="0.3">
      <c r="A64" s="112" t="s">
        <v>85</v>
      </c>
      <c r="B64" s="112"/>
      <c r="C64" s="112"/>
      <c r="D64" s="128" t="s">
        <v>23</v>
      </c>
      <c r="E64" s="128"/>
      <c r="F64" s="128"/>
      <c r="G64" s="128"/>
      <c r="H64" s="128"/>
      <c r="J64" s="24"/>
      <c r="K64" s="24"/>
      <c r="S64"/>
    </row>
    <row r="65" spans="1:19" ht="51" customHeight="1" x14ac:dyDescent="0.3">
      <c r="A65" s="129" t="s">
        <v>328</v>
      </c>
      <c r="B65" s="129"/>
      <c r="C65" s="129"/>
      <c r="D65" s="117" t="s">
        <v>327</v>
      </c>
      <c r="E65" s="117"/>
      <c r="F65" s="117"/>
      <c r="G65" s="117"/>
      <c r="H65" s="117"/>
      <c r="S65"/>
    </row>
    <row r="66" spans="1:19" x14ac:dyDescent="0.3">
      <c r="A66" s="128" t="s">
        <v>146</v>
      </c>
      <c r="B66" s="128"/>
      <c r="C66" s="128"/>
      <c r="D66" s="128" t="s">
        <v>28</v>
      </c>
      <c r="E66" s="128"/>
      <c r="F66" s="128"/>
      <c r="G66" s="128"/>
      <c r="H66" s="128"/>
      <c r="I66" s="25"/>
      <c r="J66" s="25"/>
      <c r="K66" s="25"/>
      <c r="L66" s="25"/>
      <c r="M66" s="25"/>
      <c r="N66" s="25"/>
    </row>
    <row r="67" spans="1:19" ht="15.75" customHeight="1" x14ac:dyDescent="0.3">
      <c r="A67" s="236" t="s">
        <v>83</v>
      </c>
      <c r="B67" s="236"/>
      <c r="C67" s="236"/>
      <c r="D67" s="131" t="str">
        <f ca="1">(IF(G73&gt;95%,"Nothing",IF(G73&gt;0%,"Cement, Aggregate, Steel, etc",IF(G73=0%,"Work not yet Started"))))</f>
        <v>Cement, Aggregate, Steel, etc</v>
      </c>
      <c r="E67" s="131"/>
      <c r="F67" s="131"/>
      <c r="G67" s="131"/>
      <c r="H67" s="131"/>
      <c r="J67" s="24"/>
      <c r="S67"/>
    </row>
    <row r="68" spans="1:19" ht="33.75" customHeight="1" thickBot="1" x14ac:dyDescent="0.35">
      <c r="A68" s="130" t="s">
        <v>115</v>
      </c>
      <c r="B68" s="130"/>
      <c r="C68" s="130"/>
      <c r="D68" s="131" t="str">
        <f ca="1">(IF(D67="Nothing","Yes",IF(D67="Cement, Aggregate, Steel, etc","Under Construction",IF(D67="Work not yet Started","Work not yet Started"))))</f>
        <v>Under Construction</v>
      </c>
      <c r="E68" s="131"/>
      <c r="F68" s="131" t="str">
        <f ca="1">(IF(D67="Nothing","Yes",IF(D67="Cement, Aggregate, Steel, etc","Under Construction",IF(D67="Work not yet Started","Work not yet Started"))))</f>
        <v>Under Construction</v>
      </c>
      <c r="G68" s="131"/>
      <c r="H68" s="131"/>
      <c r="S68"/>
    </row>
    <row r="69" spans="1:19" ht="15.75" customHeight="1" x14ac:dyDescent="0.3">
      <c r="A69" s="155" t="s">
        <v>136</v>
      </c>
      <c r="B69" s="156"/>
      <c r="C69" s="119" t="str">
        <f>D60</f>
        <v>Wing A1 = 1B + Lw. Gr + Up. Gr + 1st to 15th Floor</v>
      </c>
      <c r="D69" s="120"/>
      <c r="E69" s="120"/>
      <c r="F69" s="120"/>
      <c r="G69" s="120"/>
      <c r="H69" s="121"/>
      <c r="I69" s="43" t="str">
        <f ca="1">IF(D82=100%,"All work Completed. Possession granted to the Building.",IF(D81=100%,"All work Completed, Waiting for OC",I70&amp;""&amp;I71&amp;""&amp;J70&amp;""&amp;J69&amp;" "&amp;J71))</f>
        <v>Excavation, Plinth Completed, RCC upto 13 Slab, Brickwork upto 7 Floor, Internal Plaster upto 1 Floor Completed</v>
      </c>
      <c r="J69" s="44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13 Slab, Brickwork upto 7 Floor, Internal Plaster upto 1 Floor</v>
      </c>
      <c r="S69"/>
    </row>
    <row r="70" spans="1:19" x14ac:dyDescent="0.3">
      <c r="A70" s="15" t="s">
        <v>138</v>
      </c>
      <c r="B70" s="47">
        <f>IF(AND(ISNUMBER(SEARCH("1B",C69))),1,IF(AND(ISNUMBER(SEARCH("2B",C69))),2,IF(AND(ISNUMBER(SEARCH("3B",C69))),3,IF(AND(ISNUMBER(SEARCH("4B",C69))),4,IF(ISNUMBER(SEARCH("5B",C69)),5,0)))))</f>
        <v>1</v>
      </c>
      <c r="C70" s="58" t="s">
        <v>69</v>
      </c>
      <c r="D70" s="58">
        <v>2</v>
      </c>
      <c r="E70" s="58" t="s">
        <v>68</v>
      </c>
      <c r="F70" s="58">
        <v>0</v>
      </c>
      <c r="G70" s="58" t="s">
        <v>77</v>
      </c>
      <c r="H70" s="59">
        <f ca="1">--TRIM(RIGHT(SUBSTITUTE(LEFT(C69,_xlfn.AGGREGATE(16,6,FIND({0,1,2,3,4,5,6,7,8,9},C69,ROW(INDIRECT("1:"&amp;LEN(C69)))),1))," ",REPT(" ",LEN(C69))),LEN(C69)))</f>
        <v>15</v>
      </c>
      <c r="I70" s="45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46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  <c r="S70"/>
    </row>
    <row r="71" spans="1:19" ht="37.799999999999997" customHeight="1" x14ac:dyDescent="0.3">
      <c r="A71" s="153" t="s">
        <v>87</v>
      </c>
      <c r="B71" s="154"/>
      <c r="C71" s="161" t="str">
        <f ca="1">I69</f>
        <v>Excavation, Plinth Completed, RCC upto 13 Slab, Brickwork upto 7 Floor, Internal Plaster upto 1 Floor Completed</v>
      </c>
      <c r="D71" s="161"/>
      <c r="E71" s="161"/>
      <c r="F71" s="161"/>
      <c r="G71" s="161"/>
      <c r="H71" s="162"/>
      <c r="I71" s="45" t="str">
        <f ca="1">IF(I70&lt;&gt;""," Completed","")</f>
        <v xml:space="preserve"> Completed</v>
      </c>
      <c r="J71" s="46" t="str">
        <f ca="1">IF(J69&lt;&gt;"","Completed","")</f>
        <v>Completed</v>
      </c>
      <c r="S71"/>
    </row>
    <row r="72" spans="1:19" ht="15.75" customHeight="1" x14ac:dyDescent="0.3">
      <c r="A72" s="122" t="s">
        <v>47</v>
      </c>
      <c r="B72" s="123"/>
      <c r="C72" s="56" t="s">
        <v>135</v>
      </c>
      <c r="D72" s="56" t="s">
        <v>80</v>
      </c>
      <c r="E72" s="123" t="s">
        <v>82</v>
      </c>
      <c r="F72" s="123"/>
      <c r="G72" s="123" t="s">
        <v>81</v>
      </c>
      <c r="H72" s="215"/>
      <c r="I72" s="13" t="s">
        <v>137</v>
      </c>
      <c r="J72" s="26">
        <f ca="1">H70*25%</f>
        <v>3.75</v>
      </c>
      <c r="S72"/>
    </row>
    <row r="73" spans="1:19" x14ac:dyDescent="0.3">
      <c r="A73" s="122" t="s">
        <v>125</v>
      </c>
      <c r="B73" s="123"/>
      <c r="C73" s="56">
        <f ca="1">J74</f>
        <v>15</v>
      </c>
      <c r="D73" s="17">
        <f ca="1">((100/H70)*C73)/100</f>
        <v>1</v>
      </c>
      <c r="E73" s="139">
        <f ca="1">(((C74/H70*10)+(40/(D70+F70+H70)*C75)+(7.5/(H70)*C76)+(7.5/(H70)*C77)+(10/H70*C78)+(10/H70*C79)+(5/H70*C80)+(5/H70*C81)+(5/H70*C82))/100)</f>
        <v>0.44588235294117651</v>
      </c>
      <c r="F73" s="150"/>
      <c r="G73" s="139">
        <f ca="1">((((C73/H70)*20)+((C74/H70)*25)+(30/(H70+F70+D70)*C75)+(5/H70*C76)+(5/H70*C77)+(5/H70*C78)+(5/H70*C79)+(0/H70*C80)+(0/H70*C81)+(5/H70*C82))/100)</f>
        <v>0.70607843137254889</v>
      </c>
      <c r="H73" s="140"/>
      <c r="I73" s="13" t="s">
        <v>97</v>
      </c>
      <c r="J73" s="27">
        <f ca="1">H70*50%</f>
        <v>7.5</v>
      </c>
    </row>
    <row r="74" spans="1:19" x14ac:dyDescent="0.3">
      <c r="A74" s="122" t="s">
        <v>48</v>
      </c>
      <c r="B74" s="123"/>
      <c r="C74" s="48">
        <f ca="1">J82</f>
        <v>15</v>
      </c>
      <c r="D74" s="17">
        <f ca="1">((100/H70)*C74)/100</f>
        <v>1</v>
      </c>
      <c r="E74" s="141"/>
      <c r="F74" s="151"/>
      <c r="G74" s="141"/>
      <c r="H74" s="142"/>
      <c r="I74" s="13" t="s">
        <v>98</v>
      </c>
      <c r="J74" s="27">
        <f ca="1">H70</f>
        <v>15</v>
      </c>
      <c r="S74"/>
    </row>
    <row r="75" spans="1:19" ht="15.75" customHeight="1" x14ac:dyDescent="0.3">
      <c r="A75" s="122" t="s">
        <v>126</v>
      </c>
      <c r="B75" s="123"/>
      <c r="C75" s="56">
        <v>13</v>
      </c>
      <c r="D75" s="17">
        <f ca="1">((100/(D70+F70+H70))*C75)/100</f>
        <v>0.76470588235294112</v>
      </c>
      <c r="E75" s="141"/>
      <c r="F75" s="151"/>
      <c r="G75" s="141"/>
      <c r="H75" s="142"/>
      <c r="I75" s="13" t="s">
        <v>99</v>
      </c>
      <c r="J75" s="28">
        <f ca="1">(IF(B70&gt;1,(H70/(B70+2)),H70/4))</f>
        <v>3.75</v>
      </c>
      <c r="S75"/>
    </row>
    <row r="76" spans="1:19" ht="15.75" customHeight="1" x14ac:dyDescent="0.3">
      <c r="A76" s="122" t="s">
        <v>132</v>
      </c>
      <c r="B76" s="123" t="s">
        <v>127</v>
      </c>
      <c r="C76" s="56">
        <v>7</v>
      </c>
      <c r="D76" s="17">
        <f ca="1">((100/H70)*C76)/100</f>
        <v>0.46666666666666673</v>
      </c>
      <c r="E76" s="141"/>
      <c r="F76" s="151"/>
      <c r="G76" s="141"/>
      <c r="H76" s="142"/>
      <c r="I76" s="13" t="s">
        <v>100</v>
      </c>
      <c r="J76" s="28">
        <f ca="1">(IF(B70&gt;1,(H70/(B70+2)+J75),H70/4+J75))</f>
        <v>7.5</v>
      </c>
    </row>
    <row r="77" spans="1:19" ht="15.75" customHeight="1" x14ac:dyDescent="0.3">
      <c r="A77" s="122" t="s">
        <v>133</v>
      </c>
      <c r="B77" s="123" t="s">
        <v>127</v>
      </c>
      <c r="C77" s="56">
        <v>1</v>
      </c>
      <c r="D77" s="17">
        <f ca="1">((100/H70)*C77)/100</f>
        <v>6.6666666666666666E-2</v>
      </c>
      <c r="E77" s="141"/>
      <c r="F77" s="151"/>
      <c r="G77" s="141"/>
      <c r="H77" s="142"/>
      <c r="I77" s="13" t="s">
        <v>144</v>
      </c>
      <c r="J77" s="28">
        <f>(IF(B70&gt;1,(H70/(B70+2)+J76),0))</f>
        <v>0</v>
      </c>
    </row>
    <row r="78" spans="1:19" ht="15" customHeight="1" x14ac:dyDescent="0.3">
      <c r="A78" s="122" t="s">
        <v>365</v>
      </c>
      <c r="B78" s="123" t="s">
        <v>129</v>
      </c>
      <c r="C78" s="56">
        <v>0</v>
      </c>
      <c r="D78" s="17">
        <f ca="1">((100/(H70))*C78)/100</f>
        <v>0</v>
      </c>
      <c r="E78" s="141"/>
      <c r="F78" s="151"/>
      <c r="G78" s="141"/>
      <c r="H78" s="142"/>
      <c r="I78" s="13" t="s">
        <v>139</v>
      </c>
      <c r="J78" s="28">
        <f>(IF(B70&gt;2,(H70/(B70+2)+J77),0))</f>
        <v>0</v>
      </c>
    </row>
    <row r="79" spans="1:19" ht="15.75" customHeight="1" x14ac:dyDescent="0.3">
      <c r="A79" s="122" t="s">
        <v>128</v>
      </c>
      <c r="B79" s="123" t="s">
        <v>128</v>
      </c>
      <c r="C79" s="56">
        <v>0</v>
      </c>
      <c r="D79" s="17">
        <f ca="1">((100/H70)*C79)/100</f>
        <v>0</v>
      </c>
      <c r="E79" s="141"/>
      <c r="F79" s="151"/>
      <c r="G79" s="141"/>
      <c r="H79" s="142"/>
      <c r="I79" s="13" t="s">
        <v>140</v>
      </c>
      <c r="J79" s="29">
        <f>(IF(B70&gt;3,(H70/(B70+2)+J78),0))</f>
        <v>0</v>
      </c>
    </row>
    <row r="80" spans="1:19" ht="15.75" customHeight="1" x14ac:dyDescent="0.3">
      <c r="A80" s="122" t="s">
        <v>134</v>
      </c>
      <c r="B80" s="123"/>
      <c r="C80" s="56">
        <v>0</v>
      </c>
      <c r="D80" s="17">
        <f ca="1">((100/H70)*C80)/100</f>
        <v>0</v>
      </c>
      <c r="E80" s="141"/>
      <c r="F80" s="151"/>
      <c r="G80" s="141"/>
      <c r="H80" s="142"/>
      <c r="I80" s="13" t="s">
        <v>141</v>
      </c>
      <c r="J80" s="28">
        <f>(IF(B70&gt;4,(H70/(B70+2)+J79),0))</f>
        <v>0</v>
      </c>
    </row>
    <row r="81" spans="1:10" ht="15.75" customHeight="1" x14ac:dyDescent="0.3">
      <c r="A81" s="122" t="s">
        <v>130</v>
      </c>
      <c r="B81" s="123" t="s">
        <v>130</v>
      </c>
      <c r="C81" s="56">
        <v>0</v>
      </c>
      <c r="D81" s="17">
        <f ca="1">((100/(H70))*C81)/100</f>
        <v>0</v>
      </c>
      <c r="E81" s="141"/>
      <c r="F81" s="151"/>
      <c r="G81" s="141"/>
      <c r="H81" s="142"/>
      <c r="I81" s="13" t="s">
        <v>145</v>
      </c>
      <c r="J81" s="28">
        <f ca="1">(IF(B70=1,(H70/(B70+3)+J76),IF(B70=0,(H70/4+J76),IF(B70&gt;1,0))))</f>
        <v>11.25</v>
      </c>
    </row>
    <row r="82" spans="1:10" ht="16.2" thickBot="1" x14ac:dyDescent="0.35">
      <c r="A82" s="159" t="s">
        <v>131</v>
      </c>
      <c r="B82" s="160"/>
      <c r="C82" s="55">
        <v>0</v>
      </c>
      <c r="D82" s="18">
        <f ca="1">((100/(H70))*C82)/100</f>
        <v>0</v>
      </c>
      <c r="E82" s="143"/>
      <c r="F82" s="152"/>
      <c r="G82" s="143"/>
      <c r="H82" s="144"/>
      <c r="I82" s="14" t="s">
        <v>101</v>
      </c>
      <c r="J82" s="30">
        <f ca="1">(IF(B70&gt;1.5,(H70/(B70+2)+J76+MAX(0,J77-J76)+MAX(0,J78-J77)+MAX(0,J79-J78)+MAX(0,J80-J79)+MAX(0,J81-J80)),IF(B70=1,(H70/(B70+3)+J81),IF(B70=0,H70/4+J81))))</f>
        <v>15</v>
      </c>
    </row>
    <row r="83" spans="1:10" ht="15.75" customHeight="1" x14ac:dyDescent="0.3">
      <c r="A83" s="155" t="s">
        <v>136</v>
      </c>
      <c r="B83" s="156"/>
      <c r="C83" s="237" t="str">
        <f>D61</f>
        <v>Wing A2 = 1B + Lw. Gr + Up. Gr + 1st to 15th Floor</v>
      </c>
      <c r="D83" s="238"/>
      <c r="E83" s="238"/>
      <c r="F83" s="238"/>
      <c r="G83" s="238"/>
      <c r="H83" s="239"/>
      <c r="I83" s="43" t="str">
        <f ca="1">IF(D96=100%,"All work Completed. Possession granted to the Building.",IF(D95=100%,"All work Completed, Waiting for OC",I84&amp;""&amp;I85&amp;""&amp;J84&amp;""&amp;J83&amp;" "&amp;J85))</f>
        <v>Excavation, Plinth Completed, RCC upto 15 Slab Completed</v>
      </c>
      <c r="J83" s="44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15 Slab</v>
      </c>
    </row>
    <row r="84" spans="1:10" x14ac:dyDescent="0.3">
      <c r="A84" s="15" t="s">
        <v>138</v>
      </c>
      <c r="B84" s="47">
        <f>IF(AND(ISNUMBER(SEARCH("1B",C83))),1,IF(AND(ISNUMBER(SEARCH("2B",C83))),2,IF(AND(ISNUMBER(SEARCH("3B",C83))),3,IF(AND(ISNUMBER(SEARCH("4B",C83))),4,IF(ISNUMBER(SEARCH("5B",C83)),5,0)))))</f>
        <v>1</v>
      </c>
      <c r="C84" s="58" t="s">
        <v>69</v>
      </c>
      <c r="D84" s="58">
        <v>2</v>
      </c>
      <c r="E84" s="58" t="s">
        <v>68</v>
      </c>
      <c r="F84" s="58">
        <v>0</v>
      </c>
      <c r="G84" s="58" t="s">
        <v>77</v>
      </c>
      <c r="H84" s="59">
        <f ca="1">--TRIM(RIGHT(SUBSTITUTE(LEFT(C83,_xlfn.AGGREGATE(16,6,FIND({0,1,2,3,4,5,6,7,8,9},C83,ROW(INDIRECT("1:"&amp;LEN(C83)))),1))," ",REPT(" ",LEN(C83))),LEN(C83)))</f>
        <v>15</v>
      </c>
      <c r="I84" s="45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46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x14ac:dyDescent="0.3">
      <c r="A85" s="153" t="s">
        <v>87</v>
      </c>
      <c r="B85" s="154"/>
      <c r="C85" s="161" t="str">
        <f ca="1">(IF($G$55="NA",I83,"All work Completed. OC Received."))</f>
        <v>Excavation, Plinth Completed, RCC upto 15 Slab Completed</v>
      </c>
      <c r="D85" s="161"/>
      <c r="E85" s="161"/>
      <c r="F85" s="161"/>
      <c r="G85" s="161"/>
      <c r="H85" s="162"/>
      <c r="I85" s="45" t="str">
        <f ca="1">IF(I84&lt;&gt;""," Completed","")</f>
        <v xml:space="preserve"> Completed</v>
      </c>
      <c r="J85" s="46" t="str">
        <f ca="1">IF(J83&lt;&gt;"","Completed","")</f>
        <v>Completed</v>
      </c>
    </row>
    <row r="86" spans="1:10" ht="15.75" customHeight="1" x14ac:dyDescent="0.3">
      <c r="A86" s="122" t="s">
        <v>47</v>
      </c>
      <c r="B86" s="123"/>
      <c r="C86" s="56" t="s">
        <v>135</v>
      </c>
      <c r="D86" s="56" t="s">
        <v>80</v>
      </c>
      <c r="E86" s="123" t="s">
        <v>82</v>
      </c>
      <c r="F86" s="123"/>
      <c r="G86" s="123" t="s">
        <v>81</v>
      </c>
      <c r="H86" s="215"/>
      <c r="I86" s="13" t="s">
        <v>137</v>
      </c>
      <c r="J86" s="26">
        <f ca="1">H84*25%</f>
        <v>3.75</v>
      </c>
    </row>
    <row r="87" spans="1:10" x14ac:dyDescent="0.3">
      <c r="A87" s="122" t="s">
        <v>125</v>
      </c>
      <c r="B87" s="123"/>
      <c r="C87" s="56">
        <f ca="1">J88</f>
        <v>15</v>
      </c>
      <c r="D87" s="17">
        <f ca="1">((100/H84)*C87)/100</f>
        <v>1</v>
      </c>
      <c r="E87" s="139">
        <f ca="1">(((C88/H84*10)+(40/(D84+F84+H84)*C89)+(7.5/(H84)*C90)+(7.5/(H84)*C91)+(10/H84*C92)+(10/H84*C93)+(5/H84*C94)+(5/H84*C95)+(5/H84*C96))/100)</f>
        <v>0.45294117647058824</v>
      </c>
      <c r="F87" s="150"/>
      <c r="G87" s="139">
        <f ca="1">((((C87/H84)*20)+((C88/H84)*25)+(30/(H84+F84+D84)*C89)+(5/H84*C90)+(5/H84*C91)+(5/H84*C92)+(5/H84*C93)+(0/H84*C94)+(0/H84*C95)+(5/H84*C96))/100)</f>
        <v>0.71470588235294119</v>
      </c>
      <c r="H87" s="140"/>
      <c r="I87" s="13" t="s">
        <v>97</v>
      </c>
      <c r="J87" s="27">
        <f ca="1">H84*50%</f>
        <v>7.5</v>
      </c>
    </row>
    <row r="88" spans="1:10" x14ac:dyDescent="0.3">
      <c r="A88" s="122" t="s">
        <v>48</v>
      </c>
      <c r="B88" s="123"/>
      <c r="C88" s="48">
        <f ca="1">J96</f>
        <v>15</v>
      </c>
      <c r="D88" s="17">
        <f ca="1">((100/H84)*C88)/100</f>
        <v>1</v>
      </c>
      <c r="E88" s="141"/>
      <c r="F88" s="151"/>
      <c r="G88" s="141"/>
      <c r="H88" s="142"/>
      <c r="I88" s="13" t="s">
        <v>98</v>
      </c>
      <c r="J88" s="27">
        <f ca="1">H84</f>
        <v>15</v>
      </c>
    </row>
    <row r="89" spans="1:10" ht="15.75" customHeight="1" x14ac:dyDescent="0.3">
      <c r="A89" s="122" t="s">
        <v>126</v>
      </c>
      <c r="B89" s="123"/>
      <c r="C89" s="56">
        <v>15</v>
      </c>
      <c r="D89" s="17">
        <f ca="1">((100/(D84+F84+H84))*C89)/100</f>
        <v>0.88235294117647067</v>
      </c>
      <c r="E89" s="141"/>
      <c r="F89" s="151"/>
      <c r="G89" s="141"/>
      <c r="H89" s="142"/>
      <c r="I89" s="13" t="s">
        <v>99</v>
      </c>
      <c r="J89" s="28">
        <f ca="1">(IF(B84&gt;1,(H84/(B84+2)),H84/4))</f>
        <v>3.75</v>
      </c>
    </row>
    <row r="90" spans="1:10" ht="15.75" customHeight="1" x14ac:dyDescent="0.3">
      <c r="A90" s="122" t="s">
        <v>132</v>
      </c>
      <c r="B90" s="123" t="s">
        <v>127</v>
      </c>
      <c r="C90" s="56">
        <v>0</v>
      </c>
      <c r="D90" s="17">
        <f ca="1">((100/H84)*C90)/100</f>
        <v>0</v>
      </c>
      <c r="E90" s="141"/>
      <c r="F90" s="151"/>
      <c r="G90" s="141"/>
      <c r="H90" s="142"/>
      <c r="I90" s="13" t="s">
        <v>100</v>
      </c>
      <c r="J90" s="28">
        <f ca="1">(IF(B84&gt;1,(H84/(B84+2)+J89),H84/4+J89))</f>
        <v>7.5</v>
      </c>
    </row>
    <row r="91" spans="1:10" ht="15.75" customHeight="1" x14ac:dyDescent="0.3">
      <c r="A91" s="122" t="s">
        <v>133</v>
      </c>
      <c r="B91" s="123" t="s">
        <v>127</v>
      </c>
      <c r="C91" s="56">
        <v>0</v>
      </c>
      <c r="D91" s="17">
        <f ca="1">((100/H84)*C91)/100</f>
        <v>0</v>
      </c>
      <c r="E91" s="141"/>
      <c r="F91" s="151"/>
      <c r="G91" s="141"/>
      <c r="H91" s="142"/>
      <c r="I91" s="13" t="s">
        <v>144</v>
      </c>
      <c r="J91" s="28">
        <f>(IF(B84&gt;1,(H84/(B84+2)+J90),0))</f>
        <v>0</v>
      </c>
    </row>
    <row r="92" spans="1:10" ht="15" customHeight="1" x14ac:dyDescent="0.3">
      <c r="A92" s="122" t="s">
        <v>365</v>
      </c>
      <c r="B92" s="123" t="s">
        <v>129</v>
      </c>
      <c r="C92" s="56">
        <v>0</v>
      </c>
      <c r="D92" s="17">
        <f ca="1">((100/(H84))*C92)/100</f>
        <v>0</v>
      </c>
      <c r="E92" s="141"/>
      <c r="F92" s="151"/>
      <c r="G92" s="141"/>
      <c r="H92" s="142"/>
      <c r="I92" s="13" t="s">
        <v>139</v>
      </c>
      <c r="J92" s="28">
        <f>(IF(B84&gt;2,(H84/(B84+2)+J91),0))</f>
        <v>0</v>
      </c>
    </row>
    <row r="93" spans="1:10" ht="15.75" customHeight="1" x14ac:dyDescent="0.3">
      <c r="A93" s="122" t="s">
        <v>128</v>
      </c>
      <c r="B93" s="123" t="s">
        <v>128</v>
      </c>
      <c r="C93" s="56">
        <v>0</v>
      </c>
      <c r="D93" s="17">
        <f ca="1">((100/H84)*C93)/100</f>
        <v>0</v>
      </c>
      <c r="E93" s="141"/>
      <c r="F93" s="151"/>
      <c r="G93" s="141"/>
      <c r="H93" s="142"/>
      <c r="I93" s="13" t="s">
        <v>140</v>
      </c>
      <c r="J93" s="29">
        <f>(IF(B84&gt;3,(H84/(B84+2)+J92),0))</f>
        <v>0</v>
      </c>
    </row>
    <row r="94" spans="1:10" ht="15.75" customHeight="1" x14ac:dyDescent="0.3">
      <c r="A94" s="122" t="s">
        <v>134</v>
      </c>
      <c r="B94" s="123"/>
      <c r="C94" s="56">
        <v>0</v>
      </c>
      <c r="D94" s="17">
        <f ca="1">((100/H84)*C94)/100</f>
        <v>0</v>
      </c>
      <c r="E94" s="141"/>
      <c r="F94" s="151"/>
      <c r="G94" s="141"/>
      <c r="H94" s="142"/>
      <c r="I94" s="13" t="s">
        <v>141</v>
      </c>
      <c r="J94" s="28">
        <f>(IF(B84&gt;4,(H84/(B84+2)+J93),0))</f>
        <v>0</v>
      </c>
    </row>
    <row r="95" spans="1:10" ht="15.75" customHeight="1" x14ac:dyDescent="0.3">
      <c r="A95" s="122" t="s">
        <v>130</v>
      </c>
      <c r="B95" s="123" t="s">
        <v>130</v>
      </c>
      <c r="C95" s="56">
        <v>0</v>
      </c>
      <c r="D95" s="17">
        <f ca="1">((100/(H84))*C95)/100</f>
        <v>0</v>
      </c>
      <c r="E95" s="141"/>
      <c r="F95" s="151"/>
      <c r="G95" s="141"/>
      <c r="H95" s="142"/>
      <c r="I95" s="13" t="s">
        <v>145</v>
      </c>
      <c r="J95" s="28">
        <f ca="1">(IF(B84=1,(H84/(B84+3)+J90),IF(B84=0,(H84/4+J90),IF(B84&gt;1,0))))</f>
        <v>11.25</v>
      </c>
    </row>
    <row r="96" spans="1:10" ht="16.2" thickBot="1" x14ac:dyDescent="0.35">
      <c r="A96" s="159" t="s">
        <v>131</v>
      </c>
      <c r="B96" s="160"/>
      <c r="C96" s="55">
        <v>0</v>
      </c>
      <c r="D96" s="18">
        <f ca="1">((100/(H84))*C96)/100</f>
        <v>0</v>
      </c>
      <c r="E96" s="143"/>
      <c r="F96" s="152"/>
      <c r="G96" s="143"/>
      <c r="H96" s="144"/>
      <c r="I96" s="14" t="s">
        <v>101</v>
      </c>
      <c r="J96" s="30">
        <f ca="1">(IF(B84&gt;1.5,(H84/(B84+2)+J90+MAX(0,J91-J90)+MAX(0,J92-J91)+MAX(0,J93-J92)+MAX(0,J94-J93)+MAX(0,J95-J94)),IF(B84=1,(H84/(B84+3)+J95),IF(B84=0,H84/4+J95))))</f>
        <v>15</v>
      </c>
    </row>
    <row r="97" spans="1:12" x14ac:dyDescent="0.3">
      <c r="A97" s="110" t="s">
        <v>154</v>
      </c>
      <c r="B97" s="110"/>
      <c r="C97" s="110"/>
      <c r="D97" s="110"/>
      <c r="E97" s="110"/>
      <c r="F97" s="108" t="s">
        <v>158</v>
      </c>
      <c r="G97" s="108"/>
      <c r="H97" s="108"/>
      <c r="J97" s="19" t="s">
        <v>345</v>
      </c>
      <c r="K97" s="23">
        <v>45401</v>
      </c>
      <c r="L97" s="19" t="s">
        <v>346</v>
      </c>
    </row>
    <row r="98" spans="1:12" hidden="1" x14ac:dyDescent="0.3">
      <c r="A98" s="112" t="s">
        <v>156</v>
      </c>
      <c r="B98" s="112"/>
      <c r="C98" s="112"/>
      <c r="D98" s="112"/>
      <c r="E98" s="112"/>
      <c r="F98" s="109"/>
      <c r="G98" s="109"/>
      <c r="H98" s="109"/>
    </row>
    <row r="99" spans="1:12" hidden="1" x14ac:dyDescent="0.3">
      <c r="A99" s="112" t="s">
        <v>155</v>
      </c>
      <c r="B99" s="112"/>
      <c r="C99" s="112"/>
      <c r="D99" s="112"/>
      <c r="E99" s="112"/>
      <c r="F99" s="109"/>
      <c r="G99" s="109"/>
      <c r="H99" s="109"/>
    </row>
    <row r="100" spans="1:12" x14ac:dyDescent="0.3">
      <c r="A100" s="112" t="s">
        <v>157</v>
      </c>
      <c r="B100" s="112"/>
      <c r="C100" s="112"/>
      <c r="D100" s="112"/>
      <c r="E100" s="112"/>
      <c r="F100" s="109">
        <v>12000</v>
      </c>
      <c r="G100" s="109"/>
      <c r="H100" s="109"/>
      <c r="I100" s="19" t="s">
        <v>363</v>
      </c>
    </row>
    <row r="101" spans="1:12" s="31" customFormat="1" hidden="1" x14ac:dyDescent="0.25">
      <c r="A101" s="112" t="s">
        <v>171</v>
      </c>
      <c r="B101" s="112"/>
      <c r="C101" s="112"/>
      <c r="D101" s="112"/>
      <c r="E101" s="112"/>
      <c r="F101" s="109"/>
      <c r="G101" s="109"/>
      <c r="H101" s="109"/>
    </row>
    <row r="102" spans="1:12" s="31" customFormat="1" hidden="1" x14ac:dyDescent="0.25">
      <c r="A102" s="112" t="s">
        <v>91</v>
      </c>
      <c r="B102" s="112"/>
      <c r="C102" s="112"/>
      <c r="D102" s="112"/>
      <c r="E102" s="112"/>
      <c r="F102" s="109"/>
      <c r="G102" s="109"/>
      <c r="H102" s="109"/>
    </row>
    <row r="103" spans="1:12" s="31" customFormat="1" hidden="1" x14ac:dyDescent="0.25">
      <c r="A103" s="112" t="s">
        <v>92</v>
      </c>
      <c r="B103" s="112"/>
      <c r="C103" s="112"/>
      <c r="D103" s="112"/>
      <c r="E103" s="112"/>
      <c r="F103" s="109"/>
      <c r="G103" s="109"/>
      <c r="H103" s="109"/>
    </row>
    <row r="104" spans="1:12" s="31" customFormat="1" hidden="1" x14ac:dyDescent="0.25">
      <c r="A104" s="112" t="s">
        <v>93</v>
      </c>
      <c r="B104" s="112"/>
      <c r="C104" s="112"/>
      <c r="D104" s="112"/>
      <c r="E104" s="112"/>
      <c r="F104" s="109"/>
      <c r="G104" s="109"/>
      <c r="H104" s="109"/>
    </row>
    <row r="105" spans="1:12" s="31" customFormat="1" hidden="1" x14ac:dyDescent="0.25">
      <c r="A105" s="112" t="s">
        <v>94</v>
      </c>
      <c r="B105" s="112"/>
      <c r="C105" s="112"/>
      <c r="D105" s="112"/>
      <c r="E105" s="112"/>
      <c r="F105" s="109"/>
      <c r="G105" s="109"/>
      <c r="H105" s="109"/>
    </row>
    <row r="106" spans="1:12" s="31" customFormat="1" hidden="1" x14ac:dyDescent="0.25">
      <c r="A106" s="112" t="s">
        <v>95</v>
      </c>
      <c r="B106" s="112"/>
      <c r="C106" s="112"/>
      <c r="D106" s="112"/>
      <c r="E106" s="112"/>
      <c r="F106" s="109"/>
      <c r="G106" s="109"/>
      <c r="H106" s="109"/>
    </row>
    <row r="107" spans="1:12" s="31" customFormat="1" hidden="1" x14ac:dyDescent="0.25">
      <c r="A107" s="112" t="s">
        <v>96</v>
      </c>
      <c r="B107" s="112"/>
      <c r="C107" s="112"/>
      <c r="D107" s="112"/>
      <c r="E107" s="112"/>
      <c r="F107" s="109"/>
      <c r="G107" s="109"/>
      <c r="H107" s="109"/>
    </row>
    <row r="108" spans="1:12" x14ac:dyDescent="0.3">
      <c r="A108" s="112" t="s">
        <v>49</v>
      </c>
      <c r="B108" s="112"/>
      <c r="C108" s="112"/>
      <c r="D108" s="112"/>
      <c r="E108" s="112"/>
      <c r="F108" s="109">
        <v>600000</v>
      </c>
      <c r="G108" s="109"/>
      <c r="H108" s="109"/>
    </row>
    <row r="109" spans="1:12" s="32" customFormat="1" x14ac:dyDescent="0.3">
      <c r="A109" s="171" t="s">
        <v>50</v>
      </c>
      <c r="B109" s="171"/>
      <c r="C109" s="171"/>
      <c r="D109" s="171"/>
      <c r="E109" s="171"/>
      <c r="F109" s="109">
        <f>F100*0.8</f>
        <v>9600</v>
      </c>
      <c r="G109" s="109"/>
      <c r="H109" s="109"/>
    </row>
    <row r="110" spans="1:12" s="33" customFormat="1" ht="15.75" customHeight="1" x14ac:dyDescent="0.3">
      <c r="A110" s="113" t="s">
        <v>72</v>
      </c>
      <c r="B110" s="113"/>
      <c r="C110" s="113"/>
      <c r="D110" s="113"/>
      <c r="E110" s="113"/>
      <c r="F110" s="113"/>
      <c r="G110" s="113"/>
      <c r="H110" s="113"/>
    </row>
    <row r="111" spans="1:12" s="33" customFormat="1" ht="15.75" customHeight="1" x14ac:dyDescent="0.3">
      <c r="A111" s="191" t="s">
        <v>51</v>
      </c>
      <c r="B111" s="191"/>
      <c r="C111" s="115" t="s">
        <v>75</v>
      </c>
      <c r="D111" s="115"/>
      <c r="E111" s="207" t="s">
        <v>52</v>
      </c>
      <c r="F111" s="207"/>
      <c r="G111" s="191" t="s">
        <v>53</v>
      </c>
      <c r="H111" s="191"/>
    </row>
    <row r="112" spans="1:12" s="33" customFormat="1" x14ac:dyDescent="0.3">
      <c r="A112" s="204" t="s">
        <v>300</v>
      </c>
      <c r="B112" s="42" t="s">
        <v>303</v>
      </c>
      <c r="C112" s="118">
        <f>COUNT(F131:F133)</f>
        <v>3</v>
      </c>
      <c r="D112" s="118"/>
      <c r="E112" s="111">
        <f>SUM(F131:F133)</f>
        <v>4458.7340459999996</v>
      </c>
      <c r="F112" s="106"/>
      <c r="G112" s="111">
        <f>SUM(H131:H133)</f>
        <v>6688.1010690000003</v>
      </c>
      <c r="H112" s="106"/>
    </row>
    <row r="113" spans="1:14" s="33" customFormat="1" x14ac:dyDescent="0.3">
      <c r="A113" s="205"/>
      <c r="B113" s="42" t="s">
        <v>308</v>
      </c>
      <c r="C113" s="111">
        <f>COUNT(D135:D136)+COUNT(D138)+COUNT(D140)*2+COUNT(D142:D152,D165:D173)+COUNT(D154:D158,D160:D163)+COUNT(D175:D185)+COUNT(D187:D197)+COUNT(D199:D200,D202:D203)</f>
        <v>60</v>
      </c>
      <c r="D113" s="111"/>
      <c r="E113" s="111">
        <f>SUM(F135:F136)+SUM(F138)+SUM(F140)*2+SUM(F142:F152,F165:F173)+SUM(F154:F158,F160:F163)+SUM(F175:F185)+SUM(F187:F197)+SUM(F199:F200,F202:F203)</f>
        <v>93044.182842000009</v>
      </c>
      <c r="F113" s="111"/>
      <c r="G113" s="111">
        <f>SUM(H135:H136)+SUM(H138)+SUM(H140)*2+SUM(H142:H152,H165:H173)+SUM(H154:H158,H160:H163)+SUM(H175:H185)+SUM(H187:H197)+SUM(H199:H200,H202:H203)</f>
        <v>139566.274263</v>
      </c>
      <c r="H113" s="111"/>
      <c r="J113" s="70">
        <f>C113+C114</f>
        <v>121</v>
      </c>
    </row>
    <row r="114" spans="1:14" s="33" customFormat="1" x14ac:dyDescent="0.3">
      <c r="A114" s="42" t="s">
        <v>304</v>
      </c>
      <c r="B114" s="42" t="s">
        <v>308</v>
      </c>
      <c r="C114" s="111">
        <f>COUNT(D207:D211)+COUNT(D213)+COUNT(D215)*2+COUNT(D217:D227,D241:D251,D253:D260,D262:D272,D274,D229:D239)</f>
        <v>61</v>
      </c>
      <c r="D114" s="111"/>
      <c r="E114" s="111">
        <f>SUM(F207:F211)+SUM(F213)+SUM(F215)*2+SUM(F217:F227,F241:F251,F253:F260,F262:F272,F274,F229:F239)</f>
        <v>83211.046027200005</v>
      </c>
      <c r="F114" s="111"/>
      <c r="G114" s="111">
        <f>SUM(H207:H211)+SUM(H213)+SUM(H215)*2+SUM(H217:H227,H241:H251,H253:H260,H262:H272,H274,H229:H239)</f>
        <v>124816.56904080002</v>
      </c>
      <c r="H114" s="111"/>
    </row>
    <row r="115" spans="1:14" s="33" customFormat="1" x14ac:dyDescent="0.3">
      <c r="A115" s="113" t="s">
        <v>149</v>
      </c>
      <c r="B115" s="113"/>
      <c r="C115" s="114">
        <f>SUM(C112:D114)</f>
        <v>124</v>
      </c>
      <c r="D115" s="115"/>
      <c r="E115" s="206">
        <f>SUM(E112:F114)</f>
        <v>180713.96291520001</v>
      </c>
      <c r="F115" s="207"/>
      <c r="G115" s="191">
        <f>SUM(G112:H114)</f>
        <v>271070.9443728</v>
      </c>
      <c r="H115" s="191"/>
    </row>
    <row r="116" spans="1:14" s="33" customFormat="1" hidden="1" x14ac:dyDescent="0.3">
      <c r="A116" s="113" t="s">
        <v>67</v>
      </c>
      <c r="B116" s="113"/>
      <c r="C116" s="113"/>
      <c r="D116" s="113"/>
      <c r="E116" s="113"/>
      <c r="F116" s="113"/>
      <c r="G116" s="113"/>
      <c r="H116" s="113"/>
    </row>
    <row r="117" spans="1:14" s="33" customFormat="1" ht="15.75" hidden="1" customHeight="1" x14ac:dyDescent="0.3">
      <c r="A117" s="191" t="s">
        <v>51</v>
      </c>
      <c r="B117" s="191"/>
      <c r="C117" s="115" t="s">
        <v>75</v>
      </c>
      <c r="D117" s="115"/>
      <c r="E117" s="207" t="s">
        <v>52</v>
      </c>
      <c r="F117" s="207"/>
      <c r="G117" s="191" t="s">
        <v>53</v>
      </c>
      <c r="H117" s="191"/>
    </row>
    <row r="118" spans="1:14" s="33" customFormat="1" hidden="1" x14ac:dyDescent="0.3">
      <c r="A118" s="190"/>
      <c r="B118" s="190"/>
      <c r="C118" s="105"/>
      <c r="D118" s="105"/>
      <c r="E118" s="106"/>
      <c r="F118" s="106"/>
      <c r="G118" s="107"/>
      <c r="H118" s="107"/>
    </row>
    <row r="119" spans="1:14" s="33" customFormat="1" hidden="1" x14ac:dyDescent="0.3">
      <c r="A119" s="190"/>
      <c r="B119" s="190"/>
      <c r="C119" s="105"/>
      <c r="D119" s="105"/>
      <c r="E119" s="106"/>
      <c r="F119" s="106"/>
      <c r="G119" s="107"/>
      <c r="H119" s="107"/>
    </row>
    <row r="120" spans="1:14" s="33" customFormat="1" ht="16.2" hidden="1" thickBot="1" x14ac:dyDescent="0.35">
      <c r="A120" s="192" t="s">
        <v>149</v>
      </c>
      <c r="B120" s="192"/>
      <c r="C120" s="232"/>
      <c r="D120" s="232"/>
      <c r="E120" s="193"/>
      <c r="F120" s="193"/>
      <c r="G120" s="194"/>
      <c r="H120" s="194"/>
    </row>
    <row r="121" spans="1:14" s="33" customFormat="1" ht="16.2" hidden="1" thickBot="1" x14ac:dyDescent="0.35">
      <c r="A121" s="229" t="s">
        <v>163</v>
      </c>
      <c r="B121" s="230"/>
      <c r="C121" s="208">
        <f>C115+C120</f>
        <v>124</v>
      </c>
      <c r="D121" s="208"/>
      <c r="E121" s="209">
        <f>E115+E120</f>
        <v>180713.96291520001</v>
      </c>
      <c r="F121" s="209"/>
      <c r="G121" s="134">
        <f>G115+G120</f>
        <v>271070.9443728</v>
      </c>
      <c r="H121" s="135"/>
    </row>
    <row r="122" spans="1:14" s="32" customFormat="1" x14ac:dyDescent="0.3">
      <c r="A122" s="108" t="s">
        <v>54</v>
      </c>
      <c r="B122" s="108"/>
      <c r="C122" s="108"/>
      <c r="D122" s="108"/>
      <c r="E122" s="108"/>
      <c r="F122" s="108"/>
      <c r="G122" s="108"/>
      <c r="H122" s="108"/>
    </row>
    <row r="123" spans="1:14" x14ac:dyDescent="0.3">
      <c r="A123" s="235" t="s">
        <v>301</v>
      </c>
      <c r="B123" s="235"/>
      <c r="C123" s="235"/>
      <c r="D123" s="235"/>
      <c r="E123" s="235"/>
      <c r="F123" s="235"/>
      <c r="G123" s="235"/>
      <c r="H123" s="235"/>
    </row>
    <row r="124" spans="1:14" ht="47.25" customHeight="1" x14ac:dyDescent="0.3">
      <c r="A124" s="93" t="s">
        <v>331</v>
      </c>
      <c r="B124" s="93" t="s">
        <v>332</v>
      </c>
      <c r="C124" s="93" t="s">
        <v>55</v>
      </c>
      <c r="D124" s="93" t="s">
        <v>228</v>
      </c>
      <c r="E124" s="132" t="s">
        <v>310</v>
      </c>
      <c r="F124" s="93" t="s">
        <v>56</v>
      </c>
      <c r="G124" s="132" t="s">
        <v>57</v>
      </c>
      <c r="H124" s="51" t="s">
        <v>147</v>
      </c>
    </row>
    <row r="125" spans="1:14" s="35" customFormat="1" ht="33" customHeight="1" x14ac:dyDescent="0.3">
      <c r="A125" s="94"/>
      <c r="B125" s="94"/>
      <c r="C125" s="94"/>
      <c r="D125" s="94"/>
      <c r="E125" s="133"/>
      <c r="F125" s="94"/>
      <c r="G125" s="133"/>
      <c r="H125" s="63">
        <v>0.5</v>
      </c>
      <c r="I125" s="61">
        <v>10.763999999999999</v>
      </c>
    </row>
    <row r="126" spans="1:14" s="35" customFormat="1" ht="17.25" customHeight="1" x14ac:dyDescent="0.3">
      <c r="A126" s="226" t="s">
        <v>324</v>
      </c>
      <c r="B126" s="227"/>
      <c r="C126" s="227"/>
      <c r="D126" s="227"/>
      <c r="E126" s="227"/>
      <c r="F126" s="227"/>
      <c r="G126" s="227"/>
      <c r="H126" s="228"/>
      <c r="I126" s="34"/>
    </row>
    <row r="127" spans="1:14" s="35" customFormat="1" x14ac:dyDescent="0.3">
      <c r="A127" s="163" t="s">
        <v>281</v>
      </c>
      <c r="B127" s="164"/>
      <c r="C127" s="164"/>
      <c r="D127" s="164"/>
      <c r="E127" s="164"/>
      <c r="F127" s="164"/>
      <c r="G127" s="164"/>
      <c r="H127" s="165"/>
      <c r="J127" s="34"/>
    </row>
    <row r="128" spans="1:14" s="35" customFormat="1" ht="15.75" customHeight="1" x14ac:dyDescent="0.3">
      <c r="A128" s="163" t="s">
        <v>306</v>
      </c>
      <c r="B128" s="164"/>
      <c r="C128" s="164"/>
      <c r="D128" s="164"/>
      <c r="E128" s="164"/>
      <c r="F128" s="164"/>
      <c r="G128" s="164"/>
      <c r="H128" s="165"/>
      <c r="I128" s="34"/>
      <c r="L128" s="89"/>
      <c r="M128" s="89"/>
      <c r="N128" s="34"/>
    </row>
    <row r="129" spans="1:14" s="35" customFormat="1" ht="15.75" customHeight="1" x14ac:dyDescent="0.3">
      <c r="A129" s="163" t="s">
        <v>300</v>
      </c>
      <c r="B129" s="164"/>
      <c r="C129" s="164"/>
      <c r="D129" s="164"/>
      <c r="E129" s="164"/>
      <c r="F129" s="164"/>
      <c r="G129" s="164"/>
      <c r="H129" s="165"/>
      <c r="I129" s="34"/>
      <c r="L129" s="89"/>
      <c r="M129" s="89"/>
      <c r="N129" s="34"/>
    </row>
    <row r="130" spans="1:14" s="35" customFormat="1" ht="15.75" customHeight="1" x14ac:dyDescent="0.3">
      <c r="A130" s="163" t="s">
        <v>305</v>
      </c>
      <c r="B130" s="164"/>
      <c r="C130" s="164"/>
      <c r="D130" s="164"/>
      <c r="E130" s="164"/>
      <c r="F130" s="164"/>
      <c r="G130" s="164"/>
      <c r="H130" s="165"/>
      <c r="I130" s="34"/>
      <c r="L130" s="89"/>
      <c r="M130" s="89"/>
      <c r="N130" s="34"/>
    </row>
    <row r="131" spans="1:14" s="35" customFormat="1" ht="15.75" customHeight="1" x14ac:dyDescent="0.3">
      <c r="A131" s="75">
        <v>1</v>
      </c>
      <c r="B131" s="76"/>
      <c r="C131" s="40" t="s">
        <v>303</v>
      </c>
      <c r="D131" s="61">
        <f>(9.25*9.1+7*5.35+3.95*3.1)*10.764</f>
        <v>1440.97668</v>
      </c>
      <c r="E131" s="40">
        <v>0</v>
      </c>
      <c r="F131" s="40">
        <f>D131+E131</f>
        <v>1440.97668</v>
      </c>
      <c r="G131" s="40">
        <v>0</v>
      </c>
      <c r="H131" s="40">
        <f>(D131+E131)*(($H$125)+1)</f>
        <v>2161.4650200000001</v>
      </c>
      <c r="I131" s="34">
        <f>14.45*9.09-1.4*3.6</f>
        <v>126.31049999999998</v>
      </c>
      <c r="J131" s="40">
        <f>13.25*9.09+1.2*5.4</f>
        <v>126.9225</v>
      </c>
      <c r="N131" s="34"/>
    </row>
    <row r="132" spans="1:14" s="35" customFormat="1" ht="15.75" customHeight="1" x14ac:dyDescent="0.3">
      <c r="A132" s="75">
        <v>2</v>
      </c>
      <c r="B132" s="76"/>
      <c r="C132" s="40" t="s">
        <v>303</v>
      </c>
      <c r="D132" s="61">
        <f>(8.2*8.89+7*5.99)*10.764</f>
        <v>1236.0085919999999</v>
      </c>
      <c r="E132" s="40">
        <v>0</v>
      </c>
      <c r="F132" s="40">
        <f>D132+E132</f>
        <v>1236.0085919999999</v>
      </c>
      <c r="G132" s="40">
        <v>0</v>
      </c>
      <c r="H132" s="40">
        <f>(D132+E132)*(($H$125)+1)</f>
        <v>1854.0128879999997</v>
      </c>
      <c r="I132" s="34"/>
      <c r="N132" s="34"/>
    </row>
    <row r="133" spans="1:14" s="35" customFormat="1" ht="15.75" customHeight="1" x14ac:dyDescent="0.3">
      <c r="A133" s="75">
        <v>3</v>
      </c>
      <c r="B133" s="76"/>
      <c r="C133" s="40" t="s">
        <v>303</v>
      </c>
      <c r="D133" s="61">
        <f>(15.2*6.54+9.42*1.05+15.2*3.49+3.03*1.05)*10.764</f>
        <v>1781.7487739999999</v>
      </c>
      <c r="E133" s="40">
        <v>0</v>
      </c>
      <c r="F133" s="40">
        <f>D133+E133</f>
        <v>1781.7487739999999</v>
      </c>
      <c r="G133" s="40">
        <v>0</v>
      </c>
      <c r="H133" s="40">
        <f>(D133+E133)*(($H$125)+1)</f>
        <v>2672.623161</v>
      </c>
      <c r="I133" s="34">
        <f>(9.45*11)</f>
        <v>103.94999999999999</v>
      </c>
      <c r="J133" s="35">
        <f>15.2*6.54+9.42*1.05+15.2*3.49+3.03*1.05</f>
        <v>165.52850000000001</v>
      </c>
      <c r="N133" s="34"/>
    </row>
    <row r="134" spans="1:14" s="35" customFormat="1" ht="15.75" customHeight="1" x14ac:dyDescent="0.3">
      <c r="A134" s="96" t="s">
        <v>307</v>
      </c>
      <c r="B134" s="97"/>
      <c r="C134" s="97"/>
      <c r="D134" s="97"/>
      <c r="E134" s="97"/>
      <c r="F134" s="97"/>
      <c r="G134" s="97"/>
      <c r="H134" s="98"/>
      <c r="I134" s="34">
        <f>12.7*4.7</f>
        <v>59.69</v>
      </c>
      <c r="N134" s="34"/>
    </row>
    <row r="135" spans="1:14" s="35" customFormat="1" ht="15.75" customHeight="1" x14ac:dyDescent="0.3">
      <c r="A135" s="75">
        <v>1</v>
      </c>
      <c r="B135" s="76"/>
      <c r="C135" s="60" t="s">
        <v>308</v>
      </c>
      <c r="D135" s="61">
        <f>(20*12.3+3.88*6.65+6*4.15+2.15*1.5)*10.764</f>
        <v>3228.4142280000001</v>
      </c>
      <c r="E135" s="40">
        <v>0</v>
      </c>
      <c r="F135" s="40">
        <f t="shared" ref="F135:F136" si="0">D135+E135</f>
        <v>3228.4142280000001</v>
      </c>
      <c r="G135" s="40">
        <v>0</v>
      </c>
      <c r="H135" s="40">
        <f t="shared" ref="H135:H136" si="1">(D135+E135)*(($H$125)+1)</f>
        <v>4842.6213420000004</v>
      </c>
      <c r="I135" s="34">
        <f>5.375*5.43+4.075*2.95+3.275*3.1+1.2*1.5+2*3</f>
        <v>59.16</v>
      </c>
      <c r="N135" s="34"/>
    </row>
    <row r="136" spans="1:14" s="35" customFormat="1" ht="15.75" customHeight="1" x14ac:dyDescent="0.3">
      <c r="A136" s="75">
        <v>2</v>
      </c>
      <c r="B136" s="76"/>
      <c r="C136" s="60" t="s">
        <v>308</v>
      </c>
      <c r="D136" s="61">
        <f>(26*11.03+4.17*1.35+7.75*1.35+8.37*1.35)*10.764</f>
        <v>3381.7420259999994</v>
      </c>
      <c r="E136" s="40">
        <v>0</v>
      </c>
      <c r="F136" s="40">
        <f t="shared" si="0"/>
        <v>3381.7420259999994</v>
      </c>
      <c r="G136" s="40">
        <v>0</v>
      </c>
      <c r="H136" s="40">
        <f t="shared" si="1"/>
        <v>5072.6130389999989</v>
      </c>
      <c r="I136" s="34"/>
      <c r="N136" s="34"/>
    </row>
    <row r="137" spans="1:14" s="35" customFormat="1" ht="15.75" customHeight="1" x14ac:dyDescent="0.3">
      <c r="A137" s="96" t="s">
        <v>309</v>
      </c>
      <c r="B137" s="97"/>
      <c r="C137" s="97"/>
      <c r="D137" s="97"/>
      <c r="E137" s="97"/>
      <c r="F137" s="97"/>
      <c r="G137" s="97"/>
      <c r="H137" s="98"/>
      <c r="I137" s="34"/>
      <c r="N137" s="34"/>
    </row>
    <row r="138" spans="1:14" s="35" customFormat="1" ht="15.75" customHeight="1" x14ac:dyDescent="0.3">
      <c r="A138" s="75">
        <v>1</v>
      </c>
      <c r="B138" s="76"/>
      <c r="C138" s="60" t="s">
        <v>308</v>
      </c>
      <c r="D138" s="61">
        <f>(23.89*14.03+25.5*7.45+9.67*2.95+7.75*2.95+9.38*2.95+7*2.4+6*3.9+7*8.38+9.38*2.95+7.75*2.95+9.67*2.95+1.25*1.5*8)*10.764</f>
        <v>8580.3256187999996</v>
      </c>
      <c r="E138" s="61">
        <f>((25.5+7+1+1+2.95+7.4+2.95+2.4+23.89+7+1+8.38+2.95))*10.764</f>
        <v>1005.5728799999999</v>
      </c>
      <c r="F138" s="40">
        <f>D138+E138</f>
        <v>9585.8984987999993</v>
      </c>
      <c r="G138" s="62">
        <v>0</v>
      </c>
      <c r="H138" s="40">
        <f>(D138+E138)*(($H$125)+1)</f>
        <v>14378.847748199998</v>
      </c>
      <c r="I138" s="62"/>
      <c r="N138" s="34"/>
    </row>
    <row r="139" spans="1:14" s="35" customFormat="1" ht="15.75" customHeight="1" x14ac:dyDescent="0.3">
      <c r="A139" s="96" t="s">
        <v>311</v>
      </c>
      <c r="B139" s="97"/>
      <c r="C139" s="97"/>
      <c r="D139" s="97"/>
      <c r="E139" s="97"/>
      <c r="F139" s="97"/>
      <c r="G139" s="97"/>
      <c r="H139" s="98"/>
      <c r="I139" s="64"/>
      <c r="N139" s="34"/>
    </row>
    <row r="140" spans="1:14" s="35" customFormat="1" ht="15.75" customHeight="1" x14ac:dyDescent="0.3">
      <c r="A140" s="75">
        <v>1</v>
      </c>
      <c r="B140" s="76"/>
      <c r="C140" s="60" t="s">
        <v>308</v>
      </c>
      <c r="D140" s="61">
        <f>(23.89*14.03+25.5*7.45+9.67*2.95+7.75*2.95+9.38*2.95+7*2.4+6*3.9+7*8.38+9.38*2.95+7.75*2.95+9.67*2.95+1.25*1.5*8)*10.764</f>
        <v>8580.3256187999996</v>
      </c>
      <c r="E140" s="61">
        <f>((25.5+7+1+1+2.95+7.4+2.95+2.4+23.89+7+1+8.38+2.95))*10.764</f>
        <v>1005.5728799999999</v>
      </c>
      <c r="F140" s="40">
        <f>D140+E140</f>
        <v>9585.8984987999993</v>
      </c>
      <c r="G140" s="62">
        <v>0</v>
      </c>
      <c r="H140" s="40">
        <f>(D140+E140)*(($H$125)+1)</f>
        <v>14378.847748199998</v>
      </c>
      <c r="I140" s="64"/>
      <c r="N140" s="34"/>
    </row>
    <row r="141" spans="1:14" s="35" customFormat="1" ht="15.75" customHeight="1" x14ac:dyDescent="0.3">
      <c r="A141" s="86" t="s">
        <v>351</v>
      </c>
      <c r="B141" s="87"/>
      <c r="C141" s="87"/>
      <c r="D141" s="87"/>
      <c r="E141" s="87"/>
      <c r="F141" s="87"/>
      <c r="G141" s="87"/>
      <c r="H141" s="88"/>
      <c r="I141" s="64"/>
      <c r="N141" s="34"/>
    </row>
    <row r="142" spans="1:14" s="35" customFormat="1" ht="15.75" customHeight="1" x14ac:dyDescent="0.3">
      <c r="A142" s="75">
        <v>1</v>
      </c>
      <c r="B142" s="76"/>
      <c r="C142" s="60" t="s">
        <v>308</v>
      </c>
      <c r="D142" s="61">
        <f>(4.115*10.4+5.72*2.28+1.25*1.5)*10.764</f>
        <v>621.21842640000011</v>
      </c>
      <c r="E142" s="61">
        <f>(5.72+1+1)*10.764</f>
        <v>83.098079999999996</v>
      </c>
      <c r="F142" s="40">
        <f t="shared" ref="F142:F151" si="2">D142+E142</f>
        <v>704.31650640000009</v>
      </c>
      <c r="G142" s="40">
        <v>0</v>
      </c>
      <c r="H142" s="68">
        <f t="shared" ref="H142:H152" si="3">(D142+E142)*(($H$125)+1)</f>
        <v>1056.4747596000002</v>
      </c>
      <c r="I142" s="65">
        <f>4.12*8.58+2.02*3.1+1.2*1.45</f>
        <v>43.351600000000005</v>
      </c>
      <c r="J142" s="66">
        <f>1.5+5.12</f>
        <v>6.62</v>
      </c>
      <c r="N142" s="34"/>
    </row>
    <row r="143" spans="1:14" s="35" customFormat="1" ht="15.75" customHeight="1" x14ac:dyDescent="0.3">
      <c r="A143" s="75">
        <v>2</v>
      </c>
      <c r="B143" s="76"/>
      <c r="C143" s="60" t="s">
        <v>308</v>
      </c>
      <c r="D143" s="61">
        <f>(5.15*9.73+3.8*2.95+1.25*1.5)*10.764</f>
        <v>680.22559799999999</v>
      </c>
      <c r="E143" s="61">
        <f>(3.85)*10.764</f>
        <v>41.441400000000002</v>
      </c>
      <c r="F143" s="40">
        <f t="shared" si="2"/>
        <v>721.66699800000004</v>
      </c>
      <c r="G143" s="40">
        <v>0</v>
      </c>
      <c r="H143" s="68">
        <f t="shared" si="3"/>
        <v>1082.500497</v>
      </c>
      <c r="I143" s="65">
        <f>5.15*6.63+3.85*1.95+3.05*3.1+1.2*1.5</f>
        <v>52.906999999999996</v>
      </c>
      <c r="J143" s="66">
        <f>3.85</f>
        <v>3.85</v>
      </c>
      <c r="N143" s="34"/>
    </row>
    <row r="144" spans="1:14" s="35" customFormat="1" ht="15.75" customHeight="1" x14ac:dyDescent="0.3">
      <c r="A144" s="75">
        <v>3</v>
      </c>
      <c r="B144" s="76"/>
      <c r="C144" s="60" t="s">
        <v>308</v>
      </c>
      <c r="D144" s="61">
        <f>(5.15*9.73+3.8*2.95+1.25*1.5)*10.764</f>
        <v>680.22559799999999</v>
      </c>
      <c r="E144" s="61">
        <f>(3.85)*10.764</f>
        <v>41.441400000000002</v>
      </c>
      <c r="F144" s="40">
        <f t="shared" si="2"/>
        <v>721.66699800000004</v>
      </c>
      <c r="G144" s="40">
        <v>0</v>
      </c>
      <c r="H144" s="68">
        <f t="shared" si="3"/>
        <v>1082.500497</v>
      </c>
      <c r="I144" s="65">
        <f>5.15*6.63+3.85*2.95+3.05*3.1+1.2*1.5</f>
        <v>56.756999999999998</v>
      </c>
      <c r="J144" s="66">
        <v>0</v>
      </c>
      <c r="N144" s="34"/>
    </row>
    <row r="145" spans="1:14" s="35" customFormat="1" ht="15.75" customHeight="1" x14ac:dyDescent="0.3">
      <c r="A145" s="75">
        <v>4</v>
      </c>
      <c r="B145" s="76"/>
      <c r="C145" s="60" t="s">
        <v>308</v>
      </c>
      <c r="D145" s="61">
        <f t="shared" ref="D145:D146" si="4">(5.15*9.73+3.8*2.95+1.25*1.5)*10.764</f>
        <v>680.22559799999999</v>
      </c>
      <c r="E145" s="61">
        <f t="shared" ref="E145:E146" si="5">(3.85)*10.764</f>
        <v>41.441400000000002</v>
      </c>
      <c r="F145" s="40">
        <f t="shared" si="2"/>
        <v>721.66699800000004</v>
      </c>
      <c r="G145" s="40">
        <v>0</v>
      </c>
      <c r="H145" s="68">
        <f t="shared" si="3"/>
        <v>1082.500497</v>
      </c>
      <c r="I145" s="65">
        <f>5.15*6.63+3.85*2.95+3.05*3.1+1.2*1.5</f>
        <v>56.756999999999998</v>
      </c>
      <c r="J145" s="66">
        <v>0</v>
      </c>
      <c r="N145" s="34"/>
    </row>
    <row r="146" spans="1:14" s="35" customFormat="1" ht="15.75" customHeight="1" x14ac:dyDescent="0.3">
      <c r="A146" s="75">
        <v>5</v>
      </c>
      <c r="B146" s="76"/>
      <c r="C146" s="60" t="s">
        <v>308</v>
      </c>
      <c r="D146" s="61">
        <f t="shared" si="4"/>
        <v>680.22559799999999</v>
      </c>
      <c r="E146" s="61">
        <f t="shared" si="5"/>
        <v>41.441400000000002</v>
      </c>
      <c r="F146" s="40">
        <f t="shared" si="2"/>
        <v>721.66699800000004</v>
      </c>
      <c r="G146" s="40">
        <v>0</v>
      </c>
      <c r="H146" s="68">
        <f t="shared" si="3"/>
        <v>1082.500497</v>
      </c>
      <c r="I146" s="65">
        <f>5.15*6.63+3.85*1.75+3.05*3.1+1.2*1.5</f>
        <v>52.136999999999993</v>
      </c>
      <c r="J146" s="66">
        <f>3.85*1.2</f>
        <v>4.62</v>
      </c>
      <c r="N146" s="34"/>
    </row>
    <row r="147" spans="1:14" s="35" customFormat="1" ht="15.75" customHeight="1" x14ac:dyDescent="0.3">
      <c r="A147" s="75">
        <v>6</v>
      </c>
      <c r="B147" s="76"/>
      <c r="C147" s="60" t="s">
        <v>308</v>
      </c>
      <c r="D147" s="61">
        <f>(5.425*11.33+2.82*1.35+1.25*1.5)*10.764</f>
        <v>722.77299899999991</v>
      </c>
      <c r="E147" s="61">
        <f>(11.33*1.2+5.42*1.2)*10.764</f>
        <v>216.35640000000001</v>
      </c>
      <c r="F147" s="40">
        <f t="shared" si="2"/>
        <v>939.12939899999992</v>
      </c>
      <c r="G147" s="40">
        <v>0</v>
      </c>
      <c r="H147" s="68">
        <f t="shared" si="3"/>
        <v>1408.6940984999999</v>
      </c>
      <c r="I147" s="65">
        <f>4.22*7.08+2.17*3.1+2.82*1.2+1.5*1.2</f>
        <v>41.788599999999995</v>
      </c>
      <c r="J147" s="66">
        <f>5.4*1.2+10.1*1.2</f>
        <v>18.600000000000001</v>
      </c>
      <c r="N147" s="34"/>
    </row>
    <row r="148" spans="1:14" s="35" customFormat="1" ht="15.75" customHeight="1" x14ac:dyDescent="0.3">
      <c r="A148" s="75">
        <v>7</v>
      </c>
      <c r="B148" s="76"/>
      <c r="C148" s="60" t="s">
        <v>308</v>
      </c>
      <c r="D148" s="61">
        <f>(3.725*9.05+7*2.4+9.38*2.95+1.2*1.5)*10.764</f>
        <v>860.92893900000001</v>
      </c>
      <c r="E148" s="61">
        <f>(9.38+1+2.95+2.4)*10.764</f>
        <v>169.31772000000001</v>
      </c>
      <c r="F148" s="40">
        <f t="shared" si="2"/>
        <v>1030.2466589999999</v>
      </c>
      <c r="G148" s="40">
        <v>0</v>
      </c>
      <c r="H148" s="68">
        <f t="shared" si="3"/>
        <v>1545.3699884999999</v>
      </c>
      <c r="I148" s="66">
        <f>3.725*5.95+1.78*3.1+8.425*1.95+6*2.4+1.2*1.5</f>
        <v>60.310499999999998</v>
      </c>
      <c r="J148" s="66">
        <f>4.35+8.5</f>
        <v>12.85</v>
      </c>
      <c r="N148" s="34"/>
    </row>
    <row r="149" spans="1:14" s="35" customFormat="1" ht="15.75" customHeight="1" x14ac:dyDescent="0.3">
      <c r="A149" s="75">
        <v>8</v>
      </c>
      <c r="B149" s="76"/>
      <c r="C149" s="60" t="s">
        <v>308</v>
      </c>
      <c r="D149" s="61">
        <f>(5.15*9.05+3.8*2.95+1.25*1.5)*10.764</f>
        <v>642.53007000000002</v>
      </c>
      <c r="E149" s="61">
        <f t="shared" ref="E149:E151" si="6">(3.85)*10.764</f>
        <v>41.441400000000002</v>
      </c>
      <c r="F149" s="40">
        <f t="shared" si="2"/>
        <v>683.97147000000007</v>
      </c>
      <c r="G149" s="40">
        <v>0</v>
      </c>
      <c r="H149" s="68">
        <f t="shared" si="3"/>
        <v>1025.9572050000002</v>
      </c>
      <c r="I149" s="65">
        <f>5.15*5.95+3.85*1.95+3.05*3.1+1.2*1.5</f>
        <v>49.405000000000001</v>
      </c>
      <c r="J149" s="66">
        <f>3.85</f>
        <v>3.85</v>
      </c>
      <c r="N149" s="34"/>
    </row>
    <row r="150" spans="1:14" s="35" customFormat="1" ht="15.75" customHeight="1" x14ac:dyDescent="0.3">
      <c r="A150" s="75">
        <v>9</v>
      </c>
      <c r="B150" s="76"/>
      <c r="C150" s="60" t="s">
        <v>308</v>
      </c>
      <c r="D150" s="61">
        <f t="shared" ref="D150:D151" si="7">(5.15*9.05+3.8*2.95+1.25*1.5)*10.764</f>
        <v>642.53007000000002</v>
      </c>
      <c r="E150" s="61">
        <f t="shared" si="6"/>
        <v>41.441400000000002</v>
      </c>
      <c r="F150" s="40">
        <f t="shared" si="2"/>
        <v>683.97147000000007</v>
      </c>
      <c r="G150" s="40">
        <v>0</v>
      </c>
      <c r="H150" s="68">
        <f t="shared" si="3"/>
        <v>1025.9572050000002</v>
      </c>
      <c r="I150" s="65">
        <f>5.15*5.95+3.85*1.95+3.05*3.1+1.2*1.5</f>
        <v>49.405000000000001</v>
      </c>
      <c r="J150" s="66">
        <f>3.85</f>
        <v>3.85</v>
      </c>
      <c r="N150" s="34"/>
    </row>
    <row r="151" spans="1:14" s="35" customFormat="1" ht="15.75" customHeight="1" x14ac:dyDescent="0.3">
      <c r="A151" s="75">
        <v>10</v>
      </c>
      <c r="B151" s="76"/>
      <c r="C151" s="60" t="s">
        <v>308</v>
      </c>
      <c r="D151" s="61">
        <f t="shared" si="7"/>
        <v>642.53007000000002</v>
      </c>
      <c r="E151" s="61">
        <f t="shared" si="6"/>
        <v>41.441400000000002</v>
      </c>
      <c r="F151" s="40">
        <f t="shared" si="2"/>
        <v>683.97147000000007</v>
      </c>
      <c r="G151" s="40">
        <v>0</v>
      </c>
      <c r="H151" s="68">
        <f t="shared" si="3"/>
        <v>1025.9572050000002</v>
      </c>
      <c r="I151" s="65">
        <f>5.15*5.95+3.85*1.95+3.05*3.1+1.2*1.5</f>
        <v>49.405000000000001</v>
      </c>
      <c r="J151" s="66">
        <f>3.85</f>
        <v>3.85</v>
      </c>
      <c r="N151" s="34"/>
    </row>
    <row r="152" spans="1:14" s="35" customFormat="1" ht="15.75" customHeight="1" x14ac:dyDescent="0.3">
      <c r="A152" s="75">
        <v>11</v>
      </c>
      <c r="B152" s="76"/>
      <c r="C152" s="60" t="s">
        <v>308</v>
      </c>
      <c r="D152" s="61">
        <f>(4.42*9.05+5.72*2.95+1.3*5.9+1.2*1.45)*10.764</f>
        <v>713.49173999999994</v>
      </c>
      <c r="E152" s="61">
        <f>(5.9+2.95+1+5.72)*10.764</f>
        <v>167.59547999999998</v>
      </c>
      <c r="F152" s="40">
        <f>D152+E152</f>
        <v>881.08721999999989</v>
      </c>
      <c r="G152" s="40">
        <v>0</v>
      </c>
      <c r="H152" s="68">
        <f t="shared" si="3"/>
        <v>1321.6308299999998</v>
      </c>
      <c r="I152" s="65">
        <f>4.725*8.9+1.33*2.1+1.2*1.45</f>
        <v>46.585500000000003</v>
      </c>
      <c r="J152" s="66">
        <f>5.7+7.5</f>
        <v>13.2</v>
      </c>
      <c r="N152" s="34"/>
    </row>
    <row r="153" spans="1:14" s="35" customFormat="1" ht="15.75" customHeight="1" x14ac:dyDescent="0.3">
      <c r="A153" s="86" t="s">
        <v>313</v>
      </c>
      <c r="B153" s="87"/>
      <c r="C153" s="87"/>
      <c r="D153" s="87"/>
      <c r="E153" s="87"/>
      <c r="F153" s="87"/>
      <c r="G153" s="87"/>
      <c r="H153" s="88"/>
      <c r="I153" s="64"/>
      <c r="N153" s="34"/>
    </row>
    <row r="154" spans="1:14" s="35" customFormat="1" ht="15.75" customHeight="1" x14ac:dyDescent="0.3">
      <c r="A154" s="75">
        <v>1</v>
      </c>
      <c r="B154" s="76"/>
      <c r="C154" s="60" t="s">
        <v>308</v>
      </c>
      <c r="D154" s="61">
        <f>(4.115*10.4+5.72*2.28+1.25*1.5)*10.764</f>
        <v>621.21842640000011</v>
      </c>
      <c r="E154" s="61">
        <f>(5.72+1+1)*10.764</f>
        <v>83.098079999999996</v>
      </c>
      <c r="F154" s="40">
        <f t="shared" ref="F154:F158" si="8">D154+E154</f>
        <v>704.31650640000009</v>
      </c>
      <c r="G154" s="40">
        <v>0</v>
      </c>
      <c r="H154" s="40">
        <f t="shared" ref="H154:H158" si="9">(D154+E154)*(($H$125)+1)</f>
        <v>1056.4747596000002</v>
      </c>
      <c r="I154" s="64"/>
      <c r="J154" s="35">
        <f>7185000/H154</f>
        <v>6800.9196951570966</v>
      </c>
      <c r="N154" s="34"/>
    </row>
    <row r="155" spans="1:14" s="35" customFormat="1" ht="15.75" customHeight="1" x14ac:dyDescent="0.3">
      <c r="A155" s="75">
        <v>2</v>
      </c>
      <c r="B155" s="76"/>
      <c r="C155" s="60" t="s">
        <v>308</v>
      </c>
      <c r="D155" s="61">
        <f>(5.15*9.73+3.8*2.95+1.25*1.5)*10.764</f>
        <v>680.22559799999999</v>
      </c>
      <c r="E155" s="61">
        <f>(3.85)*10.764</f>
        <v>41.441400000000002</v>
      </c>
      <c r="F155" s="40">
        <f t="shared" si="8"/>
        <v>721.66699800000004</v>
      </c>
      <c r="G155" s="40">
        <v>0</v>
      </c>
      <c r="H155" s="40">
        <f t="shared" si="9"/>
        <v>1082.500497</v>
      </c>
      <c r="I155" s="64"/>
      <c r="N155" s="34"/>
    </row>
    <row r="156" spans="1:14" s="35" customFormat="1" ht="15.75" customHeight="1" x14ac:dyDescent="0.3">
      <c r="A156" s="75">
        <v>3</v>
      </c>
      <c r="B156" s="76"/>
      <c r="C156" s="60" t="s">
        <v>308</v>
      </c>
      <c r="D156" s="61">
        <f>(5.15*9.73+3.8*2.95+1.25*1.5)*10.764</f>
        <v>680.22559799999999</v>
      </c>
      <c r="E156" s="61">
        <f>(3.85)*10.764</f>
        <v>41.441400000000002</v>
      </c>
      <c r="F156" s="40">
        <f t="shared" si="8"/>
        <v>721.66699800000004</v>
      </c>
      <c r="G156" s="40">
        <v>0</v>
      </c>
      <c r="H156" s="40">
        <f t="shared" si="9"/>
        <v>1082.500497</v>
      </c>
      <c r="I156" s="64"/>
      <c r="N156" s="34"/>
    </row>
    <row r="157" spans="1:14" s="35" customFormat="1" ht="15.75" customHeight="1" x14ac:dyDescent="0.3">
      <c r="A157" s="75">
        <v>4</v>
      </c>
      <c r="B157" s="76"/>
      <c r="C157" s="60" t="s">
        <v>308</v>
      </c>
      <c r="D157" s="61">
        <f t="shared" ref="D157" si="10">(5.15*9.73+3.8*2.95+1.25*1.5)*10.764</f>
        <v>680.22559799999999</v>
      </c>
      <c r="E157" s="61">
        <f t="shared" ref="E157" si="11">(3.85)*10.764</f>
        <v>41.441400000000002</v>
      </c>
      <c r="F157" s="40">
        <f t="shared" si="8"/>
        <v>721.66699800000004</v>
      </c>
      <c r="G157" s="40">
        <v>0</v>
      </c>
      <c r="H157" s="40">
        <f t="shared" si="9"/>
        <v>1082.500497</v>
      </c>
      <c r="I157" s="64"/>
      <c r="N157" s="34"/>
    </row>
    <row r="158" spans="1:14" s="35" customFormat="1" ht="15.75" customHeight="1" x14ac:dyDescent="0.3">
      <c r="A158" s="75" t="s">
        <v>348</v>
      </c>
      <c r="B158" s="76"/>
      <c r="C158" s="60" t="s">
        <v>308</v>
      </c>
      <c r="D158" s="61">
        <f>(8.125*9.1+1.6*7.75+1.35*0.63+4.175*2.38+1.25*1.5*2)*10.764</f>
        <v>1085.8131179999998</v>
      </c>
      <c r="E158" s="61">
        <f>(3.85+11.33*1.2+5.42*1.2+4.175*2.38)*10.764</f>
        <v>364.75428599999998</v>
      </c>
      <c r="F158" s="40">
        <f t="shared" si="8"/>
        <v>1450.5674039999999</v>
      </c>
      <c r="G158" s="40">
        <v>0</v>
      </c>
      <c r="H158" s="40">
        <f t="shared" si="9"/>
        <v>2175.8511060000001</v>
      </c>
      <c r="I158" s="64"/>
      <c r="N158" s="34"/>
    </row>
    <row r="159" spans="1:14" s="35" customFormat="1" ht="15.75" customHeight="1" x14ac:dyDescent="0.3">
      <c r="A159" s="75">
        <v>7</v>
      </c>
      <c r="B159" s="76"/>
      <c r="C159" s="201" t="s">
        <v>314</v>
      </c>
      <c r="D159" s="202"/>
      <c r="E159" s="202"/>
      <c r="F159" s="202"/>
      <c r="G159" s="202"/>
      <c r="H159" s="203"/>
      <c r="I159" s="64"/>
      <c r="N159" s="34"/>
    </row>
    <row r="160" spans="1:14" s="35" customFormat="1" ht="15.75" customHeight="1" x14ac:dyDescent="0.3">
      <c r="A160" s="75">
        <v>8</v>
      </c>
      <c r="B160" s="76"/>
      <c r="C160" s="60" t="s">
        <v>308</v>
      </c>
      <c r="D160" s="61">
        <f>(5.15*9.05+3.8*2.95+1.25*1.5)*10.764</f>
        <v>642.53007000000002</v>
      </c>
      <c r="E160" s="61">
        <f t="shared" ref="E160:E162" si="12">(3.85)*10.764</f>
        <v>41.441400000000002</v>
      </c>
      <c r="F160" s="40">
        <f>D160+E160</f>
        <v>683.97147000000007</v>
      </c>
      <c r="G160" s="40">
        <v>0</v>
      </c>
      <c r="H160" s="40">
        <f>(D160+E160)*(($H$125)+1)</f>
        <v>1025.9572050000002</v>
      </c>
      <c r="I160" s="64"/>
      <c r="N160" s="34"/>
    </row>
    <row r="161" spans="1:14" s="35" customFormat="1" ht="15.75" customHeight="1" x14ac:dyDescent="0.3">
      <c r="A161" s="75">
        <v>9</v>
      </c>
      <c r="B161" s="76"/>
      <c r="C161" s="60" t="s">
        <v>308</v>
      </c>
      <c r="D161" s="61">
        <f t="shared" ref="D161:D162" si="13">(5.15*9.05+3.8*2.95+1.25*1.5)*10.764</f>
        <v>642.53007000000002</v>
      </c>
      <c r="E161" s="61">
        <f t="shared" si="12"/>
        <v>41.441400000000002</v>
      </c>
      <c r="F161" s="40">
        <f>D161+E161</f>
        <v>683.97147000000007</v>
      </c>
      <c r="G161" s="40">
        <v>0</v>
      </c>
      <c r="H161" s="40">
        <f>(D161+E161)*(($H$125)+1)</f>
        <v>1025.9572050000002</v>
      </c>
      <c r="I161" s="64"/>
      <c r="N161" s="34"/>
    </row>
    <row r="162" spans="1:14" s="35" customFormat="1" ht="15.75" customHeight="1" x14ac:dyDescent="0.3">
      <c r="A162" s="75">
        <v>10</v>
      </c>
      <c r="B162" s="76"/>
      <c r="C162" s="60" t="s">
        <v>308</v>
      </c>
      <c r="D162" s="61">
        <f t="shared" si="13"/>
        <v>642.53007000000002</v>
      </c>
      <c r="E162" s="61">
        <f t="shared" si="12"/>
        <v>41.441400000000002</v>
      </c>
      <c r="F162" s="40">
        <f>D162+E162</f>
        <v>683.97147000000007</v>
      </c>
      <c r="G162" s="40">
        <v>0</v>
      </c>
      <c r="H162" s="40">
        <f>(D162+E162)*(($H$125)+1)</f>
        <v>1025.9572050000002</v>
      </c>
      <c r="I162" s="64"/>
      <c r="N162" s="34"/>
    </row>
    <row r="163" spans="1:14" s="35" customFormat="1" ht="15.75" customHeight="1" x14ac:dyDescent="0.3">
      <c r="A163" s="75">
        <v>11</v>
      </c>
      <c r="B163" s="76"/>
      <c r="C163" s="60" t="s">
        <v>308</v>
      </c>
      <c r="D163" s="61">
        <f>(4.42*9.05+5.72*2.95+1.3*5.9+1.2*1.45)*10.764</f>
        <v>713.49173999999994</v>
      </c>
      <c r="E163" s="61">
        <f>(5.9+2.95+1+5.72)*10.764</f>
        <v>167.59547999999998</v>
      </c>
      <c r="F163" s="40">
        <f>D163+E163</f>
        <v>881.08721999999989</v>
      </c>
      <c r="G163" s="40">
        <v>0</v>
      </c>
      <c r="H163" s="40">
        <f>(D163+E163)*(($H$125)+1)</f>
        <v>1321.6308299999998</v>
      </c>
      <c r="I163" s="64"/>
      <c r="N163" s="34"/>
    </row>
    <row r="164" spans="1:14" s="35" customFormat="1" ht="15.75" customHeight="1" x14ac:dyDescent="0.3">
      <c r="A164" s="86" t="s">
        <v>349</v>
      </c>
      <c r="B164" s="87"/>
      <c r="C164" s="87"/>
      <c r="D164" s="87"/>
      <c r="E164" s="87"/>
      <c r="F164" s="87"/>
      <c r="G164" s="87"/>
      <c r="H164" s="88"/>
      <c r="I164" s="64"/>
      <c r="N164" s="34"/>
    </row>
    <row r="165" spans="1:14" s="35" customFormat="1" ht="15.75" customHeight="1" x14ac:dyDescent="0.3">
      <c r="A165" s="75">
        <v>1</v>
      </c>
      <c r="B165" s="76"/>
      <c r="C165" s="60" t="s">
        <v>308</v>
      </c>
      <c r="D165" s="61">
        <f>(4.115*10.4+5.72*2.28+1.25*1.5)*10.764</f>
        <v>621.21842640000011</v>
      </c>
      <c r="E165" s="61">
        <f>(5.72+1+1)*10.764</f>
        <v>83.098079999999996</v>
      </c>
      <c r="F165" s="40">
        <f t="shared" ref="F165:F172" si="14">D165+E165</f>
        <v>704.31650640000009</v>
      </c>
      <c r="G165" s="40">
        <v>0</v>
      </c>
      <c r="H165" s="68">
        <f t="shared" ref="H165:H173" si="15">(D165+E165)*(($H$125)+1)</f>
        <v>1056.4747596000002</v>
      </c>
      <c r="I165" s="65">
        <f>4.12*8.58+2.02*3.1+1.2*1.45</f>
        <v>43.351600000000005</v>
      </c>
      <c r="J165" s="66">
        <f>1.5+5.12</f>
        <v>6.62</v>
      </c>
      <c r="N165" s="34"/>
    </row>
    <row r="166" spans="1:14" s="35" customFormat="1" ht="15.75" customHeight="1" x14ac:dyDescent="0.3">
      <c r="A166" s="75">
        <v>2</v>
      </c>
      <c r="B166" s="76"/>
      <c r="C166" s="60" t="s">
        <v>308</v>
      </c>
      <c r="D166" s="61">
        <f>(5.15*9.73+3.8*2.95+1.25*1.5)*10.764</f>
        <v>680.22559799999999</v>
      </c>
      <c r="E166" s="61">
        <f>(3.85)*10.764</f>
        <v>41.441400000000002</v>
      </c>
      <c r="F166" s="40">
        <f t="shared" si="14"/>
        <v>721.66699800000004</v>
      </c>
      <c r="G166" s="40">
        <v>0</v>
      </c>
      <c r="H166" s="68">
        <f t="shared" si="15"/>
        <v>1082.500497</v>
      </c>
      <c r="I166" s="65">
        <f>5.15*6.63+3.85*1.95+3.05*3.1+1.2*1.5</f>
        <v>52.906999999999996</v>
      </c>
      <c r="J166" s="66">
        <f>3.85</f>
        <v>3.85</v>
      </c>
      <c r="N166" s="34"/>
    </row>
    <row r="167" spans="1:14" s="35" customFormat="1" ht="15.75" customHeight="1" x14ac:dyDescent="0.3">
      <c r="A167" s="75" t="s">
        <v>350</v>
      </c>
      <c r="B167" s="76"/>
      <c r="C167" s="60" t="s">
        <v>308</v>
      </c>
      <c r="D167" s="61">
        <f>(5.15*9.73+3.8*2.95+1.25*1.5)*2*10.764</f>
        <v>1360.451196</v>
      </c>
      <c r="E167" s="61">
        <f>(3.85*2)*10.764</f>
        <v>82.882800000000003</v>
      </c>
      <c r="F167" s="40">
        <f t="shared" si="14"/>
        <v>1443.3339960000001</v>
      </c>
      <c r="G167" s="40">
        <v>0</v>
      </c>
      <c r="H167" s="68">
        <f t="shared" si="15"/>
        <v>2165.000994</v>
      </c>
      <c r="I167" s="65">
        <f>5.15*6.63+3.85*2.95+3.05*3.1+1.2*1.5</f>
        <v>56.756999999999998</v>
      </c>
      <c r="J167" s="66">
        <v>0</v>
      </c>
      <c r="N167" s="34"/>
    </row>
    <row r="168" spans="1:14" s="35" customFormat="1" ht="15.75" customHeight="1" x14ac:dyDescent="0.3">
      <c r="A168" s="75" t="s">
        <v>348</v>
      </c>
      <c r="B168" s="76"/>
      <c r="C168" s="60" t="s">
        <v>308</v>
      </c>
      <c r="D168" s="61">
        <f>(8.125*9.1+1.6*7.75+1.35*0.63+4.175*2.38+1.25*1.5*2)*10.764</f>
        <v>1085.8131179999998</v>
      </c>
      <c r="E168" s="61">
        <f>(3.85+11.33*1.2+5.42*1.2)*10.764</f>
        <v>257.7978</v>
      </c>
      <c r="F168" s="40">
        <f t="shared" si="14"/>
        <v>1343.6109179999999</v>
      </c>
      <c r="G168" s="40">
        <v>0</v>
      </c>
      <c r="H168" s="40">
        <f t="shared" si="15"/>
        <v>2015.4163769999998</v>
      </c>
      <c r="I168" s="65">
        <f>5.15*6.63+3.85*1.75+3.05*3.1+1.2*1.5</f>
        <v>52.136999999999993</v>
      </c>
      <c r="J168" s="66">
        <f>3.85*1.2</f>
        <v>4.62</v>
      </c>
      <c r="N168" s="34"/>
    </row>
    <row r="169" spans="1:14" s="35" customFormat="1" ht="15.75" customHeight="1" x14ac:dyDescent="0.3">
      <c r="A169" s="75">
        <v>7</v>
      </c>
      <c r="B169" s="76"/>
      <c r="C169" s="60" t="s">
        <v>308</v>
      </c>
      <c r="D169" s="61">
        <f>(3.725*9.05+7*2.4+9.38*2.95+1.2*1.5)*10.764</f>
        <v>860.92893900000001</v>
      </c>
      <c r="E169" s="61">
        <f>(9.38+1+2.95+2.4)*10.764</f>
        <v>169.31772000000001</v>
      </c>
      <c r="F169" s="40">
        <f t="shared" si="14"/>
        <v>1030.2466589999999</v>
      </c>
      <c r="G169" s="40">
        <v>0</v>
      </c>
      <c r="H169" s="68">
        <f t="shared" si="15"/>
        <v>1545.3699884999999</v>
      </c>
      <c r="I169" s="66">
        <f>3.725*5.95+1.78*3.1+8.425*1.95+6*2.4+1.2*1.5</f>
        <v>60.310499999999998</v>
      </c>
      <c r="J169" s="66">
        <f>4.35+8.5</f>
        <v>12.85</v>
      </c>
      <c r="N169" s="34"/>
    </row>
    <row r="170" spans="1:14" s="35" customFormat="1" ht="15.75" customHeight="1" x14ac:dyDescent="0.3">
      <c r="A170" s="75">
        <v>8</v>
      </c>
      <c r="B170" s="76"/>
      <c r="C170" s="60" t="s">
        <v>308</v>
      </c>
      <c r="D170" s="61">
        <f>(5.15*9.05+3.8*2.95+1.25*1.5)*10.764</f>
        <v>642.53007000000002</v>
      </c>
      <c r="E170" s="61">
        <f t="shared" ref="E170:E172" si="16">(3.85)*10.764</f>
        <v>41.441400000000002</v>
      </c>
      <c r="F170" s="40">
        <f t="shared" si="14"/>
        <v>683.97147000000007</v>
      </c>
      <c r="G170" s="40">
        <v>0</v>
      </c>
      <c r="H170" s="68">
        <f t="shared" si="15"/>
        <v>1025.9572050000002</v>
      </c>
      <c r="I170" s="65">
        <f>5.15*5.95+3.85*1.95+3.05*3.1+1.2*1.5</f>
        <v>49.405000000000001</v>
      </c>
      <c r="J170" s="66">
        <f>3.85</f>
        <v>3.85</v>
      </c>
      <c r="N170" s="34"/>
    </row>
    <row r="171" spans="1:14" s="35" customFormat="1" ht="15.75" customHeight="1" x14ac:dyDescent="0.3">
      <c r="A171" s="75">
        <v>9</v>
      </c>
      <c r="B171" s="76"/>
      <c r="C171" s="60" t="s">
        <v>308</v>
      </c>
      <c r="D171" s="61">
        <f t="shared" ref="D171:D172" si="17">(5.15*9.05+3.8*2.95+1.25*1.5)*10.764</f>
        <v>642.53007000000002</v>
      </c>
      <c r="E171" s="61">
        <f t="shared" si="16"/>
        <v>41.441400000000002</v>
      </c>
      <c r="F171" s="40">
        <f t="shared" si="14"/>
        <v>683.97147000000007</v>
      </c>
      <c r="G171" s="40">
        <v>0</v>
      </c>
      <c r="H171" s="68">
        <f t="shared" si="15"/>
        <v>1025.9572050000002</v>
      </c>
      <c r="I171" s="65">
        <f>5.15*5.95+3.85*1.95+3.05*3.1+1.2*1.5</f>
        <v>49.405000000000001</v>
      </c>
      <c r="J171" s="66">
        <f>3.85</f>
        <v>3.85</v>
      </c>
      <c r="N171" s="34"/>
    </row>
    <row r="172" spans="1:14" s="35" customFormat="1" ht="15.75" customHeight="1" x14ac:dyDescent="0.3">
      <c r="A172" s="75">
        <v>10</v>
      </c>
      <c r="B172" s="76"/>
      <c r="C172" s="60" t="s">
        <v>308</v>
      </c>
      <c r="D172" s="61">
        <f t="shared" si="17"/>
        <v>642.53007000000002</v>
      </c>
      <c r="E172" s="61">
        <f t="shared" si="16"/>
        <v>41.441400000000002</v>
      </c>
      <c r="F172" s="40">
        <f t="shared" si="14"/>
        <v>683.97147000000007</v>
      </c>
      <c r="G172" s="40">
        <v>0</v>
      </c>
      <c r="H172" s="68">
        <f t="shared" si="15"/>
        <v>1025.9572050000002</v>
      </c>
      <c r="I172" s="65">
        <f>5.15*5.95+3.85*1.95+3.05*3.1+1.2*1.5</f>
        <v>49.405000000000001</v>
      </c>
      <c r="J172" s="66">
        <f>3.85</f>
        <v>3.85</v>
      </c>
      <c r="N172" s="34"/>
    </row>
    <row r="173" spans="1:14" s="35" customFormat="1" ht="15.75" customHeight="1" x14ac:dyDescent="0.3">
      <c r="A173" s="75">
        <v>11</v>
      </c>
      <c r="B173" s="76"/>
      <c r="C173" s="60" t="s">
        <v>308</v>
      </c>
      <c r="D173" s="61">
        <f>(4.42*9.05+5.72*2.95+1.3*5.9+1.2*1.45)*10.764</f>
        <v>713.49173999999994</v>
      </c>
      <c r="E173" s="61">
        <f>(5.9+2.95+1+5.72)*10.764</f>
        <v>167.59547999999998</v>
      </c>
      <c r="F173" s="40">
        <f>D173+E173</f>
        <v>881.08721999999989</v>
      </c>
      <c r="G173" s="40">
        <v>0</v>
      </c>
      <c r="H173" s="68">
        <f t="shared" si="15"/>
        <v>1321.6308299999998</v>
      </c>
      <c r="I173" s="65">
        <f>4.725*8.9+1.33*2.1+1.2*1.45</f>
        <v>46.585500000000003</v>
      </c>
      <c r="J173" s="66">
        <f>5.7+7.5</f>
        <v>13.2</v>
      </c>
      <c r="N173" s="34"/>
    </row>
    <row r="174" spans="1:14" s="35" customFormat="1" ht="15.75" customHeight="1" x14ac:dyDescent="0.3">
      <c r="A174" s="96" t="s">
        <v>316</v>
      </c>
      <c r="B174" s="97"/>
      <c r="C174" s="97"/>
      <c r="D174" s="97"/>
      <c r="E174" s="97"/>
      <c r="F174" s="97"/>
      <c r="G174" s="97"/>
      <c r="H174" s="98"/>
      <c r="I174" s="64"/>
      <c r="N174" s="34"/>
    </row>
    <row r="175" spans="1:14" s="35" customFormat="1" ht="15.75" customHeight="1" x14ac:dyDescent="0.3">
      <c r="A175" s="75">
        <v>1</v>
      </c>
      <c r="B175" s="76"/>
      <c r="C175" s="60" t="s">
        <v>308</v>
      </c>
      <c r="D175" s="61">
        <f>(4.115*10.4+5.72*2.28+1.25*1.5)*10.764</f>
        <v>621.21842640000011</v>
      </c>
      <c r="E175" s="61">
        <f>(5.72+1+1)*10.764</f>
        <v>83.098079999999996</v>
      </c>
      <c r="F175" s="40">
        <f t="shared" ref="F175:F184" si="18">D175+E175</f>
        <v>704.31650640000009</v>
      </c>
      <c r="G175" s="40">
        <v>0</v>
      </c>
      <c r="H175" s="68">
        <f t="shared" ref="H175:H185" si="19">(D175+E175)*(($H$125)+1)</f>
        <v>1056.4747596000002</v>
      </c>
      <c r="I175" s="65">
        <f>4.12*8.58+2.02*3.1+1.2*1.45</f>
        <v>43.351600000000005</v>
      </c>
      <c r="J175" s="66">
        <f>1.5+5.12</f>
        <v>6.62</v>
      </c>
      <c r="N175" s="34"/>
    </row>
    <row r="176" spans="1:14" s="35" customFormat="1" ht="15.75" customHeight="1" x14ac:dyDescent="0.3">
      <c r="A176" s="75">
        <v>2</v>
      </c>
      <c r="B176" s="76"/>
      <c r="C176" s="60" t="s">
        <v>308</v>
      </c>
      <c r="D176" s="61">
        <f>(5.15*9.73+3.8*2.95+1.25*1.5)*10.764</f>
        <v>680.22559799999999</v>
      </c>
      <c r="E176" s="61">
        <f>(3.85)*10.764</f>
        <v>41.441400000000002</v>
      </c>
      <c r="F176" s="40">
        <f t="shared" si="18"/>
        <v>721.66699800000004</v>
      </c>
      <c r="G176" s="40">
        <v>0</v>
      </c>
      <c r="H176" s="68">
        <f t="shared" si="19"/>
        <v>1082.500497</v>
      </c>
      <c r="I176" s="65">
        <f>5.15*6.63+3.85*1.95+3.05*3.1+1.2*1.5</f>
        <v>52.906999999999996</v>
      </c>
      <c r="J176" s="66">
        <f>3.85</f>
        <v>3.85</v>
      </c>
      <c r="N176" s="34"/>
    </row>
    <row r="177" spans="1:14" s="35" customFormat="1" ht="15.75" customHeight="1" x14ac:dyDescent="0.3">
      <c r="A177" s="75">
        <v>3</v>
      </c>
      <c r="B177" s="76"/>
      <c r="C177" s="60" t="s">
        <v>308</v>
      </c>
      <c r="D177" s="61">
        <f>(5.15*9.73+3.8*2.95+1.25*1.5)*10.764</f>
        <v>680.22559799999999</v>
      </c>
      <c r="E177" s="61">
        <f>(3.85)*10.764</f>
        <v>41.441400000000002</v>
      </c>
      <c r="F177" s="40">
        <f t="shared" si="18"/>
        <v>721.66699800000004</v>
      </c>
      <c r="G177" s="40">
        <v>0</v>
      </c>
      <c r="H177" s="68">
        <f t="shared" si="19"/>
        <v>1082.500497</v>
      </c>
      <c r="I177" s="65">
        <f>5.15*6.63+3.85*2.95+3.05*3.1+1.2*1.5</f>
        <v>56.756999999999998</v>
      </c>
      <c r="J177" s="66">
        <v>0</v>
      </c>
      <c r="N177" s="34"/>
    </row>
    <row r="178" spans="1:14" s="35" customFormat="1" ht="15.75" customHeight="1" x14ac:dyDescent="0.3">
      <c r="A178" s="75">
        <v>4</v>
      </c>
      <c r="B178" s="76"/>
      <c r="C178" s="60" t="s">
        <v>308</v>
      </c>
      <c r="D178" s="61">
        <f t="shared" ref="D178:D179" si="20">(5.15*9.73+3.8*2.95+1.25*1.5)*10.764</f>
        <v>680.22559799999999</v>
      </c>
      <c r="E178" s="61">
        <f t="shared" ref="E178:E179" si="21">(3.85)*10.764</f>
        <v>41.441400000000002</v>
      </c>
      <c r="F178" s="40">
        <f t="shared" si="18"/>
        <v>721.66699800000004</v>
      </c>
      <c r="G178" s="40">
        <v>0</v>
      </c>
      <c r="H178" s="68">
        <f t="shared" si="19"/>
        <v>1082.500497</v>
      </c>
      <c r="I178" s="65">
        <f>5.15*6.63+3.85*2.95+3.05*3.1+1.2*1.5</f>
        <v>56.756999999999998</v>
      </c>
      <c r="J178" s="66">
        <v>0</v>
      </c>
      <c r="N178" s="34"/>
    </row>
    <row r="179" spans="1:14" s="35" customFormat="1" ht="15.75" customHeight="1" x14ac:dyDescent="0.3">
      <c r="A179" s="75">
        <v>5</v>
      </c>
      <c r="B179" s="76"/>
      <c r="C179" s="60" t="s">
        <v>308</v>
      </c>
      <c r="D179" s="61">
        <f t="shared" si="20"/>
        <v>680.22559799999999</v>
      </c>
      <c r="E179" s="61">
        <f t="shared" si="21"/>
        <v>41.441400000000002</v>
      </c>
      <c r="F179" s="40">
        <f t="shared" si="18"/>
        <v>721.66699800000004</v>
      </c>
      <c r="G179" s="40">
        <v>0</v>
      </c>
      <c r="H179" s="68">
        <f t="shared" si="19"/>
        <v>1082.500497</v>
      </c>
      <c r="I179" s="65">
        <f>5.15*6.63+3.85*1.75+3.05*3.1+1.2*1.5</f>
        <v>52.136999999999993</v>
      </c>
      <c r="J179" s="66">
        <f>3.85*1.2</f>
        <v>4.62</v>
      </c>
      <c r="N179" s="34"/>
    </row>
    <row r="180" spans="1:14" s="35" customFormat="1" ht="15.75" customHeight="1" x14ac:dyDescent="0.3">
      <c r="A180" s="75">
        <v>6</v>
      </c>
      <c r="B180" s="76"/>
      <c r="C180" s="60" t="s">
        <v>308</v>
      </c>
      <c r="D180" s="61">
        <f>(5.425*11.33+2.82*1.35+1.25*1.5)*10.764</f>
        <v>722.77299899999991</v>
      </c>
      <c r="E180" s="61">
        <f>(11.33*1.2+5.42*1.2)*10.764</f>
        <v>216.35640000000001</v>
      </c>
      <c r="F180" s="40">
        <f t="shared" si="18"/>
        <v>939.12939899999992</v>
      </c>
      <c r="G180" s="40">
        <v>0</v>
      </c>
      <c r="H180" s="68">
        <f t="shared" si="19"/>
        <v>1408.6940984999999</v>
      </c>
      <c r="I180" s="65">
        <f>4.22*7.08+2.17*3.1+2.82*1.2+1.5*1.2</f>
        <v>41.788599999999995</v>
      </c>
      <c r="J180" s="66">
        <f>5.4*1.2+10.1*1.2</f>
        <v>18.600000000000001</v>
      </c>
      <c r="N180" s="34"/>
    </row>
    <row r="181" spans="1:14" s="35" customFormat="1" ht="15.75" customHeight="1" x14ac:dyDescent="0.3">
      <c r="A181" s="75">
        <v>7</v>
      </c>
      <c r="B181" s="76"/>
      <c r="C181" s="60" t="s">
        <v>308</v>
      </c>
      <c r="D181" s="61">
        <f>(3.725*9.05+7*2.4+9.38*2.95+1.2*1.5)*10.764</f>
        <v>860.92893900000001</v>
      </c>
      <c r="E181" s="61">
        <f>(9.38+1+2.95+2.4)*10.764</f>
        <v>169.31772000000001</v>
      </c>
      <c r="F181" s="40">
        <f t="shared" si="18"/>
        <v>1030.2466589999999</v>
      </c>
      <c r="G181" s="40">
        <v>0</v>
      </c>
      <c r="H181" s="68">
        <f t="shared" si="19"/>
        <v>1545.3699884999999</v>
      </c>
      <c r="I181" s="66">
        <f>3.725*5.95+1.78*3.1+8.425*1.95+6*2.4+1.2*1.5</f>
        <v>60.310499999999998</v>
      </c>
      <c r="J181" s="66">
        <f>4.35+8.5</f>
        <v>12.85</v>
      </c>
      <c r="N181" s="34"/>
    </row>
    <row r="182" spans="1:14" s="35" customFormat="1" ht="15.75" customHeight="1" x14ac:dyDescent="0.3">
      <c r="A182" s="75">
        <v>8</v>
      </c>
      <c r="B182" s="76"/>
      <c r="C182" s="60" t="s">
        <v>308</v>
      </c>
      <c r="D182" s="61">
        <f>(5.15*9.05+3.8*2.95+1.25*1.5)*10.764</f>
        <v>642.53007000000002</v>
      </c>
      <c r="E182" s="61">
        <f t="shared" ref="E182:E184" si="22">(3.85)*10.764</f>
        <v>41.441400000000002</v>
      </c>
      <c r="F182" s="40">
        <f t="shared" si="18"/>
        <v>683.97147000000007</v>
      </c>
      <c r="G182" s="40">
        <v>0</v>
      </c>
      <c r="H182" s="68">
        <f t="shared" si="19"/>
        <v>1025.9572050000002</v>
      </c>
      <c r="I182" s="65">
        <f>5.15*5.95+3.85*1.95+3.05*3.1+1.2*1.5</f>
        <v>49.405000000000001</v>
      </c>
      <c r="J182" s="66">
        <f>3.85</f>
        <v>3.85</v>
      </c>
      <c r="N182" s="34"/>
    </row>
    <row r="183" spans="1:14" s="35" customFormat="1" ht="15.75" customHeight="1" x14ac:dyDescent="0.3">
      <c r="A183" s="75">
        <v>9</v>
      </c>
      <c r="B183" s="76"/>
      <c r="C183" s="60" t="s">
        <v>308</v>
      </c>
      <c r="D183" s="61">
        <f t="shared" ref="D183:D184" si="23">(5.15*9.05+3.8*2.95+1.25*1.5)*10.764</f>
        <v>642.53007000000002</v>
      </c>
      <c r="E183" s="61">
        <f t="shared" si="22"/>
        <v>41.441400000000002</v>
      </c>
      <c r="F183" s="40">
        <f t="shared" si="18"/>
        <v>683.97147000000007</v>
      </c>
      <c r="G183" s="40">
        <v>0</v>
      </c>
      <c r="H183" s="68">
        <f t="shared" si="19"/>
        <v>1025.9572050000002</v>
      </c>
      <c r="I183" s="65">
        <f>5.15*5.95+3.85*1.95+3.05*3.1+1.2*1.5</f>
        <v>49.405000000000001</v>
      </c>
      <c r="J183" s="66">
        <f>3.85</f>
        <v>3.85</v>
      </c>
      <c r="N183" s="34"/>
    </row>
    <row r="184" spans="1:14" s="35" customFormat="1" ht="15.75" customHeight="1" x14ac:dyDescent="0.3">
      <c r="A184" s="75">
        <v>10</v>
      </c>
      <c r="B184" s="76"/>
      <c r="C184" s="60" t="s">
        <v>308</v>
      </c>
      <c r="D184" s="61">
        <f t="shared" si="23"/>
        <v>642.53007000000002</v>
      </c>
      <c r="E184" s="61">
        <f t="shared" si="22"/>
        <v>41.441400000000002</v>
      </c>
      <c r="F184" s="40">
        <f t="shared" si="18"/>
        <v>683.97147000000007</v>
      </c>
      <c r="G184" s="40">
        <v>0</v>
      </c>
      <c r="H184" s="68">
        <f t="shared" si="19"/>
        <v>1025.9572050000002</v>
      </c>
      <c r="I184" s="65">
        <f>5.15*5.95+3.85*1.95+3.05*3.1+1.2*1.5</f>
        <v>49.405000000000001</v>
      </c>
      <c r="J184" s="66">
        <f>3.85</f>
        <v>3.85</v>
      </c>
      <c r="N184" s="34"/>
    </row>
    <row r="185" spans="1:14" s="35" customFormat="1" ht="15.75" customHeight="1" x14ac:dyDescent="0.3">
      <c r="A185" s="75">
        <v>11</v>
      </c>
      <c r="B185" s="76"/>
      <c r="C185" s="60" t="s">
        <v>308</v>
      </c>
      <c r="D185" s="61">
        <f>(4.42*9.05+5.72*2.95+1.3*5.9+1.2*1.45)*10.764</f>
        <v>713.49173999999994</v>
      </c>
      <c r="E185" s="61">
        <f>(5.9+2.95+1+5.72)*10.764</f>
        <v>167.59547999999998</v>
      </c>
      <c r="F185" s="40">
        <f>D185+E185</f>
        <v>881.08721999999989</v>
      </c>
      <c r="G185" s="40">
        <v>0</v>
      </c>
      <c r="H185" s="68">
        <f t="shared" si="19"/>
        <v>1321.6308299999998</v>
      </c>
      <c r="I185" s="65">
        <f>4.725*8.9+1.33*2.1+1.2*1.45</f>
        <v>46.585500000000003</v>
      </c>
      <c r="J185" s="66">
        <f>5.7+7.5</f>
        <v>13.2</v>
      </c>
      <c r="N185" s="34"/>
    </row>
    <row r="186" spans="1:14" s="35" customFormat="1" ht="15.75" customHeight="1" x14ac:dyDescent="0.3">
      <c r="A186" s="96" t="s">
        <v>319</v>
      </c>
      <c r="B186" s="97"/>
      <c r="C186" s="97"/>
      <c r="D186" s="97"/>
      <c r="E186" s="97"/>
      <c r="F186" s="97"/>
      <c r="G186" s="97"/>
      <c r="H186" s="98"/>
      <c r="I186" s="65"/>
      <c r="J186" s="66"/>
      <c r="N186" s="34"/>
    </row>
    <row r="187" spans="1:14" s="35" customFormat="1" ht="15.75" customHeight="1" x14ac:dyDescent="0.3">
      <c r="A187" s="75">
        <v>1</v>
      </c>
      <c r="B187" s="76"/>
      <c r="C187" s="60" t="s">
        <v>308</v>
      </c>
      <c r="D187" s="61">
        <f>(4.115*10.4+5.72*2.28+1.25*1.5)*10.764</f>
        <v>621.21842640000011</v>
      </c>
      <c r="E187" s="61">
        <f>(5.72+1+1)*10.764</f>
        <v>83.098079999999996</v>
      </c>
      <c r="F187" s="40">
        <f t="shared" ref="F187:F197" si="24">D187+E187</f>
        <v>704.31650640000009</v>
      </c>
      <c r="G187" s="40">
        <v>0</v>
      </c>
      <c r="H187" s="40">
        <f t="shared" ref="H187:H197" si="25">(D187+E187)*(($H$125)+1)</f>
        <v>1056.4747596000002</v>
      </c>
      <c r="I187" s="65"/>
      <c r="J187" s="66"/>
      <c r="N187" s="34"/>
    </row>
    <row r="188" spans="1:14" s="35" customFormat="1" ht="15.75" customHeight="1" x14ac:dyDescent="0.3">
      <c r="A188" s="75">
        <v>2</v>
      </c>
      <c r="B188" s="76"/>
      <c r="C188" s="60" t="s">
        <v>308</v>
      </c>
      <c r="D188" s="61">
        <f>(5.15*9.73+3.8*2.95+1.25*1.5)*10.764</f>
        <v>680.22559799999999</v>
      </c>
      <c r="E188" s="61">
        <f>(3.85)*10.764</f>
        <v>41.441400000000002</v>
      </c>
      <c r="F188" s="40">
        <f t="shared" si="24"/>
        <v>721.66699800000004</v>
      </c>
      <c r="G188" s="40">
        <v>0</v>
      </c>
      <c r="H188" s="40">
        <f t="shared" si="25"/>
        <v>1082.500497</v>
      </c>
      <c r="I188" s="65"/>
      <c r="J188" s="66"/>
      <c r="N188" s="34"/>
    </row>
    <row r="189" spans="1:14" s="35" customFormat="1" ht="15.75" customHeight="1" x14ac:dyDescent="0.3">
      <c r="A189" s="75">
        <v>3</v>
      </c>
      <c r="B189" s="76"/>
      <c r="C189" s="60" t="s">
        <v>308</v>
      </c>
      <c r="D189" s="61">
        <f>(5.15*9.73+3.8*2.95+1.25*1.5)*10.764</f>
        <v>680.22559799999999</v>
      </c>
      <c r="E189" s="61">
        <f>(3.85)*10.764</f>
        <v>41.441400000000002</v>
      </c>
      <c r="F189" s="40">
        <f t="shared" si="24"/>
        <v>721.66699800000004</v>
      </c>
      <c r="G189" s="40">
        <v>0</v>
      </c>
      <c r="H189" s="40">
        <f t="shared" si="25"/>
        <v>1082.500497</v>
      </c>
      <c r="I189" s="65"/>
      <c r="J189" s="66"/>
      <c r="N189" s="34"/>
    </row>
    <row r="190" spans="1:14" s="35" customFormat="1" ht="15.75" customHeight="1" x14ac:dyDescent="0.3">
      <c r="A190" s="75">
        <v>4</v>
      </c>
      <c r="B190" s="76"/>
      <c r="C190" s="60" t="s">
        <v>308</v>
      </c>
      <c r="D190" s="61">
        <f t="shared" ref="D190:D191" si="26">(5.15*9.73+3.8*2.95+1.25*1.5)*10.764</f>
        <v>680.22559799999999</v>
      </c>
      <c r="E190" s="61">
        <f t="shared" ref="E190:E191" si="27">(3.85)*10.764</f>
        <v>41.441400000000002</v>
      </c>
      <c r="F190" s="40">
        <f t="shared" si="24"/>
        <v>721.66699800000004</v>
      </c>
      <c r="G190" s="40">
        <v>0</v>
      </c>
      <c r="H190" s="40">
        <f t="shared" si="25"/>
        <v>1082.500497</v>
      </c>
      <c r="I190" s="65"/>
      <c r="J190" s="66"/>
      <c r="N190" s="34"/>
    </row>
    <row r="191" spans="1:14" s="35" customFormat="1" ht="15.75" customHeight="1" x14ac:dyDescent="0.3">
      <c r="A191" s="75">
        <v>5</v>
      </c>
      <c r="B191" s="76"/>
      <c r="C191" s="60" t="s">
        <v>308</v>
      </c>
      <c r="D191" s="61">
        <f t="shared" si="26"/>
        <v>680.22559799999999</v>
      </c>
      <c r="E191" s="61">
        <f t="shared" si="27"/>
        <v>41.441400000000002</v>
      </c>
      <c r="F191" s="40">
        <f t="shared" si="24"/>
        <v>721.66699800000004</v>
      </c>
      <c r="G191" s="40">
        <v>0</v>
      </c>
      <c r="H191" s="40">
        <f t="shared" si="25"/>
        <v>1082.500497</v>
      </c>
      <c r="I191" s="65"/>
      <c r="J191" s="66"/>
      <c r="N191" s="34"/>
    </row>
    <row r="192" spans="1:14" s="35" customFormat="1" ht="15.75" customHeight="1" x14ac:dyDescent="0.3">
      <c r="A192" s="75">
        <v>6</v>
      </c>
      <c r="B192" s="76"/>
      <c r="C192" s="60" t="s">
        <v>308</v>
      </c>
      <c r="D192" s="61">
        <f>(5.425*11.33+2.82*1.35+1.25*1.5)*10.764</f>
        <v>722.77299899999991</v>
      </c>
      <c r="E192" s="61">
        <f>(11.33*1.2+5.42*1.2)*10.764</f>
        <v>216.35640000000001</v>
      </c>
      <c r="F192" s="40">
        <f t="shared" si="24"/>
        <v>939.12939899999992</v>
      </c>
      <c r="G192" s="40">
        <v>0</v>
      </c>
      <c r="H192" s="40">
        <f t="shared" si="25"/>
        <v>1408.6940984999999</v>
      </c>
      <c r="I192" s="65"/>
      <c r="J192" s="66"/>
      <c r="N192" s="34"/>
    </row>
    <row r="193" spans="1:14" s="35" customFormat="1" ht="15.75" customHeight="1" x14ac:dyDescent="0.3">
      <c r="A193" s="75">
        <v>7</v>
      </c>
      <c r="B193" s="76"/>
      <c r="C193" s="60" t="s">
        <v>308</v>
      </c>
      <c r="D193" s="61">
        <f>(3.725*9.05+7*2.4+9.38*2.95+1.2*1.5)*10.764</f>
        <v>860.92893900000001</v>
      </c>
      <c r="E193" s="61">
        <f>(9.38+1+2.95+2.4)*10.764</f>
        <v>169.31772000000001</v>
      </c>
      <c r="F193" s="40">
        <f t="shared" si="24"/>
        <v>1030.2466589999999</v>
      </c>
      <c r="G193" s="40">
        <v>0</v>
      </c>
      <c r="H193" s="40">
        <f t="shared" si="25"/>
        <v>1545.3699884999999</v>
      </c>
      <c r="I193" s="65"/>
      <c r="J193" s="66"/>
      <c r="N193" s="34"/>
    </row>
    <row r="194" spans="1:14" s="35" customFormat="1" ht="15.75" customHeight="1" x14ac:dyDescent="0.3">
      <c r="A194" s="75">
        <v>8</v>
      </c>
      <c r="B194" s="76"/>
      <c r="C194" s="60" t="s">
        <v>308</v>
      </c>
      <c r="D194" s="61">
        <f>(5.15*9.05+3.8*2.95+1.25*1.5)*10.764</f>
        <v>642.53007000000002</v>
      </c>
      <c r="E194" s="61">
        <f t="shared" ref="E194:E196" si="28">(3.85)*10.764</f>
        <v>41.441400000000002</v>
      </c>
      <c r="F194" s="40">
        <f t="shared" si="24"/>
        <v>683.97147000000007</v>
      </c>
      <c r="G194" s="40">
        <v>0</v>
      </c>
      <c r="H194" s="40">
        <f t="shared" si="25"/>
        <v>1025.9572050000002</v>
      </c>
      <c r="I194" s="65"/>
      <c r="J194" s="66"/>
      <c r="N194" s="34"/>
    </row>
    <row r="195" spans="1:14" s="35" customFormat="1" ht="15.75" customHeight="1" x14ac:dyDescent="0.3">
      <c r="A195" s="75">
        <v>9</v>
      </c>
      <c r="B195" s="76"/>
      <c r="C195" s="60" t="s">
        <v>308</v>
      </c>
      <c r="D195" s="61">
        <f t="shared" ref="D195:D196" si="29">(5.15*9.05+3.8*2.95+1.25*1.5)*10.764</f>
        <v>642.53007000000002</v>
      </c>
      <c r="E195" s="61">
        <f t="shared" si="28"/>
        <v>41.441400000000002</v>
      </c>
      <c r="F195" s="40">
        <f t="shared" si="24"/>
        <v>683.97147000000007</v>
      </c>
      <c r="G195" s="40">
        <v>0</v>
      </c>
      <c r="H195" s="40">
        <f t="shared" si="25"/>
        <v>1025.9572050000002</v>
      </c>
      <c r="I195" s="65"/>
      <c r="J195" s="66"/>
      <c r="N195" s="34"/>
    </row>
    <row r="196" spans="1:14" s="35" customFormat="1" ht="15.75" customHeight="1" x14ac:dyDescent="0.3">
      <c r="A196" s="75">
        <v>10</v>
      </c>
      <c r="B196" s="76"/>
      <c r="C196" s="60" t="s">
        <v>308</v>
      </c>
      <c r="D196" s="61">
        <f t="shared" si="29"/>
        <v>642.53007000000002</v>
      </c>
      <c r="E196" s="61">
        <f t="shared" si="28"/>
        <v>41.441400000000002</v>
      </c>
      <c r="F196" s="40">
        <f t="shared" si="24"/>
        <v>683.97147000000007</v>
      </c>
      <c r="G196" s="40">
        <v>0</v>
      </c>
      <c r="H196" s="40">
        <f t="shared" si="25"/>
        <v>1025.9572050000002</v>
      </c>
      <c r="I196" s="65"/>
      <c r="J196" s="66"/>
      <c r="N196" s="34"/>
    </row>
    <row r="197" spans="1:14" s="35" customFormat="1" ht="15.75" customHeight="1" x14ac:dyDescent="0.3">
      <c r="A197" s="75">
        <v>11</v>
      </c>
      <c r="B197" s="76"/>
      <c r="C197" s="60" t="s">
        <v>308</v>
      </c>
      <c r="D197" s="61">
        <f>(4.42*9.05+5.72*2.95+1.3*5.9+1.2*1.45)*10.764</f>
        <v>713.49173999999994</v>
      </c>
      <c r="E197" s="61">
        <f>(5.9+2.95+1+5.72)*10.764</f>
        <v>167.59547999999998</v>
      </c>
      <c r="F197" s="40">
        <f t="shared" si="24"/>
        <v>881.08721999999989</v>
      </c>
      <c r="G197" s="40">
        <v>0</v>
      </c>
      <c r="H197" s="40">
        <f t="shared" si="25"/>
        <v>1321.6308299999998</v>
      </c>
      <c r="I197" s="65"/>
      <c r="J197" s="66"/>
      <c r="N197" s="34"/>
    </row>
    <row r="198" spans="1:14" s="35" customFormat="1" ht="15.75" customHeight="1" x14ac:dyDescent="0.3">
      <c r="A198" s="96" t="s">
        <v>320</v>
      </c>
      <c r="B198" s="97"/>
      <c r="C198" s="97"/>
      <c r="D198" s="97"/>
      <c r="E198" s="97"/>
      <c r="F198" s="97"/>
      <c r="G198" s="97"/>
      <c r="H198" s="98"/>
      <c r="I198" s="65"/>
      <c r="J198" s="66"/>
      <c r="N198" s="34"/>
    </row>
    <row r="199" spans="1:14" s="35" customFormat="1" ht="15.75" customHeight="1" x14ac:dyDescent="0.3">
      <c r="A199" s="75">
        <v>1</v>
      </c>
      <c r="B199" s="76"/>
      <c r="C199" s="60" t="s">
        <v>308</v>
      </c>
      <c r="D199" s="61">
        <f>(24.04*11.08+4.25*2+3.55*1.5+2.6*8.38+9.375*2.95+7.75*2.95+8.07*0.7+9.67*2.25)*10.764</f>
        <v>4089.2592077999998</v>
      </c>
      <c r="E199" s="61">
        <f>(9.67+1+1+7.75+9.375+2.95+8.38+1)*10.764</f>
        <v>442.66949999999997</v>
      </c>
      <c r="F199" s="40">
        <f>D199+E199</f>
        <v>4531.9287077999998</v>
      </c>
      <c r="G199" s="62">
        <v>0</v>
      </c>
      <c r="H199" s="40">
        <f>(D199+E199)*(($H$125)+1)</f>
        <v>6797.8930616999996</v>
      </c>
      <c r="I199" s="65"/>
      <c r="J199" s="66"/>
      <c r="N199" s="34"/>
    </row>
    <row r="200" spans="1:14" s="35" customFormat="1" ht="15.75" customHeight="1" x14ac:dyDescent="0.3">
      <c r="A200" s="75">
        <v>2</v>
      </c>
      <c r="B200" s="76"/>
      <c r="C200" s="60" t="s">
        <v>308</v>
      </c>
      <c r="D200" s="61">
        <f>(20.32*10.3+9.67*2.95+7.75*2.95+1.3*5.9+1.25*1.5*3+1.2*1.45+3.88*1.2)*10.764</f>
        <v>3017.9672640000003</v>
      </c>
      <c r="E200" s="61">
        <f>(5.9+2.95+1+9.67+7.75)*10.764</f>
        <v>293.53428000000002</v>
      </c>
      <c r="F200" s="40">
        <f t="shared" ref="F200" si="30">D200+E200</f>
        <v>3311.5015440000002</v>
      </c>
      <c r="G200" s="40">
        <v>0</v>
      </c>
      <c r="H200" s="40">
        <f t="shared" ref="H200" si="31">(D200+E200)*(($H$125)+1)</f>
        <v>4967.2523160000001</v>
      </c>
      <c r="I200" s="65"/>
      <c r="J200" s="66"/>
      <c r="N200" s="34"/>
    </row>
    <row r="201" spans="1:14" s="35" customFormat="1" ht="15.75" customHeight="1" x14ac:dyDescent="0.3">
      <c r="A201" s="96" t="s">
        <v>321</v>
      </c>
      <c r="B201" s="97"/>
      <c r="C201" s="97"/>
      <c r="D201" s="97"/>
      <c r="E201" s="97"/>
      <c r="F201" s="97"/>
      <c r="G201" s="97"/>
      <c r="H201" s="98"/>
      <c r="I201" s="64"/>
      <c r="N201" s="34"/>
    </row>
    <row r="202" spans="1:14" s="35" customFormat="1" ht="15.75" customHeight="1" x14ac:dyDescent="0.3">
      <c r="A202" s="75">
        <v>1</v>
      </c>
      <c r="B202" s="76"/>
      <c r="C202" s="60" t="s">
        <v>308</v>
      </c>
      <c r="D202" s="61">
        <f>(24.04*11.08+4.25*2+3.55*1.5+2.6*8.38+9.375*2.95+7.75*2.95+8.07*0.7+9.67*2.25)*10.764</f>
        <v>4089.2592077999998</v>
      </c>
      <c r="E202" s="61">
        <f>(9.67+1+1+7.75+9.375+2.95+8.38+1)*10.764</f>
        <v>442.66949999999997</v>
      </c>
      <c r="F202" s="40">
        <f>D202+E202</f>
        <v>4531.9287077999998</v>
      </c>
      <c r="G202" s="62">
        <v>0</v>
      </c>
      <c r="H202" s="40">
        <f>(D202+E202)*(($H$125)+1)</f>
        <v>6797.8930616999996</v>
      </c>
      <c r="I202" s="64"/>
      <c r="N202" s="34"/>
    </row>
    <row r="203" spans="1:14" s="35" customFormat="1" ht="15.75" customHeight="1" x14ac:dyDescent="0.3">
      <c r="A203" s="75">
        <v>2</v>
      </c>
      <c r="B203" s="76"/>
      <c r="C203" s="60" t="s">
        <v>308</v>
      </c>
      <c r="D203" s="61">
        <f>(24.2*10.3+1.3*5.9+9.67*2.95+7.75*2.95+9.375*2.95+7*2.4+2*1.5+1.25*1.5*4+1.2*1.45)*10.764</f>
        <v>3929.0241510000001</v>
      </c>
      <c r="E203" s="61">
        <f>(5.9+2.95+1+9.67+7.75+9.375+2.95+2.4+1)*10.764</f>
        <v>462.79818</v>
      </c>
      <c r="F203" s="40">
        <f t="shared" ref="F203" si="32">D203+E203</f>
        <v>4391.8223310000003</v>
      </c>
      <c r="G203" s="40">
        <v>0</v>
      </c>
      <c r="H203" s="40">
        <f t="shared" ref="H203" si="33">(D203+E203)*(($H$125)+1)</f>
        <v>6587.7334965000009</v>
      </c>
      <c r="I203" s="65"/>
      <c r="J203" s="66"/>
      <c r="N203" s="34"/>
    </row>
    <row r="204" spans="1:14" s="35" customFormat="1" ht="15.75" customHeight="1" x14ac:dyDescent="0.3">
      <c r="A204" s="163" t="s">
        <v>304</v>
      </c>
      <c r="B204" s="164"/>
      <c r="C204" s="164"/>
      <c r="D204" s="164"/>
      <c r="E204" s="164"/>
      <c r="F204" s="164"/>
      <c r="G204" s="164"/>
      <c r="H204" s="165"/>
      <c r="I204" s="34"/>
      <c r="N204" s="34"/>
    </row>
    <row r="205" spans="1:14" s="35" customFormat="1" ht="15.75" customHeight="1" x14ac:dyDescent="0.3">
      <c r="A205" s="163" t="s">
        <v>302</v>
      </c>
      <c r="B205" s="164"/>
      <c r="C205" s="164"/>
      <c r="D205" s="164"/>
      <c r="E205" s="164"/>
      <c r="F205" s="164"/>
      <c r="G205" s="164"/>
      <c r="H205" s="165"/>
      <c r="I205" s="34"/>
      <c r="N205" s="34"/>
    </row>
    <row r="206" spans="1:14" s="35" customFormat="1" ht="15.75" customHeight="1" x14ac:dyDescent="0.3">
      <c r="A206" s="96" t="s">
        <v>317</v>
      </c>
      <c r="B206" s="97"/>
      <c r="C206" s="97"/>
      <c r="D206" s="97"/>
      <c r="E206" s="97"/>
      <c r="F206" s="97"/>
      <c r="G206" s="97"/>
      <c r="H206" s="98"/>
      <c r="I206" s="34"/>
      <c r="N206" s="34"/>
    </row>
    <row r="207" spans="1:14" s="35" customFormat="1" ht="15.75" customHeight="1" x14ac:dyDescent="0.3">
      <c r="A207" s="75">
        <v>12</v>
      </c>
      <c r="B207" s="76"/>
      <c r="C207" s="60" t="s">
        <v>308</v>
      </c>
      <c r="D207" s="61">
        <f>(25.8*6.32+25.5*3.78+1.37*3.23+4.08*1.35+7.75*1.35+8.27*1.35)*10.764</f>
        <v>3132.3896603999992</v>
      </c>
      <c r="E207" s="61">
        <v>0</v>
      </c>
      <c r="F207" s="40">
        <f t="shared" ref="F207:F211" si="34">D207+E207</f>
        <v>3132.3896603999992</v>
      </c>
      <c r="G207" s="40">
        <v>0</v>
      </c>
      <c r="H207" s="40">
        <f t="shared" ref="H207:H211" si="35">(D207+E207)*(($H$125)+1)</f>
        <v>4698.5844905999984</v>
      </c>
      <c r="I207" s="34"/>
      <c r="N207" s="34"/>
    </row>
    <row r="208" spans="1:14" s="35" customFormat="1" ht="15.75" customHeight="1" x14ac:dyDescent="0.3">
      <c r="A208" s="75">
        <v>13</v>
      </c>
      <c r="B208" s="76"/>
      <c r="C208" s="60" t="s">
        <v>308</v>
      </c>
      <c r="D208" s="61">
        <f>(5.28*9.3+4.93*1.7+4.03*7.05)*10.764</f>
        <v>924.58992599999999</v>
      </c>
      <c r="E208" s="61">
        <v>0</v>
      </c>
      <c r="F208" s="40">
        <f t="shared" si="34"/>
        <v>924.58992599999999</v>
      </c>
      <c r="G208" s="40">
        <v>0</v>
      </c>
      <c r="H208" s="40">
        <f t="shared" si="35"/>
        <v>1386.8848889999999</v>
      </c>
      <c r="I208" s="34"/>
      <c r="N208" s="34"/>
    </row>
    <row r="209" spans="1:14" s="35" customFormat="1" ht="15.75" customHeight="1" x14ac:dyDescent="0.3">
      <c r="A209" s="75">
        <v>14</v>
      </c>
      <c r="B209" s="76"/>
      <c r="C209" s="60" t="s">
        <v>308</v>
      </c>
      <c r="D209" s="61">
        <f>(11*5.15)*10.764</f>
        <v>609.78060000000005</v>
      </c>
      <c r="E209" s="61">
        <v>0</v>
      </c>
      <c r="F209" s="40">
        <f t="shared" si="34"/>
        <v>609.78060000000005</v>
      </c>
      <c r="G209" s="40">
        <v>0</v>
      </c>
      <c r="H209" s="40">
        <f t="shared" si="35"/>
        <v>914.67090000000007</v>
      </c>
      <c r="I209" s="34"/>
      <c r="N209" s="34"/>
    </row>
    <row r="210" spans="1:14" s="35" customFormat="1" ht="15.75" customHeight="1" x14ac:dyDescent="0.3">
      <c r="A210" s="75">
        <v>15</v>
      </c>
      <c r="B210" s="76"/>
      <c r="C210" s="60" t="s">
        <v>308</v>
      </c>
      <c r="D210" s="61">
        <f>(11*5.15)*10.764</f>
        <v>609.78060000000005</v>
      </c>
      <c r="E210" s="61">
        <v>0</v>
      </c>
      <c r="F210" s="40">
        <f t="shared" si="34"/>
        <v>609.78060000000005</v>
      </c>
      <c r="G210" s="40">
        <v>0</v>
      </c>
      <c r="H210" s="40">
        <f t="shared" si="35"/>
        <v>914.67090000000007</v>
      </c>
      <c r="I210" s="34"/>
      <c r="N210" s="34"/>
    </row>
    <row r="211" spans="1:14" s="35" customFormat="1" ht="15.75" customHeight="1" x14ac:dyDescent="0.3">
      <c r="A211" s="75">
        <v>16</v>
      </c>
      <c r="B211" s="76"/>
      <c r="C211" s="60" t="s">
        <v>308</v>
      </c>
      <c r="D211" s="61">
        <f>(11*5.43)*10.764</f>
        <v>642.93371999999988</v>
      </c>
      <c r="E211" s="61">
        <v>0</v>
      </c>
      <c r="F211" s="40">
        <f t="shared" si="34"/>
        <v>642.93371999999988</v>
      </c>
      <c r="G211" s="40">
        <v>0</v>
      </c>
      <c r="H211" s="40">
        <f t="shared" si="35"/>
        <v>964.40057999999976</v>
      </c>
      <c r="I211" s="34"/>
      <c r="N211" s="34"/>
    </row>
    <row r="212" spans="1:14" s="35" customFormat="1" ht="15.75" customHeight="1" x14ac:dyDescent="0.3">
      <c r="A212" s="96" t="s">
        <v>309</v>
      </c>
      <c r="B212" s="97"/>
      <c r="C212" s="97"/>
      <c r="D212" s="97"/>
      <c r="E212" s="97"/>
      <c r="F212" s="97"/>
      <c r="G212" s="97"/>
      <c r="H212" s="98"/>
      <c r="I212" s="34"/>
      <c r="N212" s="34"/>
    </row>
    <row r="213" spans="1:14" s="35" customFormat="1" ht="15.75" customHeight="1" x14ac:dyDescent="0.3">
      <c r="A213" s="75">
        <v>2</v>
      </c>
      <c r="B213" s="76"/>
      <c r="C213" s="60" t="s">
        <v>308</v>
      </c>
      <c r="D213" s="61">
        <f>(28.94*9.7+29.05*11.95+1.35*7.65+8.98*2.95+7.75*2.95+9.38*2.95+1.7*3.23+1.5*4.72+9.47*2.95+7.75*2.95+8.98*2.95+1.25*1.5*8)*10.764</f>
        <v>8827.3249739999992</v>
      </c>
      <c r="E213" s="61">
        <f>(7.65+8.98+1.25*2+7.75+9.38+1.25*2+2.95+2.05+4.72+2.95+9.47+1.25*4+7.75+8.98+2.95)*10.764</f>
        <v>921.18312000000003</v>
      </c>
      <c r="F213" s="40">
        <f>D213+E213</f>
        <v>9748.5080939999989</v>
      </c>
      <c r="G213" s="62">
        <v>0</v>
      </c>
      <c r="H213" s="40">
        <f>(D213+E213)*(($H$125)+1)</f>
        <v>14622.762140999999</v>
      </c>
      <c r="I213" s="34"/>
      <c r="N213" s="34"/>
    </row>
    <row r="214" spans="1:14" s="35" customFormat="1" ht="15.75" customHeight="1" x14ac:dyDescent="0.3">
      <c r="A214" s="96" t="s">
        <v>311</v>
      </c>
      <c r="B214" s="97"/>
      <c r="C214" s="97"/>
      <c r="D214" s="97"/>
      <c r="E214" s="97"/>
      <c r="F214" s="97"/>
      <c r="G214" s="97"/>
      <c r="H214" s="98"/>
      <c r="I214" s="34"/>
      <c r="N214" s="34"/>
    </row>
    <row r="215" spans="1:14" s="35" customFormat="1" x14ac:dyDescent="0.3">
      <c r="A215" s="75">
        <v>2</v>
      </c>
      <c r="B215" s="76"/>
      <c r="C215" s="60" t="s">
        <v>308</v>
      </c>
      <c r="D215" s="61">
        <f>(28.94*9.7+29.05*11.95+1.35*7.65+8.98*2.95+7.75*2.95+9.38*2.95+1.7*3.23+1.5*4.72+9.47*2.95+7.75*2.95+8.98*2.95+1.25*1.5*8)*10.764</f>
        <v>8827.3249739999992</v>
      </c>
      <c r="E215" s="61">
        <f>(7.65+8.98+1.25*2+7.75+9.38+1.25*2+2.95+2.05+4.72+2.95+9.47+1.25*4+7.75+8.98+2.95)*10.764</f>
        <v>921.18312000000003</v>
      </c>
      <c r="F215" s="40">
        <f>D215+E215</f>
        <v>9748.5080939999989</v>
      </c>
      <c r="G215" s="62">
        <v>0</v>
      </c>
      <c r="H215" s="40">
        <f>(D215+E215)*(($H$125)+1)</f>
        <v>14622.762140999999</v>
      </c>
      <c r="I215" s="34"/>
      <c r="N215" s="34"/>
    </row>
    <row r="216" spans="1:14" x14ac:dyDescent="0.3">
      <c r="A216" s="86" t="s">
        <v>351</v>
      </c>
      <c r="B216" s="87"/>
      <c r="C216" s="87"/>
      <c r="D216" s="87"/>
      <c r="E216" s="87"/>
      <c r="F216" s="87"/>
      <c r="G216" s="87"/>
      <c r="H216" s="88"/>
      <c r="I216" s="34"/>
    </row>
    <row r="217" spans="1:14" s="35" customFormat="1" x14ac:dyDescent="0.3">
      <c r="A217" s="75">
        <v>12</v>
      </c>
      <c r="B217" s="76"/>
      <c r="C217" s="60" t="s">
        <v>308</v>
      </c>
      <c r="D217" s="61">
        <f>(8.875*9.7+8.98*2.95+1.5*1.5)*10.764</f>
        <v>1236.0139739999997</v>
      </c>
      <c r="E217" s="61">
        <f>(8.98+1+2.5)*10.764</f>
        <v>134.33472</v>
      </c>
      <c r="F217" s="40">
        <f t="shared" ref="F217:F227" si="36">D217+E217</f>
        <v>1370.3486939999998</v>
      </c>
      <c r="G217" s="40">
        <v>0</v>
      </c>
      <c r="H217" s="40">
        <f t="shared" ref="H217:H227" si="37">(D217+E217)*(($H$125)+1)</f>
        <v>2055.5230409999995</v>
      </c>
      <c r="I217" s="34"/>
    </row>
    <row r="218" spans="1:14" s="35" customFormat="1" x14ac:dyDescent="0.3">
      <c r="A218" s="75">
        <v>13</v>
      </c>
      <c r="B218" s="76"/>
      <c r="C218" s="60" t="s">
        <v>308</v>
      </c>
      <c r="D218" s="61">
        <f>(5.15*9.7+3.8*2.95+1.25*1.5)*10.764</f>
        <v>678.56255999999996</v>
      </c>
      <c r="E218" s="61">
        <f>(3.85)*10.764</f>
        <v>41.441400000000002</v>
      </c>
      <c r="F218" s="40">
        <f t="shared" si="36"/>
        <v>720.00396000000001</v>
      </c>
      <c r="G218" s="40">
        <v>0</v>
      </c>
      <c r="H218" s="40">
        <f t="shared" si="37"/>
        <v>1080.00594</v>
      </c>
      <c r="J218" s="34"/>
    </row>
    <row r="219" spans="1:14" s="35" customFormat="1" ht="15.75" customHeight="1" x14ac:dyDescent="0.3">
      <c r="A219" s="75">
        <v>14</v>
      </c>
      <c r="B219" s="76"/>
      <c r="C219" s="60" t="s">
        <v>308</v>
      </c>
      <c r="D219" s="61">
        <f t="shared" ref="D219:D220" si="38">(5.15*9.7+3.8*2.95+1.25*1.5)*10.764</f>
        <v>678.56255999999996</v>
      </c>
      <c r="E219" s="61">
        <f t="shared" ref="E219:E220" si="39">(3.85)*10.764</f>
        <v>41.441400000000002</v>
      </c>
      <c r="F219" s="40">
        <f t="shared" si="36"/>
        <v>720.00396000000001</v>
      </c>
      <c r="G219" s="40">
        <v>0</v>
      </c>
      <c r="H219" s="40">
        <f t="shared" si="37"/>
        <v>1080.00594</v>
      </c>
      <c r="I219" s="34"/>
      <c r="L219" s="89"/>
      <c r="M219" s="89"/>
      <c r="N219" s="34"/>
    </row>
    <row r="220" spans="1:14" s="35" customFormat="1" ht="15.75" customHeight="1" x14ac:dyDescent="0.3">
      <c r="A220" s="75">
        <v>15</v>
      </c>
      <c r="B220" s="76"/>
      <c r="C220" s="60" t="s">
        <v>308</v>
      </c>
      <c r="D220" s="61">
        <f t="shared" si="38"/>
        <v>678.56255999999996</v>
      </c>
      <c r="E220" s="61">
        <f t="shared" si="39"/>
        <v>41.441400000000002</v>
      </c>
      <c r="F220" s="40">
        <f t="shared" si="36"/>
        <v>720.00396000000001</v>
      </c>
      <c r="G220" s="40">
        <v>0</v>
      </c>
      <c r="H220" s="40">
        <f t="shared" si="37"/>
        <v>1080.00594</v>
      </c>
      <c r="I220" s="34"/>
      <c r="L220" s="89"/>
      <c r="M220" s="89"/>
      <c r="N220" s="34"/>
    </row>
    <row r="221" spans="1:14" s="35" customFormat="1" ht="15.75" customHeight="1" x14ac:dyDescent="0.3">
      <c r="A221" s="75">
        <v>16</v>
      </c>
      <c r="B221" s="76"/>
      <c r="C221" s="60" t="s">
        <v>308</v>
      </c>
      <c r="D221" s="61">
        <f>(4.02*9.7+5.52*2.95+1.5*4.72+1.27*1.5+1.37*1.63)*10.764</f>
        <v>715.76402039999982</v>
      </c>
      <c r="E221" s="61">
        <f>(5.52+8.4)*10.764</f>
        <v>149.83488</v>
      </c>
      <c r="F221" s="40">
        <f t="shared" si="36"/>
        <v>865.59890039999982</v>
      </c>
      <c r="G221" s="40">
        <v>0</v>
      </c>
      <c r="H221" s="40">
        <f t="shared" si="37"/>
        <v>1298.3983505999997</v>
      </c>
      <c r="I221" s="34"/>
      <c r="L221" s="89"/>
      <c r="M221" s="89"/>
      <c r="N221" s="34"/>
    </row>
    <row r="222" spans="1:14" s="35" customFormat="1" ht="15.75" customHeight="1" x14ac:dyDescent="0.3">
      <c r="A222" s="75">
        <v>17</v>
      </c>
      <c r="B222" s="76"/>
      <c r="C222" s="60" t="s">
        <v>308</v>
      </c>
      <c r="D222" s="61">
        <f>(4.02*9.25+1.4*1.5+5.52*2.95+1.5*0.45)*10.764</f>
        <v>605.41041599999994</v>
      </c>
      <c r="E222" s="61">
        <f>(5.52+1+2.5)*10.764</f>
        <v>97.091279999999983</v>
      </c>
      <c r="F222" s="40">
        <f t="shared" si="36"/>
        <v>702.50169599999992</v>
      </c>
      <c r="G222" s="40">
        <v>0</v>
      </c>
      <c r="H222" s="40">
        <f t="shared" si="37"/>
        <v>1053.7525439999999</v>
      </c>
      <c r="I222" s="34"/>
      <c r="L222" s="89"/>
      <c r="M222" s="89"/>
      <c r="N222" s="34"/>
    </row>
    <row r="223" spans="1:14" s="35" customFormat="1" x14ac:dyDescent="0.3">
      <c r="A223" s="75">
        <v>18</v>
      </c>
      <c r="B223" s="76"/>
      <c r="C223" s="60" t="s">
        <v>308</v>
      </c>
      <c r="D223" s="61">
        <f>(5.15*9.25+3.8*2.95+1.25*1.5)*10.764</f>
        <v>653.61698999999999</v>
      </c>
      <c r="E223" s="61">
        <f t="shared" ref="E223:E226" si="40">(3.85)*10.764</f>
        <v>41.441400000000002</v>
      </c>
      <c r="F223" s="40">
        <f t="shared" si="36"/>
        <v>695.05839000000003</v>
      </c>
      <c r="G223" s="40">
        <v>0</v>
      </c>
      <c r="H223" s="40">
        <f t="shared" si="37"/>
        <v>1042.587585</v>
      </c>
      <c r="I223" s="34"/>
      <c r="L223" s="89"/>
      <c r="M223" s="89"/>
    </row>
    <row r="224" spans="1:14" s="35" customFormat="1" x14ac:dyDescent="0.3">
      <c r="A224" s="75">
        <v>19</v>
      </c>
      <c r="B224" s="76"/>
      <c r="C224" s="60" t="s">
        <v>308</v>
      </c>
      <c r="D224" s="61">
        <f t="shared" ref="D224:D226" si="41">(5.15*9.25+3.8*2.95+1.25*1.5)*10.764</f>
        <v>653.61698999999999</v>
      </c>
      <c r="E224" s="61">
        <f t="shared" si="40"/>
        <v>41.441400000000002</v>
      </c>
      <c r="F224" s="40">
        <f t="shared" si="36"/>
        <v>695.05839000000003</v>
      </c>
      <c r="G224" s="40">
        <v>0</v>
      </c>
      <c r="H224" s="40">
        <f t="shared" si="37"/>
        <v>1042.587585</v>
      </c>
      <c r="I224" s="34"/>
      <c r="N224" s="34"/>
    </row>
    <row r="225" spans="1:14" s="35" customFormat="1" x14ac:dyDescent="0.3">
      <c r="A225" s="75">
        <v>20</v>
      </c>
      <c r="B225" s="76"/>
      <c r="C225" s="60" t="s">
        <v>308</v>
      </c>
      <c r="D225" s="61">
        <f t="shared" si="41"/>
        <v>653.61698999999999</v>
      </c>
      <c r="E225" s="61">
        <f t="shared" si="40"/>
        <v>41.441400000000002</v>
      </c>
      <c r="F225" s="40">
        <f t="shared" si="36"/>
        <v>695.05839000000003</v>
      </c>
      <c r="G225" s="40">
        <v>0</v>
      </c>
      <c r="H225" s="40">
        <f t="shared" si="37"/>
        <v>1042.587585</v>
      </c>
      <c r="I225" s="34"/>
      <c r="N225" s="34"/>
    </row>
    <row r="226" spans="1:14" s="35" customFormat="1" x14ac:dyDescent="0.3">
      <c r="A226" s="75">
        <v>21</v>
      </c>
      <c r="B226" s="76"/>
      <c r="C226" s="60" t="s">
        <v>308</v>
      </c>
      <c r="D226" s="61">
        <f t="shared" si="41"/>
        <v>653.61698999999999</v>
      </c>
      <c r="E226" s="61">
        <f t="shared" si="40"/>
        <v>41.441400000000002</v>
      </c>
      <c r="F226" s="40">
        <f t="shared" si="36"/>
        <v>695.05839000000003</v>
      </c>
      <c r="G226" s="40">
        <v>0</v>
      </c>
      <c r="H226" s="40">
        <f t="shared" si="37"/>
        <v>1042.587585</v>
      </c>
      <c r="I226" s="34"/>
      <c r="N226" s="34"/>
    </row>
    <row r="227" spans="1:14" s="35" customFormat="1" x14ac:dyDescent="0.3">
      <c r="A227" s="75">
        <v>22</v>
      </c>
      <c r="B227" s="76"/>
      <c r="C227" s="60" t="s">
        <v>308</v>
      </c>
      <c r="D227" s="61">
        <f>(3.68*9.25+5.03*2.95+1.35*6.15+1.25*1.4)*10.764</f>
        <v>634.33328400000005</v>
      </c>
      <c r="E227" s="61">
        <f>(6.15+2.95+1)*10.764</f>
        <v>108.71640000000001</v>
      </c>
      <c r="F227" s="40">
        <f t="shared" si="36"/>
        <v>743.04968400000007</v>
      </c>
      <c r="G227" s="40">
        <v>0</v>
      </c>
      <c r="H227" s="40">
        <f t="shared" si="37"/>
        <v>1114.5745260000001</v>
      </c>
      <c r="I227" s="34"/>
      <c r="N227" s="34"/>
    </row>
    <row r="228" spans="1:14" s="35" customFormat="1" ht="15.75" customHeight="1" x14ac:dyDescent="0.3">
      <c r="A228" s="96" t="s">
        <v>347</v>
      </c>
      <c r="B228" s="97"/>
      <c r="C228" s="97"/>
      <c r="D228" s="97"/>
      <c r="E228" s="97"/>
      <c r="F228" s="97"/>
      <c r="G228" s="97"/>
      <c r="H228" s="98"/>
      <c r="I228" s="34"/>
      <c r="N228" s="34"/>
    </row>
    <row r="229" spans="1:14" s="35" customFormat="1" x14ac:dyDescent="0.3">
      <c r="A229" s="75">
        <v>12</v>
      </c>
      <c r="B229" s="76"/>
      <c r="C229" s="60" t="s">
        <v>308</v>
      </c>
      <c r="D229" s="61">
        <f>(8.875*9.7+8.98*2.95+1.5*1.5)*10.764</f>
        <v>1236.0139739999997</v>
      </c>
      <c r="E229" s="61">
        <f>(8.98+1+2.5)*10.764</f>
        <v>134.33472</v>
      </c>
      <c r="F229" s="40">
        <f t="shared" ref="F229:F239" si="42">D229+E229</f>
        <v>1370.3486939999998</v>
      </c>
      <c r="G229" s="40">
        <v>0</v>
      </c>
      <c r="H229" s="40">
        <f t="shared" ref="H229:H239" si="43">(D229+E229)*(($H$125)+1)</f>
        <v>2055.5230409999995</v>
      </c>
      <c r="I229" s="34"/>
      <c r="J229" s="65">
        <f>4.925*6.6+2.825*3.1+3.625*1.95+1.2*1.5</f>
        <v>50.131249999999994</v>
      </c>
      <c r="N229" s="34"/>
    </row>
    <row r="230" spans="1:14" s="35" customFormat="1" x14ac:dyDescent="0.3">
      <c r="A230" s="75">
        <v>13</v>
      </c>
      <c r="B230" s="76"/>
      <c r="C230" s="60" t="s">
        <v>308</v>
      </c>
      <c r="D230" s="61">
        <f>(5.15*9.7+3.8*2.95+1.25*1.5)*10.764</f>
        <v>678.56255999999996</v>
      </c>
      <c r="E230" s="61">
        <f>(3.85)*10.764</f>
        <v>41.441400000000002</v>
      </c>
      <c r="F230" s="40">
        <f t="shared" si="42"/>
        <v>720.00396000000001</v>
      </c>
      <c r="G230" s="40">
        <v>0</v>
      </c>
      <c r="H230" s="40">
        <f t="shared" si="43"/>
        <v>1080.00594</v>
      </c>
      <c r="I230" s="34"/>
      <c r="J230" s="65">
        <f>5.15*6.6+3.85*1.95+3.05*3.1+1.2*1.5</f>
        <v>52.752499999999998</v>
      </c>
      <c r="N230" s="34"/>
    </row>
    <row r="231" spans="1:14" s="35" customFormat="1" x14ac:dyDescent="0.3">
      <c r="A231" s="75">
        <v>14</v>
      </c>
      <c r="B231" s="76"/>
      <c r="C231" s="60" t="s">
        <v>308</v>
      </c>
      <c r="D231" s="61">
        <f t="shared" ref="D231:D232" si="44">(5.15*9.7+3.8*2.95+1.25*1.5)*10.764</f>
        <v>678.56255999999996</v>
      </c>
      <c r="E231" s="61">
        <f t="shared" ref="E231:E232" si="45">(3.85)*10.764</f>
        <v>41.441400000000002</v>
      </c>
      <c r="F231" s="40">
        <f t="shared" si="42"/>
        <v>720.00396000000001</v>
      </c>
      <c r="G231" s="40">
        <v>0</v>
      </c>
      <c r="H231" s="40">
        <f t="shared" si="43"/>
        <v>1080.00594</v>
      </c>
      <c r="I231" s="34"/>
      <c r="J231" s="65">
        <f>5.15*6.6+3.85*1.95+3.05*3.1+1.2*1.5</f>
        <v>52.752499999999998</v>
      </c>
      <c r="N231" s="34"/>
    </row>
    <row r="232" spans="1:14" s="35" customFormat="1" x14ac:dyDescent="0.3">
      <c r="A232" s="75">
        <v>15</v>
      </c>
      <c r="B232" s="76"/>
      <c r="C232" s="60" t="s">
        <v>308</v>
      </c>
      <c r="D232" s="61">
        <f t="shared" si="44"/>
        <v>678.56255999999996</v>
      </c>
      <c r="E232" s="61">
        <f t="shared" si="45"/>
        <v>41.441400000000002</v>
      </c>
      <c r="F232" s="40">
        <f t="shared" si="42"/>
        <v>720.00396000000001</v>
      </c>
      <c r="G232" s="40">
        <v>0</v>
      </c>
      <c r="H232" s="40">
        <f t="shared" si="43"/>
        <v>1080.00594</v>
      </c>
      <c r="I232" s="34"/>
      <c r="J232" s="65">
        <f>5.15*6.6+3.85*1.95+3.05*3.1+1.2*1.5</f>
        <v>52.752499999999998</v>
      </c>
      <c r="N232" s="34"/>
    </row>
    <row r="233" spans="1:14" s="35" customFormat="1" x14ac:dyDescent="0.3">
      <c r="A233" s="75">
        <v>16</v>
      </c>
      <c r="B233" s="76"/>
      <c r="C233" s="60" t="s">
        <v>308</v>
      </c>
      <c r="D233" s="61">
        <f>(4.02*9.7+5.52*2.95+1.5*4.72+1.27*1.5+1.37*1.63)*10.764</f>
        <v>715.76402039999982</v>
      </c>
      <c r="E233" s="61">
        <f>(5.52+8.4)*10.764</f>
        <v>149.83488</v>
      </c>
      <c r="F233" s="40">
        <f t="shared" si="42"/>
        <v>865.59890039999982</v>
      </c>
      <c r="G233" s="40">
        <v>0</v>
      </c>
      <c r="H233" s="40">
        <f t="shared" si="43"/>
        <v>1298.3983505999997</v>
      </c>
      <c r="I233" s="34"/>
      <c r="J233" s="65">
        <f>4.52*5.25+2.42*3.2+4.02*3.2+1.4*1.55</f>
        <v>46.507999999999996</v>
      </c>
      <c r="N233" s="34"/>
    </row>
    <row r="234" spans="1:14" s="35" customFormat="1" x14ac:dyDescent="0.3">
      <c r="A234" s="75">
        <v>17</v>
      </c>
      <c r="B234" s="76"/>
      <c r="C234" s="60" t="s">
        <v>308</v>
      </c>
      <c r="D234" s="61">
        <f>(4.02*9.25+1.4*1.5+5.52*2.95+1.5*0.45)*10.764</f>
        <v>605.41041599999994</v>
      </c>
      <c r="E234" s="61">
        <f>(5.52+1+2.5)*10.764</f>
        <v>97.091279999999983</v>
      </c>
      <c r="F234" s="40">
        <f t="shared" si="42"/>
        <v>702.50169599999992</v>
      </c>
      <c r="G234" s="40">
        <v>0</v>
      </c>
      <c r="H234" s="40">
        <f t="shared" si="43"/>
        <v>1053.7525439999999</v>
      </c>
      <c r="I234" s="34"/>
      <c r="J234" s="65">
        <f>4.015*8.1+1.92*3.1+1.4*1.5</f>
        <v>40.573499999999996</v>
      </c>
      <c r="N234" s="34"/>
    </row>
    <row r="235" spans="1:14" s="35" customFormat="1" x14ac:dyDescent="0.3">
      <c r="A235" s="75">
        <v>18</v>
      </c>
      <c r="B235" s="76"/>
      <c r="C235" s="60" t="s">
        <v>308</v>
      </c>
      <c r="D235" s="61">
        <f>(5.15*9.25+3.8*2.95+1.25*1.5)*10.764</f>
        <v>653.61698999999999</v>
      </c>
      <c r="E235" s="61">
        <f t="shared" ref="E235:E238" si="46">(3.85)*10.764</f>
        <v>41.441400000000002</v>
      </c>
      <c r="F235" s="40">
        <f t="shared" si="42"/>
        <v>695.05839000000003</v>
      </c>
      <c r="G235" s="40">
        <v>0</v>
      </c>
      <c r="H235" s="40">
        <f t="shared" si="43"/>
        <v>1042.587585</v>
      </c>
      <c r="I235" s="34"/>
      <c r="J235" s="66">
        <f>5.15*6.15+3.85*1.95+3.05*3.1+1.2*1.5</f>
        <v>50.435000000000002</v>
      </c>
      <c r="N235" s="34"/>
    </row>
    <row r="236" spans="1:14" s="35" customFormat="1" x14ac:dyDescent="0.3">
      <c r="A236" s="75">
        <v>19</v>
      </c>
      <c r="B236" s="76"/>
      <c r="C236" s="60" t="s">
        <v>308</v>
      </c>
      <c r="D236" s="61">
        <f t="shared" ref="D236:D238" si="47">(5.15*9.25+3.8*2.95+1.25*1.5)*10.764</f>
        <v>653.61698999999999</v>
      </c>
      <c r="E236" s="61">
        <f t="shared" si="46"/>
        <v>41.441400000000002</v>
      </c>
      <c r="F236" s="40">
        <f t="shared" si="42"/>
        <v>695.05839000000003</v>
      </c>
      <c r="G236" s="40">
        <v>0</v>
      </c>
      <c r="H236" s="40">
        <f t="shared" si="43"/>
        <v>1042.587585</v>
      </c>
      <c r="I236" s="34"/>
      <c r="J236" s="66">
        <f>5.15*6.15+3.85*1.95+3.05*3.1+1.2*1.5</f>
        <v>50.435000000000002</v>
      </c>
      <c r="N236" s="34"/>
    </row>
    <row r="237" spans="1:14" s="35" customFormat="1" x14ac:dyDescent="0.3">
      <c r="A237" s="75">
        <v>20</v>
      </c>
      <c r="B237" s="76"/>
      <c r="C237" s="60" t="s">
        <v>308</v>
      </c>
      <c r="D237" s="61">
        <f t="shared" si="47"/>
        <v>653.61698999999999</v>
      </c>
      <c r="E237" s="61">
        <f t="shared" si="46"/>
        <v>41.441400000000002</v>
      </c>
      <c r="F237" s="40">
        <f t="shared" si="42"/>
        <v>695.05839000000003</v>
      </c>
      <c r="G237" s="40">
        <v>0</v>
      </c>
      <c r="H237" s="40">
        <f t="shared" si="43"/>
        <v>1042.587585</v>
      </c>
      <c r="I237" s="34"/>
      <c r="J237" s="66">
        <f>5.15*6.15+3.85*1.95+3.05*3.1+1.2*1.5</f>
        <v>50.435000000000002</v>
      </c>
      <c r="N237" s="34"/>
    </row>
    <row r="238" spans="1:14" s="35" customFormat="1" x14ac:dyDescent="0.3">
      <c r="A238" s="75">
        <v>21</v>
      </c>
      <c r="B238" s="76"/>
      <c r="C238" s="60" t="s">
        <v>308</v>
      </c>
      <c r="D238" s="61">
        <f t="shared" si="47"/>
        <v>653.61698999999999</v>
      </c>
      <c r="E238" s="61">
        <f t="shared" si="46"/>
        <v>41.441400000000002</v>
      </c>
      <c r="F238" s="40">
        <f t="shared" si="42"/>
        <v>695.05839000000003</v>
      </c>
      <c r="G238" s="40">
        <v>0</v>
      </c>
      <c r="H238" s="40">
        <f t="shared" si="43"/>
        <v>1042.587585</v>
      </c>
      <c r="I238" s="34"/>
      <c r="J238" s="66">
        <f>5.15*6.15+3.85*1.95+3.05*3.1+1.2*1.5</f>
        <v>50.435000000000002</v>
      </c>
      <c r="N238" s="34"/>
    </row>
    <row r="239" spans="1:14" s="35" customFormat="1" x14ac:dyDescent="0.3">
      <c r="A239" s="75">
        <v>22</v>
      </c>
      <c r="B239" s="76"/>
      <c r="C239" s="60" t="s">
        <v>308</v>
      </c>
      <c r="D239" s="61">
        <f>(3.68*9.25+5.03*2.95+1.35*6.15+1.25*1.4)*10.764</f>
        <v>634.33328400000005</v>
      </c>
      <c r="E239" s="61">
        <f>(6.15+2.95+1)*10.764</f>
        <v>108.71640000000001</v>
      </c>
      <c r="F239" s="40">
        <f t="shared" si="42"/>
        <v>743.04968400000007</v>
      </c>
      <c r="G239" s="40">
        <v>0</v>
      </c>
      <c r="H239" s="40">
        <f t="shared" si="43"/>
        <v>1114.5745260000001</v>
      </c>
      <c r="I239" s="34"/>
      <c r="J239" s="65">
        <f>4.03*5+1.93*3.2+3.73*3+1.2*1.4</f>
        <v>39.195999999999998</v>
      </c>
      <c r="N239" s="34"/>
    </row>
    <row r="240" spans="1:14" x14ac:dyDescent="0.3">
      <c r="A240" s="86" t="s">
        <v>349</v>
      </c>
      <c r="B240" s="87"/>
      <c r="C240" s="87"/>
      <c r="D240" s="87"/>
      <c r="E240" s="87"/>
      <c r="F240" s="87"/>
      <c r="G240" s="87"/>
      <c r="H240" s="88"/>
      <c r="I240" s="34"/>
    </row>
    <row r="241" spans="1:14" s="35" customFormat="1" x14ac:dyDescent="0.3">
      <c r="A241" s="75">
        <v>12</v>
      </c>
      <c r="B241" s="76"/>
      <c r="C241" s="60" t="s">
        <v>308</v>
      </c>
      <c r="D241" s="61">
        <f>(8.875*9.7+8.98*2.95+1.5*1.5)*10.764</f>
        <v>1236.0139739999997</v>
      </c>
      <c r="E241" s="61">
        <f>(8.98+1+2.5)*10.764</f>
        <v>134.33472</v>
      </c>
      <c r="F241" s="40">
        <f t="shared" ref="F241:F251" si="48">D241+E241</f>
        <v>1370.3486939999998</v>
      </c>
      <c r="G241" s="40">
        <v>0</v>
      </c>
      <c r="H241" s="40">
        <f t="shared" ref="H241:H251" si="49">(D241+E241)*(($H$125)+1)</f>
        <v>2055.5230409999995</v>
      </c>
      <c r="I241" s="34"/>
    </row>
    <row r="242" spans="1:14" s="35" customFormat="1" x14ac:dyDescent="0.3">
      <c r="A242" s="75">
        <v>13</v>
      </c>
      <c r="B242" s="76"/>
      <c r="C242" s="60" t="s">
        <v>308</v>
      </c>
      <c r="D242" s="61">
        <f>(5.15*9.7+3.8*2.95+1.25*1.5)*10.764</f>
        <v>678.56255999999996</v>
      </c>
      <c r="E242" s="61">
        <f>(3.85)*10.764</f>
        <v>41.441400000000002</v>
      </c>
      <c r="F242" s="40">
        <f t="shared" si="48"/>
        <v>720.00396000000001</v>
      </c>
      <c r="G242" s="40">
        <v>0</v>
      </c>
      <c r="H242" s="40">
        <f t="shared" si="49"/>
        <v>1080.00594</v>
      </c>
      <c r="J242" s="34"/>
    </row>
    <row r="243" spans="1:14" s="35" customFormat="1" ht="15.75" customHeight="1" x14ac:dyDescent="0.3">
      <c r="A243" s="75">
        <v>14</v>
      </c>
      <c r="B243" s="76"/>
      <c r="C243" s="60" t="s">
        <v>308</v>
      </c>
      <c r="D243" s="61">
        <f t="shared" ref="D243:D244" si="50">(5.15*9.7+3.8*2.95+1.25*1.5)*10.764</f>
        <v>678.56255999999996</v>
      </c>
      <c r="E243" s="61">
        <f t="shared" ref="E243:E244" si="51">(3.85)*10.764</f>
        <v>41.441400000000002</v>
      </c>
      <c r="F243" s="40">
        <f t="shared" si="48"/>
        <v>720.00396000000001</v>
      </c>
      <c r="G243" s="40">
        <v>0</v>
      </c>
      <c r="H243" s="40">
        <f t="shared" si="49"/>
        <v>1080.00594</v>
      </c>
      <c r="I243" s="34"/>
      <c r="L243" s="89"/>
      <c r="M243" s="89"/>
      <c r="N243" s="34"/>
    </row>
    <row r="244" spans="1:14" s="35" customFormat="1" ht="15.75" customHeight="1" x14ac:dyDescent="0.3">
      <c r="A244" s="75">
        <v>15</v>
      </c>
      <c r="B244" s="76"/>
      <c r="C244" s="60" t="s">
        <v>308</v>
      </c>
      <c r="D244" s="61">
        <f t="shared" si="50"/>
        <v>678.56255999999996</v>
      </c>
      <c r="E244" s="61">
        <f t="shared" si="51"/>
        <v>41.441400000000002</v>
      </c>
      <c r="F244" s="40">
        <f t="shared" si="48"/>
        <v>720.00396000000001</v>
      </c>
      <c r="G244" s="40">
        <v>0</v>
      </c>
      <c r="H244" s="40">
        <f t="shared" si="49"/>
        <v>1080.00594</v>
      </c>
      <c r="I244" s="34"/>
      <c r="L244" s="89"/>
      <c r="M244" s="89"/>
      <c r="N244" s="34"/>
    </row>
    <row r="245" spans="1:14" s="35" customFormat="1" ht="15.75" customHeight="1" x14ac:dyDescent="0.3">
      <c r="A245" s="75">
        <v>16</v>
      </c>
      <c r="B245" s="76"/>
      <c r="C245" s="60" t="s">
        <v>308</v>
      </c>
      <c r="D245" s="61">
        <f>(4.02*9.7+5.52*2.95+1.5*4.72+1.27*1.5+1.37*1.63)*10.764</f>
        <v>715.76402039999982</v>
      </c>
      <c r="E245" s="61">
        <f>(5.52+8.4)*10.764</f>
        <v>149.83488</v>
      </c>
      <c r="F245" s="40">
        <f t="shared" si="48"/>
        <v>865.59890039999982</v>
      </c>
      <c r="G245" s="40">
        <v>0</v>
      </c>
      <c r="H245" s="40">
        <f t="shared" si="49"/>
        <v>1298.3983505999997</v>
      </c>
      <c r="I245" s="34"/>
      <c r="L245" s="89"/>
      <c r="M245" s="89"/>
      <c r="N245" s="34"/>
    </row>
    <row r="246" spans="1:14" s="35" customFormat="1" ht="15.75" customHeight="1" x14ac:dyDescent="0.3">
      <c r="A246" s="75">
        <v>17</v>
      </c>
      <c r="B246" s="76"/>
      <c r="C246" s="60" t="s">
        <v>308</v>
      </c>
      <c r="D246" s="61">
        <f>(4.02*9.25+1.4*1.5+5.52*2.95+1.5*0.45)*10.764</f>
        <v>605.41041599999994</v>
      </c>
      <c r="E246" s="61">
        <f>(5.52+1+2.5)*10.764</f>
        <v>97.091279999999983</v>
      </c>
      <c r="F246" s="40">
        <f t="shared" si="48"/>
        <v>702.50169599999992</v>
      </c>
      <c r="G246" s="40">
        <v>0</v>
      </c>
      <c r="H246" s="40">
        <f t="shared" si="49"/>
        <v>1053.7525439999999</v>
      </c>
      <c r="I246" s="34"/>
      <c r="L246" s="89"/>
      <c r="M246" s="89"/>
      <c r="N246" s="34"/>
    </row>
    <row r="247" spans="1:14" s="35" customFormat="1" x14ac:dyDescent="0.3">
      <c r="A247" s="75">
        <v>18</v>
      </c>
      <c r="B247" s="76"/>
      <c r="C247" s="60" t="s">
        <v>308</v>
      </c>
      <c r="D247" s="61">
        <f>(5.15*9.25+3.8*2.95+1.25*1.5)*10.764</f>
        <v>653.61698999999999</v>
      </c>
      <c r="E247" s="61">
        <f t="shared" ref="E247:E250" si="52">(3.85)*10.764</f>
        <v>41.441400000000002</v>
      </c>
      <c r="F247" s="40">
        <f t="shared" si="48"/>
        <v>695.05839000000003</v>
      </c>
      <c r="G247" s="40">
        <v>0</v>
      </c>
      <c r="H247" s="40">
        <f t="shared" si="49"/>
        <v>1042.587585</v>
      </c>
      <c r="I247" s="34"/>
      <c r="L247" s="89"/>
      <c r="M247" s="89"/>
    </row>
    <row r="248" spans="1:14" s="35" customFormat="1" x14ac:dyDescent="0.3">
      <c r="A248" s="75">
        <v>19</v>
      </c>
      <c r="B248" s="76"/>
      <c r="C248" s="60" t="s">
        <v>308</v>
      </c>
      <c r="D248" s="61">
        <f t="shared" ref="D248:D250" si="53">(5.15*9.25+3.8*2.95+1.25*1.5)*10.764</f>
        <v>653.61698999999999</v>
      </c>
      <c r="E248" s="61">
        <f t="shared" si="52"/>
        <v>41.441400000000002</v>
      </c>
      <c r="F248" s="40">
        <f t="shared" si="48"/>
        <v>695.05839000000003</v>
      </c>
      <c r="G248" s="40">
        <v>0</v>
      </c>
      <c r="H248" s="40">
        <f t="shared" si="49"/>
        <v>1042.587585</v>
      </c>
      <c r="I248" s="34"/>
      <c r="N248" s="34"/>
    </row>
    <row r="249" spans="1:14" s="35" customFormat="1" x14ac:dyDescent="0.3">
      <c r="A249" s="75">
        <v>20</v>
      </c>
      <c r="B249" s="76"/>
      <c r="C249" s="60" t="s">
        <v>308</v>
      </c>
      <c r="D249" s="61">
        <f t="shared" si="53"/>
        <v>653.61698999999999</v>
      </c>
      <c r="E249" s="61">
        <f t="shared" si="52"/>
        <v>41.441400000000002</v>
      </c>
      <c r="F249" s="40">
        <f t="shared" si="48"/>
        <v>695.05839000000003</v>
      </c>
      <c r="G249" s="40">
        <v>0</v>
      </c>
      <c r="H249" s="40">
        <f t="shared" si="49"/>
        <v>1042.587585</v>
      </c>
      <c r="I249" s="34"/>
      <c r="N249" s="34"/>
    </row>
    <row r="250" spans="1:14" s="35" customFormat="1" x14ac:dyDescent="0.3">
      <c r="A250" s="75">
        <v>21</v>
      </c>
      <c r="B250" s="76"/>
      <c r="C250" s="60" t="s">
        <v>308</v>
      </c>
      <c r="D250" s="61">
        <f t="shared" si="53"/>
        <v>653.61698999999999</v>
      </c>
      <c r="E250" s="61">
        <f t="shared" si="52"/>
        <v>41.441400000000002</v>
      </c>
      <c r="F250" s="40">
        <f t="shared" si="48"/>
        <v>695.05839000000003</v>
      </c>
      <c r="G250" s="40">
        <v>0</v>
      </c>
      <c r="H250" s="40">
        <f t="shared" si="49"/>
        <v>1042.587585</v>
      </c>
      <c r="I250" s="34"/>
      <c r="N250" s="34"/>
    </row>
    <row r="251" spans="1:14" s="35" customFormat="1" x14ac:dyDescent="0.3">
      <c r="A251" s="75">
        <v>22</v>
      </c>
      <c r="B251" s="76"/>
      <c r="C251" s="60" t="s">
        <v>308</v>
      </c>
      <c r="D251" s="61">
        <f>(3.68*9.25+5.03*2.95+1.35*6.15+1.25*1.4)*10.764</f>
        <v>634.33328400000005</v>
      </c>
      <c r="E251" s="61">
        <f>(6.15+2.95+1)*10.764</f>
        <v>108.71640000000001</v>
      </c>
      <c r="F251" s="40">
        <f t="shared" si="48"/>
        <v>743.04968400000007</v>
      </c>
      <c r="G251" s="40">
        <v>0</v>
      </c>
      <c r="H251" s="40">
        <f t="shared" si="49"/>
        <v>1114.5745260000001</v>
      </c>
      <c r="I251" s="34"/>
      <c r="N251" s="34"/>
    </row>
    <row r="252" spans="1:14" x14ac:dyDescent="0.3">
      <c r="A252" s="86" t="s">
        <v>316</v>
      </c>
      <c r="B252" s="87"/>
      <c r="C252" s="87"/>
      <c r="D252" s="87"/>
      <c r="E252" s="87"/>
      <c r="F252" s="87"/>
      <c r="G252" s="87"/>
      <c r="H252" s="88"/>
      <c r="I252" s="34"/>
    </row>
    <row r="253" spans="1:14" s="35" customFormat="1" x14ac:dyDescent="0.3">
      <c r="A253" s="75">
        <v>12</v>
      </c>
      <c r="B253" s="76"/>
      <c r="C253" s="60" t="s">
        <v>308</v>
      </c>
      <c r="D253" s="61">
        <f>(8.875*9.7+8.98*2.95+1.5*1.5)*10.764</f>
        <v>1236.0139739999997</v>
      </c>
      <c r="E253" s="61">
        <f>(8.98+1+2.5)*10.764</f>
        <v>134.33472</v>
      </c>
      <c r="F253" s="40">
        <f t="shared" ref="F253:F260" si="54">D253+E253</f>
        <v>1370.3486939999998</v>
      </c>
      <c r="G253" s="40">
        <v>0</v>
      </c>
      <c r="H253" s="40">
        <f t="shared" ref="H253:H260" si="55">(D253+E253)*(($H$125)+1)</f>
        <v>2055.5230409999995</v>
      </c>
      <c r="I253" s="34"/>
    </row>
    <row r="254" spans="1:14" s="35" customFormat="1" x14ac:dyDescent="0.3">
      <c r="A254" s="75">
        <v>13</v>
      </c>
      <c r="B254" s="76"/>
      <c r="C254" s="60" t="s">
        <v>308</v>
      </c>
      <c r="D254" s="61">
        <f>(5.15*9.7+3.8*2.95+1.25*1.5)*10.764</f>
        <v>678.56255999999996</v>
      </c>
      <c r="E254" s="61">
        <f>(3.85)*10.764</f>
        <v>41.441400000000002</v>
      </c>
      <c r="F254" s="40">
        <f t="shared" si="54"/>
        <v>720.00396000000001</v>
      </c>
      <c r="G254" s="40">
        <v>0</v>
      </c>
      <c r="H254" s="40">
        <f t="shared" si="55"/>
        <v>1080.00594</v>
      </c>
      <c r="J254" s="34"/>
    </row>
    <row r="255" spans="1:14" s="35" customFormat="1" ht="15.75" customHeight="1" x14ac:dyDescent="0.3">
      <c r="A255" s="75">
        <v>14</v>
      </c>
      <c r="B255" s="76"/>
      <c r="C255" s="60" t="s">
        <v>308</v>
      </c>
      <c r="D255" s="61">
        <f t="shared" ref="D255" si="56">(5.15*9.7+3.8*2.95+1.25*1.5)*10.764</f>
        <v>678.56255999999996</v>
      </c>
      <c r="E255" s="61">
        <f t="shared" ref="E255" si="57">(3.85)*10.764</f>
        <v>41.441400000000002</v>
      </c>
      <c r="F255" s="40">
        <f t="shared" si="54"/>
        <v>720.00396000000001</v>
      </c>
      <c r="G255" s="40">
        <v>0</v>
      </c>
      <c r="H255" s="40">
        <f t="shared" si="55"/>
        <v>1080.00594</v>
      </c>
      <c r="I255" s="34"/>
      <c r="L255" s="89"/>
      <c r="M255" s="89"/>
      <c r="N255" s="34"/>
    </row>
    <row r="256" spans="1:14" s="35" customFormat="1" ht="15.75" customHeight="1" x14ac:dyDescent="0.3">
      <c r="A256" s="75" t="s">
        <v>352</v>
      </c>
      <c r="B256" s="76"/>
      <c r="C256" s="60" t="s">
        <v>308</v>
      </c>
      <c r="D256" s="61">
        <f>(5.15*9.7+3.8*2.95+1.25*1.5+4.02*9.7+5.52*2.95+1.5*4.72+1.27*1.5+1.37*1.63)*10.764</f>
        <v>1394.3265803999996</v>
      </c>
      <c r="E256" s="61">
        <f>(3.85+5.52+8.4)*10.764</f>
        <v>191.27627999999999</v>
      </c>
      <c r="F256" s="40">
        <f t="shared" si="54"/>
        <v>1585.6028603999996</v>
      </c>
      <c r="G256" s="40">
        <v>0</v>
      </c>
      <c r="H256" s="40">
        <f t="shared" si="55"/>
        <v>2378.4042905999995</v>
      </c>
      <c r="I256" s="34"/>
      <c r="L256" s="89"/>
      <c r="M256" s="89"/>
      <c r="N256" s="34"/>
    </row>
    <row r="257" spans="1:14" s="35" customFormat="1" ht="15.75" customHeight="1" x14ac:dyDescent="0.3">
      <c r="A257" s="75" t="s">
        <v>353</v>
      </c>
      <c r="B257" s="76"/>
      <c r="C257" s="60" t="s">
        <v>308</v>
      </c>
      <c r="D257" s="61">
        <f>(4.02*9.25+1.4*1.5+5.52*2.95+1.5*0.45+5.15*9.25+3.8*2.95+1.25*1.5)*10.764</f>
        <v>1259.0274059999999</v>
      </c>
      <c r="E257" s="61">
        <f>(5.52+1+2.5+3.85)*10.764</f>
        <v>138.53267999999997</v>
      </c>
      <c r="F257" s="40">
        <f t="shared" si="54"/>
        <v>1397.560086</v>
      </c>
      <c r="G257" s="40">
        <v>0</v>
      </c>
      <c r="H257" s="40">
        <f t="shared" si="55"/>
        <v>2096.3401290000002</v>
      </c>
      <c r="I257" s="34"/>
      <c r="L257" s="89"/>
      <c r="M257" s="89"/>
      <c r="N257" s="34"/>
    </row>
    <row r="258" spans="1:14" s="35" customFormat="1" x14ac:dyDescent="0.3">
      <c r="A258" s="75" t="s">
        <v>354</v>
      </c>
      <c r="B258" s="76"/>
      <c r="C258" s="60" t="s">
        <v>308</v>
      </c>
      <c r="D258" s="61">
        <f>(5.15*9.25+3.8*2.95+1.25*1.5)*2*10.764</f>
        <v>1307.23398</v>
      </c>
      <c r="E258" s="61">
        <f>(3.85)*2*10.764</f>
        <v>82.882800000000003</v>
      </c>
      <c r="F258" s="40">
        <f t="shared" si="54"/>
        <v>1390.1167800000001</v>
      </c>
      <c r="G258" s="40">
        <v>0</v>
      </c>
      <c r="H258" s="40">
        <f t="shared" si="55"/>
        <v>2085.17517</v>
      </c>
      <c r="I258" s="34"/>
      <c r="N258" s="34"/>
    </row>
    <row r="259" spans="1:14" s="35" customFormat="1" x14ac:dyDescent="0.3">
      <c r="A259" s="75">
        <v>21</v>
      </c>
      <c r="B259" s="76"/>
      <c r="C259" s="60" t="s">
        <v>308</v>
      </c>
      <c r="D259" s="61">
        <f t="shared" ref="D259" si="58">(5.15*9.25+3.8*2.95+1.25*1.5)*10.764</f>
        <v>653.61698999999999</v>
      </c>
      <c r="E259" s="61">
        <f t="shared" ref="E259" si="59">(3.85)*10.764</f>
        <v>41.441400000000002</v>
      </c>
      <c r="F259" s="40">
        <f t="shared" si="54"/>
        <v>695.05839000000003</v>
      </c>
      <c r="G259" s="40">
        <v>0</v>
      </c>
      <c r="H259" s="40">
        <f t="shared" si="55"/>
        <v>1042.587585</v>
      </c>
      <c r="I259" s="34"/>
      <c r="N259" s="34"/>
    </row>
    <row r="260" spans="1:14" s="35" customFormat="1" x14ac:dyDescent="0.3">
      <c r="A260" s="75">
        <v>22</v>
      </c>
      <c r="B260" s="76"/>
      <c r="C260" s="60" t="s">
        <v>308</v>
      </c>
      <c r="D260" s="61">
        <f>(3.68*9.25+5.03*2.95+1.35*6.15+1.25*1.4)*10.764</f>
        <v>634.33328400000005</v>
      </c>
      <c r="E260" s="61">
        <f>(6.15+2.95+1)*10.764</f>
        <v>108.71640000000001</v>
      </c>
      <c r="F260" s="40">
        <f t="shared" si="54"/>
        <v>743.04968400000007</v>
      </c>
      <c r="G260" s="40">
        <v>0</v>
      </c>
      <c r="H260" s="40">
        <f t="shared" si="55"/>
        <v>1114.5745260000001</v>
      </c>
      <c r="I260" s="34"/>
      <c r="N260" s="34"/>
    </row>
    <row r="261" spans="1:14" x14ac:dyDescent="0.3">
      <c r="A261" s="86" t="s">
        <v>319</v>
      </c>
      <c r="B261" s="87"/>
      <c r="C261" s="87"/>
      <c r="D261" s="87"/>
      <c r="E261" s="87"/>
      <c r="F261" s="87"/>
      <c r="G261" s="87"/>
      <c r="H261" s="88"/>
      <c r="I261" s="34"/>
    </row>
    <row r="262" spans="1:14" s="35" customFormat="1" x14ac:dyDescent="0.3">
      <c r="A262" s="75">
        <v>12</v>
      </c>
      <c r="B262" s="76"/>
      <c r="C262" s="60" t="s">
        <v>308</v>
      </c>
      <c r="D262" s="61">
        <f>(8.875*9.7+8.98*2.95+1.5*1.5)*10.764</f>
        <v>1236.0139739999997</v>
      </c>
      <c r="E262" s="61">
        <f>(8.98+1+2.5)*10.764</f>
        <v>134.33472</v>
      </c>
      <c r="F262" s="40">
        <f t="shared" ref="F262:F272" si="60">D262+E262</f>
        <v>1370.3486939999998</v>
      </c>
      <c r="G262" s="40">
        <v>0</v>
      </c>
      <c r="H262" s="40">
        <f t="shared" ref="H262:H272" si="61">(D262+E262)*(($H$125)+1)</f>
        <v>2055.5230409999995</v>
      </c>
      <c r="I262" s="34"/>
    </row>
    <row r="263" spans="1:14" s="35" customFormat="1" x14ac:dyDescent="0.3">
      <c r="A263" s="75">
        <v>13</v>
      </c>
      <c r="B263" s="76"/>
      <c r="C263" s="60" t="s">
        <v>308</v>
      </c>
      <c r="D263" s="61">
        <f>(5.15*9.7+3.8*2.95+1.25*1.5)*10.764</f>
        <v>678.56255999999996</v>
      </c>
      <c r="E263" s="61">
        <f>(3.85)*10.764</f>
        <v>41.441400000000002</v>
      </c>
      <c r="F263" s="40">
        <f t="shared" si="60"/>
        <v>720.00396000000001</v>
      </c>
      <c r="G263" s="40">
        <v>0</v>
      </c>
      <c r="H263" s="40">
        <f t="shared" si="61"/>
        <v>1080.00594</v>
      </c>
      <c r="J263" s="34"/>
    </row>
    <row r="264" spans="1:14" s="35" customFormat="1" ht="15.75" customHeight="1" x14ac:dyDescent="0.3">
      <c r="A264" s="75">
        <v>14</v>
      </c>
      <c r="B264" s="76"/>
      <c r="C264" s="60" t="s">
        <v>308</v>
      </c>
      <c r="D264" s="61">
        <f t="shared" ref="D264:D265" si="62">(5.15*9.7+3.8*2.95+1.25*1.5)*10.764</f>
        <v>678.56255999999996</v>
      </c>
      <c r="E264" s="61">
        <f t="shared" ref="E264:E265" si="63">(3.85)*10.764</f>
        <v>41.441400000000002</v>
      </c>
      <c r="F264" s="40">
        <f t="shared" si="60"/>
        <v>720.00396000000001</v>
      </c>
      <c r="G264" s="40">
        <v>0</v>
      </c>
      <c r="H264" s="40">
        <f t="shared" si="61"/>
        <v>1080.00594</v>
      </c>
      <c r="I264" s="34"/>
      <c r="L264" s="89"/>
      <c r="M264" s="89"/>
      <c r="N264" s="34"/>
    </row>
    <row r="265" spans="1:14" s="35" customFormat="1" ht="15.75" customHeight="1" x14ac:dyDescent="0.3">
      <c r="A265" s="75">
        <v>15</v>
      </c>
      <c r="B265" s="76"/>
      <c r="C265" s="60" t="s">
        <v>308</v>
      </c>
      <c r="D265" s="61">
        <f t="shared" si="62"/>
        <v>678.56255999999996</v>
      </c>
      <c r="E265" s="61">
        <f t="shared" si="63"/>
        <v>41.441400000000002</v>
      </c>
      <c r="F265" s="40">
        <f t="shared" si="60"/>
        <v>720.00396000000001</v>
      </c>
      <c r="G265" s="40">
        <v>0</v>
      </c>
      <c r="H265" s="40">
        <f t="shared" si="61"/>
        <v>1080.00594</v>
      </c>
      <c r="I265" s="34"/>
      <c r="L265" s="89"/>
      <c r="M265" s="89"/>
      <c r="N265" s="34"/>
    </row>
    <row r="266" spans="1:14" s="35" customFormat="1" ht="15.75" customHeight="1" x14ac:dyDescent="0.3">
      <c r="A266" s="75">
        <v>16</v>
      </c>
      <c r="B266" s="76"/>
      <c r="C266" s="60" t="s">
        <v>308</v>
      </c>
      <c r="D266" s="61">
        <f>(4.02*9.7+5.52*2.95+1.5*4.72+1.27*1.5+1.37*1.63)*10.764</f>
        <v>715.76402039999982</v>
      </c>
      <c r="E266" s="61">
        <f>(5.52+8.4)*10.764</f>
        <v>149.83488</v>
      </c>
      <c r="F266" s="40">
        <f t="shared" si="60"/>
        <v>865.59890039999982</v>
      </c>
      <c r="G266" s="40">
        <v>0</v>
      </c>
      <c r="H266" s="40">
        <f t="shared" si="61"/>
        <v>1298.3983505999997</v>
      </c>
      <c r="I266" s="34"/>
      <c r="L266" s="89"/>
      <c r="M266" s="89"/>
      <c r="N266" s="34"/>
    </row>
    <row r="267" spans="1:14" s="35" customFormat="1" ht="15.75" customHeight="1" x14ac:dyDescent="0.3">
      <c r="A267" s="75">
        <v>17</v>
      </c>
      <c r="B267" s="76"/>
      <c r="C267" s="60" t="s">
        <v>308</v>
      </c>
      <c r="D267" s="61">
        <f>(4.02*9.25+1.4*1.5+5.52*2.95+1.5*0.45)*10.764</f>
        <v>605.41041599999994</v>
      </c>
      <c r="E267" s="61">
        <f>(5.52+1+2.5)*10.764</f>
        <v>97.091279999999983</v>
      </c>
      <c r="F267" s="40">
        <f t="shared" si="60"/>
        <v>702.50169599999992</v>
      </c>
      <c r="G267" s="40">
        <v>0</v>
      </c>
      <c r="H267" s="40">
        <f t="shared" si="61"/>
        <v>1053.7525439999999</v>
      </c>
      <c r="I267" s="34"/>
      <c r="L267" s="89"/>
      <c r="M267" s="89"/>
      <c r="N267" s="34"/>
    </row>
    <row r="268" spans="1:14" s="35" customFormat="1" x14ac:dyDescent="0.3">
      <c r="A268" s="75">
        <v>18</v>
      </c>
      <c r="B268" s="76"/>
      <c r="C268" s="60" t="s">
        <v>308</v>
      </c>
      <c r="D268" s="61">
        <f>(5.15*9.25+3.8*2.95+1.25*1.5)*10.764</f>
        <v>653.61698999999999</v>
      </c>
      <c r="E268" s="61">
        <f t="shared" ref="E268:E271" si="64">(3.85)*10.764</f>
        <v>41.441400000000002</v>
      </c>
      <c r="F268" s="40">
        <f t="shared" si="60"/>
        <v>695.05839000000003</v>
      </c>
      <c r="G268" s="40">
        <v>0</v>
      </c>
      <c r="H268" s="40">
        <f t="shared" si="61"/>
        <v>1042.587585</v>
      </c>
      <c r="I268" s="34"/>
      <c r="L268" s="89"/>
      <c r="M268" s="89"/>
    </row>
    <row r="269" spans="1:14" s="35" customFormat="1" x14ac:dyDescent="0.3">
      <c r="A269" s="75">
        <v>19</v>
      </c>
      <c r="B269" s="76"/>
      <c r="C269" s="60" t="s">
        <v>308</v>
      </c>
      <c r="D269" s="61">
        <f t="shared" ref="D269:D271" si="65">(5.15*9.25+3.8*2.95+1.25*1.5)*10.764</f>
        <v>653.61698999999999</v>
      </c>
      <c r="E269" s="61">
        <f t="shared" si="64"/>
        <v>41.441400000000002</v>
      </c>
      <c r="F269" s="40">
        <f t="shared" si="60"/>
        <v>695.05839000000003</v>
      </c>
      <c r="G269" s="40">
        <v>0</v>
      </c>
      <c r="H269" s="40">
        <f t="shared" si="61"/>
        <v>1042.587585</v>
      </c>
      <c r="I269" s="34"/>
      <c r="N269" s="34"/>
    </row>
    <row r="270" spans="1:14" s="35" customFormat="1" x14ac:dyDescent="0.3">
      <c r="A270" s="75">
        <v>20</v>
      </c>
      <c r="B270" s="76"/>
      <c r="C270" s="60" t="s">
        <v>308</v>
      </c>
      <c r="D270" s="61">
        <f t="shared" si="65"/>
        <v>653.61698999999999</v>
      </c>
      <c r="E270" s="61">
        <f t="shared" si="64"/>
        <v>41.441400000000002</v>
      </c>
      <c r="F270" s="40">
        <f t="shared" si="60"/>
        <v>695.05839000000003</v>
      </c>
      <c r="G270" s="40">
        <v>0</v>
      </c>
      <c r="H270" s="40">
        <f t="shared" si="61"/>
        <v>1042.587585</v>
      </c>
      <c r="I270" s="34"/>
      <c r="N270" s="34"/>
    </row>
    <row r="271" spans="1:14" s="35" customFormat="1" x14ac:dyDescent="0.3">
      <c r="A271" s="75">
        <v>21</v>
      </c>
      <c r="B271" s="76"/>
      <c r="C271" s="60" t="s">
        <v>308</v>
      </c>
      <c r="D271" s="61">
        <f t="shared" si="65"/>
        <v>653.61698999999999</v>
      </c>
      <c r="E271" s="61">
        <f t="shared" si="64"/>
        <v>41.441400000000002</v>
      </c>
      <c r="F271" s="40">
        <f t="shared" si="60"/>
        <v>695.05839000000003</v>
      </c>
      <c r="G271" s="40">
        <v>0</v>
      </c>
      <c r="H271" s="40">
        <f t="shared" si="61"/>
        <v>1042.587585</v>
      </c>
      <c r="I271" s="34"/>
      <c r="N271" s="34"/>
    </row>
    <row r="272" spans="1:14" s="35" customFormat="1" x14ac:dyDescent="0.3">
      <c r="A272" s="75">
        <v>22</v>
      </c>
      <c r="B272" s="76"/>
      <c r="C272" s="60" t="s">
        <v>308</v>
      </c>
      <c r="D272" s="61">
        <f>(3.68*9.25+5.03*2.95+1.35*6.15+1.25*1.4)*10.764</f>
        <v>634.33328400000005</v>
      </c>
      <c r="E272" s="61">
        <f>(6.15+2.95+1)*10.764</f>
        <v>108.71640000000001</v>
      </c>
      <c r="F272" s="40">
        <f t="shared" si="60"/>
        <v>743.04968400000007</v>
      </c>
      <c r="G272" s="40">
        <v>0</v>
      </c>
      <c r="H272" s="40">
        <f t="shared" si="61"/>
        <v>1114.5745260000001</v>
      </c>
      <c r="I272" s="34"/>
      <c r="N272" s="34"/>
    </row>
    <row r="273" spans="1:14" s="35" customFormat="1" x14ac:dyDescent="0.3">
      <c r="A273" s="96" t="s">
        <v>356</v>
      </c>
      <c r="B273" s="97"/>
      <c r="C273" s="97"/>
      <c r="D273" s="97"/>
      <c r="E273" s="97"/>
      <c r="F273" s="97"/>
      <c r="G273" s="97"/>
      <c r="H273" s="98"/>
      <c r="I273" s="34"/>
      <c r="N273" s="34"/>
    </row>
    <row r="274" spans="1:14" s="35" customFormat="1" ht="31.5" customHeight="1" x14ac:dyDescent="0.3">
      <c r="A274" s="75">
        <v>12</v>
      </c>
      <c r="B274" s="76"/>
      <c r="C274" s="40" t="s">
        <v>355</v>
      </c>
      <c r="D274" s="61">
        <f>(30.45*11.05+1.5*4.72+9.47*2.95+7.75*2.95+7.78*2.95+1.37*1.63*2+1.25*1.5*4)*10.764</f>
        <v>4620.6482868000003</v>
      </c>
      <c r="E274" s="61">
        <f>(4+1+1.5+7.75+9.47+4.7+1)*10.764</f>
        <v>316.67687999999998</v>
      </c>
      <c r="F274" s="40">
        <f t="shared" ref="F274" si="66">D274+E274</f>
        <v>4937.3251668000003</v>
      </c>
      <c r="G274" s="40">
        <v>0</v>
      </c>
      <c r="H274" s="40">
        <f t="shared" ref="H274" si="67">(D274+E274)*(($H$125)+1)</f>
        <v>7405.9877501999999</v>
      </c>
      <c r="I274" s="34"/>
      <c r="N274" s="34"/>
    </row>
    <row r="275" spans="1:14" s="35" customFormat="1" x14ac:dyDescent="0.3">
      <c r="A275" s="75">
        <v>15</v>
      </c>
      <c r="B275" s="76"/>
      <c r="C275" s="77" t="s">
        <v>339</v>
      </c>
      <c r="D275" s="78"/>
      <c r="E275" s="78"/>
      <c r="F275" s="78"/>
      <c r="G275" s="78"/>
      <c r="H275" s="79"/>
      <c r="I275" s="34"/>
      <c r="N275" s="34"/>
    </row>
    <row r="276" spans="1:14" s="35" customFormat="1" x14ac:dyDescent="0.3">
      <c r="A276" s="75">
        <v>16</v>
      </c>
      <c r="B276" s="76"/>
      <c r="C276" s="80"/>
      <c r="D276" s="81"/>
      <c r="E276" s="81"/>
      <c r="F276" s="81"/>
      <c r="G276" s="81"/>
      <c r="H276" s="82"/>
      <c r="I276" s="34"/>
      <c r="N276" s="34"/>
    </row>
    <row r="277" spans="1:14" s="35" customFormat="1" x14ac:dyDescent="0.3">
      <c r="A277" s="75">
        <v>17</v>
      </c>
      <c r="B277" s="76"/>
      <c r="C277" s="80"/>
      <c r="D277" s="81"/>
      <c r="E277" s="81"/>
      <c r="F277" s="81"/>
      <c r="G277" s="81"/>
      <c r="H277" s="82"/>
      <c r="I277" s="34"/>
      <c r="N277" s="34"/>
    </row>
    <row r="278" spans="1:14" s="35" customFormat="1" x14ac:dyDescent="0.3">
      <c r="A278" s="75">
        <v>18</v>
      </c>
      <c r="B278" s="76"/>
      <c r="C278" s="80"/>
      <c r="D278" s="81"/>
      <c r="E278" s="81"/>
      <c r="F278" s="81"/>
      <c r="G278" s="81"/>
      <c r="H278" s="82"/>
      <c r="I278" s="34"/>
      <c r="N278" s="34"/>
    </row>
    <row r="279" spans="1:14" s="35" customFormat="1" x14ac:dyDescent="0.3">
      <c r="A279" s="75">
        <v>19</v>
      </c>
      <c r="B279" s="76"/>
      <c r="C279" s="80"/>
      <c r="D279" s="81"/>
      <c r="E279" s="81"/>
      <c r="F279" s="81"/>
      <c r="G279" s="81"/>
      <c r="H279" s="82"/>
      <c r="I279" s="34"/>
      <c r="N279" s="34"/>
    </row>
    <row r="280" spans="1:14" s="35" customFormat="1" x14ac:dyDescent="0.3">
      <c r="A280" s="75">
        <v>20</v>
      </c>
      <c r="B280" s="76"/>
      <c r="C280" s="80"/>
      <c r="D280" s="81"/>
      <c r="E280" s="81"/>
      <c r="F280" s="81"/>
      <c r="G280" s="81"/>
      <c r="H280" s="82"/>
      <c r="I280" s="34"/>
      <c r="J280" s="35">
        <f>15000/1.5</f>
        <v>10000</v>
      </c>
      <c r="N280" s="34"/>
    </row>
    <row r="281" spans="1:14" s="35" customFormat="1" x14ac:dyDescent="0.3">
      <c r="A281" s="75">
        <v>21</v>
      </c>
      <c r="B281" s="76"/>
      <c r="C281" s="80"/>
      <c r="D281" s="81"/>
      <c r="E281" s="81"/>
      <c r="F281" s="81"/>
      <c r="G281" s="81"/>
      <c r="H281" s="82"/>
      <c r="I281" s="34"/>
      <c r="N281" s="34"/>
    </row>
    <row r="282" spans="1:14" s="35" customFormat="1" x14ac:dyDescent="0.3">
      <c r="A282" s="75">
        <v>22</v>
      </c>
      <c r="B282" s="76"/>
      <c r="C282" s="83"/>
      <c r="D282" s="84"/>
      <c r="E282" s="84"/>
      <c r="F282" s="84"/>
      <c r="G282" s="84"/>
      <c r="H282" s="85"/>
      <c r="I282" s="34"/>
      <c r="N282" s="34"/>
    </row>
    <row r="283" spans="1:14" s="35" customFormat="1" ht="15.75" hidden="1" customHeight="1" x14ac:dyDescent="0.3">
      <c r="A283" s="96" t="s">
        <v>318</v>
      </c>
      <c r="B283" s="97"/>
      <c r="C283" s="97"/>
      <c r="D283" s="97"/>
      <c r="E283" s="97"/>
      <c r="F283" s="97"/>
      <c r="G283" s="97"/>
      <c r="H283" s="98"/>
      <c r="I283" s="34"/>
      <c r="N283" s="34"/>
    </row>
    <row r="284" spans="1:14" s="35" customFormat="1" hidden="1" x14ac:dyDescent="0.3">
      <c r="A284" s="75">
        <v>1</v>
      </c>
      <c r="B284" s="76"/>
      <c r="C284" s="60" t="s">
        <v>308</v>
      </c>
      <c r="D284" s="61">
        <f>(28.94*12.25+27*5.65+30.4*6.15+8.03*1.95+7.85*1.95+8.515*1.95+0.6*6.4+9.52*1.95+7.85*1.95+8.88*1.95+1.2*1.5*8+1.4*1.5*2+1.2*1.4+2*3)*10.764</f>
        <v>8857.7252010000011</v>
      </c>
      <c r="E284" s="61">
        <f>(1.8+8.03+7.85+8.515+9.2+2.4+9.52+7.85+9+8)*10.764</f>
        <v>776.78405999999984</v>
      </c>
      <c r="F284" s="40">
        <f>D284+E284</f>
        <v>9634.5092610000011</v>
      </c>
      <c r="G284" s="40">
        <v>0</v>
      </c>
      <c r="H284" s="40">
        <f>(D284+E284)*(($H$125)+1)</f>
        <v>14451.763891500003</v>
      </c>
      <c r="I284" s="34"/>
      <c r="N284" s="34"/>
    </row>
    <row r="285" spans="1:14" s="35" customFormat="1" hidden="1" x14ac:dyDescent="0.3">
      <c r="A285" s="96" t="s">
        <v>320</v>
      </c>
      <c r="B285" s="97"/>
      <c r="C285" s="97"/>
      <c r="D285" s="97"/>
      <c r="E285" s="97"/>
      <c r="F285" s="97"/>
      <c r="G285" s="97"/>
      <c r="H285" s="98"/>
      <c r="I285" s="34"/>
      <c r="N285" s="34"/>
    </row>
    <row r="286" spans="1:14" s="35" customFormat="1" hidden="1" x14ac:dyDescent="0.3">
      <c r="A286" s="75">
        <v>1</v>
      </c>
      <c r="B286" s="76"/>
      <c r="C286" s="60" t="s">
        <v>308</v>
      </c>
      <c r="D286" s="61">
        <f>(24.99*9.85+27*5.65+30.4*6.15+1.95*2.4+3.625*1.95+7.85*1.95+8.515*1.95+0.5*6.4+8.515*1.95+7.85*1.95+8.88*1.95+1.2*1.5*8+1.4*1.5*2+1.2*1.4+2*3)*10.764</f>
        <v>7621.2322290000002</v>
      </c>
      <c r="E286" s="61">
        <f>(3.625+7.85+8.515+9.2+2.4+9.515+7.85+9+8)*10.764</f>
        <v>709.9396200000001</v>
      </c>
      <c r="F286" s="40">
        <f>D286+E286</f>
        <v>8331.1718490000003</v>
      </c>
      <c r="G286" s="40">
        <v>0</v>
      </c>
      <c r="H286" s="40">
        <f>(D286+E286)*(($H$125)+1)</f>
        <v>12496.757773500001</v>
      </c>
      <c r="I286" s="34"/>
      <c r="N286" s="34"/>
    </row>
    <row r="287" spans="1:14" s="35" customFormat="1" hidden="1" x14ac:dyDescent="0.3">
      <c r="A287" s="75"/>
      <c r="B287" s="225"/>
      <c r="C287" s="225"/>
      <c r="D287" s="225"/>
      <c r="E287" s="225"/>
      <c r="F287" s="225"/>
      <c r="G287" s="225"/>
      <c r="H287" s="76"/>
      <c r="I287" s="34"/>
      <c r="N287" s="34"/>
    </row>
    <row r="288" spans="1:14" s="35" customFormat="1" ht="42.75" hidden="1" customHeight="1" x14ac:dyDescent="0.3">
      <c r="A288" s="221" t="s">
        <v>118</v>
      </c>
      <c r="B288" s="93" t="s">
        <v>172</v>
      </c>
      <c r="C288" s="93" t="s">
        <v>55</v>
      </c>
      <c r="D288" s="93" t="s">
        <v>228</v>
      </c>
      <c r="E288" s="93" t="s">
        <v>227</v>
      </c>
      <c r="F288" s="93" t="s">
        <v>56</v>
      </c>
      <c r="G288" s="132" t="s">
        <v>57</v>
      </c>
      <c r="H288" s="51" t="s">
        <v>147</v>
      </c>
      <c r="I288" s="34"/>
    </row>
    <row r="289" spans="1:9" s="35" customFormat="1" ht="15.75" hidden="1" customHeight="1" x14ac:dyDescent="0.3">
      <c r="A289" s="222"/>
      <c r="B289" s="94"/>
      <c r="C289" s="94"/>
      <c r="D289" s="94"/>
      <c r="E289" s="94"/>
      <c r="F289" s="94"/>
      <c r="G289" s="133"/>
      <c r="H289" s="52">
        <v>0.45</v>
      </c>
      <c r="I289" s="34"/>
    </row>
    <row r="290" spans="1:9" s="35" customFormat="1" ht="15.75" hidden="1" customHeight="1" x14ac:dyDescent="0.3">
      <c r="A290" s="163" t="s">
        <v>116</v>
      </c>
      <c r="B290" s="164"/>
      <c r="C290" s="164"/>
      <c r="D290" s="164"/>
      <c r="E290" s="164"/>
      <c r="F290" s="164"/>
      <c r="G290" s="164"/>
      <c r="H290" s="165"/>
      <c r="I290" s="34"/>
    </row>
    <row r="291" spans="1:9" s="35" customFormat="1" ht="15.75" hidden="1" customHeight="1" x14ac:dyDescent="0.3">
      <c r="A291" s="75">
        <v>1</v>
      </c>
      <c r="B291" s="76"/>
      <c r="C291" s="40"/>
      <c r="D291" s="40"/>
      <c r="E291" s="40">
        <v>0</v>
      </c>
      <c r="F291" s="40">
        <f>D291+E291</f>
        <v>0</v>
      </c>
      <c r="G291" s="40">
        <v>0</v>
      </c>
      <c r="H291" s="40">
        <f>F291*(($H$289)+1)+(IF(G291&lt;101,G291,IF(G291&lt;201,G291/2,IF(G291&lt;=301,G291/3,G291/4))))</f>
        <v>0</v>
      </c>
      <c r="I291" s="34"/>
    </row>
    <row r="292" spans="1:9" s="35" customFormat="1" ht="15.75" hidden="1" customHeight="1" x14ac:dyDescent="0.3">
      <c r="A292" s="75">
        <f>A291+1</f>
        <v>2</v>
      </c>
      <c r="B292" s="76"/>
      <c r="C292" s="40"/>
      <c r="D292" s="40"/>
      <c r="E292" s="40">
        <v>0</v>
      </c>
      <c r="F292" s="40">
        <f>D292+E292</f>
        <v>0</v>
      </c>
      <c r="G292" s="40">
        <v>0</v>
      </c>
      <c r="H292" s="40">
        <f>F292*(($H$289)+1)+(IF(G292&lt;101,G292,IF(G292&lt;201,G292/2,IF(G292&lt;=301,G292/3,G292/4))))</f>
        <v>0</v>
      </c>
      <c r="I292" s="34"/>
    </row>
    <row r="293" spans="1:9" s="35" customFormat="1" ht="15.75" hidden="1" customHeight="1" x14ac:dyDescent="0.3">
      <c r="A293" s="75">
        <f>A292+1</f>
        <v>3</v>
      </c>
      <c r="B293" s="76"/>
      <c r="C293" s="40"/>
      <c r="D293" s="40"/>
      <c r="E293" s="40">
        <v>0</v>
      </c>
      <c r="F293" s="40">
        <f>D293+E293</f>
        <v>0</v>
      </c>
      <c r="G293" s="40">
        <v>0</v>
      </c>
      <c r="H293" s="40">
        <f>F293*(($H$289)+1)+(IF(G293&lt;101,G293,IF(G293&lt;201,G293/2,IF(G293&lt;=301,G293/3,G293/4))))</f>
        <v>0</v>
      </c>
      <c r="I293" s="34"/>
    </row>
    <row r="294" spans="1:9" s="35" customFormat="1" hidden="1" x14ac:dyDescent="0.3">
      <c r="A294" s="75">
        <f>A293+1</f>
        <v>4</v>
      </c>
      <c r="B294" s="76"/>
      <c r="C294" s="40"/>
      <c r="D294" s="40"/>
      <c r="E294" s="40">
        <v>0</v>
      </c>
      <c r="F294" s="40">
        <f>D294+E294</f>
        <v>0</v>
      </c>
      <c r="G294" s="40">
        <v>0</v>
      </c>
      <c r="H294" s="40">
        <f>F294*(($H$289)+1)+(IF(G294&lt;101,G294,IF(G294&lt;201,G294/2,IF(G294&lt;=301,G294/3,G294/4))))</f>
        <v>0</v>
      </c>
      <c r="I294" s="34"/>
    </row>
    <row r="295" spans="1:9" s="35" customFormat="1" ht="15.75" hidden="1" customHeight="1" x14ac:dyDescent="0.3">
      <c r="A295" s="189" t="s">
        <v>117</v>
      </c>
      <c r="B295" s="189"/>
      <c r="C295" s="189"/>
      <c r="D295" s="189"/>
      <c r="E295" s="189"/>
      <c r="F295" s="189"/>
      <c r="G295" s="189"/>
      <c r="H295" s="189"/>
      <c r="I295" s="34"/>
    </row>
    <row r="296" spans="1:9" s="35" customFormat="1" ht="15.75" hidden="1" customHeight="1" x14ac:dyDescent="0.3">
      <c r="A296" s="95">
        <f>LEFT(A295,SUM(LEN(A295)-LEN(SUBSTITUTE(A295,{"0","1","2","3","4","5","6","7","8","9"},""))))*100+1</f>
        <v>201</v>
      </c>
      <c r="B296" s="95"/>
      <c r="C296" s="40"/>
      <c r="D296" s="40"/>
      <c r="E296" s="40">
        <v>0</v>
      </c>
      <c r="F296" s="40">
        <f>D296+E296</f>
        <v>0</v>
      </c>
      <c r="G296" s="40">
        <v>0</v>
      </c>
      <c r="H296" s="40">
        <f>F296*(($H$289)+1)+(IF(G296&lt;101,G296,IF(G296&lt;201,G296/2,IF(G296&lt;=301,G296/3,G296/4))))</f>
        <v>0</v>
      </c>
      <c r="I296" s="34"/>
    </row>
    <row r="297" spans="1:9" s="35" customFormat="1" ht="15.75" hidden="1" customHeight="1" x14ac:dyDescent="0.3">
      <c r="A297" s="95">
        <f>A296+1</f>
        <v>202</v>
      </c>
      <c r="B297" s="95"/>
      <c r="C297" s="40"/>
      <c r="D297" s="40"/>
      <c r="E297" s="40">
        <v>0</v>
      </c>
      <c r="F297" s="40">
        <f>D297+E297</f>
        <v>0</v>
      </c>
      <c r="G297" s="40">
        <v>0</v>
      </c>
      <c r="H297" s="40">
        <f>F297*(($H$289)+1)+(IF(G297&lt;101,G297,IF(G297&lt;201,G297/2,IF(G297&lt;=301,G297/3,G297/4))))</f>
        <v>0</v>
      </c>
      <c r="I297" s="34"/>
    </row>
    <row r="298" spans="1:9" s="35" customFormat="1" ht="15.75" hidden="1" customHeight="1" x14ac:dyDescent="0.3">
      <c r="A298" s="95">
        <f>A297+1</f>
        <v>203</v>
      </c>
      <c r="B298" s="95"/>
      <c r="C298" s="40"/>
      <c r="D298" s="40"/>
      <c r="E298" s="40">
        <v>0</v>
      </c>
      <c r="F298" s="40">
        <f>D298+E298</f>
        <v>0</v>
      </c>
      <c r="G298" s="40">
        <v>0</v>
      </c>
      <c r="H298" s="40">
        <f>F298*(($H$289)+1)+(IF(G298&lt;101,G298,IF(G298&lt;201,G298/2,IF(G298&lt;=301,G298/3,G298/4))))</f>
        <v>0</v>
      </c>
      <c r="I298" s="34"/>
    </row>
    <row r="299" spans="1:9" s="35" customFormat="1" ht="15.75" hidden="1" customHeight="1" x14ac:dyDescent="0.3">
      <c r="A299" s="95">
        <f>A298+1</f>
        <v>204</v>
      </c>
      <c r="B299" s="95"/>
      <c r="C299" s="40"/>
      <c r="D299" s="40"/>
      <c r="E299" s="40">
        <v>0</v>
      </c>
      <c r="F299" s="40">
        <f>D299+E299</f>
        <v>0</v>
      </c>
      <c r="G299" s="40">
        <v>0</v>
      </c>
      <c r="H299" s="40">
        <f>F299*(($H$289)+1)+(IF(G299&lt;101,G299,IF(G299&lt;201,G299/2,IF(G299&lt;=301,G299/3,G299/4))))</f>
        <v>0</v>
      </c>
      <c r="I299" s="34"/>
    </row>
    <row r="300" spans="1:9" s="35" customFormat="1" hidden="1" x14ac:dyDescent="0.3">
      <c r="A300" s="95">
        <f>A299+1</f>
        <v>205</v>
      </c>
      <c r="B300" s="95"/>
      <c r="C300" s="40"/>
      <c r="D300" s="40"/>
      <c r="E300" s="40">
        <v>0</v>
      </c>
      <c r="F300" s="40">
        <f>D300+E300</f>
        <v>0</v>
      </c>
      <c r="G300" s="40">
        <v>0</v>
      </c>
      <c r="H300" s="40">
        <f>F300*(($H$289)+1)+(IF(G300&lt;101,G300,IF(G300&lt;201,G300/2,IF(G300&lt;=301,G300/3,G300/4))))</f>
        <v>0</v>
      </c>
      <c r="I300" s="34"/>
    </row>
    <row r="301" spans="1:9" s="35" customFormat="1" ht="15.75" hidden="1" customHeight="1" x14ac:dyDescent="0.3">
      <c r="A301" s="163" t="s">
        <v>148</v>
      </c>
      <c r="B301" s="164"/>
      <c r="C301" s="164"/>
      <c r="D301" s="164"/>
      <c r="E301" s="164"/>
      <c r="F301" s="164"/>
      <c r="G301" s="164"/>
      <c r="H301" s="165"/>
      <c r="I301" s="34"/>
    </row>
    <row r="302" spans="1:9" s="35" customFormat="1" ht="15.75" hidden="1" customHeight="1" x14ac:dyDescent="0.3">
      <c r="A302" s="75" t="str">
        <f ca="1">(SUMPRODUCT(MID(0&amp;(LEFT(A301,SUM(LEN(A301)-LEN(SUBSTITUTE(A301,{"0","1","2"},""))))), LARGE(INDEX(ISNUMBER(--MID((LEFT(A301,SUM(LEN(A301)-LEN(SUBSTITUTE(A301,{"0","1","2"},""))))), ROW(INDIRECT("1:"&amp;LEN((LEFT(A301,SUM(LEN(A301)-LEN(SUBSTITUTE(A301,{"0","1","2"},"")))))))), 1)) * ROW(INDIRECT("1:"&amp;LEN((LEFT(A301,SUM(LEN(A301)-LEN(SUBSTITUTE(A301,{"0","1","2"},"")))))))), 0), ROW(INDIRECT("1:"&amp;LEN((LEFT(A301,SUM(LEN(A301)-LEN(SUBSTITUTE(A301,{"0","1","2"},"")))))))))+1, 1) * 10^ROW(INDIRECT("1:"&amp;LEN((LEFT(A301,SUM(LEN(A301)-LEN(SUBSTITUTE(A301,{"0","1","2"},""))))))))/10))*100+1&amp;""&amp;" ,.., "&amp;""&amp;(SUMPRODUCT(MID(0&amp;(--TRIM(RIGHT(SUBSTITUTE(LEFT(A301,_xlfn.AGGREGATE(16,6,FIND({0,1,2,3,4,5,6,7,8,9},A301,ROW(INDIRECT("1:"&amp;LEN(A301)))),1))," ",REPT(" ",LEN(A301))),LEN(A301)))), LARGE(INDEX(ISNUMBER(--MID((--TRIM(RIGHT(SUBSTITUTE(LEFT(A301,_xlfn.AGGREGATE(16,6,FIND({0,1,2,3,4,5,6,7,8,9},A301,ROW(INDIRECT("1:"&amp;LEN(A301)))),1))," ",REPT(" ",LEN(A301))),LEN(A301)))), ROW(INDIRECT("1:"&amp;LEN((--TRIM(RIGHT(SUBSTITUTE(LEFT(A301,_xlfn.AGGREGATE(16,6,FIND({0,1,2,3,4,5,6,7,8,9},A301,ROW(INDIRECT("1:"&amp;LEN(A301)))),1))," ",REPT(" ",LEN(A301))),LEN(A301))))))), 1)) * ROW(INDIRECT("1:"&amp;LEN((--TRIM(RIGHT(SUBSTITUTE(LEFT(A301,_xlfn.AGGREGATE(16,6,FIND({0,1,2,3,4,5,6,7,8,9},A301,ROW(INDIRECT("1:"&amp;LEN(A301)))),1))," ",REPT(" ",LEN(A301))),LEN(A301))))))), 0), ROW(INDIRECT("1:"&amp;LEN((--TRIM(RIGHT(SUBSTITUTE(LEFT(A301,_xlfn.AGGREGATE(16,6,FIND({0,1,2,3,4,5,6,7,8,9},A301,ROW(INDIRECT("1:"&amp;LEN(A301)))),1))," ",REPT(" ",LEN(A301))),LEN(A301))))))))+1, 1) * 10^ROW(INDIRECT("1:"&amp;LEN((--TRIM(RIGHT(SUBSTITUTE(LEFT(A301,_xlfn.AGGREGATE(16,6,FIND({0,1,2,3,4,5,6,7,8,9},A301,ROW(INDIRECT("1:"&amp;LEN(A301)))),1))," ",REPT(" ",LEN(A301))),LEN(A301)))))))/10))*100+1</f>
        <v>301 ,.., 1501</v>
      </c>
      <c r="B302" s="76"/>
      <c r="C302" s="40"/>
      <c r="D302" s="40"/>
      <c r="E302" s="40">
        <v>0</v>
      </c>
      <c r="F302" s="40">
        <f>D302+E302</f>
        <v>0</v>
      </c>
      <c r="G302" s="40">
        <v>0</v>
      </c>
      <c r="H302" s="40">
        <f>F302*(($H$289)+1)+(IF(G302&lt;101,G302,IF(G302&lt;201,G302/2,IF(G302&lt;=301,G302/3,G302/4))))</f>
        <v>0</v>
      </c>
      <c r="I302" s="34"/>
    </row>
    <row r="303" spans="1:9" s="35" customFormat="1" ht="15.75" hidden="1" customHeight="1" x14ac:dyDescent="0.3">
      <c r="A303" s="75" t="str">
        <f ca="1">(SUMPRODUCT(MID(0&amp;(LEFT(A302,SUM(LEN(A302)-LEN(SUBSTITUTE(A302,{"0","1","2"},""))))), LARGE(INDEX(ISNUMBER(--MID((LEFT(A302,SUM(LEN(A302)-LEN(SUBSTITUTE(A302,{"0","1","2"},""))))), ROW(INDIRECT("1:"&amp;LEN((LEFT(A302,SUM(LEN(A302)-LEN(SUBSTITUTE(A302,{"0","1","2"},"")))))))), 1)) * ROW(INDIRECT("1:"&amp;LEN((LEFT(A302,SUM(LEN(A302)-LEN(SUBSTITUTE(A302,{"0","1","2"},"")))))))), 0), ROW(INDIRECT("1:"&amp;LEN((LEFT(A302,SUM(LEN(A302)-LEN(SUBSTITUTE(A302,{"0","1","2"},"")))))))))+1, 1) * 10^ROW(INDIRECT("1:"&amp;LEN((LEFT(A302,SUM(LEN(A302)-LEN(SUBSTITUTE(A302,{"0","1","2"},""))))))))/10))*1+1&amp;""&amp;" ,.., "&amp;""&amp;(SUMPRODUCT(MID(0&amp;(--TRIM(RIGHT(SUBSTITUTE(LEFT(A302,_xlfn.AGGREGATE(16,6,FIND({0,1,2,3,4,5,6,7,8,9},A302,ROW(INDIRECT("1:"&amp;LEN(A302)))),1))," ",REPT(" ",LEN(A302))),LEN(A302)))), LARGE(INDEX(ISNUMBER(--MID((--TRIM(RIGHT(SUBSTITUTE(LEFT(A302,_xlfn.AGGREGATE(16,6,FIND({0,1,2,3,4,5,6,7,8,9},A302,ROW(INDIRECT("1:"&amp;LEN(A302)))),1))," ",REPT(" ",LEN(A302))),LEN(A302)))), ROW(INDIRECT("1:"&amp;LEN((--TRIM(RIGHT(SUBSTITUTE(LEFT(A302,_xlfn.AGGREGATE(16,6,FIND({0,1,2,3,4,5,6,7,8,9},A302,ROW(INDIRECT("1:"&amp;LEN(A302)))),1))," ",REPT(" ",LEN(A302))),LEN(A302))))))), 1)) * ROW(INDIRECT("1:"&amp;LEN((--TRIM(RIGHT(SUBSTITUTE(LEFT(A302,_xlfn.AGGREGATE(16,6,FIND({0,1,2,3,4,5,6,7,8,9},A302,ROW(INDIRECT("1:"&amp;LEN(A302)))),1))," ",REPT(" ",LEN(A302))),LEN(A302))))))), 0), ROW(INDIRECT("1:"&amp;LEN((--TRIM(RIGHT(SUBSTITUTE(LEFT(A302,_xlfn.AGGREGATE(16,6,FIND({0,1,2,3,4,5,6,7,8,9},A302,ROW(INDIRECT("1:"&amp;LEN(A302)))),1))," ",REPT(" ",LEN(A302))),LEN(A302))))))))+1, 1) * 10^ROW(INDIRECT("1:"&amp;LEN((--TRIM(RIGHT(SUBSTITUTE(LEFT(A302,_xlfn.AGGREGATE(16,6,FIND({0,1,2,3,4,5,6,7,8,9},A302,ROW(INDIRECT("1:"&amp;LEN(A302)))),1))," ",REPT(" ",LEN(A302))),LEN(A302)))))))/10))*1+1</f>
        <v>302 ,.., 1502</v>
      </c>
      <c r="B303" s="76"/>
      <c r="C303" s="40"/>
      <c r="D303" s="40"/>
      <c r="E303" s="40">
        <v>0</v>
      </c>
      <c r="F303" s="40">
        <f>D303+E303</f>
        <v>0</v>
      </c>
      <c r="G303" s="40">
        <v>0</v>
      </c>
      <c r="H303" s="40">
        <f>F303*(($H$289)+1)+(IF(G303&lt;101,G303,IF(G303&lt;201,G303/2,IF(G303&lt;=301,G303/3,G303/4))))</f>
        <v>0</v>
      </c>
      <c r="I303" s="34"/>
    </row>
    <row r="304" spans="1:9" s="35" customFormat="1" ht="15.75" hidden="1" customHeight="1" x14ac:dyDescent="0.3">
      <c r="A304" s="75" t="str">
        <f ca="1">(SUMPRODUCT(MID(0&amp;(LEFT(A303,SUM(LEN(A303)-LEN(SUBSTITUTE(A303,{"0","1","2"},""))))), LARGE(INDEX(ISNUMBER(--MID((LEFT(A303,SUM(LEN(A303)-LEN(SUBSTITUTE(A303,{"0","1","2"},""))))), ROW(INDIRECT("1:"&amp;LEN((LEFT(A303,SUM(LEN(A303)-LEN(SUBSTITUTE(A303,{"0","1","2"},"")))))))), 1)) * ROW(INDIRECT("1:"&amp;LEN((LEFT(A303,SUM(LEN(A303)-LEN(SUBSTITUTE(A303,{"0","1","2"},"")))))))), 0), ROW(INDIRECT("1:"&amp;LEN((LEFT(A303,SUM(LEN(A303)-LEN(SUBSTITUTE(A303,{"0","1","2"},"")))))))))+1, 1) * 10^ROW(INDIRECT("1:"&amp;LEN((LEFT(A303,SUM(LEN(A303)-LEN(SUBSTITUTE(A303,{"0","1","2"},""))))))))/10))*1+1&amp;""&amp;" ,.., "&amp;""&amp;(SUMPRODUCT(MID(0&amp;(--TRIM(RIGHT(SUBSTITUTE(LEFT(A303,_xlfn.AGGREGATE(16,6,FIND({0,1,2,3,4,5,6,7,8,9},A303,ROW(INDIRECT("1:"&amp;LEN(A303)))),1))," ",REPT(" ",LEN(A303))),LEN(A303)))), LARGE(INDEX(ISNUMBER(--MID((--TRIM(RIGHT(SUBSTITUTE(LEFT(A303,_xlfn.AGGREGATE(16,6,FIND({0,1,2,3,4,5,6,7,8,9},A303,ROW(INDIRECT("1:"&amp;LEN(A303)))),1))," ",REPT(" ",LEN(A303))),LEN(A303)))), ROW(INDIRECT("1:"&amp;LEN((--TRIM(RIGHT(SUBSTITUTE(LEFT(A303,_xlfn.AGGREGATE(16,6,FIND({0,1,2,3,4,5,6,7,8,9},A303,ROW(INDIRECT("1:"&amp;LEN(A303)))),1))," ",REPT(" ",LEN(A303))),LEN(A303))))))), 1)) * ROW(INDIRECT("1:"&amp;LEN((--TRIM(RIGHT(SUBSTITUTE(LEFT(A303,_xlfn.AGGREGATE(16,6,FIND({0,1,2,3,4,5,6,7,8,9},A303,ROW(INDIRECT("1:"&amp;LEN(A303)))),1))," ",REPT(" ",LEN(A303))),LEN(A303))))))), 0), ROW(INDIRECT("1:"&amp;LEN((--TRIM(RIGHT(SUBSTITUTE(LEFT(A303,_xlfn.AGGREGATE(16,6,FIND({0,1,2,3,4,5,6,7,8,9},A303,ROW(INDIRECT("1:"&amp;LEN(A303)))),1))," ",REPT(" ",LEN(A303))),LEN(A303))))))))+1, 1) * 10^ROW(INDIRECT("1:"&amp;LEN((--TRIM(RIGHT(SUBSTITUTE(LEFT(A303,_xlfn.AGGREGATE(16,6,FIND({0,1,2,3,4,5,6,7,8,9},A303,ROW(INDIRECT("1:"&amp;LEN(A303)))),1))," ",REPT(" ",LEN(A303))),LEN(A303)))))))/10))*1+1</f>
        <v>303 ,.., 1503</v>
      </c>
      <c r="B304" s="76"/>
      <c r="C304" s="40"/>
      <c r="D304" s="40"/>
      <c r="E304" s="40">
        <v>0</v>
      </c>
      <c r="F304" s="40">
        <f>D304+E304</f>
        <v>0</v>
      </c>
      <c r="G304" s="40">
        <v>0</v>
      </c>
      <c r="H304" s="40">
        <f>F304*(($H$289)+1)+(IF(G304&lt;101,G304,IF(G304&lt;201,G304/2,IF(G304&lt;=301,G304/3,G304/4))))</f>
        <v>0</v>
      </c>
      <c r="I304" s="34"/>
    </row>
    <row r="305" spans="1:9" s="35" customFormat="1" ht="15.75" hidden="1" customHeight="1" x14ac:dyDescent="0.3">
      <c r="A305" s="75" t="str">
        <f ca="1">(SUMPRODUCT(MID(0&amp;(LEFT(A304,SUM(LEN(A304)-LEN(SUBSTITUTE(A304,{"0","1","2"},""))))), LARGE(INDEX(ISNUMBER(--MID((LEFT(A304,SUM(LEN(A304)-LEN(SUBSTITUTE(A304,{"0","1","2"},""))))), ROW(INDIRECT("1:"&amp;LEN((LEFT(A304,SUM(LEN(A304)-LEN(SUBSTITUTE(A304,{"0","1","2"},"")))))))), 1)) * ROW(INDIRECT("1:"&amp;LEN((LEFT(A304,SUM(LEN(A304)-LEN(SUBSTITUTE(A304,{"0","1","2"},"")))))))), 0), ROW(INDIRECT("1:"&amp;LEN((LEFT(A304,SUM(LEN(A304)-LEN(SUBSTITUTE(A304,{"0","1","2"},"")))))))))+1, 1) * 10^ROW(INDIRECT("1:"&amp;LEN((LEFT(A304,SUM(LEN(A304)-LEN(SUBSTITUTE(A304,{"0","1","2"},""))))))))/10))*1+1&amp;""&amp;" ,.., "&amp;""&amp;(SUMPRODUCT(MID(0&amp;(--TRIM(RIGHT(SUBSTITUTE(LEFT(A304,_xlfn.AGGREGATE(16,6,FIND({0,1,2,3,4,5,6,7,8,9},A304,ROW(INDIRECT("1:"&amp;LEN(A304)))),1))," ",REPT(" ",LEN(A304))),LEN(A304)))), LARGE(INDEX(ISNUMBER(--MID((--TRIM(RIGHT(SUBSTITUTE(LEFT(A304,_xlfn.AGGREGATE(16,6,FIND({0,1,2,3,4,5,6,7,8,9},A304,ROW(INDIRECT("1:"&amp;LEN(A304)))),1))," ",REPT(" ",LEN(A304))),LEN(A304)))), ROW(INDIRECT("1:"&amp;LEN((--TRIM(RIGHT(SUBSTITUTE(LEFT(A304,_xlfn.AGGREGATE(16,6,FIND({0,1,2,3,4,5,6,7,8,9},A304,ROW(INDIRECT("1:"&amp;LEN(A304)))),1))," ",REPT(" ",LEN(A304))),LEN(A304))))))), 1)) * ROW(INDIRECT("1:"&amp;LEN((--TRIM(RIGHT(SUBSTITUTE(LEFT(A304,_xlfn.AGGREGATE(16,6,FIND({0,1,2,3,4,5,6,7,8,9},A304,ROW(INDIRECT("1:"&amp;LEN(A304)))),1))," ",REPT(" ",LEN(A304))),LEN(A304))))))), 0), ROW(INDIRECT("1:"&amp;LEN((--TRIM(RIGHT(SUBSTITUTE(LEFT(A304,_xlfn.AGGREGATE(16,6,FIND({0,1,2,3,4,5,6,7,8,9},A304,ROW(INDIRECT("1:"&amp;LEN(A304)))),1))," ",REPT(" ",LEN(A304))),LEN(A304))))))))+1, 1) * 10^ROW(INDIRECT("1:"&amp;LEN((--TRIM(RIGHT(SUBSTITUTE(LEFT(A304,_xlfn.AGGREGATE(16,6,FIND({0,1,2,3,4,5,6,7,8,9},A304,ROW(INDIRECT("1:"&amp;LEN(A304)))),1))," ",REPT(" ",LEN(A304))),LEN(A304)))))))/10))*1+1</f>
        <v>304 ,.., 1504</v>
      </c>
      <c r="B305" s="76"/>
      <c r="C305" s="40"/>
      <c r="D305" s="40"/>
      <c r="E305" s="40">
        <v>0</v>
      </c>
      <c r="F305" s="40">
        <f>D305+E305</f>
        <v>0</v>
      </c>
      <c r="G305" s="40">
        <v>0</v>
      </c>
      <c r="H305" s="40">
        <f>F305*(($H$289)+1)+(IF(G305&lt;101,G305,IF(G305&lt;201,G305/2,IF(G305&lt;=301,G305/3,G305/4))))</f>
        <v>0</v>
      </c>
      <c r="I305" s="34"/>
    </row>
    <row r="306" spans="1:9" s="33" customFormat="1" hidden="1" x14ac:dyDescent="0.3">
      <c r="A306" s="75" t="str">
        <f ca="1">(SUMPRODUCT(MID(0&amp;(LEFT(A305,SUM(LEN(A305)-LEN(SUBSTITUTE(A305,{"0","1","2"},""))))), LARGE(INDEX(ISNUMBER(--MID((LEFT(A305,SUM(LEN(A305)-LEN(SUBSTITUTE(A305,{"0","1","2"},""))))), ROW(INDIRECT("1:"&amp;LEN((LEFT(A305,SUM(LEN(A305)-LEN(SUBSTITUTE(A305,{"0","1","2"},"")))))))), 1)) * ROW(INDIRECT("1:"&amp;LEN((LEFT(A305,SUM(LEN(A305)-LEN(SUBSTITUTE(A305,{"0","1","2"},"")))))))), 0), ROW(INDIRECT("1:"&amp;LEN((LEFT(A305,SUM(LEN(A305)-LEN(SUBSTITUTE(A305,{"0","1","2"},"")))))))))+1, 1) * 10^ROW(INDIRECT("1:"&amp;LEN((LEFT(A305,SUM(LEN(A305)-LEN(SUBSTITUTE(A305,{"0","1","2"},""))))))))/10))*1+1&amp;""&amp;" ,.., "&amp;""&amp;(SUMPRODUCT(MID(0&amp;(--TRIM(RIGHT(SUBSTITUTE(LEFT(A305,_xlfn.AGGREGATE(16,6,FIND({0,1,2,3,4,5,6,7,8,9},A305,ROW(INDIRECT("1:"&amp;LEN(A305)))),1))," ",REPT(" ",LEN(A305))),LEN(A305)))), LARGE(INDEX(ISNUMBER(--MID((--TRIM(RIGHT(SUBSTITUTE(LEFT(A305,_xlfn.AGGREGATE(16,6,FIND({0,1,2,3,4,5,6,7,8,9},A305,ROW(INDIRECT("1:"&amp;LEN(A305)))),1))," ",REPT(" ",LEN(A305))),LEN(A305)))), ROW(INDIRECT("1:"&amp;LEN((--TRIM(RIGHT(SUBSTITUTE(LEFT(A305,_xlfn.AGGREGATE(16,6,FIND({0,1,2,3,4,5,6,7,8,9},A305,ROW(INDIRECT("1:"&amp;LEN(A305)))),1))," ",REPT(" ",LEN(A305))),LEN(A305))))))), 1)) * ROW(INDIRECT("1:"&amp;LEN((--TRIM(RIGHT(SUBSTITUTE(LEFT(A305,_xlfn.AGGREGATE(16,6,FIND({0,1,2,3,4,5,6,7,8,9},A305,ROW(INDIRECT("1:"&amp;LEN(A305)))),1))," ",REPT(" ",LEN(A305))),LEN(A305))))))), 0), ROW(INDIRECT("1:"&amp;LEN((--TRIM(RIGHT(SUBSTITUTE(LEFT(A305,_xlfn.AGGREGATE(16,6,FIND({0,1,2,3,4,5,6,7,8,9},A305,ROW(INDIRECT("1:"&amp;LEN(A305)))),1))," ",REPT(" ",LEN(A305))),LEN(A305))))))))+1, 1) * 10^ROW(INDIRECT("1:"&amp;LEN((--TRIM(RIGHT(SUBSTITUTE(LEFT(A305,_xlfn.AGGREGATE(16,6,FIND({0,1,2,3,4,5,6,7,8,9},A305,ROW(INDIRECT("1:"&amp;LEN(A305)))),1))," ",REPT(" ",LEN(A305))),LEN(A305)))))))/10))*1+1</f>
        <v>305 ,.., 1505</v>
      </c>
      <c r="B306" s="76"/>
      <c r="C306" s="40"/>
      <c r="D306" s="40"/>
      <c r="E306" s="40">
        <v>0</v>
      </c>
      <c r="F306" s="40">
        <f>D306+E306</f>
        <v>0</v>
      </c>
      <c r="G306" s="40">
        <v>0</v>
      </c>
      <c r="H306" s="40">
        <f>F306*(($H$289)+1)+(IF(G306&lt;101,G306,IF(G306&lt;201,G306/2,IF(G306&lt;=301,G306/3,G306/4))))</f>
        <v>0</v>
      </c>
    </row>
    <row r="307" spans="1:9" s="33" customFormat="1" hidden="1" x14ac:dyDescent="0.3">
      <c r="A307" s="163" t="s">
        <v>142</v>
      </c>
      <c r="B307" s="164"/>
      <c r="C307" s="164"/>
      <c r="D307" s="164"/>
      <c r="E307" s="164"/>
      <c r="F307" s="164"/>
      <c r="G307" s="164"/>
      <c r="H307" s="165"/>
    </row>
    <row r="308" spans="1:9" s="33" customFormat="1" hidden="1" x14ac:dyDescent="0.3">
      <c r="A308" s="75" t="str">
        <f ca="1">(SUMPRODUCT(MID(0&amp;(LEFT(A307,SUM(LEN(A307)-LEN(SUBSTITUTE(A307,{"0","1","2"},""))))), LARGE(INDEX(ISNUMBER(--MID((LEFT(A307,SUM(LEN(A307)-LEN(SUBSTITUTE(A307,{"0","1","2"},""))))), ROW(INDIRECT("1:"&amp;LEN((LEFT(A307,SUM(LEN(A307)-LEN(SUBSTITUTE(A307,{"0","1","2"},"")))))))), 1)) * ROW(INDIRECT("1:"&amp;LEN((LEFT(A307,SUM(LEN(A307)-LEN(SUBSTITUTE(A307,{"0","1","2"},"")))))))), 0), ROW(INDIRECT("1:"&amp;LEN((LEFT(A307,SUM(LEN(A307)-LEN(SUBSTITUTE(A307,{"0","1","2"},"")))))))))+1, 1) * 10^ROW(INDIRECT("1:"&amp;LEN((LEFT(A307,SUM(LEN(A307)-LEN(SUBSTITUTE(A307,{"0","1","2"},""))))))))/10))*100+1&amp;""&amp;" to "&amp;""&amp;(SUMPRODUCT(MID(0&amp;(--TRIM(RIGHT(SUBSTITUTE(LEFT(A307,_xlfn.AGGREGATE(16,6,FIND({0,1,2,3,4,5,6,7,8,9},A307,ROW(INDIRECT("1:"&amp;LEN(A307)))),1))," ",REPT(" ",LEN(A307))),LEN(A307)))), LARGE(INDEX(ISNUMBER(--MID((--TRIM(RIGHT(SUBSTITUTE(LEFT(A307,_xlfn.AGGREGATE(16,6,FIND({0,1,2,3,4,5,6,7,8,9},A307,ROW(INDIRECT("1:"&amp;LEN(A307)))),1))," ",REPT(" ",LEN(A307))),LEN(A307)))), ROW(INDIRECT("1:"&amp;LEN((--TRIM(RIGHT(SUBSTITUTE(LEFT(A307,_xlfn.AGGREGATE(16,6,FIND({0,1,2,3,4,5,6,7,8,9},A307,ROW(INDIRECT("1:"&amp;LEN(A307)))),1))," ",REPT(" ",LEN(A307))),LEN(A307))))))), 1)) * ROW(INDIRECT("1:"&amp;LEN((--TRIM(RIGHT(SUBSTITUTE(LEFT(A307,_xlfn.AGGREGATE(16,6,FIND({0,1,2,3,4,5,6,7,8,9},A307,ROW(INDIRECT("1:"&amp;LEN(A307)))),1))," ",REPT(" ",LEN(A307))),LEN(A307))))))), 0), ROW(INDIRECT("1:"&amp;LEN((--TRIM(RIGHT(SUBSTITUTE(LEFT(A307,_xlfn.AGGREGATE(16,6,FIND({0,1,2,3,4,5,6,7,8,9},A307,ROW(INDIRECT("1:"&amp;LEN(A307)))),1))," ",REPT(" ",LEN(A307))),LEN(A307))))))))+1, 1) * 10^ROW(INDIRECT("1:"&amp;LEN((--TRIM(RIGHT(SUBSTITUTE(LEFT(A307,_xlfn.AGGREGATE(16,6,FIND({0,1,2,3,4,5,6,7,8,9},A307,ROW(INDIRECT("1:"&amp;LEN(A307)))),1))," ",REPT(" ",LEN(A307))),LEN(A307)))))))/10))*100+1</f>
        <v>201 to 501</v>
      </c>
      <c r="B308" s="76"/>
      <c r="C308" s="40"/>
      <c r="D308" s="40"/>
      <c r="E308" s="40">
        <v>0</v>
      </c>
      <c r="F308" s="40">
        <f>D308+E308</f>
        <v>0</v>
      </c>
      <c r="G308" s="40">
        <v>0</v>
      </c>
      <c r="H308" s="40">
        <f>F308*(($H$289)+1)+(IF(G308&lt;101,G308,IF(G308&lt;201,G308/2,IF(G308&lt;=301,G308/3,G308/4))))</f>
        <v>0</v>
      </c>
    </row>
    <row r="309" spans="1:9" s="33" customFormat="1" hidden="1" x14ac:dyDescent="0.3">
      <c r="A309" s="75" t="str">
        <f ca="1">(SUMPRODUCT(MID(0&amp;(LEFT(A308,SUM(LEN(A308)-LEN(SUBSTITUTE(A308,{"0","1","2"},""))))), LARGE(INDEX(ISNUMBER(--MID((LEFT(A308,SUM(LEN(A308)-LEN(SUBSTITUTE(A308,{"0","1","2"},""))))), ROW(INDIRECT("1:"&amp;LEN((LEFT(A308,SUM(LEN(A308)-LEN(SUBSTITUTE(A308,{"0","1","2"},"")))))))), 1)) * ROW(INDIRECT("1:"&amp;LEN((LEFT(A308,SUM(LEN(A308)-LEN(SUBSTITUTE(A308,{"0","1","2"},"")))))))), 0), ROW(INDIRECT("1:"&amp;LEN((LEFT(A308,SUM(LEN(A308)-LEN(SUBSTITUTE(A308,{"0","1","2"},"")))))))))+1, 1) * 10^ROW(INDIRECT("1:"&amp;LEN((LEFT(A308,SUM(LEN(A308)-LEN(SUBSTITUTE(A308,{"0","1","2"},""))))))))/10))*1+1&amp;""&amp;" to "&amp;""&amp;(SUMPRODUCT(MID(0&amp;(--TRIM(RIGHT(SUBSTITUTE(LEFT(A308,_xlfn.AGGREGATE(16,6,FIND({0,1,2,3,4,5,6,7,8,9},A308,ROW(INDIRECT("1:"&amp;LEN(A308)))),1))," ",REPT(" ",LEN(A308))),LEN(A308)))), LARGE(INDEX(ISNUMBER(--MID((--TRIM(RIGHT(SUBSTITUTE(LEFT(A308,_xlfn.AGGREGATE(16,6,FIND({0,1,2,3,4,5,6,7,8,9},A308,ROW(INDIRECT("1:"&amp;LEN(A308)))),1))," ",REPT(" ",LEN(A308))),LEN(A308)))), ROW(INDIRECT("1:"&amp;LEN((--TRIM(RIGHT(SUBSTITUTE(LEFT(A308,_xlfn.AGGREGATE(16,6,FIND({0,1,2,3,4,5,6,7,8,9},A308,ROW(INDIRECT("1:"&amp;LEN(A308)))),1))," ",REPT(" ",LEN(A308))),LEN(A308))))))), 1)) * ROW(INDIRECT("1:"&amp;LEN((--TRIM(RIGHT(SUBSTITUTE(LEFT(A308,_xlfn.AGGREGATE(16,6,FIND({0,1,2,3,4,5,6,7,8,9},A308,ROW(INDIRECT("1:"&amp;LEN(A308)))),1))," ",REPT(" ",LEN(A308))),LEN(A308))))))), 0), ROW(INDIRECT("1:"&amp;LEN((--TRIM(RIGHT(SUBSTITUTE(LEFT(A308,_xlfn.AGGREGATE(16,6,FIND({0,1,2,3,4,5,6,7,8,9},A308,ROW(INDIRECT("1:"&amp;LEN(A308)))),1))," ",REPT(" ",LEN(A308))),LEN(A308))))))))+1, 1) * 10^ROW(INDIRECT("1:"&amp;LEN((--TRIM(RIGHT(SUBSTITUTE(LEFT(A308,_xlfn.AGGREGATE(16,6,FIND({0,1,2,3,4,5,6,7,8,9},A308,ROW(INDIRECT("1:"&amp;LEN(A308)))),1))," ",REPT(" ",LEN(A308))),LEN(A308)))))))/10))*1+1</f>
        <v>202 to 502</v>
      </c>
      <c r="B309" s="76"/>
      <c r="C309" s="40"/>
      <c r="D309" s="40"/>
      <c r="E309" s="40">
        <v>0</v>
      </c>
      <c r="F309" s="40">
        <f>D309+E309</f>
        <v>0</v>
      </c>
      <c r="G309" s="40">
        <v>0</v>
      </c>
      <c r="H309" s="40">
        <f>F309*(($H$289)+1)+(IF(G309&lt;101,G309,IF(G309&lt;201,G309/2,IF(G309&lt;=301,G309/3,G309/4))))</f>
        <v>0</v>
      </c>
    </row>
    <row r="310" spans="1:9" s="33" customFormat="1" hidden="1" x14ac:dyDescent="0.3">
      <c r="A310" s="75" t="str">
        <f ca="1">(SUMPRODUCT(MID(0&amp;(LEFT(A309,SUM(LEN(A309)-LEN(SUBSTITUTE(A309,{"0","1","2"},""))))), LARGE(INDEX(ISNUMBER(--MID((LEFT(A309,SUM(LEN(A309)-LEN(SUBSTITUTE(A309,{"0","1","2"},""))))), ROW(INDIRECT("1:"&amp;LEN((LEFT(A309,SUM(LEN(A309)-LEN(SUBSTITUTE(A309,{"0","1","2"},"")))))))), 1)) * ROW(INDIRECT("1:"&amp;LEN((LEFT(A309,SUM(LEN(A309)-LEN(SUBSTITUTE(A309,{"0","1","2"},"")))))))), 0), ROW(INDIRECT("1:"&amp;LEN((LEFT(A309,SUM(LEN(A309)-LEN(SUBSTITUTE(A309,{"0","1","2"},"")))))))))+1, 1) * 10^ROW(INDIRECT("1:"&amp;LEN((LEFT(A309,SUM(LEN(A309)-LEN(SUBSTITUTE(A309,{"0","1","2"},""))))))))/10))*1+1&amp;""&amp;" to "&amp;""&amp;(SUMPRODUCT(MID(0&amp;(--TRIM(RIGHT(SUBSTITUTE(LEFT(A309,_xlfn.AGGREGATE(16,6,FIND({0,1,2,3,4,5,6,7,8,9},A309,ROW(INDIRECT("1:"&amp;LEN(A309)))),1))," ",REPT(" ",LEN(A309))),LEN(A309)))), LARGE(INDEX(ISNUMBER(--MID((--TRIM(RIGHT(SUBSTITUTE(LEFT(A309,_xlfn.AGGREGATE(16,6,FIND({0,1,2,3,4,5,6,7,8,9},A309,ROW(INDIRECT("1:"&amp;LEN(A309)))),1))," ",REPT(" ",LEN(A309))),LEN(A309)))), ROW(INDIRECT("1:"&amp;LEN((--TRIM(RIGHT(SUBSTITUTE(LEFT(A309,_xlfn.AGGREGATE(16,6,FIND({0,1,2,3,4,5,6,7,8,9},A309,ROW(INDIRECT("1:"&amp;LEN(A309)))),1))," ",REPT(" ",LEN(A309))),LEN(A309))))))), 1)) * ROW(INDIRECT("1:"&amp;LEN((--TRIM(RIGHT(SUBSTITUTE(LEFT(A309,_xlfn.AGGREGATE(16,6,FIND({0,1,2,3,4,5,6,7,8,9},A309,ROW(INDIRECT("1:"&amp;LEN(A309)))),1))," ",REPT(" ",LEN(A309))),LEN(A309))))))), 0), ROW(INDIRECT("1:"&amp;LEN((--TRIM(RIGHT(SUBSTITUTE(LEFT(A309,_xlfn.AGGREGATE(16,6,FIND({0,1,2,3,4,5,6,7,8,9},A309,ROW(INDIRECT("1:"&amp;LEN(A309)))),1))," ",REPT(" ",LEN(A309))),LEN(A309))))))))+1, 1) * 10^ROW(INDIRECT("1:"&amp;LEN((--TRIM(RIGHT(SUBSTITUTE(LEFT(A309,_xlfn.AGGREGATE(16,6,FIND({0,1,2,3,4,5,6,7,8,9},A309,ROW(INDIRECT("1:"&amp;LEN(A309)))),1))," ",REPT(" ",LEN(A309))),LEN(A309)))))))/10))*1+1</f>
        <v>203 to 503</v>
      </c>
      <c r="B310" s="76"/>
      <c r="C310" s="40"/>
      <c r="D310" s="40"/>
      <c r="E310" s="40">
        <v>0</v>
      </c>
      <c r="F310" s="40">
        <f>D310+E310</f>
        <v>0</v>
      </c>
      <c r="G310" s="40">
        <v>0</v>
      </c>
      <c r="H310" s="40">
        <f>F310*(($H$289)+1)+(IF(G310&lt;101,G310,IF(G310&lt;201,G310/2,IF(G310&lt;=301,G310/3,G310/4))))</f>
        <v>0</v>
      </c>
    </row>
    <row r="311" spans="1:9" s="33" customFormat="1" ht="33.75" hidden="1" customHeight="1" x14ac:dyDescent="0.3">
      <c r="A311" s="75" t="str">
        <f ca="1">(SUMPRODUCT(MID(0&amp;(LEFT(A310,SUM(LEN(A310)-LEN(SUBSTITUTE(A310,{"0","1","2"},""))))), LARGE(INDEX(ISNUMBER(--MID((LEFT(A310,SUM(LEN(A310)-LEN(SUBSTITUTE(A310,{"0","1","2"},""))))), ROW(INDIRECT("1:"&amp;LEN((LEFT(A310,SUM(LEN(A310)-LEN(SUBSTITUTE(A310,{"0","1","2"},"")))))))), 1)) * ROW(INDIRECT("1:"&amp;LEN((LEFT(A310,SUM(LEN(A310)-LEN(SUBSTITUTE(A310,{"0","1","2"},"")))))))), 0), ROW(INDIRECT("1:"&amp;LEN((LEFT(A310,SUM(LEN(A310)-LEN(SUBSTITUTE(A310,{"0","1","2"},"")))))))))+1, 1) * 10^ROW(INDIRECT("1:"&amp;LEN((LEFT(A310,SUM(LEN(A310)-LEN(SUBSTITUTE(A310,{"0","1","2"},""))))))))/10))*1+1&amp;""&amp;" to "&amp;""&amp;(SUMPRODUCT(MID(0&amp;(--TRIM(RIGHT(SUBSTITUTE(LEFT(A310,_xlfn.AGGREGATE(16,6,FIND({0,1,2,3,4,5,6,7,8,9},A310,ROW(INDIRECT("1:"&amp;LEN(A310)))),1))," ",REPT(" ",LEN(A310))),LEN(A310)))), LARGE(INDEX(ISNUMBER(--MID((--TRIM(RIGHT(SUBSTITUTE(LEFT(A310,_xlfn.AGGREGATE(16,6,FIND({0,1,2,3,4,5,6,7,8,9},A310,ROW(INDIRECT("1:"&amp;LEN(A310)))),1))," ",REPT(" ",LEN(A310))),LEN(A310)))), ROW(INDIRECT("1:"&amp;LEN((--TRIM(RIGHT(SUBSTITUTE(LEFT(A310,_xlfn.AGGREGATE(16,6,FIND({0,1,2,3,4,5,6,7,8,9},A310,ROW(INDIRECT("1:"&amp;LEN(A310)))),1))," ",REPT(" ",LEN(A310))),LEN(A310))))))), 1)) * ROW(INDIRECT("1:"&amp;LEN((--TRIM(RIGHT(SUBSTITUTE(LEFT(A310,_xlfn.AGGREGATE(16,6,FIND({0,1,2,3,4,5,6,7,8,9},A310,ROW(INDIRECT("1:"&amp;LEN(A310)))),1))," ",REPT(" ",LEN(A310))),LEN(A310))))))), 0), ROW(INDIRECT("1:"&amp;LEN((--TRIM(RIGHT(SUBSTITUTE(LEFT(A310,_xlfn.AGGREGATE(16,6,FIND({0,1,2,3,4,5,6,7,8,9},A310,ROW(INDIRECT("1:"&amp;LEN(A310)))),1))," ",REPT(" ",LEN(A310))),LEN(A310))))))))+1, 1) * 10^ROW(INDIRECT("1:"&amp;LEN((--TRIM(RIGHT(SUBSTITUTE(LEFT(A310,_xlfn.AGGREGATE(16,6,FIND({0,1,2,3,4,5,6,7,8,9},A310,ROW(INDIRECT("1:"&amp;LEN(A310)))),1))," ",REPT(" ",LEN(A310))),LEN(A310)))))))/10))*1+1</f>
        <v>204 to 504</v>
      </c>
      <c r="B311" s="76"/>
      <c r="C311" s="40"/>
      <c r="D311" s="40"/>
      <c r="E311" s="40">
        <v>0</v>
      </c>
      <c r="F311" s="40">
        <f>D311+E311</f>
        <v>0</v>
      </c>
      <c r="G311" s="40">
        <v>0</v>
      </c>
      <c r="H311" s="40">
        <f>F311*(($H$289)+1)+(IF(G311&lt;101,G311,IF(G311&lt;201,G311/2,IF(G311&lt;=301,G311/3,G311/4))))</f>
        <v>0</v>
      </c>
    </row>
    <row r="312" spans="1:9" s="33" customFormat="1" hidden="1" x14ac:dyDescent="0.3">
      <c r="A312" s="75" t="str">
        <f ca="1">(SUMPRODUCT(MID(0&amp;(LEFT(A311,SUM(LEN(A311)-LEN(SUBSTITUTE(A311,{"0","1","2"},""))))), LARGE(INDEX(ISNUMBER(--MID((LEFT(A311,SUM(LEN(A311)-LEN(SUBSTITUTE(A311,{"0","1","2"},""))))), ROW(INDIRECT("1:"&amp;LEN((LEFT(A311,SUM(LEN(A311)-LEN(SUBSTITUTE(A311,{"0","1","2"},"")))))))), 1)) * ROW(INDIRECT("1:"&amp;LEN((LEFT(A311,SUM(LEN(A311)-LEN(SUBSTITUTE(A311,{"0","1","2"},"")))))))), 0), ROW(INDIRECT("1:"&amp;LEN((LEFT(A311,SUM(LEN(A311)-LEN(SUBSTITUTE(A311,{"0","1","2"},"")))))))))+1, 1) * 10^ROW(INDIRECT("1:"&amp;LEN((LEFT(A311,SUM(LEN(A311)-LEN(SUBSTITUTE(A311,{"0","1","2"},""))))))))/10))*1+1&amp;""&amp;" to "&amp;""&amp;(SUMPRODUCT(MID(0&amp;(--TRIM(RIGHT(SUBSTITUTE(LEFT(A311,_xlfn.AGGREGATE(16,6,FIND({0,1,2,3,4,5,6,7,8,9},A311,ROW(INDIRECT("1:"&amp;LEN(A311)))),1))," ",REPT(" ",LEN(A311))),LEN(A311)))), LARGE(INDEX(ISNUMBER(--MID((--TRIM(RIGHT(SUBSTITUTE(LEFT(A311,_xlfn.AGGREGATE(16,6,FIND({0,1,2,3,4,5,6,7,8,9},A311,ROW(INDIRECT("1:"&amp;LEN(A311)))),1))," ",REPT(" ",LEN(A311))),LEN(A311)))), ROW(INDIRECT("1:"&amp;LEN((--TRIM(RIGHT(SUBSTITUTE(LEFT(A311,_xlfn.AGGREGATE(16,6,FIND({0,1,2,3,4,5,6,7,8,9},A311,ROW(INDIRECT("1:"&amp;LEN(A311)))),1))," ",REPT(" ",LEN(A311))),LEN(A311))))))), 1)) * ROW(INDIRECT("1:"&amp;LEN((--TRIM(RIGHT(SUBSTITUTE(LEFT(A311,_xlfn.AGGREGATE(16,6,FIND({0,1,2,3,4,5,6,7,8,9},A311,ROW(INDIRECT("1:"&amp;LEN(A311)))),1))," ",REPT(" ",LEN(A311))),LEN(A311))))))), 0), ROW(INDIRECT("1:"&amp;LEN((--TRIM(RIGHT(SUBSTITUTE(LEFT(A311,_xlfn.AGGREGATE(16,6,FIND({0,1,2,3,4,5,6,7,8,9},A311,ROW(INDIRECT("1:"&amp;LEN(A311)))),1))," ",REPT(" ",LEN(A311))),LEN(A311))))))))+1, 1) * 10^ROW(INDIRECT("1:"&amp;LEN((--TRIM(RIGHT(SUBSTITUTE(LEFT(A311,_xlfn.AGGREGATE(16,6,FIND({0,1,2,3,4,5,6,7,8,9},A311,ROW(INDIRECT("1:"&amp;LEN(A311)))),1))," ",REPT(" ",LEN(A311))),LEN(A311)))))))/10))*1+1</f>
        <v>205 to 505</v>
      </c>
      <c r="B312" s="76"/>
      <c r="C312" s="40"/>
      <c r="D312" s="40"/>
      <c r="E312" s="40">
        <v>0</v>
      </c>
      <c r="F312" s="40">
        <f>D312+E312</f>
        <v>0</v>
      </c>
      <c r="G312" s="40">
        <v>0</v>
      </c>
      <c r="H312" s="40">
        <f>F312*(($H$289)+1)+(IF(G312&lt;101,G312,IF(G312&lt;201,G312/2,IF(G312&lt;=301,G312/3,G312/4))))</f>
        <v>0</v>
      </c>
    </row>
    <row r="313" spans="1:9" s="33" customFormat="1" hidden="1" x14ac:dyDescent="0.3">
      <c r="A313" s="163" t="s">
        <v>143</v>
      </c>
      <c r="B313" s="164"/>
      <c r="C313" s="164"/>
      <c r="D313" s="164"/>
      <c r="E313" s="164"/>
      <c r="F313" s="164"/>
      <c r="G313" s="164"/>
      <c r="H313" s="165"/>
    </row>
    <row r="314" spans="1:9" s="33" customFormat="1" ht="34.5" hidden="1" customHeight="1" x14ac:dyDescent="0.3">
      <c r="A314" s="75" t="str">
        <f ca="1">(SUMPRODUCT(MID(0&amp;(LEFT(A313,SUM(LEN(A313)-LEN(SUBSTITUTE(A313,{"0","1","2"},""))))), LARGE(INDEX(ISNUMBER(--MID((LEFT(A313,SUM(LEN(A313)-LEN(SUBSTITUTE(A313,{"0","1","2"},""))))), ROW(INDIRECT("1:"&amp;LEN((LEFT(A313,SUM(LEN(A313)-LEN(SUBSTITUTE(A313,{"0","1","2"},"")))))))), 1)) * ROW(INDIRECT("1:"&amp;LEN((LEFT(A313,SUM(LEN(A313)-LEN(SUBSTITUTE(A313,{"0","1","2"},"")))))))), 0), ROW(INDIRECT("1:"&amp;LEN((LEFT(A313,SUM(LEN(A313)-LEN(SUBSTITUTE(A313,{"0","1","2"},"")))))))))+1, 1) * 10^ROW(INDIRECT("1:"&amp;LEN((LEFT(A313,SUM(LEN(A313)-LEN(SUBSTITUTE(A313,{"0","1","2"},""))))))))/10))*100+1&amp;""&amp;" &amp; "&amp;""&amp;(SUMPRODUCT(MID(0&amp;(--TRIM(RIGHT(SUBSTITUTE(LEFT(A313,_xlfn.AGGREGATE(16,6,FIND({0,1,2,3,4,5,6,7,8,9},A313,ROW(INDIRECT("1:"&amp;LEN(A313)))),1))," ",REPT(" ",LEN(A313))),LEN(A313)))), LARGE(INDEX(ISNUMBER(--MID((--TRIM(RIGHT(SUBSTITUTE(LEFT(A313,_xlfn.AGGREGATE(16,6,FIND({0,1,2,3,4,5,6,7,8,9},A313,ROW(INDIRECT("1:"&amp;LEN(A313)))),1))," ",REPT(" ",LEN(A313))),LEN(A313)))), ROW(INDIRECT("1:"&amp;LEN((--TRIM(RIGHT(SUBSTITUTE(LEFT(A313,_xlfn.AGGREGATE(16,6,FIND({0,1,2,3,4,5,6,7,8,9},A313,ROW(INDIRECT("1:"&amp;LEN(A313)))),1))," ",REPT(" ",LEN(A313))),LEN(A313))))))), 1)) * ROW(INDIRECT("1:"&amp;LEN((--TRIM(RIGHT(SUBSTITUTE(LEFT(A313,_xlfn.AGGREGATE(16,6,FIND({0,1,2,3,4,5,6,7,8,9},A313,ROW(INDIRECT("1:"&amp;LEN(A313)))),1))," ",REPT(" ",LEN(A313))),LEN(A313))))))), 0), ROW(INDIRECT("1:"&amp;LEN((--TRIM(RIGHT(SUBSTITUTE(LEFT(A313,_xlfn.AGGREGATE(16,6,FIND({0,1,2,3,4,5,6,7,8,9},A313,ROW(INDIRECT("1:"&amp;LEN(A313)))),1))," ",REPT(" ",LEN(A313))),LEN(A313))))))))+1, 1) * 10^ROW(INDIRECT("1:"&amp;LEN((--TRIM(RIGHT(SUBSTITUTE(LEFT(A313,_xlfn.AGGREGATE(16,6,FIND({0,1,2,3,4,5,6,7,8,9},A313,ROW(INDIRECT("1:"&amp;LEN(A313)))),1))," ",REPT(" ",LEN(A313))),LEN(A313)))))))/10))*100+1</f>
        <v>201 &amp; 501</v>
      </c>
      <c r="B314" s="76"/>
      <c r="C314" s="40"/>
      <c r="D314" s="40"/>
      <c r="E314" s="40">
        <v>0</v>
      </c>
      <c r="F314" s="40">
        <f>D314+E314</f>
        <v>0</v>
      </c>
      <c r="G314" s="40">
        <v>0</v>
      </c>
      <c r="H314" s="40">
        <f>F314*(($H$289)+1)+(IF(G314&lt;101,G314,IF(G314&lt;201,G314/2,IF(G314&lt;=301,G314/3,G314/4))))</f>
        <v>0</v>
      </c>
    </row>
    <row r="315" spans="1:9" s="33" customFormat="1" hidden="1" x14ac:dyDescent="0.3">
      <c r="A315" s="75" t="str">
        <f ca="1">(SUMPRODUCT(MID(0&amp;(LEFT(A314,SUM(LEN(A314)-LEN(SUBSTITUTE(A314,{"0","1","2"},""))))), LARGE(INDEX(ISNUMBER(--MID((LEFT(A314,SUM(LEN(A314)-LEN(SUBSTITUTE(A314,{"0","1","2"},""))))), ROW(INDIRECT("1:"&amp;LEN((LEFT(A314,SUM(LEN(A314)-LEN(SUBSTITUTE(A314,{"0","1","2"},"")))))))), 1)) * ROW(INDIRECT("1:"&amp;LEN((LEFT(A314,SUM(LEN(A314)-LEN(SUBSTITUTE(A314,{"0","1","2"},"")))))))), 0), ROW(INDIRECT("1:"&amp;LEN((LEFT(A314,SUM(LEN(A314)-LEN(SUBSTITUTE(A314,{"0","1","2"},"")))))))))+1, 1) * 10^ROW(INDIRECT("1:"&amp;LEN((LEFT(A314,SUM(LEN(A314)-LEN(SUBSTITUTE(A314,{"0","1","2"},""))))))))/10))*1+1&amp;""&amp;" &amp; "&amp;""&amp;(SUMPRODUCT(MID(0&amp;(--TRIM(RIGHT(SUBSTITUTE(LEFT(A314,_xlfn.AGGREGATE(16,6,FIND({0,1,2,3,4,5,6,7,8,9},A314,ROW(INDIRECT("1:"&amp;LEN(A314)))),1))," ",REPT(" ",LEN(A314))),LEN(A314)))), LARGE(INDEX(ISNUMBER(--MID((--TRIM(RIGHT(SUBSTITUTE(LEFT(A314,_xlfn.AGGREGATE(16,6,FIND({0,1,2,3,4,5,6,7,8,9},A314,ROW(INDIRECT("1:"&amp;LEN(A314)))),1))," ",REPT(" ",LEN(A314))),LEN(A314)))), ROW(INDIRECT("1:"&amp;LEN((--TRIM(RIGHT(SUBSTITUTE(LEFT(A314,_xlfn.AGGREGATE(16,6,FIND({0,1,2,3,4,5,6,7,8,9},A314,ROW(INDIRECT("1:"&amp;LEN(A314)))),1))," ",REPT(" ",LEN(A314))),LEN(A314))))))), 1)) * ROW(INDIRECT("1:"&amp;LEN((--TRIM(RIGHT(SUBSTITUTE(LEFT(A314,_xlfn.AGGREGATE(16,6,FIND({0,1,2,3,4,5,6,7,8,9},A314,ROW(INDIRECT("1:"&amp;LEN(A314)))),1))," ",REPT(" ",LEN(A314))),LEN(A314))))))), 0), ROW(INDIRECT("1:"&amp;LEN((--TRIM(RIGHT(SUBSTITUTE(LEFT(A314,_xlfn.AGGREGATE(16,6,FIND({0,1,2,3,4,5,6,7,8,9},A314,ROW(INDIRECT("1:"&amp;LEN(A314)))),1))," ",REPT(" ",LEN(A314))),LEN(A314))))))))+1, 1) * 10^ROW(INDIRECT("1:"&amp;LEN((--TRIM(RIGHT(SUBSTITUTE(LEFT(A314,_xlfn.AGGREGATE(16,6,FIND({0,1,2,3,4,5,6,7,8,9},A314,ROW(INDIRECT("1:"&amp;LEN(A314)))),1))," ",REPT(" ",LEN(A314))),LEN(A314)))))))/10))*1+1</f>
        <v>202 &amp; 502</v>
      </c>
      <c r="B315" s="76"/>
      <c r="C315" s="40"/>
      <c r="D315" s="40"/>
      <c r="E315" s="40">
        <v>0</v>
      </c>
      <c r="F315" s="40">
        <f>D315+E315</f>
        <v>0</v>
      </c>
      <c r="G315" s="40">
        <v>0</v>
      </c>
      <c r="H315" s="40">
        <f>F315*(($H$289)+1)+(IF(G315&lt;101,G315,IF(G315&lt;201,G315/2,IF(G315&lt;=301,G315/3,G315/4))))</f>
        <v>0</v>
      </c>
    </row>
    <row r="316" spans="1:9" s="33" customFormat="1" ht="32.25" hidden="1" customHeight="1" x14ac:dyDescent="0.3">
      <c r="A316" s="75" t="str">
        <f ca="1">(SUMPRODUCT(MID(0&amp;(LEFT(A315,SUM(LEN(A315)-LEN(SUBSTITUTE(A315,{"0","1","2"},""))))), LARGE(INDEX(ISNUMBER(--MID((LEFT(A315,SUM(LEN(A315)-LEN(SUBSTITUTE(A315,{"0","1","2"},""))))), ROW(INDIRECT("1:"&amp;LEN((LEFT(A315,SUM(LEN(A315)-LEN(SUBSTITUTE(A315,{"0","1","2"},"")))))))), 1)) * ROW(INDIRECT("1:"&amp;LEN((LEFT(A315,SUM(LEN(A315)-LEN(SUBSTITUTE(A315,{"0","1","2"},"")))))))), 0), ROW(INDIRECT("1:"&amp;LEN((LEFT(A315,SUM(LEN(A315)-LEN(SUBSTITUTE(A315,{"0","1","2"},"")))))))))+1, 1) * 10^ROW(INDIRECT("1:"&amp;LEN((LEFT(A315,SUM(LEN(A315)-LEN(SUBSTITUTE(A315,{"0","1","2"},""))))))))/10))*1+1&amp;""&amp;" &amp; "&amp;""&amp;(SUMPRODUCT(MID(0&amp;(--TRIM(RIGHT(SUBSTITUTE(LEFT(A315,_xlfn.AGGREGATE(16,6,FIND({0,1,2,3,4,5,6,7,8,9},A315,ROW(INDIRECT("1:"&amp;LEN(A315)))),1))," ",REPT(" ",LEN(A315))),LEN(A315)))), LARGE(INDEX(ISNUMBER(--MID((--TRIM(RIGHT(SUBSTITUTE(LEFT(A315,_xlfn.AGGREGATE(16,6,FIND({0,1,2,3,4,5,6,7,8,9},A315,ROW(INDIRECT("1:"&amp;LEN(A315)))),1))," ",REPT(" ",LEN(A315))),LEN(A315)))), ROW(INDIRECT("1:"&amp;LEN((--TRIM(RIGHT(SUBSTITUTE(LEFT(A315,_xlfn.AGGREGATE(16,6,FIND({0,1,2,3,4,5,6,7,8,9},A315,ROW(INDIRECT("1:"&amp;LEN(A315)))),1))," ",REPT(" ",LEN(A315))),LEN(A315))))))), 1)) * ROW(INDIRECT("1:"&amp;LEN((--TRIM(RIGHT(SUBSTITUTE(LEFT(A315,_xlfn.AGGREGATE(16,6,FIND({0,1,2,3,4,5,6,7,8,9},A315,ROW(INDIRECT("1:"&amp;LEN(A315)))),1))," ",REPT(" ",LEN(A315))),LEN(A315))))))), 0), ROW(INDIRECT("1:"&amp;LEN((--TRIM(RIGHT(SUBSTITUTE(LEFT(A315,_xlfn.AGGREGATE(16,6,FIND({0,1,2,3,4,5,6,7,8,9},A315,ROW(INDIRECT("1:"&amp;LEN(A315)))),1))," ",REPT(" ",LEN(A315))),LEN(A315))))))))+1, 1) * 10^ROW(INDIRECT("1:"&amp;LEN((--TRIM(RIGHT(SUBSTITUTE(LEFT(A315,_xlfn.AGGREGATE(16,6,FIND({0,1,2,3,4,5,6,7,8,9},A315,ROW(INDIRECT("1:"&amp;LEN(A315)))),1))," ",REPT(" ",LEN(A315))),LEN(A315)))))))/10))*1+1</f>
        <v>203 &amp; 503</v>
      </c>
      <c r="B316" s="76"/>
      <c r="C316" s="40"/>
      <c r="D316" s="40"/>
      <c r="E316" s="40">
        <v>0</v>
      </c>
      <c r="F316" s="40">
        <f>D316+E316</f>
        <v>0</v>
      </c>
      <c r="G316" s="40">
        <v>0</v>
      </c>
      <c r="H316" s="40">
        <f>F316*(($H$289)+1)+(IF(G316&lt;101,G316,IF(G316&lt;201,G316/2,IF(G316&lt;=301,G316/3,G316/4))))</f>
        <v>0</v>
      </c>
    </row>
    <row r="317" spans="1:9" s="33" customFormat="1" hidden="1" x14ac:dyDescent="0.3">
      <c r="A317" s="75" t="str">
        <f ca="1">(SUMPRODUCT(MID(0&amp;(LEFT(A316,SUM(LEN(A316)-LEN(SUBSTITUTE(A316,{"0","1","2"},""))))), LARGE(INDEX(ISNUMBER(--MID((LEFT(A316,SUM(LEN(A316)-LEN(SUBSTITUTE(A316,{"0","1","2"},""))))), ROW(INDIRECT("1:"&amp;LEN((LEFT(A316,SUM(LEN(A316)-LEN(SUBSTITUTE(A316,{"0","1","2"},"")))))))), 1)) * ROW(INDIRECT("1:"&amp;LEN((LEFT(A316,SUM(LEN(A316)-LEN(SUBSTITUTE(A316,{"0","1","2"},"")))))))), 0), ROW(INDIRECT("1:"&amp;LEN((LEFT(A316,SUM(LEN(A316)-LEN(SUBSTITUTE(A316,{"0","1","2"},"")))))))))+1, 1) * 10^ROW(INDIRECT("1:"&amp;LEN((LEFT(A316,SUM(LEN(A316)-LEN(SUBSTITUTE(A316,{"0","1","2"},""))))))))/10))*1+1&amp;""&amp;" &amp; "&amp;""&amp;(SUMPRODUCT(MID(0&amp;(--TRIM(RIGHT(SUBSTITUTE(LEFT(A316,_xlfn.AGGREGATE(16,6,FIND({0,1,2,3,4,5,6,7,8,9},A316,ROW(INDIRECT("1:"&amp;LEN(A316)))),1))," ",REPT(" ",LEN(A316))),LEN(A316)))), LARGE(INDEX(ISNUMBER(--MID((--TRIM(RIGHT(SUBSTITUTE(LEFT(A316,_xlfn.AGGREGATE(16,6,FIND({0,1,2,3,4,5,6,7,8,9},A316,ROW(INDIRECT("1:"&amp;LEN(A316)))),1))," ",REPT(" ",LEN(A316))),LEN(A316)))), ROW(INDIRECT("1:"&amp;LEN((--TRIM(RIGHT(SUBSTITUTE(LEFT(A316,_xlfn.AGGREGATE(16,6,FIND({0,1,2,3,4,5,6,7,8,9},A316,ROW(INDIRECT("1:"&amp;LEN(A316)))),1))," ",REPT(" ",LEN(A316))),LEN(A316))))))), 1)) * ROW(INDIRECT("1:"&amp;LEN((--TRIM(RIGHT(SUBSTITUTE(LEFT(A316,_xlfn.AGGREGATE(16,6,FIND({0,1,2,3,4,5,6,7,8,9},A316,ROW(INDIRECT("1:"&amp;LEN(A316)))),1))," ",REPT(" ",LEN(A316))),LEN(A316))))))), 0), ROW(INDIRECT("1:"&amp;LEN((--TRIM(RIGHT(SUBSTITUTE(LEFT(A316,_xlfn.AGGREGATE(16,6,FIND({0,1,2,3,4,5,6,7,8,9},A316,ROW(INDIRECT("1:"&amp;LEN(A316)))),1))," ",REPT(" ",LEN(A316))),LEN(A316))))))))+1, 1) * 10^ROW(INDIRECT("1:"&amp;LEN((--TRIM(RIGHT(SUBSTITUTE(LEFT(A316,_xlfn.AGGREGATE(16,6,FIND({0,1,2,3,4,5,6,7,8,9},A316,ROW(INDIRECT("1:"&amp;LEN(A316)))),1))," ",REPT(" ",LEN(A316))),LEN(A316)))))))/10))*1+1</f>
        <v>204 &amp; 504</v>
      </c>
      <c r="B317" s="76"/>
      <c r="C317" s="40"/>
      <c r="D317" s="40"/>
      <c r="E317" s="40">
        <v>0</v>
      </c>
      <c r="F317" s="40">
        <f>D317+E317</f>
        <v>0</v>
      </c>
      <c r="G317" s="40">
        <v>0</v>
      </c>
      <c r="H317" s="40">
        <f>F317*(($H$289)+1)+(IF(G317&lt;101,G317,IF(G317&lt;201,G317/2,IF(G317&lt;=301,G317/3,G317/4))))</f>
        <v>0</v>
      </c>
    </row>
    <row r="318" spans="1:9" hidden="1" x14ac:dyDescent="0.3">
      <c r="A318" s="75" t="str">
        <f ca="1">(SUMPRODUCT(MID(0&amp;(LEFT(A317,SUM(LEN(A317)-LEN(SUBSTITUTE(A317,{"0","1","2"},""))))), LARGE(INDEX(ISNUMBER(--MID((LEFT(A317,SUM(LEN(A317)-LEN(SUBSTITUTE(A317,{"0","1","2"},""))))), ROW(INDIRECT("1:"&amp;LEN((LEFT(A317,SUM(LEN(A317)-LEN(SUBSTITUTE(A317,{"0","1","2"},"")))))))), 1)) * ROW(INDIRECT("1:"&amp;LEN((LEFT(A317,SUM(LEN(A317)-LEN(SUBSTITUTE(A317,{"0","1","2"},"")))))))), 0), ROW(INDIRECT("1:"&amp;LEN((LEFT(A317,SUM(LEN(A317)-LEN(SUBSTITUTE(A317,{"0","1","2"},"")))))))))+1, 1) * 10^ROW(INDIRECT("1:"&amp;LEN((LEFT(A317,SUM(LEN(A317)-LEN(SUBSTITUTE(A317,{"0","1","2"},""))))))))/10))*1+1&amp;""&amp;" &amp; "&amp;""&amp;(SUMPRODUCT(MID(0&amp;(--TRIM(RIGHT(SUBSTITUTE(LEFT(A317,_xlfn.AGGREGATE(16,6,FIND({0,1,2,3,4,5,6,7,8,9},A317,ROW(INDIRECT("1:"&amp;LEN(A317)))),1))," ",REPT(" ",LEN(A317))),LEN(A317)))), LARGE(INDEX(ISNUMBER(--MID((--TRIM(RIGHT(SUBSTITUTE(LEFT(A317,_xlfn.AGGREGATE(16,6,FIND({0,1,2,3,4,5,6,7,8,9},A317,ROW(INDIRECT("1:"&amp;LEN(A317)))),1))," ",REPT(" ",LEN(A317))),LEN(A317)))), ROW(INDIRECT("1:"&amp;LEN((--TRIM(RIGHT(SUBSTITUTE(LEFT(A317,_xlfn.AGGREGATE(16,6,FIND({0,1,2,3,4,5,6,7,8,9},A317,ROW(INDIRECT("1:"&amp;LEN(A317)))),1))," ",REPT(" ",LEN(A317))),LEN(A317))))))), 1)) * ROW(INDIRECT("1:"&amp;LEN((--TRIM(RIGHT(SUBSTITUTE(LEFT(A317,_xlfn.AGGREGATE(16,6,FIND({0,1,2,3,4,5,6,7,8,9},A317,ROW(INDIRECT("1:"&amp;LEN(A317)))),1))," ",REPT(" ",LEN(A317))),LEN(A317))))))), 0), ROW(INDIRECT("1:"&amp;LEN((--TRIM(RIGHT(SUBSTITUTE(LEFT(A317,_xlfn.AGGREGATE(16,6,FIND({0,1,2,3,4,5,6,7,8,9},A317,ROW(INDIRECT("1:"&amp;LEN(A317)))),1))," ",REPT(" ",LEN(A317))),LEN(A317))))))))+1, 1) * 10^ROW(INDIRECT("1:"&amp;LEN((--TRIM(RIGHT(SUBSTITUTE(LEFT(A317,_xlfn.AGGREGATE(16,6,FIND({0,1,2,3,4,5,6,7,8,9},A317,ROW(INDIRECT("1:"&amp;LEN(A317)))),1))," ",REPT(" ",LEN(A317))),LEN(A317)))))))/10))*1+1</f>
        <v>205 &amp; 505</v>
      </c>
      <c r="B318" s="76"/>
      <c r="C318" s="40"/>
      <c r="D318" s="40"/>
      <c r="E318" s="40">
        <v>0</v>
      </c>
      <c r="F318" s="40">
        <f>D318+E318</f>
        <v>0</v>
      </c>
      <c r="G318" s="40">
        <v>0</v>
      </c>
      <c r="H318" s="40">
        <f>F318*(($H$289)+1)+(IF(G318&lt;101,G318,IF(G318&lt;201,G318/2,IF(G318&lt;=301,G318/3,G318/4))))</f>
        <v>0</v>
      </c>
    </row>
    <row r="319" spans="1:9" x14ac:dyDescent="0.3">
      <c r="A319" s="244" t="s">
        <v>65</v>
      </c>
      <c r="B319" s="244"/>
      <c r="C319" s="244"/>
      <c r="D319" s="244"/>
      <c r="E319" s="244"/>
      <c r="F319" s="244"/>
      <c r="G319" s="244"/>
      <c r="H319" s="244"/>
    </row>
    <row r="320" spans="1:9" x14ac:dyDescent="0.3">
      <c r="A320" s="71" t="s">
        <v>152</v>
      </c>
      <c r="B320" s="72" t="s">
        <v>366</v>
      </c>
      <c r="C320" s="73"/>
      <c r="D320" s="73"/>
      <c r="E320" s="73"/>
      <c r="F320" s="73"/>
      <c r="G320" s="73"/>
      <c r="H320" s="74"/>
    </row>
    <row r="321" spans="1:8" x14ac:dyDescent="0.3">
      <c r="A321" s="71" t="s">
        <v>152</v>
      </c>
      <c r="B321" s="72" t="str">
        <f>(IF(H288="Saleable area Loading :","We have considered Saleable area of Flats as per our Calculation.","We considered Saleable area of Flat as per Builder area Sheet."))</f>
        <v>We have considered Saleable area of Flats as per our Calculation.</v>
      </c>
      <c r="C321" s="73"/>
      <c r="D321" s="73"/>
      <c r="E321" s="73"/>
      <c r="F321" s="73"/>
      <c r="G321" s="73"/>
      <c r="H321" s="74"/>
    </row>
    <row r="322" spans="1:8" x14ac:dyDescent="0.3">
      <c r="A322" s="71" t="s">
        <v>152</v>
      </c>
      <c r="B322" s="72" t="str">
        <f>(IF(H124="Saleable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22" s="73"/>
      <c r="D322" s="73"/>
      <c r="E322" s="73"/>
      <c r="F322" s="73"/>
      <c r="G322" s="73"/>
      <c r="H322" s="74"/>
    </row>
    <row r="323" spans="1:8" x14ac:dyDescent="0.3">
      <c r="A323" s="71" t="s">
        <v>152</v>
      </c>
      <c r="B323" s="72" t="s">
        <v>120</v>
      </c>
      <c r="C323" s="73"/>
      <c r="D323" s="73"/>
      <c r="E323" s="73"/>
      <c r="F323" s="73"/>
      <c r="G323" s="73"/>
      <c r="H323" s="74"/>
    </row>
    <row r="324" spans="1:8" x14ac:dyDescent="0.3">
      <c r="A324" s="42" t="s">
        <v>152</v>
      </c>
      <c r="B324" s="195" t="s">
        <v>323</v>
      </c>
      <c r="C324" s="196"/>
      <c r="D324" s="196"/>
      <c r="E324" s="196"/>
      <c r="F324" s="196"/>
      <c r="G324" s="196"/>
      <c r="H324" s="197"/>
    </row>
    <row r="325" spans="1:8" x14ac:dyDescent="0.3">
      <c r="A325" s="42" t="s">
        <v>152</v>
      </c>
      <c r="B325" s="90" t="s">
        <v>151</v>
      </c>
      <c r="C325" s="91"/>
      <c r="D325" s="91"/>
      <c r="E325" s="91"/>
      <c r="F325" s="91"/>
      <c r="G325" s="91"/>
      <c r="H325" s="92"/>
    </row>
    <row r="326" spans="1:8" x14ac:dyDescent="0.3">
      <c r="A326" s="42" t="s">
        <v>152</v>
      </c>
      <c r="B326" s="90" t="s">
        <v>121</v>
      </c>
      <c r="C326" s="91"/>
      <c r="D326" s="91"/>
      <c r="E326" s="91"/>
      <c r="F326" s="91"/>
      <c r="G326" s="91"/>
      <c r="H326" s="92"/>
    </row>
    <row r="327" spans="1:8" ht="36" hidden="1" customHeight="1" x14ac:dyDescent="0.3">
      <c r="A327" s="42" t="s">
        <v>152</v>
      </c>
      <c r="B327" s="195" t="s">
        <v>322</v>
      </c>
      <c r="C327" s="196"/>
      <c r="D327" s="196"/>
      <c r="E327" s="196"/>
      <c r="F327" s="196"/>
      <c r="G327" s="196"/>
      <c r="H327" s="197"/>
    </row>
    <row r="328" spans="1:8" ht="35.25" customHeight="1" x14ac:dyDescent="0.3">
      <c r="A328" s="42" t="s">
        <v>152</v>
      </c>
      <c r="B328" s="90" t="s">
        <v>153</v>
      </c>
      <c r="C328" s="91"/>
      <c r="D328" s="91"/>
      <c r="E328" s="91"/>
      <c r="F328" s="91"/>
      <c r="G328" s="91"/>
      <c r="H328" s="92"/>
    </row>
    <row r="329" spans="1:8" x14ac:dyDescent="0.3">
      <c r="A329" s="42" t="s">
        <v>152</v>
      </c>
      <c r="B329" s="90" t="s">
        <v>122</v>
      </c>
      <c r="C329" s="91"/>
      <c r="D329" s="91"/>
      <c r="E329" s="91"/>
      <c r="F329" s="91"/>
      <c r="G329" s="91"/>
      <c r="H329" s="92"/>
    </row>
    <row r="330" spans="1:8" ht="33.75" hidden="1" customHeight="1" x14ac:dyDescent="0.3">
      <c r="A330" s="42" t="s">
        <v>152</v>
      </c>
      <c r="B330" s="72" t="s">
        <v>173</v>
      </c>
      <c r="C330" s="73"/>
      <c r="D330" s="73"/>
      <c r="E330" s="73"/>
      <c r="F330" s="73"/>
      <c r="G330" s="73"/>
      <c r="H330" s="74"/>
    </row>
    <row r="331" spans="1:8" ht="63.75" hidden="1" customHeight="1" x14ac:dyDescent="0.3">
      <c r="A331" s="69" t="s">
        <v>152</v>
      </c>
      <c r="B331" s="198" t="s">
        <v>336</v>
      </c>
      <c r="C331" s="199"/>
      <c r="D331" s="199"/>
      <c r="E331" s="199"/>
      <c r="F331" s="199"/>
      <c r="G331" s="199"/>
      <c r="H331" s="200"/>
    </row>
    <row r="332" spans="1:8" x14ac:dyDescent="0.3">
      <c r="A332" s="71" t="s">
        <v>152</v>
      </c>
      <c r="B332" s="72" t="s">
        <v>340</v>
      </c>
      <c r="C332" s="73"/>
      <c r="D332" s="73"/>
      <c r="E332" s="73"/>
      <c r="F332" s="73"/>
      <c r="G332" s="73"/>
      <c r="H332" s="74"/>
    </row>
    <row r="333" spans="1:8" x14ac:dyDescent="0.3">
      <c r="A333" s="71" t="s">
        <v>152</v>
      </c>
      <c r="B333" s="72" t="s">
        <v>361</v>
      </c>
      <c r="C333" s="73"/>
      <c r="D333" s="73"/>
      <c r="E333" s="73"/>
      <c r="F333" s="73"/>
      <c r="G333" s="73"/>
      <c r="H333" s="74"/>
    </row>
    <row r="334" spans="1:8" x14ac:dyDescent="0.3">
      <c r="A334" s="71" t="s">
        <v>152</v>
      </c>
      <c r="B334" s="72" t="s">
        <v>362</v>
      </c>
      <c r="C334" s="73"/>
      <c r="D334" s="73"/>
      <c r="E334" s="73"/>
      <c r="F334" s="73"/>
      <c r="G334" s="73"/>
      <c r="H334" s="74"/>
    </row>
    <row r="335" spans="1:8" ht="31.2" customHeight="1" x14ac:dyDescent="0.3">
      <c r="A335" s="71" t="s">
        <v>152</v>
      </c>
      <c r="B335" s="72" t="s">
        <v>364</v>
      </c>
      <c r="C335" s="73"/>
      <c r="D335" s="73"/>
      <c r="E335" s="73"/>
      <c r="F335" s="73"/>
      <c r="G335" s="73"/>
      <c r="H335" s="74"/>
    </row>
    <row r="336" spans="1:8" x14ac:dyDescent="0.3">
      <c r="A336" s="127" t="s">
        <v>58</v>
      </c>
      <c r="B336" s="127"/>
      <c r="C336" s="127"/>
      <c r="D336" s="127"/>
      <c r="E336" s="127"/>
      <c r="F336" s="127"/>
      <c r="G336" s="127"/>
      <c r="H336" s="127"/>
    </row>
    <row r="337" spans="1:8" x14ac:dyDescent="0.3">
      <c r="A337" s="112" t="s">
        <v>59</v>
      </c>
      <c r="B337" s="112"/>
      <c r="C337" s="112"/>
      <c r="D337" s="112"/>
      <c r="E337" s="112"/>
      <c r="F337" s="112"/>
      <c r="G337" s="112"/>
      <c r="H337" s="112"/>
    </row>
    <row r="338" spans="1:8" ht="15" customHeight="1" x14ac:dyDescent="0.3">
      <c r="A338" s="231" t="s">
        <v>60</v>
      </c>
      <c r="B338" s="231"/>
      <c r="C338" s="231"/>
      <c r="D338" s="231"/>
      <c r="E338" s="231"/>
      <c r="F338" s="231"/>
      <c r="G338" s="231"/>
      <c r="H338" s="231"/>
    </row>
    <row r="339" spans="1:8" x14ac:dyDescent="0.3">
      <c r="A339" s="112" t="s">
        <v>61</v>
      </c>
      <c r="B339" s="112"/>
      <c r="C339" s="112"/>
      <c r="D339" s="112"/>
      <c r="E339" s="112"/>
      <c r="F339" s="112"/>
      <c r="G339" s="112"/>
      <c r="H339" s="112"/>
    </row>
    <row r="340" spans="1:8" x14ac:dyDescent="0.3">
      <c r="A340" s="112" t="s">
        <v>62</v>
      </c>
      <c r="B340" s="112"/>
      <c r="C340" s="112"/>
      <c r="D340" s="112"/>
      <c r="E340" s="112"/>
      <c r="F340" s="112"/>
      <c r="G340" s="112"/>
      <c r="H340" s="112"/>
    </row>
    <row r="341" spans="1:8" x14ac:dyDescent="0.3">
      <c r="A341" s="112" t="s">
        <v>123</v>
      </c>
      <c r="B341" s="112"/>
      <c r="C341" s="112"/>
      <c r="D341" s="112"/>
      <c r="E341" s="112"/>
      <c r="F341" s="112"/>
      <c r="G341" s="112"/>
      <c r="H341" s="112"/>
    </row>
    <row r="342" spans="1:8" x14ac:dyDescent="0.3">
      <c r="A342" s="128" t="s">
        <v>124</v>
      </c>
      <c r="B342" s="128"/>
      <c r="C342" s="128"/>
      <c r="D342" s="128"/>
      <c r="E342" s="128"/>
      <c r="F342" s="128"/>
      <c r="G342" s="128"/>
      <c r="H342" s="128"/>
    </row>
    <row r="343" spans="1:8" x14ac:dyDescent="0.3">
      <c r="A343" s="187" t="s">
        <v>74</v>
      </c>
      <c r="B343" s="187"/>
      <c r="C343" s="187" t="s">
        <v>343</v>
      </c>
      <c r="D343" s="187"/>
      <c r="E343" s="187" t="s">
        <v>103</v>
      </c>
      <c r="F343" s="187"/>
      <c r="G343" s="188" t="s">
        <v>367</v>
      </c>
      <c r="H343" s="188"/>
    </row>
    <row r="344" spans="1:8" x14ac:dyDescent="0.3">
      <c r="A344" s="186" t="s">
        <v>76</v>
      </c>
      <c r="B344" s="186"/>
      <c r="C344" s="186"/>
      <c r="D344" s="186"/>
      <c r="E344" s="186"/>
      <c r="F344" s="186"/>
      <c r="G344" s="186"/>
      <c r="H344" s="186"/>
    </row>
    <row r="345" spans="1:8" x14ac:dyDescent="0.3">
      <c r="A345" s="186"/>
      <c r="B345" s="186"/>
      <c r="C345" s="186"/>
      <c r="D345" s="186"/>
      <c r="E345" s="186"/>
      <c r="F345" s="186"/>
      <c r="G345" s="186"/>
      <c r="H345" s="186"/>
    </row>
    <row r="346" spans="1:8" x14ac:dyDescent="0.3">
      <c r="A346" s="186"/>
      <c r="B346" s="186"/>
      <c r="C346" s="186"/>
      <c r="D346" s="186"/>
      <c r="E346" s="186"/>
      <c r="F346" s="186"/>
      <c r="G346" s="186"/>
      <c r="H346" s="186"/>
    </row>
    <row r="347" spans="1:8" x14ac:dyDescent="0.3">
      <c r="A347" s="186"/>
      <c r="B347" s="186"/>
      <c r="C347" s="186"/>
      <c r="D347" s="186"/>
      <c r="E347" s="186"/>
      <c r="F347" s="186"/>
      <c r="G347" s="186"/>
      <c r="H347" s="186"/>
    </row>
    <row r="348" spans="1:8" x14ac:dyDescent="0.3">
      <c r="A348" s="36" t="s">
        <v>63</v>
      </c>
      <c r="B348" s="37"/>
      <c r="C348" s="37"/>
      <c r="D348" s="36" t="str">
        <f>E9</f>
        <v>Sunrise Corporate Park ­ Phase I</v>
      </c>
      <c r="F348" s="37"/>
      <c r="G348" s="37"/>
      <c r="H348" s="37"/>
    </row>
    <row r="349" spans="1:8" x14ac:dyDescent="0.3">
      <c r="A349" s="37"/>
      <c r="B349" s="37"/>
      <c r="C349" s="37"/>
      <c r="D349" s="37"/>
      <c r="E349" s="37"/>
      <c r="F349" s="37"/>
      <c r="G349" s="37"/>
      <c r="H349" s="37"/>
    </row>
    <row r="350" spans="1:8" x14ac:dyDescent="0.3">
      <c r="A350" s="37"/>
      <c r="B350" s="37"/>
      <c r="C350" s="37"/>
      <c r="D350" s="37"/>
      <c r="E350" s="37"/>
      <c r="F350" s="37"/>
      <c r="G350" s="37"/>
      <c r="H350" s="37"/>
    </row>
    <row r="390" spans="1:1" x14ac:dyDescent="0.3">
      <c r="A390" s="39" t="s">
        <v>161</v>
      </c>
    </row>
    <row r="432" spans="1:1" x14ac:dyDescent="0.3">
      <c r="A432" s="39" t="s">
        <v>341</v>
      </c>
    </row>
    <row r="472" spans="1:1" x14ac:dyDescent="0.3">
      <c r="A472" s="39" t="s">
        <v>64</v>
      </c>
    </row>
  </sheetData>
  <mergeCells count="514">
    <mergeCell ref="I15:P15"/>
    <mergeCell ref="F107:H107"/>
    <mergeCell ref="F105:H105"/>
    <mergeCell ref="A303:B303"/>
    <mergeCell ref="A123:H123"/>
    <mergeCell ref="G111:H111"/>
    <mergeCell ref="A106:E106"/>
    <mergeCell ref="A55:B55"/>
    <mergeCell ref="C55:E55"/>
    <mergeCell ref="D57:H57"/>
    <mergeCell ref="F106:H106"/>
    <mergeCell ref="E111:F111"/>
    <mergeCell ref="A111:B111"/>
    <mergeCell ref="C117:D117"/>
    <mergeCell ref="D66:H66"/>
    <mergeCell ref="A67:C67"/>
    <mergeCell ref="E43:H43"/>
    <mergeCell ref="A43:D43"/>
    <mergeCell ref="A83:B83"/>
    <mergeCell ref="C83:H83"/>
    <mergeCell ref="A78:B78"/>
    <mergeCell ref="A50:B50"/>
    <mergeCell ref="A283:H283"/>
    <mergeCell ref="C52:E52"/>
    <mergeCell ref="A341:H341"/>
    <mergeCell ref="A338:H338"/>
    <mergeCell ref="A296:B296"/>
    <mergeCell ref="A117:B117"/>
    <mergeCell ref="D288:D289"/>
    <mergeCell ref="E288:E289"/>
    <mergeCell ref="A91:B91"/>
    <mergeCell ref="A92:B92"/>
    <mergeCell ref="A93:B93"/>
    <mergeCell ref="F98:H98"/>
    <mergeCell ref="G112:H112"/>
    <mergeCell ref="F104:H104"/>
    <mergeCell ref="C111:D111"/>
    <mergeCell ref="C120:D120"/>
    <mergeCell ref="A290:H290"/>
    <mergeCell ref="A305:B305"/>
    <mergeCell ref="A186:H186"/>
    <mergeCell ref="A187:B187"/>
    <mergeCell ref="A284:B284"/>
    <mergeCell ref="A188:B188"/>
    <mergeCell ref="A189:B189"/>
    <mergeCell ref="B329:H329"/>
    <mergeCell ref="B326:H326"/>
    <mergeCell ref="B332:H332"/>
    <mergeCell ref="D61:H61"/>
    <mergeCell ref="A193:B193"/>
    <mergeCell ref="A194:B194"/>
    <mergeCell ref="A195:B195"/>
    <mergeCell ref="A287:H287"/>
    <mergeCell ref="E117:F117"/>
    <mergeCell ref="A122:H122"/>
    <mergeCell ref="A131:B131"/>
    <mergeCell ref="E86:F86"/>
    <mergeCell ref="G86:H86"/>
    <mergeCell ref="A103:E103"/>
    <mergeCell ref="F103:H103"/>
    <mergeCell ref="A105:E105"/>
    <mergeCell ref="A285:H285"/>
    <mergeCell ref="A286:B286"/>
    <mergeCell ref="C114:D114"/>
    <mergeCell ref="E114:F114"/>
    <mergeCell ref="G114:H114"/>
    <mergeCell ref="A126:H126"/>
    <mergeCell ref="A121:B121"/>
    <mergeCell ref="A104:E104"/>
    <mergeCell ref="C124:C125"/>
    <mergeCell ref="G54:H54"/>
    <mergeCell ref="A191:B191"/>
    <mergeCell ref="A192:B192"/>
    <mergeCell ref="A311:B311"/>
    <mergeCell ref="E87:F96"/>
    <mergeCell ref="A94:B94"/>
    <mergeCell ref="A95:B95"/>
    <mergeCell ref="A77:B77"/>
    <mergeCell ref="A64:C64"/>
    <mergeCell ref="D64:H64"/>
    <mergeCell ref="C71:H71"/>
    <mergeCell ref="A74:B74"/>
    <mergeCell ref="A76:B76"/>
    <mergeCell ref="D67:H67"/>
    <mergeCell ref="A73:B73"/>
    <mergeCell ref="G72:H72"/>
    <mergeCell ref="D59:H59"/>
    <mergeCell ref="A59:C59"/>
    <mergeCell ref="A96:B96"/>
    <mergeCell ref="A190:B190"/>
    <mergeCell ref="A288:A289"/>
    <mergeCell ref="A302:B302"/>
    <mergeCell ref="A60:C61"/>
    <mergeCell ref="D60:H60"/>
    <mergeCell ref="A228:H228"/>
    <mergeCell ref="A234:B234"/>
    <mergeCell ref="A235:B235"/>
    <mergeCell ref="A236:B236"/>
    <mergeCell ref="A225:B225"/>
    <mergeCell ref="A226:B226"/>
    <mergeCell ref="A227:B227"/>
    <mergeCell ref="A212:H212"/>
    <mergeCell ref="A222:B222"/>
    <mergeCell ref="A145:B145"/>
    <mergeCell ref="A146:B146"/>
    <mergeCell ref="A147:B147"/>
    <mergeCell ref="A149:B149"/>
    <mergeCell ref="A151:B151"/>
    <mergeCell ref="A152:B152"/>
    <mergeCell ref="A183:B183"/>
    <mergeCell ref="A184:B184"/>
    <mergeCell ref="A185:B185"/>
    <mergeCell ref="A161:B161"/>
    <mergeCell ref="A162:B162"/>
    <mergeCell ref="A163:B163"/>
    <mergeCell ref="C159:H159"/>
    <mergeCell ref="A205:H205"/>
    <mergeCell ref="A204:H204"/>
    <mergeCell ref="A196:B196"/>
    <mergeCell ref="A197:B197"/>
    <mergeCell ref="A198:H198"/>
    <mergeCell ref="A199:B199"/>
    <mergeCell ref="A112:A113"/>
    <mergeCell ref="E115:F115"/>
    <mergeCell ref="A134:H134"/>
    <mergeCell ref="A148:B148"/>
    <mergeCell ref="A137:H137"/>
    <mergeCell ref="A138:B138"/>
    <mergeCell ref="A139:H139"/>
    <mergeCell ref="A140:B140"/>
    <mergeCell ref="A141:H141"/>
    <mergeCell ref="A142:B142"/>
    <mergeCell ref="A143:B143"/>
    <mergeCell ref="A144:B144"/>
    <mergeCell ref="A150:B150"/>
    <mergeCell ref="G115:H115"/>
    <mergeCell ref="A119:B119"/>
    <mergeCell ref="C121:D121"/>
    <mergeCell ref="E121:F121"/>
    <mergeCell ref="A337:H337"/>
    <mergeCell ref="A297:B297"/>
    <mergeCell ref="A298:B298"/>
    <mergeCell ref="A308:B308"/>
    <mergeCell ref="B322:H322"/>
    <mergeCell ref="A316:B316"/>
    <mergeCell ref="A313:H313"/>
    <mergeCell ref="A314:B314"/>
    <mergeCell ref="A315:B315"/>
    <mergeCell ref="A318:B318"/>
    <mergeCell ref="A317:B317"/>
    <mergeCell ref="B320:H320"/>
    <mergeCell ref="B321:H321"/>
    <mergeCell ref="B331:H331"/>
    <mergeCell ref="B328:H328"/>
    <mergeCell ref="B327:H327"/>
    <mergeCell ref="A310:B310"/>
    <mergeCell ref="A299:B299"/>
    <mergeCell ref="B323:H323"/>
    <mergeCell ref="B324:H324"/>
    <mergeCell ref="A319:H319"/>
    <mergeCell ref="A312:B312"/>
    <mergeCell ref="A307:H307"/>
    <mergeCell ref="A301:H301"/>
    <mergeCell ref="A344:H347"/>
    <mergeCell ref="A343:B343"/>
    <mergeCell ref="E343:F343"/>
    <mergeCell ref="C343:D343"/>
    <mergeCell ref="G343:H343"/>
    <mergeCell ref="A110:H110"/>
    <mergeCell ref="A108:E108"/>
    <mergeCell ref="F108:H108"/>
    <mergeCell ref="A109:E109"/>
    <mergeCell ref="F109:H109"/>
    <mergeCell ref="A295:H295"/>
    <mergeCell ref="A118:B118"/>
    <mergeCell ref="A304:B304"/>
    <mergeCell ref="A339:H339"/>
    <mergeCell ref="A116:H116"/>
    <mergeCell ref="A342:H342"/>
    <mergeCell ref="A340:H340"/>
    <mergeCell ref="A336:H336"/>
    <mergeCell ref="B330:H330"/>
    <mergeCell ref="G117:H117"/>
    <mergeCell ref="A306:B306"/>
    <mergeCell ref="A120:B120"/>
    <mergeCell ref="E120:F120"/>
    <mergeCell ref="G120:H120"/>
    <mergeCell ref="A1:H1"/>
    <mergeCell ref="A2:H2"/>
    <mergeCell ref="A3:D3"/>
    <mergeCell ref="E3:H3"/>
    <mergeCell ref="A5:D5"/>
    <mergeCell ref="A9:D9"/>
    <mergeCell ref="E9:H9"/>
    <mergeCell ref="A10:D10"/>
    <mergeCell ref="E10:H10"/>
    <mergeCell ref="E5:H5"/>
    <mergeCell ref="A6:D6"/>
    <mergeCell ref="E6:H6"/>
    <mergeCell ref="A7:D7"/>
    <mergeCell ref="E7:H7"/>
    <mergeCell ref="A8:D8"/>
    <mergeCell ref="E8:H8"/>
    <mergeCell ref="A4:D4"/>
    <mergeCell ref="E4:H4"/>
    <mergeCell ref="A11:D11"/>
    <mergeCell ref="E11:H11"/>
    <mergeCell ref="A23:D24"/>
    <mergeCell ref="E23:H24"/>
    <mergeCell ref="E15:H15"/>
    <mergeCell ref="A16:B16"/>
    <mergeCell ref="C16:H16"/>
    <mergeCell ref="C17:H17"/>
    <mergeCell ref="A18:B18"/>
    <mergeCell ref="C18:H18"/>
    <mergeCell ref="A13:D13"/>
    <mergeCell ref="E13:H13"/>
    <mergeCell ref="A21:B21"/>
    <mergeCell ref="C21:D21"/>
    <mergeCell ref="E21:F21"/>
    <mergeCell ref="G21:H21"/>
    <mergeCell ref="A22:B22"/>
    <mergeCell ref="C22:D22"/>
    <mergeCell ref="E22:F22"/>
    <mergeCell ref="G22:H22"/>
    <mergeCell ref="A12:D12"/>
    <mergeCell ref="E12:H12"/>
    <mergeCell ref="A17:B17"/>
    <mergeCell ref="A14:D14"/>
    <mergeCell ref="A19:B19"/>
    <mergeCell ref="C19:D19"/>
    <mergeCell ref="E19:F19"/>
    <mergeCell ref="G19:H19"/>
    <mergeCell ref="A20:B20"/>
    <mergeCell ref="C20:D20"/>
    <mergeCell ref="E20:F20"/>
    <mergeCell ref="G20:H20"/>
    <mergeCell ref="E14:H14"/>
    <mergeCell ref="A15:D15"/>
    <mergeCell ref="E27:H27"/>
    <mergeCell ref="A29:D29"/>
    <mergeCell ref="E29:H29"/>
    <mergeCell ref="A26:D26"/>
    <mergeCell ref="E26:H26"/>
    <mergeCell ref="A25:D25"/>
    <mergeCell ref="E25:H25"/>
    <mergeCell ref="A30:D30"/>
    <mergeCell ref="E30:H30"/>
    <mergeCell ref="A27:D27"/>
    <mergeCell ref="A28:D28"/>
    <mergeCell ref="E28:H28"/>
    <mergeCell ref="A36:B36"/>
    <mergeCell ref="C36:E36"/>
    <mergeCell ref="A31:D31"/>
    <mergeCell ref="E31:H31"/>
    <mergeCell ref="A32:D32"/>
    <mergeCell ref="E32:H32"/>
    <mergeCell ref="C33:E33"/>
    <mergeCell ref="F36:H36"/>
    <mergeCell ref="F33:H33"/>
    <mergeCell ref="A34:B34"/>
    <mergeCell ref="A33:B33"/>
    <mergeCell ref="C34:E34"/>
    <mergeCell ref="A35:B35"/>
    <mergeCell ref="C35:E35"/>
    <mergeCell ref="F34:H34"/>
    <mergeCell ref="F35:H35"/>
    <mergeCell ref="A38:H38"/>
    <mergeCell ref="A37:B37"/>
    <mergeCell ref="C37:E37"/>
    <mergeCell ref="A42:D42"/>
    <mergeCell ref="E42:H42"/>
    <mergeCell ref="A41:H41"/>
    <mergeCell ref="A62:C62"/>
    <mergeCell ref="A63:C63"/>
    <mergeCell ref="D62:H62"/>
    <mergeCell ref="D63:H63"/>
    <mergeCell ref="A44:D44"/>
    <mergeCell ref="E44:H44"/>
    <mergeCell ref="E45:H45"/>
    <mergeCell ref="E46:H46"/>
    <mergeCell ref="E47:H47"/>
    <mergeCell ref="A45:D45"/>
    <mergeCell ref="F37:H37"/>
    <mergeCell ref="C50:E50"/>
    <mergeCell ref="G50:H50"/>
    <mergeCell ref="A39:B39"/>
    <mergeCell ref="C39:H39"/>
    <mergeCell ref="A46:D46"/>
    <mergeCell ref="A47:D47"/>
    <mergeCell ref="A48:H48"/>
    <mergeCell ref="L223:M223"/>
    <mergeCell ref="L222:M222"/>
    <mergeCell ref="L219:M219"/>
    <mergeCell ref="L220:M220"/>
    <mergeCell ref="L221:M221"/>
    <mergeCell ref="F101:H101"/>
    <mergeCell ref="G124:G125"/>
    <mergeCell ref="A82:B82"/>
    <mergeCell ref="A86:B86"/>
    <mergeCell ref="A85:B85"/>
    <mergeCell ref="C85:H85"/>
    <mergeCell ref="A128:H128"/>
    <mergeCell ref="A129:H129"/>
    <mergeCell ref="L130:M130"/>
    <mergeCell ref="L129:M129"/>
    <mergeCell ref="L128:M128"/>
    <mergeCell ref="C118:D118"/>
    <mergeCell ref="E118:F118"/>
    <mergeCell ref="G118:H118"/>
    <mergeCell ref="A98:E98"/>
    <mergeCell ref="A127:H127"/>
    <mergeCell ref="E124:E125"/>
    <mergeCell ref="A87:B87"/>
    <mergeCell ref="A130:H130"/>
    <mergeCell ref="C49:H49"/>
    <mergeCell ref="G87:H96"/>
    <mergeCell ref="A88:B88"/>
    <mergeCell ref="A89:B89"/>
    <mergeCell ref="A90:B90"/>
    <mergeCell ref="F99:H99"/>
    <mergeCell ref="A99:E99"/>
    <mergeCell ref="D124:D125"/>
    <mergeCell ref="A101:E101"/>
    <mergeCell ref="A100:E100"/>
    <mergeCell ref="A102:E102"/>
    <mergeCell ref="G51:H51"/>
    <mergeCell ref="A52:B53"/>
    <mergeCell ref="A79:B79"/>
    <mergeCell ref="E73:F82"/>
    <mergeCell ref="G73:H82"/>
    <mergeCell ref="A81:B81"/>
    <mergeCell ref="A71:B71"/>
    <mergeCell ref="A69:B69"/>
    <mergeCell ref="A66:C66"/>
    <mergeCell ref="D58:H58"/>
    <mergeCell ref="G55:H55"/>
    <mergeCell ref="A54:B54"/>
    <mergeCell ref="C54:E54"/>
    <mergeCell ref="A40:B40"/>
    <mergeCell ref="C40:H40"/>
    <mergeCell ref="F124:F125"/>
    <mergeCell ref="C112:D112"/>
    <mergeCell ref="E112:F112"/>
    <mergeCell ref="B124:B125"/>
    <mergeCell ref="A124:A125"/>
    <mergeCell ref="C69:H69"/>
    <mergeCell ref="A80:B80"/>
    <mergeCell ref="C51:E51"/>
    <mergeCell ref="G52:H52"/>
    <mergeCell ref="A51:B51"/>
    <mergeCell ref="A56:H56"/>
    <mergeCell ref="A57:C57"/>
    <mergeCell ref="A58:C58"/>
    <mergeCell ref="E72:F72"/>
    <mergeCell ref="A65:C65"/>
    <mergeCell ref="D65:H65"/>
    <mergeCell ref="A68:C68"/>
    <mergeCell ref="D68:H68"/>
    <mergeCell ref="G121:H121"/>
    <mergeCell ref="A72:B72"/>
    <mergeCell ref="A75:B75"/>
    <mergeCell ref="A49:B49"/>
    <mergeCell ref="C119:D119"/>
    <mergeCell ref="E119:F119"/>
    <mergeCell ref="G119:H119"/>
    <mergeCell ref="F97:H97"/>
    <mergeCell ref="F102:H102"/>
    <mergeCell ref="A97:E97"/>
    <mergeCell ref="F100:H100"/>
    <mergeCell ref="G113:H113"/>
    <mergeCell ref="A201:H201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32:B132"/>
    <mergeCell ref="A133:B133"/>
    <mergeCell ref="A107:E107"/>
    <mergeCell ref="C113:D113"/>
    <mergeCell ref="E113:F113"/>
    <mergeCell ref="A115:B115"/>
    <mergeCell ref="C115:D115"/>
    <mergeCell ref="A177:B177"/>
    <mergeCell ref="A178:B178"/>
    <mergeCell ref="A179:B179"/>
    <mergeCell ref="A180:B180"/>
    <mergeCell ref="A181:B181"/>
    <mergeCell ref="A182:B182"/>
    <mergeCell ref="A164:H164"/>
    <mergeCell ref="A165:B165"/>
    <mergeCell ref="A210:B210"/>
    <mergeCell ref="A206:H206"/>
    <mergeCell ref="A202:B202"/>
    <mergeCell ref="I14:L14"/>
    <mergeCell ref="C53:H53"/>
    <mergeCell ref="I33:K33"/>
    <mergeCell ref="I34:K34"/>
    <mergeCell ref="I35:K35"/>
    <mergeCell ref="I36:K36"/>
    <mergeCell ref="I37:K37"/>
    <mergeCell ref="A213:B213"/>
    <mergeCell ref="A214:H214"/>
    <mergeCell ref="A207:B207"/>
    <mergeCell ref="A208:B208"/>
    <mergeCell ref="A135:B135"/>
    <mergeCell ref="A136:B136"/>
    <mergeCell ref="A153:H153"/>
    <mergeCell ref="A154:B154"/>
    <mergeCell ref="A155:B155"/>
    <mergeCell ref="A156:B156"/>
    <mergeCell ref="A157:B157"/>
    <mergeCell ref="A158:B158"/>
    <mergeCell ref="A159:B159"/>
    <mergeCell ref="A160:B160"/>
    <mergeCell ref="A174:H174"/>
    <mergeCell ref="A175:B175"/>
    <mergeCell ref="A176:B176"/>
    <mergeCell ref="A273:H273"/>
    <mergeCell ref="A291:B291"/>
    <mergeCell ref="L255:M255"/>
    <mergeCell ref="C288:C289"/>
    <mergeCell ref="A237:B237"/>
    <mergeCell ref="A238:B238"/>
    <mergeCell ref="A229:B229"/>
    <mergeCell ref="A230:B230"/>
    <mergeCell ref="A231:B231"/>
    <mergeCell ref="A232:B232"/>
    <mergeCell ref="A233:B233"/>
    <mergeCell ref="G288:G289"/>
    <mergeCell ref="B288:B289"/>
    <mergeCell ref="A292:B292"/>
    <mergeCell ref="A293:B293"/>
    <mergeCell ref="A294:B294"/>
    <mergeCell ref="B325:H325"/>
    <mergeCell ref="F288:F289"/>
    <mergeCell ref="A309:B309"/>
    <mergeCell ref="A300:B300"/>
    <mergeCell ref="A282:B282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68:B268"/>
    <mergeCell ref="L268:M268"/>
    <mergeCell ref="A256:B256"/>
    <mergeCell ref="L256:M256"/>
    <mergeCell ref="A257:B257"/>
    <mergeCell ref="L257:M257"/>
    <mergeCell ref="A246:B246"/>
    <mergeCell ref="L246:M246"/>
    <mergeCell ref="A247:B247"/>
    <mergeCell ref="L247:M247"/>
    <mergeCell ref="A248:B248"/>
    <mergeCell ref="A249:B249"/>
    <mergeCell ref="A250:B250"/>
    <mergeCell ref="A251:B251"/>
    <mergeCell ref="A252:H252"/>
    <mergeCell ref="A209:B209"/>
    <mergeCell ref="A239:B239"/>
    <mergeCell ref="L264:M264"/>
    <mergeCell ref="A265:B265"/>
    <mergeCell ref="L265:M265"/>
    <mergeCell ref="A266:B266"/>
    <mergeCell ref="L266:M266"/>
    <mergeCell ref="A267:B267"/>
    <mergeCell ref="L267:M267"/>
    <mergeCell ref="L243:M243"/>
    <mergeCell ref="A244:B244"/>
    <mergeCell ref="L244:M244"/>
    <mergeCell ref="A245:B245"/>
    <mergeCell ref="L245:M245"/>
    <mergeCell ref="A224:B224"/>
    <mergeCell ref="A218:B218"/>
    <mergeCell ref="A220:B220"/>
    <mergeCell ref="A221:B221"/>
    <mergeCell ref="A223:B223"/>
    <mergeCell ref="A219:B219"/>
    <mergeCell ref="A217:B217"/>
    <mergeCell ref="A215:B215"/>
    <mergeCell ref="A216:H216"/>
    <mergeCell ref="A211:B211"/>
    <mergeCell ref="B335:H335"/>
    <mergeCell ref="B333:H333"/>
    <mergeCell ref="A269:B269"/>
    <mergeCell ref="A270:B270"/>
    <mergeCell ref="A271:B271"/>
    <mergeCell ref="A272:B272"/>
    <mergeCell ref="C275:H282"/>
    <mergeCell ref="A200:B200"/>
    <mergeCell ref="A203:B203"/>
    <mergeCell ref="B334:H334"/>
    <mergeCell ref="A264:B264"/>
    <mergeCell ref="A258:B258"/>
    <mergeCell ref="A259:B259"/>
    <mergeCell ref="A260:B260"/>
    <mergeCell ref="A261:H261"/>
    <mergeCell ref="A262:B262"/>
    <mergeCell ref="A263:B263"/>
    <mergeCell ref="A253:B253"/>
    <mergeCell ref="A254:B254"/>
    <mergeCell ref="A255:B255"/>
    <mergeCell ref="A240:H240"/>
    <mergeCell ref="A241:B241"/>
    <mergeCell ref="A242:B242"/>
    <mergeCell ref="A243:B243"/>
  </mergeCells>
  <dataValidations count="15">
    <dataValidation type="list" allowBlank="1" showInputMessage="1" showErrorMessage="1" sqref="E5:H5" xr:uid="{00000000-0002-0000-0000-000000000000}">
      <formula1>OFFSET($L$3,1,MATCH($E4,$L$3:$P$3,0)-1,10,1)</formula1>
    </dataValidation>
    <dataValidation type="list" allowBlank="1" showInputMessage="1" showErrorMessage="1" sqref="A17:B17" xr:uid="{00000000-0002-0000-0000-000001000000}">
      <formula1>"CTS No,Survey No,Plot No,Gut No,FP No,"</formula1>
    </dataValidation>
    <dataValidation type="list" allowBlank="1" showInputMessage="1" showErrorMessage="1" sqref="G20:H20" xr:uid="{00000000-0002-0000-0000-000002000000}">
      <formula1>$S$13:$W$13</formula1>
    </dataValidation>
    <dataValidation type="list" allowBlank="1" showInputMessage="1" showErrorMessage="1" sqref="E124:E125" xr:uid="{00000000-0002-0000-0000-000003000000}">
      <formula1>"Attached Loft area,Attached Otla area,Attached Mezzanine area,Balcony Area"</formula1>
    </dataValidation>
    <dataValidation type="list" allowBlank="1" showInputMessage="1" showErrorMessage="1" sqref="G343:H343" xr:uid="{00000000-0002-0000-0000-000004000000}">
      <formula1>"Kunal Kadam,Pranita Mhatre,Shruti Fule,Pooja Kawale,Mansee Mohite,Anjali Kamble, Hitakshi Mhatre, Sachin Sawant"</formula1>
    </dataValidation>
    <dataValidation type="list" allowBlank="1" showInputMessage="1" showErrorMessage="1" sqref="F97:H97" xr:uid="{00000000-0002-0000-0000-000005000000}">
      <formula1>"On Saleable Area,On Builtup Area,On Carpet Area,On Plot Area"</formula1>
    </dataValidation>
    <dataValidation type="list" allowBlank="1" showInputMessage="1" showErrorMessage="1" sqref="F108:H108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B124:B125" xr:uid="{00000000-0002-0000-0000-000007000000}">
      <formula1>"Shop / Office No. (Sale Plan)"</formula1>
    </dataValidation>
    <dataValidation type="list" allowBlank="1" showInputMessage="1" showErrorMessage="1" sqref="B288:B289" xr:uid="{00000000-0002-0000-0000-000008000000}">
      <formula1>"Flat No. (Sale Plan),Sale / Rehab,Sale / Mhada"</formula1>
    </dataValidation>
    <dataValidation type="list" allowBlank="1" showInputMessage="1" showErrorMessage="1" sqref="C21:D21" xr:uid="{00000000-0002-0000-0000-000009000000}">
      <formula1>OFFSET($S$13,1,MATCH($G20,$S$13:$W$13,0)-1,15,1)</formula1>
    </dataValidation>
    <dataValidation type="list" allowBlank="1" showInputMessage="1" showErrorMessage="1" sqref="Y13" xr:uid="{00000000-0002-0000-0000-00000A000000}">
      <formula1>$D$5:$H$5</formula1>
    </dataValidation>
    <dataValidation type="list" allowBlank="1" showInputMessage="1" showErrorMessage="1" sqref="E288:E289" xr:uid="{00000000-0002-0000-0000-00000B000000}">
      <formula1>"Fungible area,Balcony Area,Chajja Area,Cornice Area,AP Area,WS Area"</formula1>
    </dataValidation>
    <dataValidation type="list" allowBlank="1" showInputMessage="1" showErrorMessage="1" sqref="H289 H125" xr:uid="{00000000-0002-0000-0000-00000C000000}">
      <formula1>".45,.50,.55,.60"</formula1>
    </dataValidation>
    <dataValidation type="list" allowBlank="1" showInputMessage="1" showErrorMessage="1" sqref="E4:H4" xr:uid="{00000000-0002-0000-0000-00000D000000}">
      <formula1>$L$3:$P$3</formula1>
    </dataValidation>
    <dataValidation type="list" allowBlank="1" showInputMessage="1" showErrorMessage="1" sqref="C49:H49" xr:uid="{00000000-0002-0000-0000-00000E000000}">
      <formula1>OFFSET($S$49,1,MATCH($G20,$S$49:$W$49,0)-1,15,1)</formula1>
    </dataValidation>
  </dataValidations>
  <hyperlinks>
    <hyperlink ref="C40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68" max="16383" man="1"/>
    <brk id="123" max="16383" man="1"/>
    <brk id="318" max="7" man="1"/>
    <brk id="347" max="7" man="1"/>
    <brk id="389" max="7" man="1"/>
    <brk id="431" max="16383" man="1"/>
    <brk id="471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K3" sqref="K3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40" t="s">
        <v>104</v>
      </c>
      <c r="C3" s="240"/>
      <c r="D3" s="240"/>
      <c r="E3" s="240"/>
      <c r="F3" s="240"/>
      <c r="G3" s="240"/>
      <c r="H3" s="240"/>
    </row>
    <row r="4" spans="1:9" x14ac:dyDescent="0.3">
      <c r="A4" s="2"/>
      <c r="B4" s="3" t="s">
        <v>105</v>
      </c>
      <c r="C4" s="3" t="s">
        <v>106</v>
      </c>
      <c r="D4" s="3" t="s">
        <v>66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4"/>
  <sheetViews>
    <sheetView workbookViewId="0">
      <selection sqref="A1:XFD134"/>
    </sheetView>
  </sheetViews>
  <sheetFormatPr defaultRowHeight="14.4" x14ac:dyDescent="0.3"/>
  <sheetData>
    <row r="1" spans="1:14" s="35" customFormat="1" ht="17.25" customHeight="1" x14ac:dyDescent="0.3">
      <c r="A1" s="226" t="s">
        <v>324</v>
      </c>
      <c r="B1" s="227"/>
      <c r="C1" s="227"/>
      <c r="D1" s="227"/>
      <c r="E1" s="227"/>
      <c r="F1" s="227"/>
      <c r="G1" s="227"/>
      <c r="H1" s="228"/>
      <c r="I1" s="34"/>
    </row>
    <row r="2" spans="1:14" s="35" customFormat="1" ht="15.75" customHeight="1" x14ac:dyDescent="0.3">
      <c r="A2" s="163" t="s">
        <v>281</v>
      </c>
      <c r="B2" s="164"/>
      <c r="C2" s="164"/>
      <c r="D2" s="164"/>
      <c r="E2" s="164"/>
      <c r="F2" s="164"/>
      <c r="G2" s="164"/>
      <c r="H2" s="165"/>
      <c r="J2" s="34"/>
    </row>
    <row r="3" spans="1:14" s="35" customFormat="1" ht="15.75" customHeight="1" x14ac:dyDescent="0.3">
      <c r="A3" s="163" t="s">
        <v>306</v>
      </c>
      <c r="B3" s="164"/>
      <c r="C3" s="164"/>
      <c r="D3" s="164"/>
      <c r="E3" s="164"/>
      <c r="F3" s="164"/>
      <c r="G3" s="164"/>
      <c r="H3" s="165"/>
      <c r="I3" s="34"/>
      <c r="L3" s="89"/>
      <c r="M3" s="89"/>
      <c r="N3" s="34"/>
    </row>
    <row r="4" spans="1:14" s="35" customFormat="1" ht="15.75" customHeight="1" x14ac:dyDescent="0.3">
      <c r="A4" s="163" t="s">
        <v>300</v>
      </c>
      <c r="B4" s="164"/>
      <c r="C4" s="164"/>
      <c r="D4" s="164"/>
      <c r="E4" s="164"/>
      <c r="F4" s="164"/>
      <c r="G4" s="164"/>
      <c r="H4" s="165"/>
      <c r="I4" s="34"/>
      <c r="L4" s="89"/>
      <c r="M4" s="89"/>
      <c r="N4" s="34"/>
    </row>
    <row r="5" spans="1:14" s="35" customFormat="1" ht="15.75" customHeight="1" x14ac:dyDescent="0.3">
      <c r="A5" s="163" t="s">
        <v>305</v>
      </c>
      <c r="B5" s="164"/>
      <c r="C5" s="164"/>
      <c r="D5" s="164"/>
      <c r="E5" s="164"/>
      <c r="F5" s="164"/>
      <c r="G5" s="164"/>
      <c r="H5" s="165"/>
      <c r="I5" s="34"/>
      <c r="L5" s="89"/>
      <c r="M5" s="89"/>
      <c r="N5" s="34"/>
    </row>
    <row r="6" spans="1:14" s="35" customFormat="1" ht="15.75" customHeight="1" x14ac:dyDescent="0.3">
      <c r="A6" s="75">
        <v>1</v>
      </c>
      <c r="B6" s="76"/>
      <c r="C6" s="40" t="s">
        <v>303</v>
      </c>
      <c r="D6" s="61">
        <f>(14.45*9.09-(1.2*3.6))*10.764</f>
        <v>1367.3563019999999</v>
      </c>
      <c r="E6" s="40">
        <v>0</v>
      </c>
      <c r="F6" s="40">
        <f t="shared" ref="F6:F11" si="0">D6+E6</f>
        <v>1367.3563019999999</v>
      </c>
      <c r="G6" s="40">
        <v>0</v>
      </c>
      <c r="H6" s="40">
        <f t="shared" ref="H6:H11" ca="1" si="1">(D6+E6)*(($H$125)+1)</f>
        <v>2187.7700832</v>
      </c>
      <c r="I6" s="34">
        <f>14.45*9.09-1.4*3.6</f>
        <v>126.31049999999998</v>
      </c>
      <c r="J6" s="40">
        <f>13.25*9.09+1.2*5.4</f>
        <v>126.9225</v>
      </c>
      <c r="N6" s="34"/>
    </row>
    <row r="7" spans="1:14" s="35" customFormat="1" ht="15.75" customHeight="1" x14ac:dyDescent="0.3">
      <c r="A7" s="75">
        <v>2</v>
      </c>
      <c r="B7" s="76"/>
      <c r="C7" s="40" t="s">
        <v>303</v>
      </c>
      <c r="D7" s="61">
        <f>(9.45*8.89-(1*3))*10.764</f>
        <v>871.9970219999999</v>
      </c>
      <c r="E7" s="40">
        <v>0</v>
      </c>
      <c r="F7" s="40">
        <f t="shared" si="0"/>
        <v>871.9970219999999</v>
      </c>
      <c r="G7" s="40">
        <v>0</v>
      </c>
      <c r="H7" s="40">
        <f t="shared" ca="1" si="1"/>
        <v>1395.1952351999998</v>
      </c>
      <c r="I7" s="34"/>
      <c r="N7" s="34"/>
    </row>
    <row r="8" spans="1:14" s="35" customFormat="1" ht="15.75" customHeight="1" x14ac:dyDescent="0.3">
      <c r="A8" s="75">
        <v>3</v>
      </c>
      <c r="B8" s="76"/>
      <c r="C8" s="40" t="s">
        <v>303</v>
      </c>
      <c r="D8" s="61">
        <f>(9.45*11)*10.764</f>
        <v>1118.9177999999997</v>
      </c>
      <c r="E8" s="40">
        <v>0</v>
      </c>
      <c r="F8" s="40">
        <f t="shared" si="0"/>
        <v>1118.9177999999997</v>
      </c>
      <c r="G8" s="40">
        <v>0</v>
      </c>
      <c r="H8" s="40">
        <f t="shared" ca="1" si="1"/>
        <v>1790.2684799999997</v>
      </c>
      <c r="I8" s="34">
        <f>(9.45*11)</f>
        <v>103.94999999999999</v>
      </c>
      <c r="N8" s="34"/>
    </row>
    <row r="9" spans="1:14" s="35" customFormat="1" ht="15.75" customHeight="1" x14ac:dyDescent="0.3">
      <c r="A9" s="75">
        <v>4</v>
      </c>
      <c r="B9" s="76"/>
      <c r="C9" s="40" t="s">
        <v>303</v>
      </c>
      <c r="D9" s="61">
        <f>(9.71*6.76)*10.764</f>
        <v>706.54465440000001</v>
      </c>
      <c r="E9" s="40">
        <v>0</v>
      </c>
      <c r="F9" s="40">
        <f t="shared" si="0"/>
        <v>706.54465440000001</v>
      </c>
      <c r="G9" s="40">
        <v>0</v>
      </c>
      <c r="H9" s="40">
        <f t="shared" ca="1" si="1"/>
        <v>1130.4714470400002</v>
      </c>
      <c r="I9" s="34"/>
      <c r="N9" s="34"/>
    </row>
    <row r="10" spans="1:14" s="35" customFormat="1" ht="15.75" customHeight="1" x14ac:dyDescent="0.3">
      <c r="A10" s="75">
        <v>5</v>
      </c>
      <c r="B10" s="76"/>
      <c r="C10" s="40" t="s">
        <v>303</v>
      </c>
      <c r="D10" s="61">
        <f>(18.8*6.02)*10.764</f>
        <v>1218.2264639999999</v>
      </c>
      <c r="E10" s="40">
        <v>0</v>
      </c>
      <c r="F10" s="40">
        <f t="shared" si="0"/>
        <v>1218.2264639999999</v>
      </c>
      <c r="G10" s="40">
        <v>0</v>
      </c>
      <c r="H10" s="40">
        <f t="shared" ca="1" si="1"/>
        <v>1949.1623423999999</v>
      </c>
      <c r="I10" s="34">
        <f>18.8*6.02</f>
        <v>113.176</v>
      </c>
      <c r="N10" s="34"/>
    </row>
    <row r="11" spans="1:14" s="35" customFormat="1" ht="15.75" customHeight="1" x14ac:dyDescent="0.3">
      <c r="A11" s="75">
        <v>6</v>
      </c>
      <c r="B11" s="76"/>
      <c r="C11" s="40" t="s">
        <v>303</v>
      </c>
      <c r="D11" s="61">
        <f>(12.7*4.7)*10.764</f>
        <v>642.50315999999998</v>
      </c>
      <c r="E11" s="40">
        <v>0</v>
      </c>
      <c r="F11" s="40">
        <f t="shared" si="0"/>
        <v>642.50315999999998</v>
      </c>
      <c r="G11" s="40">
        <v>0</v>
      </c>
      <c r="H11" s="40">
        <f t="shared" ca="1" si="1"/>
        <v>1028.005056</v>
      </c>
      <c r="I11" s="34"/>
      <c r="N11" s="34"/>
    </row>
    <row r="12" spans="1:14" s="35" customFormat="1" ht="15.75" customHeight="1" x14ac:dyDescent="0.3">
      <c r="A12" s="96" t="s">
        <v>307</v>
      </c>
      <c r="B12" s="97"/>
      <c r="C12" s="97"/>
      <c r="D12" s="97"/>
      <c r="E12" s="97"/>
      <c r="F12" s="97"/>
      <c r="G12" s="97"/>
      <c r="H12" s="98"/>
      <c r="I12" s="34">
        <f>12.7*4.7</f>
        <v>59.69</v>
      </c>
      <c r="N12" s="34"/>
    </row>
    <row r="13" spans="1:14" s="35" customFormat="1" ht="15.75" customHeight="1" x14ac:dyDescent="0.3">
      <c r="A13" s="75">
        <v>1</v>
      </c>
      <c r="B13" s="76"/>
      <c r="C13" s="60" t="s">
        <v>308</v>
      </c>
      <c r="D13" s="61">
        <f>(5.375*5.43+4.075*2.95+3.275*3.1+1.2*1.5+2*3)*10.764</f>
        <v>636.79823999999996</v>
      </c>
      <c r="E13" s="40">
        <v>0</v>
      </c>
      <c r="F13" s="40">
        <f t="shared" ref="F13:F20" si="2">D13+E13</f>
        <v>636.79823999999996</v>
      </c>
      <c r="G13" s="40">
        <v>0</v>
      </c>
      <c r="H13" s="40">
        <f t="shared" ref="H13:H20" ca="1" si="3">(D13+E13)*(($H$125)+1)</f>
        <v>1018.8771839999999</v>
      </c>
      <c r="I13" s="34">
        <f>5.375*5.43+4.075*2.95+3.275*3.1+1.2*1.5+2*3</f>
        <v>59.16</v>
      </c>
      <c r="N13" s="34"/>
    </row>
    <row r="14" spans="1:14" s="35" customFormat="1" ht="15.75" customHeight="1" x14ac:dyDescent="0.3">
      <c r="A14" s="75">
        <v>2</v>
      </c>
      <c r="B14" s="76"/>
      <c r="C14" s="60" t="s">
        <v>308</v>
      </c>
      <c r="D14" s="61">
        <f>(5.15*5.43+3.85*2.95+3.05*3.1+1.2*1.5+2*3)*10.764</f>
        <v>608.99482799999998</v>
      </c>
      <c r="E14" s="40">
        <v>0</v>
      </c>
      <c r="F14" s="40">
        <f t="shared" si="2"/>
        <v>608.99482799999998</v>
      </c>
      <c r="G14" s="40">
        <v>0</v>
      </c>
      <c r="H14" s="40">
        <f t="shared" ca="1" si="3"/>
        <v>974.39172480000002</v>
      </c>
      <c r="I14" s="34"/>
      <c r="N14" s="34"/>
    </row>
    <row r="15" spans="1:14" s="35" customFormat="1" ht="15.75" customHeight="1" x14ac:dyDescent="0.3">
      <c r="A15" s="75">
        <v>3</v>
      </c>
      <c r="B15" s="76"/>
      <c r="C15" s="60" t="s">
        <v>308</v>
      </c>
      <c r="D15" s="61">
        <f>(5.15*5.43+3.85*2.95+3.05*3.1+1.2*1.5+2*3)*10.764</f>
        <v>608.99482799999998</v>
      </c>
      <c r="E15" s="40">
        <v>0</v>
      </c>
      <c r="F15" s="40">
        <f t="shared" si="2"/>
        <v>608.99482799999998</v>
      </c>
      <c r="G15" s="40">
        <v>0</v>
      </c>
      <c r="H15" s="40">
        <f t="shared" ca="1" si="3"/>
        <v>974.39172480000002</v>
      </c>
      <c r="I15" s="34"/>
      <c r="N15" s="34"/>
    </row>
    <row r="16" spans="1:14" s="35" customFormat="1" ht="15.75" customHeight="1" x14ac:dyDescent="0.3">
      <c r="A16" s="75">
        <v>4</v>
      </c>
      <c r="B16" s="76"/>
      <c r="C16" s="60" t="s">
        <v>308</v>
      </c>
      <c r="D16" s="61">
        <f>(9.725*5.43+8.425*2.95+7.625*3.1+1.2*1.5+2*3)*10.764</f>
        <v>1174.330872</v>
      </c>
      <c r="E16" s="40">
        <v>0</v>
      </c>
      <c r="F16" s="40">
        <f t="shared" si="2"/>
        <v>1174.330872</v>
      </c>
      <c r="G16" s="40">
        <v>0</v>
      </c>
      <c r="H16" s="40">
        <f t="shared" ca="1" si="3"/>
        <v>1878.9293952</v>
      </c>
      <c r="I16" s="34"/>
      <c r="N16" s="34"/>
    </row>
    <row r="17" spans="1:14" s="35" customFormat="1" ht="15.75" customHeight="1" x14ac:dyDescent="0.3">
      <c r="A17" s="75">
        <v>5</v>
      </c>
      <c r="B17" s="76"/>
      <c r="C17" s="60" t="s">
        <v>308</v>
      </c>
      <c r="D17" s="61">
        <f>(3.725*4.75+1.78*3.1+8.425*4.15+2*3+1.2*1.5)*10.764</f>
        <v>710.16028199999994</v>
      </c>
      <c r="E17" s="40">
        <v>0</v>
      </c>
      <c r="F17" s="40">
        <f t="shared" si="2"/>
        <v>710.16028199999994</v>
      </c>
      <c r="G17" s="40">
        <v>0</v>
      </c>
      <c r="H17" s="40">
        <f t="shared" ca="1" si="3"/>
        <v>1136.2564511999999</v>
      </c>
      <c r="I17" s="34"/>
      <c r="N17" s="34"/>
    </row>
    <row r="18" spans="1:14" s="35" customFormat="1" ht="15.75" customHeight="1" x14ac:dyDescent="0.3">
      <c r="A18" s="75">
        <v>6</v>
      </c>
      <c r="B18" s="76"/>
      <c r="C18" s="60" t="s">
        <v>308</v>
      </c>
      <c r="D18" s="61">
        <f>(5.15*4.75+3.05*3.1+3.85*2.95+1.2*1.5+2*3)*10.764</f>
        <v>571.29930000000002</v>
      </c>
      <c r="E18" s="40">
        <v>0</v>
      </c>
      <c r="F18" s="40">
        <f t="shared" si="2"/>
        <v>571.29930000000002</v>
      </c>
      <c r="G18" s="40">
        <v>0</v>
      </c>
      <c r="H18" s="40">
        <f t="shared" ca="1" si="3"/>
        <v>914.07888000000003</v>
      </c>
      <c r="I18" s="34"/>
      <c r="N18" s="34"/>
    </row>
    <row r="19" spans="1:14" s="35" customFormat="1" ht="15.75" customHeight="1" x14ac:dyDescent="0.3">
      <c r="A19" s="75">
        <v>7</v>
      </c>
      <c r="B19" s="76"/>
      <c r="C19" s="60" t="s">
        <v>308</v>
      </c>
      <c r="D19" s="61">
        <f>(5.15*4.75+3.05*3.1+3.85*2.95+1.2*1.5+2*3)*10.764</f>
        <v>571.29930000000002</v>
      </c>
      <c r="E19" s="40">
        <v>0</v>
      </c>
      <c r="F19" s="40">
        <f t="shared" si="2"/>
        <v>571.29930000000002</v>
      </c>
      <c r="G19" s="40">
        <v>0</v>
      </c>
      <c r="H19" s="40">
        <f t="shared" ca="1" si="3"/>
        <v>914.07888000000003</v>
      </c>
      <c r="I19" s="34"/>
      <c r="N19" s="34"/>
    </row>
    <row r="20" spans="1:14" s="35" customFormat="1" ht="15.75" customHeight="1" x14ac:dyDescent="0.3">
      <c r="A20" s="75">
        <v>8</v>
      </c>
      <c r="B20" s="76"/>
      <c r="C20" s="60" t="s">
        <v>308</v>
      </c>
      <c r="D20" s="61">
        <f>(5.375*4.75+3.275*3.1+4.075*2.95+1.2*1.5+2*3)*10.764</f>
        <v>597.45582000000002</v>
      </c>
      <c r="E20" s="40">
        <v>0</v>
      </c>
      <c r="F20" s="40">
        <f t="shared" si="2"/>
        <v>597.45582000000002</v>
      </c>
      <c r="G20" s="40">
        <v>0</v>
      </c>
      <c r="H20" s="40">
        <f t="shared" ca="1" si="3"/>
        <v>955.9293120000001</v>
      </c>
      <c r="I20" s="34"/>
      <c r="N20" s="34"/>
    </row>
    <row r="21" spans="1:14" s="35" customFormat="1" ht="15.75" customHeight="1" x14ac:dyDescent="0.3">
      <c r="A21" s="96" t="s">
        <v>309</v>
      </c>
      <c r="B21" s="97"/>
      <c r="C21" s="97"/>
      <c r="D21" s="97"/>
      <c r="E21" s="97"/>
      <c r="F21" s="97"/>
      <c r="G21" s="97"/>
      <c r="H21" s="98"/>
      <c r="I21" s="34"/>
      <c r="N21" s="34"/>
    </row>
    <row r="22" spans="1:14" s="35" customFormat="1" ht="15.75" customHeight="1" x14ac:dyDescent="0.3">
      <c r="A22" s="75">
        <v>1</v>
      </c>
      <c r="B22" s="76"/>
      <c r="C22" s="60" t="s">
        <v>308</v>
      </c>
      <c r="D22" s="61">
        <f>(28.3*12.28+24.5*6.95+21.25*2.25+8.725*1.95+7.85*1.95+6.825*1.95+1.4*10.18+1.6*2.4+6*2.4+8.425*1.95+7.85*1.95+8.725*1.95+1.2*1.45*2+1.2*1.5*9)*10.764</f>
        <v>7665.7279139999991</v>
      </c>
      <c r="E22" s="61">
        <f>(1.5+8.725+7.85+8.2*1.2+10.18*1.2+4+9.425+7.85+9.725+7.5)*10.764</f>
        <v>846.38408399999992</v>
      </c>
      <c r="F22" s="40">
        <f>D22+E22</f>
        <v>8512.1119979999985</v>
      </c>
      <c r="G22" s="62">
        <v>0</v>
      </c>
      <c r="H22" s="40">
        <f ca="1">(D22+E22)*(($H$125)+1)</f>
        <v>13619.379196799999</v>
      </c>
      <c r="I22" s="62"/>
      <c r="N22" s="34"/>
    </row>
    <row r="23" spans="1:14" s="35" customFormat="1" ht="15.75" customHeight="1" x14ac:dyDescent="0.3">
      <c r="A23" s="96" t="s">
        <v>311</v>
      </c>
      <c r="B23" s="97"/>
      <c r="C23" s="97"/>
      <c r="D23" s="97"/>
      <c r="E23" s="97"/>
      <c r="F23" s="97"/>
      <c r="G23" s="97"/>
      <c r="H23" s="98"/>
      <c r="I23" s="64"/>
      <c r="N23" s="34"/>
    </row>
    <row r="24" spans="1:14" s="35" customFormat="1" ht="15.75" customHeight="1" x14ac:dyDescent="0.3">
      <c r="A24" s="75">
        <v>1</v>
      </c>
      <c r="B24" s="76"/>
      <c r="C24" s="60" t="s">
        <v>308</v>
      </c>
      <c r="D24" s="61">
        <f>(28.3*12.28+24.5*6.95+21.25*2.25+8.725*1.95+7.85*1.95+6.825*1.95+1.4*10.18+1.6*2.4+6*2.4+8.425*1.95+7.85*1.95+8.725*1.95+1.2*1.45*2+1.2*1.5*9)*10.764</f>
        <v>7665.7279139999991</v>
      </c>
      <c r="E24" s="61">
        <f>(1.5+8.725+7.85+8.2*1.2+10.18*1.2+4+9.425+7.85+9.725+7.5)*10.764</f>
        <v>846.38408399999992</v>
      </c>
      <c r="F24" s="40">
        <f>D24+E24</f>
        <v>8512.1119979999985</v>
      </c>
      <c r="G24" s="62">
        <v>0</v>
      </c>
      <c r="H24" s="40">
        <f ca="1">(D24+E24)*(($H$125)+1)</f>
        <v>13619.379196799999</v>
      </c>
      <c r="I24" s="64"/>
      <c r="N24" s="34"/>
    </row>
    <row r="25" spans="1:14" s="35" customFormat="1" ht="15.75" customHeight="1" x14ac:dyDescent="0.3">
      <c r="A25" s="96" t="s">
        <v>312</v>
      </c>
      <c r="B25" s="97"/>
      <c r="C25" s="97"/>
      <c r="D25" s="97"/>
      <c r="E25" s="97"/>
      <c r="F25" s="97"/>
      <c r="G25" s="97"/>
      <c r="H25" s="98"/>
      <c r="I25" s="64"/>
      <c r="N25" s="34"/>
    </row>
    <row r="26" spans="1:14" s="35" customFormat="1" ht="15.75" customHeight="1" x14ac:dyDescent="0.3">
      <c r="A26" s="75">
        <v>1</v>
      </c>
      <c r="B26" s="76"/>
      <c r="C26" s="60" t="s">
        <v>308</v>
      </c>
      <c r="D26" s="61">
        <f>(4.12*8.58+2.02*3.1+1.2*1.45+2*3)*10.764</f>
        <v>531.22062240000002</v>
      </c>
      <c r="E26" s="61">
        <f>(1.5+5.12)*10.764</f>
        <v>71.257679999999993</v>
      </c>
      <c r="F26" s="40">
        <f t="shared" ref="F26:F36" si="4">D26+E26</f>
        <v>602.47830240000008</v>
      </c>
      <c r="G26" s="40">
        <v>0</v>
      </c>
      <c r="H26" s="68">
        <f t="shared" ref="H26:H36" ca="1" si="5">(D26+E26)*(($H$125)+1)</f>
        <v>963.96528384000021</v>
      </c>
      <c r="I26" s="65">
        <f>4.12*8.58+2.02*3.1+1.2*1.45</f>
        <v>43.351600000000005</v>
      </c>
      <c r="J26" s="66">
        <f>1.5+5.12</f>
        <v>6.62</v>
      </c>
      <c r="N26" s="34"/>
    </row>
    <row r="27" spans="1:14" s="35" customFormat="1" ht="15.75" customHeight="1" x14ac:dyDescent="0.3">
      <c r="A27" s="75">
        <v>2</v>
      </c>
      <c r="B27" s="76"/>
      <c r="C27" s="60" t="s">
        <v>308</v>
      </c>
      <c r="D27" s="61">
        <f>(5.15*6.63+3.85*1.95+3.05*3.1+1.2*1.5+2*3)*10.764</f>
        <v>634.07494799999995</v>
      </c>
      <c r="E27" s="61">
        <f>(3.85)*10.764</f>
        <v>41.441400000000002</v>
      </c>
      <c r="F27" s="40">
        <f t="shared" si="4"/>
        <v>675.51634799999999</v>
      </c>
      <c r="G27" s="40">
        <v>0</v>
      </c>
      <c r="H27" s="68">
        <f t="shared" ca="1" si="5"/>
        <v>1080.8261568</v>
      </c>
      <c r="I27" s="65">
        <f>5.15*6.63+3.85*1.95+3.05*3.1+1.2*1.5</f>
        <v>52.906999999999996</v>
      </c>
      <c r="J27" s="66">
        <f>3.85</f>
        <v>3.85</v>
      </c>
      <c r="N27" s="34"/>
    </row>
    <row r="28" spans="1:14" s="35" customFormat="1" ht="15.75" customHeight="1" x14ac:dyDescent="0.3">
      <c r="A28" s="75">
        <v>3</v>
      </c>
      <c r="B28" s="76"/>
      <c r="C28" s="60" t="s">
        <v>308</v>
      </c>
      <c r="D28" s="61">
        <f>(5.15*6.63+3.85*2.95+3.05*3.1+1.2*1.5+2*3)*10.764</f>
        <v>675.51634799999988</v>
      </c>
      <c r="E28" s="61">
        <v>0</v>
      </c>
      <c r="F28" s="40">
        <f t="shared" si="4"/>
        <v>675.51634799999988</v>
      </c>
      <c r="G28" s="40">
        <v>0</v>
      </c>
      <c r="H28" s="68">
        <f t="shared" ca="1" si="5"/>
        <v>1080.8261567999998</v>
      </c>
      <c r="I28" s="65">
        <f>5.15*6.63+3.85*2.95+3.05*3.1+1.2*1.5</f>
        <v>56.756999999999998</v>
      </c>
      <c r="J28" s="66">
        <v>0</v>
      </c>
      <c r="N28" s="34"/>
    </row>
    <row r="29" spans="1:14" s="35" customFormat="1" ht="15.75" customHeight="1" x14ac:dyDescent="0.3">
      <c r="A29" s="75">
        <v>4</v>
      </c>
      <c r="B29" s="76"/>
      <c r="C29" s="60" t="s">
        <v>308</v>
      </c>
      <c r="D29" s="61">
        <f>(5.15*6.63+3.85*2.95+3.05*3.1+1.2*1.5+2*3)*10.764</f>
        <v>675.51634799999988</v>
      </c>
      <c r="E29" s="61">
        <v>0</v>
      </c>
      <c r="F29" s="40">
        <f t="shared" si="4"/>
        <v>675.51634799999988</v>
      </c>
      <c r="G29" s="40">
        <v>0</v>
      </c>
      <c r="H29" s="68">
        <f t="shared" ca="1" si="5"/>
        <v>1080.8261567999998</v>
      </c>
      <c r="I29" s="65">
        <f>5.15*6.63+3.85*2.95+3.05*3.1+1.2*1.5</f>
        <v>56.756999999999998</v>
      </c>
      <c r="J29" s="66">
        <v>0</v>
      </c>
      <c r="N29" s="34"/>
    </row>
    <row r="30" spans="1:14" s="35" customFormat="1" ht="15.75" customHeight="1" x14ac:dyDescent="0.3">
      <c r="A30" s="75">
        <v>5</v>
      </c>
      <c r="B30" s="76"/>
      <c r="C30" s="60" t="s">
        <v>308</v>
      </c>
      <c r="D30" s="61">
        <f>(5.15*6.63+3.85*1.75+3.05*3.1+1.2*1.5+2*3)*10.764</f>
        <v>625.78666799999985</v>
      </c>
      <c r="E30" s="61">
        <f>(3.85*1.2)*10.764</f>
        <v>49.729679999999995</v>
      </c>
      <c r="F30" s="40">
        <f t="shared" si="4"/>
        <v>675.51634799999988</v>
      </c>
      <c r="G30" s="40">
        <v>0</v>
      </c>
      <c r="H30" s="68">
        <f t="shared" ca="1" si="5"/>
        <v>1080.8261567999998</v>
      </c>
      <c r="I30" s="65">
        <f>5.15*6.63+3.85*1.75+3.05*3.1+1.2*1.5</f>
        <v>52.136999999999993</v>
      </c>
      <c r="J30" s="66">
        <f>3.85*1.2</f>
        <v>4.62</v>
      </c>
      <c r="N30" s="34"/>
    </row>
    <row r="31" spans="1:14" s="35" customFormat="1" ht="15.75" customHeight="1" x14ac:dyDescent="0.3">
      <c r="A31" s="75">
        <v>6</v>
      </c>
      <c r="B31" s="76"/>
      <c r="C31" s="60" t="s">
        <v>308</v>
      </c>
      <c r="D31" s="61">
        <f>(4.22*8.08+2.32*2.2+2.82*1.2+1.5*1.2+2*3)*10.764</f>
        <v>542.35059839999997</v>
      </c>
      <c r="E31" s="61">
        <f>(5.4*1.2+9.1*1.2)*10.764</f>
        <v>187.29359999999997</v>
      </c>
      <c r="F31" s="40">
        <f t="shared" si="4"/>
        <v>729.64419839999994</v>
      </c>
      <c r="G31" s="40">
        <v>0</v>
      </c>
      <c r="H31" s="68">
        <f t="shared" ca="1" si="5"/>
        <v>1167.4307174399999</v>
      </c>
      <c r="I31" s="65">
        <f>4.22*7.08+2.17*3.1+2.82*1.2+1.5*1.2</f>
        <v>41.788599999999995</v>
      </c>
      <c r="J31" s="66">
        <f>5.4*1.2+10.1*1.2</f>
        <v>18.600000000000001</v>
      </c>
      <c r="N31" s="34"/>
    </row>
    <row r="32" spans="1:14" s="35" customFormat="1" ht="15.75" customHeight="1" x14ac:dyDescent="0.3">
      <c r="A32" s="75">
        <v>7</v>
      </c>
      <c r="B32" s="76"/>
      <c r="C32" s="60" t="s">
        <v>308</v>
      </c>
      <c r="D32" s="61">
        <f>(3.725*5.95+1.78*3.1+8.425*1.95+6*2.4+1.2*1.5+2*3)*10.764</f>
        <v>713.76622199999986</v>
      </c>
      <c r="E32" s="61">
        <f>(4.35+8.5)*10.764</f>
        <v>138.31739999999999</v>
      </c>
      <c r="F32" s="40">
        <f t="shared" si="4"/>
        <v>852.08362199999988</v>
      </c>
      <c r="G32" s="40">
        <v>0</v>
      </c>
      <c r="H32" s="68">
        <f t="shared" ca="1" si="5"/>
        <v>1363.3337951999999</v>
      </c>
      <c r="I32" s="66">
        <f>3.725*5.95+1.78*3.1+8.425*1.95+6*2.4+1.2*1.5</f>
        <v>60.310499999999998</v>
      </c>
      <c r="J32" s="66">
        <f>4.35+8.5</f>
        <v>12.85</v>
      </c>
      <c r="N32" s="34"/>
    </row>
    <row r="33" spans="1:14" s="35" customFormat="1" ht="15.75" customHeight="1" x14ac:dyDescent="0.3">
      <c r="A33" s="75">
        <v>8</v>
      </c>
      <c r="B33" s="76"/>
      <c r="C33" s="60" t="s">
        <v>308</v>
      </c>
      <c r="D33" s="61">
        <f>(5.15*5.95+3.85*1.95+3.05*3.1+1.2*1.5+2*3)*10.764</f>
        <v>596.37941999999998</v>
      </c>
      <c r="E33" s="61">
        <f>(3.85)*10.764</f>
        <v>41.441400000000002</v>
      </c>
      <c r="F33" s="40">
        <f t="shared" si="4"/>
        <v>637.82082000000003</v>
      </c>
      <c r="G33" s="40">
        <v>0</v>
      </c>
      <c r="H33" s="68">
        <f t="shared" ca="1" si="5"/>
        <v>1020.513312</v>
      </c>
      <c r="I33" s="65">
        <f>5.15*5.95+3.85*1.95+3.05*3.1+1.2*1.5</f>
        <v>49.405000000000001</v>
      </c>
      <c r="J33" s="66">
        <f>3.85</f>
        <v>3.85</v>
      </c>
      <c r="N33" s="34"/>
    </row>
    <row r="34" spans="1:14" s="35" customFormat="1" ht="15.75" customHeight="1" x14ac:dyDescent="0.3">
      <c r="A34" s="75">
        <v>9</v>
      </c>
      <c r="B34" s="76"/>
      <c r="C34" s="60" t="s">
        <v>308</v>
      </c>
      <c r="D34" s="61">
        <f>(5.15*5.95+3.85*1.95+3.05*3.1+1.2*1.5+2*3)*10.764</f>
        <v>596.37941999999998</v>
      </c>
      <c r="E34" s="61">
        <f>(3.85)*10.764</f>
        <v>41.441400000000002</v>
      </c>
      <c r="F34" s="40">
        <f t="shared" si="4"/>
        <v>637.82082000000003</v>
      </c>
      <c r="G34" s="40">
        <v>0</v>
      </c>
      <c r="H34" s="68">
        <f t="shared" ca="1" si="5"/>
        <v>1020.513312</v>
      </c>
      <c r="I34" s="65">
        <f>5.15*5.95+3.85*1.95+3.05*3.1+1.2*1.5</f>
        <v>49.405000000000001</v>
      </c>
      <c r="J34" s="66">
        <f>3.85</f>
        <v>3.85</v>
      </c>
      <c r="N34" s="34"/>
    </row>
    <row r="35" spans="1:14" s="35" customFormat="1" ht="15.75" customHeight="1" x14ac:dyDescent="0.3">
      <c r="A35" s="75">
        <v>10</v>
      </c>
      <c r="B35" s="76"/>
      <c r="C35" s="60" t="s">
        <v>308</v>
      </c>
      <c r="D35" s="61">
        <f>(5.15*5.95+3.85*1.95+3.05*3.1+1.2*1.5+2*3)*10.764</f>
        <v>596.37941999999998</v>
      </c>
      <c r="E35" s="61">
        <f>(3.85)*10.764</f>
        <v>41.441400000000002</v>
      </c>
      <c r="F35" s="40">
        <f t="shared" si="4"/>
        <v>637.82082000000003</v>
      </c>
      <c r="G35" s="40">
        <v>0</v>
      </c>
      <c r="H35" s="68">
        <f t="shared" ca="1" si="5"/>
        <v>1020.513312</v>
      </c>
      <c r="I35" s="65">
        <f>5.15*5.95+3.85*1.95+3.05*3.1+1.2*1.5</f>
        <v>49.405000000000001</v>
      </c>
      <c r="J35" s="66">
        <f>3.85</f>
        <v>3.85</v>
      </c>
      <c r="N35" s="34"/>
    </row>
    <row r="36" spans="1:14" s="35" customFormat="1" ht="15.75" customHeight="1" x14ac:dyDescent="0.3">
      <c r="A36" s="75">
        <v>11</v>
      </c>
      <c r="B36" s="76"/>
      <c r="C36" s="60" t="s">
        <v>308</v>
      </c>
      <c r="D36" s="61">
        <f>(4.725*7.84+2.32*3.1+1.2*1.45+2*3)*10.764</f>
        <v>559.46966399999997</v>
      </c>
      <c r="E36" s="61">
        <f>(5.7+7.8)*10.764</f>
        <v>145.31399999999999</v>
      </c>
      <c r="F36" s="40">
        <f t="shared" si="4"/>
        <v>704.78366399999993</v>
      </c>
      <c r="G36" s="40">
        <v>0</v>
      </c>
      <c r="H36" s="68">
        <f t="shared" ca="1" si="5"/>
        <v>1127.6538624</v>
      </c>
      <c r="I36" s="65">
        <f>4.725*8.9+1.33*2.1+1.2*1.45</f>
        <v>46.585500000000003</v>
      </c>
      <c r="J36" s="66">
        <f>5.7+7.5</f>
        <v>13.2</v>
      </c>
      <c r="N36" s="34"/>
    </row>
    <row r="37" spans="1:14" s="35" customFormat="1" ht="15.75" customHeight="1" x14ac:dyDescent="0.3">
      <c r="A37" s="241" t="s">
        <v>313</v>
      </c>
      <c r="B37" s="242"/>
      <c r="C37" s="242"/>
      <c r="D37" s="242"/>
      <c r="E37" s="242"/>
      <c r="F37" s="242"/>
      <c r="G37" s="242"/>
      <c r="H37" s="243"/>
      <c r="I37" s="64"/>
      <c r="N37" s="34"/>
    </row>
    <row r="38" spans="1:14" s="35" customFormat="1" ht="15.75" customHeight="1" x14ac:dyDescent="0.3">
      <c r="A38" s="75">
        <v>1</v>
      </c>
      <c r="B38" s="76"/>
      <c r="C38" s="60" t="s">
        <v>308</v>
      </c>
      <c r="D38" s="61">
        <f>(4.12*8.58+2.02*3.1+1.2*1.45)*10.764</f>
        <v>466.63662240000002</v>
      </c>
      <c r="E38" s="61">
        <f>(1.5+5.12)*10.764</f>
        <v>71.257679999999993</v>
      </c>
      <c r="F38" s="40">
        <f t="shared" ref="F38:F43" si="6">D38+E38</f>
        <v>537.89430240000002</v>
      </c>
      <c r="G38" s="40">
        <v>0</v>
      </c>
      <c r="H38" s="40">
        <f t="shared" ref="H38:H43" ca="1" si="7">(D38+E38)*(($H$125)+1)</f>
        <v>860.63088384000002</v>
      </c>
      <c r="I38" s="64"/>
      <c r="N38" s="34"/>
    </row>
    <row r="39" spans="1:14" s="35" customFormat="1" ht="15.75" customHeight="1" x14ac:dyDescent="0.3">
      <c r="A39" s="75">
        <v>2</v>
      </c>
      <c r="B39" s="76"/>
      <c r="C39" s="60" t="s">
        <v>308</v>
      </c>
      <c r="D39" s="61">
        <f>(5.15*6.63+3.85*1.95+3.05*3.1+1.2*1.5)*10.764</f>
        <v>569.49094799999989</v>
      </c>
      <c r="E39" s="61">
        <f>(3.85)*10.764</f>
        <v>41.441400000000002</v>
      </c>
      <c r="F39" s="40">
        <f t="shared" si="6"/>
        <v>610.93234799999993</v>
      </c>
      <c r="G39" s="40">
        <v>0</v>
      </c>
      <c r="H39" s="40">
        <f t="shared" ca="1" si="7"/>
        <v>977.49175679999996</v>
      </c>
      <c r="I39" s="64"/>
      <c r="N39" s="34"/>
    </row>
    <row r="40" spans="1:14" s="35" customFormat="1" ht="15.75" customHeight="1" x14ac:dyDescent="0.3">
      <c r="A40" s="75">
        <v>3</v>
      </c>
      <c r="B40" s="76"/>
      <c r="C40" s="60" t="s">
        <v>308</v>
      </c>
      <c r="D40" s="61">
        <f>(5.15*6.63+3.85*2.95+3.05*3.1+1.2*1.5)*10.764</f>
        <v>610.93234799999993</v>
      </c>
      <c r="E40" s="61">
        <v>0</v>
      </c>
      <c r="F40" s="40">
        <f t="shared" si="6"/>
        <v>610.93234799999993</v>
      </c>
      <c r="G40" s="40">
        <v>0</v>
      </c>
      <c r="H40" s="40">
        <f t="shared" ca="1" si="7"/>
        <v>977.49175679999996</v>
      </c>
      <c r="I40" s="64"/>
      <c r="N40" s="34"/>
    </row>
    <row r="41" spans="1:14" s="35" customFormat="1" ht="15.75" customHeight="1" x14ac:dyDescent="0.3">
      <c r="A41" s="75">
        <v>4</v>
      </c>
      <c r="B41" s="76"/>
      <c r="C41" s="60" t="s">
        <v>308</v>
      </c>
      <c r="D41" s="61">
        <f>(5.15*6.63+3.85*2.95+3.05*3.1+1.2*1.5)*10.764</f>
        <v>610.93234799999993</v>
      </c>
      <c r="E41" s="61">
        <v>0</v>
      </c>
      <c r="F41" s="40">
        <f t="shared" si="6"/>
        <v>610.93234799999993</v>
      </c>
      <c r="G41" s="40">
        <v>0</v>
      </c>
      <c r="H41" s="40">
        <f t="shared" ca="1" si="7"/>
        <v>977.49175679999996</v>
      </c>
      <c r="I41" s="64"/>
      <c r="N41" s="34"/>
    </row>
    <row r="42" spans="1:14" s="35" customFormat="1" ht="15.75" customHeight="1" x14ac:dyDescent="0.3">
      <c r="A42" s="75">
        <v>5</v>
      </c>
      <c r="B42" s="76"/>
      <c r="C42" s="60" t="s">
        <v>308</v>
      </c>
      <c r="D42" s="61">
        <f>(5.15*6.63+3.85*1.75+3.05*3.1+1.2*1.5)*10.764</f>
        <v>561.2026679999999</v>
      </c>
      <c r="E42" s="61">
        <f>(3.85*1.2)*10.764</f>
        <v>49.729679999999995</v>
      </c>
      <c r="F42" s="40">
        <f t="shared" si="6"/>
        <v>610.93234799999993</v>
      </c>
      <c r="G42" s="40">
        <v>0</v>
      </c>
      <c r="H42" s="40">
        <f t="shared" ca="1" si="7"/>
        <v>977.49175679999996</v>
      </c>
      <c r="I42" s="64"/>
      <c r="N42" s="34"/>
    </row>
    <row r="43" spans="1:14" s="35" customFormat="1" ht="15.75" customHeight="1" x14ac:dyDescent="0.3">
      <c r="A43" s="75">
        <v>6</v>
      </c>
      <c r="B43" s="76"/>
      <c r="C43" s="60" t="s">
        <v>308</v>
      </c>
      <c r="D43" s="61">
        <f>(4.22*7.08+2.17*3.1+2.82*1.2+1.5*1.2)*10.764</f>
        <v>449.81249039999994</v>
      </c>
      <c r="E43" s="61">
        <f>(5.4*1.2+10.1*1.2)*10.764</f>
        <v>200.21039999999999</v>
      </c>
      <c r="F43" s="40">
        <f t="shared" si="6"/>
        <v>650.02289039999994</v>
      </c>
      <c r="G43" s="40">
        <v>0</v>
      </c>
      <c r="H43" s="40">
        <f t="shared" ca="1" si="7"/>
        <v>1040.0366246399999</v>
      </c>
      <c r="I43" s="64"/>
      <c r="N43" s="34"/>
    </row>
    <row r="44" spans="1:14" s="35" customFormat="1" ht="15.75" customHeight="1" x14ac:dyDescent="0.3">
      <c r="A44" s="75">
        <v>7</v>
      </c>
      <c r="B44" s="76"/>
      <c r="C44" s="201" t="s">
        <v>314</v>
      </c>
      <c r="D44" s="202"/>
      <c r="E44" s="202"/>
      <c r="F44" s="202"/>
      <c r="G44" s="202"/>
      <c r="H44" s="203"/>
      <c r="I44" s="64"/>
      <c r="N44" s="34"/>
    </row>
    <row r="45" spans="1:14" s="35" customFormat="1" ht="15.75" customHeight="1" x14ac:dyDescent="0.3">
      <c r="A45" s="75">
        <v>8</v>
      </c>
      <c r="B45" s="76"/>
      <c r="C45" s="60" t="s">
        <v>308</v>
      </c>
      <c r="D45" s="61">
        <f>(5.15*5.95+3.85*1.95+3.05*3.1+1.2*1.5)*10.764</f>
        <v>531.79542000000004</v>
      </c>
      <c r="E45" s="61">
        <f>(3.85)*10.764</f>
        <v>41.441400000000002</v>
      </c>
      <c r="F45" s="40">
        <f>D45+E45</f>
        <v>573.23682000000008</v>
      </c>
      <c r="G45" s="40">
        <v>0</v>
      </c>
      <c r="H45" s="40">
        <f ca="1">(D45+E45)*(($H$125)+1)</f>
        <v>917.1789120000002</v>
      </c>
      <c r="I45" s="64"/>
      <c r="N45" s="34"/>
    </row>
    <row r="46" spans="1:14" s="35" customFormat="1" ht="15.75" customHeight="1" x14ac:dyDescent="0.3">
      <c r="A46" s="75">
        <v>9</v>
      </c>
      <c r="B46" s="76"/>
      <c r="C46" s="60" t="s">
        <v>308</v>
      </c>
      <c r="D46" s="61">
        <f>(5.15*5.95+3.85*1.95+3.05*3.1+1.2*1.5)*10.764</f>
        <v>531.79542000000004</v>
      </c>
      <c r="E46" s="61">
        <f>(3.85)*10.764</f>
        <v>41.441400000000002</v>
      </c>
      <c r="F46" s="40">
        <f>D46+E46</f>
        <v>573.23682000000008</v>
      </c>
      <c r="G46" s="40">
        <v>0</v>
      </c>
      <c r="H46" s="40">
        <f ca="1">(D46+E46)*(($H$125)+1)</f>
        <v>917.1789120000002</v>
      </c>
      <c r="I46" s="64"/>
      <c r="N46" s="34"/>
    </row>
    <row r="47" spans="1:14" s="35" customFormat="1" ht="15.75" customHeight="1" x14ac:dyDescent="0.3">
      <c r="A47" s="75">
        <v>10</v>
      </c>
      <c r="B47" s="76"/>
      <c r="C47" s="60" t="s">
        <v>308</v>
      </c>
      <c r="D47" s="61">
        <f>(5.15*5.95+3.85*1.95+3.05*3.1+1.2*1.5)*10.764</f>
        <v>531.79542000000004</v>
      </c>
      <c r="E47" s="61">
        <f>(3.85)*10.764</f>
        <v>41.441400000000002</v>
      </c>
      <c r="F47" s="40">
        <f>D47+E47</f>
        <v>573.23682000000008</v>
      </c>
      <c r="G47" s="40">
        <v>0</v>
      </c>
      <c r="H47" s="40">
        <f ca="1">(D47+E47)*(($H$125)+1)</f>
        <v>917.1789120000002</v>
      </c>
      <c r="I47" s="64"/>
      <c r="N47" s="34"/>
    </row>
    <row r="48" spans="1:14" s="35" customFormat="1" ht="15.75" customHeight="1" x14ac:dyDescent="0.3">
      <c r="A48" s="75">
        <v>11</v>
      </c>
      <c r="B48" s="76"/>
      <c r="C48" s="60" t="s">
        <v>308</v>
      </c>
      <c r="D48" s="61">
        <f>(4.725*8.9+1.33*2.1+1.2*1.45)*10.764</f>
        <v>501.44632200000001</v>
      </c>
      <c r="E48" s="61">
        <f>(5.7+7.5)*10.764</f>
        <v>142.08479999999997</v>
      </c>
      <c r="F48" s="40">
        <f>D48+E48</f>
        <v>643.53112199999998</v>
      </c>
      <c r="G48" s="40">
        <v>0</v>
      </c>
      <c r="H48" s="40">
        <f ca="1">(D48+E48)*(($H$125)+1)</f>
        <v>1029.6497952</v>
      </c>
      <c r="I48" s="64"/>
      <c r="N48" s="34"/>
    </row>
    <row r="49" spans="1:14" s="35" customFormat="1" ht="15.75" customHeight="1" x14ac:dyDescent="0.3">
      <c r="A49" s="96" t="s">
        <v>316</v>
      </c>
      <c r="B49" s="97"/>
      <c r="C49" s="97"/>
      <c r="D49" s="97"/>
      <c r="E49" s="97"/>
      <c r="F49" s="97"/>
      <c r="G49" s="97"/>
      <c r="H49" s="98"/>
      <c r="I49" s="64"/>
      <c r="N49" s="34"/>
    </row>
    <row r="50" spans="1:14" s="35" customFormat="1" ht="15.75" customHeight="1" x14ac:dyDescent="0.3">
      <c r="A50" s="75">
        <v>1</v>
      </c>
      <c r="B50" s="76"/>
      <c r="C50" s="60" t="s">
        <v>308</v>
      </c>
      <c r="D50" s="61">
        <f>(4.12*8.58+2.02*3.1+1.2*1.45+2*3)*10.764</f>
        <v>531.22062240000002</v>
      </c>
      <c r="E50" s="61">
        <f>(1.5+5.12)*10.764</f>
        <v>71.257679999999993</v>
      </c>
      <c r="F50" s="40">
        <f t="shared" ref="F50:F60" si="8">D50+E50</f>
        <v>602.47830240000008</v>
      </c>
      <c r="G50" s="40">
        <v>0</v>
      </c>
      <c r="H50" s="68">
        <f t="shared" ref="H50:H60" ca="1" si="9">(D50+E50)*(($H$125)+1)</f>
        <v>963.96528384000021</v>
      </c>
      <c r="I50" s="65">
        <f>4.12*8.58+2.02*3.1+1.2*1.45</f>
        <v>43.351600000000005</v>
      </c>
      <c r="J50" s="66">
        <f>1.5+5.12</f>
        <v>6.62</v>
      </c>
      <c r="N50" s="34"/>
    </row>
    <row r="51" spans="1:14" s="35" customFormat="1" ht="15.75" customHeight="1" x14ac:dyDescent="0.3">
      <c r="A51" s="75">
        <v>2</v>
      </c>
      <c r="B51" s="76"/>
      <c r="C51" s="60" t="s">
        <v>308</v>
      </c>
      <c r="D51" s="61">
        <f>(5.15*6.63+3.85*1.95+3.05*3.1+1.2*1.5+2*3)*10.764</f>
        <v>634.07494799999995</v>
      </c>
      <c r="E51" s="61">
        <f>(3.85)*10.764</f>
        <v>41.441400000000002</v>
      </c>
      <c r="F51" s="40">
        <f t="shared" si="8"/>
        <v>675.51634799999999</v>
      </c>
      <c r="G51" s="40">
        <v>0</v>
      </c>
      <c r="H51" s="68">
        <f t="shared" ca="1" si="9"/>
        <v>1080.8261568</v>
      </c>
      <c r="I51" s="65">
        <f>5.15*6.63+3.85*1.95+3.05*3.1+1.2*1.5</f>
        <v>52.906999999999996</v>
      </c>
      <c r="J51" s="66">
        <f>3.85</f>
        <v>3.85</v>
      </c>
      <c r="N51" s="34"/>
    </row>
    <row r="52" spans="1:14" s="35" customFormat="1" ht="15.75" customHeight="1" x14ac:dyDescent="0.3">
      <c r="A52" s="75">
        <v>3</v>
      </c>
      <c r="B52" s="76"/>
      <c r="C52" s="60" t="s">
        <v>308</v>
      </c>
      <c r="D52" s="61">
        <f>(5.15*6.63+3.85*2.95+3.05*3.1+1.2*1.5+2*3)*10.764</f>
        <v>675.51634799999988</v>
      </c>
      <c r="E52" s="61">
        <v>0</v>
      </c>
      <c r="F52" s="40">
        <f t="shared" si="8"/>
        <v>675.51634799999988</v>
      </c>
      <c r="G52" s="40">
        <v>0</v>
      </c>
      <c r="H52" s="68">
        <f t="shared" ca="1" si="9"/>
        <v>1080.8261567999998</v>
      </c>
      <c r="I52" s="65">
        <f>5.15*6.63+3.85*2.95+3.05*3.1+1.2*1.5</f>
        <v>56.756999999999998</v>
      </c>
      <c r="J52" s="66">
        <v>0</v>
      </c>
      <c r="N52" s="34"/>
    </row>
    <row r="53" spans="1:14" s="35" customFormat="1" ht="15.75" customHeight="1" x14ac:dyDescent="0.3">
      <c r="A53" s="75">
        <v>4</v>
      </c>
      <c r="B53" s="76"/>
      <c r="C53" s="60" t="s">
        <v>308</v>
      </c>
      <c r="D53" s="61">
        <f>(5.15*6.63+3.85*2.95+3.05*3.1+1.2*1.5+2*3)*10.764</f>
        <v>675.51634799999988</v>
      </c>
      <c r="E53" s="61">
        <v>0</v>
      </c>
      <c r="F53" s="40">
        <f t="shared" si="8"/>
        <v>675.51634799999988</v>
      </c>
      <c r="G53" s="40">
        <v>0</v>
      </c>
      <c r="H53" s="68">
        <f t="shared" ca="1" si="9"/>
        <v>1080.8261567999998</v>
      </c>
      <c r="I53" s="65">
        <f>5.15*6.63+3.85*2.95+3.05*3.1+1.2*1.5</f>
        <v>56.756999999999998</v>
      </c>
      <c r="J53" s="66">
        <v>0</v>
      </c>
      <c r="N53" s="34"/>
    </row>
    <row r="54" spans="1:14" s="35" customFormat="1" ht="15.75" customHeight="1" x14ac:dyDescent="0.3">
      <c r="A54" s="75">
        <v>5</v>
      </c>
      <c r="B54" s="76"/>
      <c r="C54" s="60" t="s">
        <v>308</v>
      </c>
      <c r="D54" s="61">
        <f>(5.15*6.63+3.85*1.75+3.05*3.1+1.2*1.5+2*3)*10.764</f>
        <v>625.78666799999985</v>
      </c>
      <c r="E54" s="61">
        <f>(3.85*1.2)*10.764</f>
        <v>49.729679999999995</v>
      </c>
      <c r="F54" s="40">
        <f t="shared" si="8"/>
        <v>675.51634799999988</v>
      </c>
      <c r="G54" s="40">
        <v>0</v>
      </c>
      <c r="H54" s="68">
        <f t="shared" ca="1" si="9"/>
        <v>1080.8261567999998</v>
      </c>
      <c r="I54" s="65">
        <f>5.15*6.63+3.85*1.75+3.05*3.1+1.2*1.5</f>
        <v>52.136999999999993</v>
      </c>
      <c r="J54" s="66">
        <f>3.85*1.2</f>
        <v>4.62</v>
      </c>
      <c r="N54" s="34"/>
    </row>
    <row r="55" spans="1:14" s="35" customFormat="1" ht="15.75" customHeight="1" x14ac:dyDescent="0.3">
      <c r="A55" s="75">
        <v>6</v>
      </c>
      <c r="B55" s="76"/>
      <c r="C55" s="60" t="s">
        <v>308</v>
      </c>
      <c r="D55" s="61">
        <f>(4.22*8.08+2.32*2.2+2.82*1.2+1.5*1.2+2*3)*10.764</f>
        <v>542.35059839999997</v>
      </c>
      <c r="E55" s="67">
        <f>(5.4*1.2+9.1*1.2)*10.764</f>
        <v>187.29359999999997</v>
      </c>
      <c r="F55" s="40">
        <f t="shared" si="8"/>
        <v>729.64419839999994</v>
      </c>
      <c r="G55" s="40">
        <v>0</v>
      </c>
      <c r="H55" s="68">
        <f t="shared" ca="1" si="9"/>
        <v>1167.4307174399999</v>
      </c>
      <c r="I55" s="65">
        <f>4.22*7.08+2.17*3.1+2.82*1.2+1.5*1.2</f>
        <v>41.788599999999995</v>
      </c>
      <c r="J55" s="66">
        <f>5.4*1.2+10.1*1.2</f>
        <v>18.600000000000001</v>
      </c>
      <c r="N55" s="34"/>
    </row>
    <row r="56" spans="1:14" s="35" customFormat="1" ht="15.75" customHeight="1" x14ac:dyDescent="0.3">
      <c r="A56" s="75">
        <v>7</v>
      </c>
      <c r="B56" s="76"/>
      <c r="C56" s="60" t="s">
        <v>308</v>
      </c>
      <c r="D56" s="61">
        <f>(3.725*5.95+1.78*3.1+8.425*1.95+6*2.4+1.2*1.5+2*3)*10.764</f>
        <v>713.76622199999986</v>
      </c>
      <c r="E56" s="61">
        <f>(4.35+8.5)*10.764</f>
        <v>138.31739999999999</v>
      </c>
      <c r="F56" s="40">
        <f t="shared" si="8"/>
        <v>852.08362199999988</v>
      </c>
      <c r="G56" s="40">
        <v>0</v>
      </c>
      <c r="H56" s="68">
        <f t="shared" ca="1" si="9"/>
        <v>1363.3337951999999</v>
      </c>
      <c r="I56" s="66">
        <f>3.725*5.95+1.78*3.1+8.425*1.95+6*2.4+1.2*1.5</f>
        <v>60.310499999999998</v>
      </c>
      <c r="J56" s="66">
        <f>4.35+8.5</f>
        <v>12.85</v>
      </c>
      <c r="N56" s="34"/>
    </row>
    <row r="57" spans="1:14" s="35" customFormat="1" ht="15.75" customHeight="1" x14ac:dyDescent="0.3">
      <c r="A57" s="75">
        <v>8</v>
      </c>
      <c r="B57" s="76"/>
      <c r="C57" s="60" t="s">
        <v>308</v>
      </c>
      <c r="D57" s="61">
        <f>(5.15*5.95+3.85*1.95+3.05*3.1+1.2*1.5+2*3)*10.764</f>
        <v>596.37941999999998</v>
      </c>
      <c r="E57" s="61">
        <f>(3.85)*10.764</f>
        <v>41.441400000000002</v>
      </c>
      <c r="F57" s="40">
        <f t="shared" si="8"/>
        <v>637.82082000000003</v>
      </c>
      <c r="G57" s="40">
        <v>0</v>
      </c>
      <c r="H57" s="68">
        <f t="shared" ca="1" si="9"/>
        <v>1020.513312</v>
      </c>
      <c r="I57" s="65">
        <f>5.15*5.95+3.85*1.95+3.05*3.1+1.2*1.5</f>
        <v>49.405000000000001</v>
      </c>
      <c r="J57" s="66">
        <f>3.85</f>
        <v>3.85</v>
      </c>
      <c r="N57" s="34"/>
    </row>
    <row r="58" spans="1:14" s="35" customFormat="1" ht="15.75" customHeight="1" x14ac:dyDescent="0.3">
      <c r="A58" s="75">
        <v>9</v>
      </c>
      <c r="B58" s="76"/>
      <c r="C58" s="60" t="s">
        <v>308</v>
      </c>
      <c r="D58" s="61">
        <f>(5.15*5.95+3.85*1.95+3.05*3.1+1.2*1.5+2*3)*10.764</f>
        <v>596.37941999999998</v>
      </c>
      <c r="E58" s="61">
        <f>(3.85)*10.764</f>
        <v>41.441400000000002</v>
      </c>
      <c r="F58" s="40">
        <f t="shared" si="8"/>
        <v>637.82082000000003</v>
      </c>
      <c r="G58" s="40">
        <v>0</v>
      </c>
      <c r="H58" s="68">
        <f t="shared" ca="1" si="9"/>
        <v>1020.513312</v>
      </c>
      <c r="I58" s="65">
        <f>5.15*5.95+3.85*1.95+3.05*3.1+1.2*1.5</f>
        <v>49.405000000000001</v>
      </c>
      <c r="J58" s="66">
        <f>3.85</f>
        <v>3.85</v>
      </c>
      <c r="N58" s="34"/>
    </row>
    <row r="59" spans="1:14" s="35" customFormat="1" ht="15.75" customHeight="1" x14ac:dyDescent="0.3">
      <c r="A59" s="75">
        <v>10</v>
      </c>
      <c r="B59" s="76"/>
      <c r="C59" s="60" t="s">
        <v>308</v>
      </c>
      <c r="D59" s="61">
        <f>(5.15*5.95+3.85*1.95+3.05*3.1+1.2*1.5+2*3)*10.764</f>
        <v>596.37941999999998</v>
      </c>
      <c r="E59" s="61">
        <f>(3.85)*10.764</f>
        <v>41.441400000000002</v>
      </c>
      <c r="F59" s="40">
        <f t="shared" si="8"/>
        <v>637.82082000000003</v>
      </c>
      <c r="G59" s="40">
        <v>0</v>
      </c>
      <c r="H59" s="68">
        <f t="shared" ca="1" si="9"/>
        <v>1020.513312</v>
      </c>
      <c r="I59" s="65">
        <f>5.15*5.95+3.85*1.95+3.05*3.1+1.2*1.5</f>
        <v>49.405000000000001</v>
      </c>
      <c r="J59" s="66">
        <f>3.85</f>
        <v>3.85</v>
      </c>
      <c r="N59" s="34"/>
    </row>
    <row r="60" spans="1:14" s="35" customFormat="1" ht="15.75" customHeight="1" x14ac:dyDescent="0.3">
      <c r="A60" s="75">
        <v>11</v>
      </c>
      <c r="B60" s="76"/>
      <c r="C60" s="60" t="s">
        <v>308</v>
      </c>
      <c r="D60" s="61">
        <f>(4.725*7.84+2.32*3.1+1.2*1.45+2*3)*10.764</f>
        <v>559.46966399999997</v>
      </c>
      <c r="E60" s="61">
        <f>(5.7+7.8)*10.764</f>
        <v>145.31399999999999</v>
      </c>
      <c r="F60" s="40">
        <f t="shared" si="8"/>
        <v>704.78366399999993</v>
      </c>
      <c r="G60" s="40">
        <v>0</v>
      </c>
      <c r="H60" s="68">
        <f t="shared" ca="1" si="9"/>
        <v>1127.6538624</v>
      </c>
      <c r="I60" s="65">
        <f>4.725*8.9+1.33*2.1+1.2*1.45</f>
        <v>46.585500000000003</v>
      </c>
      <c r="J60" s="66">
        <f>5.7+7.5</f>
        <v>13.2</v>
      </c>
      <c r="N60" s="34"/>
    </row>
    <row r="61" spans="1:14" s="35" customFormat="1" ht="15.75" customHeight="1" x14ac:dyDescent="0.3">
      <c r="A61" s="96" t="s">
        <v>319</v>
      </c>
      <c r="B61" s="97"/>
      <c r="C61" s="97"/>
      <c r="D61" s="97"/>
      <c r="E61" s="97"/>
      <c r="F61" s="97"/>
      <c r="G61" s="97"/>
      <c r="H61" s="98"/>
      <c r="I61" s="65"/>
      <c r="J61" s="66"/>
      <c r="N61" s="34"/>
    </row>
    <row r="62" spans="1:14" s="35" customFormat="1" ht="15.75" customHeight="1" x14ac:dyDescent="0.3">
      <c r="A62" s="75">
        <v>1</v>
      </c>
      <c r="B62" s="76"/>
      <c r="C62" s="60" t="s">
        <v>308</v>
      </c>
      <c r="D62" s="61">
        <f>(4.12*8.58+2.02*3.1+1.2*1.45+2*3)*10.764</f>
        <v>531.22062240000002</v>
      </c>
      <c r="E62" s="61">
        <f>(1.5+5.12)*10.764</f>
        <v>71.257679999999993</v>
      </c>
      <c r="F62" s="40">
        <f t="shared" ref="F62:F72" si="10">D62+E62</f>
        <v>602.47830240000008</v>
      </c>
      <c r="G62" s="40">
        <v>0</v>
      </c>
      <c r="H62" s="40">
        <f t="shared" ref="H62:H72" ca="1" si="11">(D62+E62)*(($H$125)+1)</f>
        <v>963.96528384000021</v>
      </c>
      <c r="I62" s="65"/>
      <c r="J62" s="66"/>
      <c r="N62" s="34"/>
    </row>
    <row r="63" spans="1:14" s="35" customFormat="1" ht="15.75" customHeight="1" x14ac:dyDescent="0.3">
      <c r="A63" s="75">
        <v>2</v>
      </c>
      <c r="B63" s="76"/>
      <c r="C63" s="60" t="s">
        <v>308</v>
      </c>
      <c r="D63" s="61">
        <f>(5.15*6.63+3.85*1.95+3.05*3.1+1.2*1.5+2*3)*10.764</f>
        <v>634.07494799999995</v>
      </c>
      <c r="E63" s="61">
        <f>(3.85)*10.764</f>
        <v>41.441400000000002</v>
      </c>
      <c r="F63" s="40">
        <f t="shared" si="10"/>
        <v>675.51634799999999</v>
      </c>
      <c r="G63" s="40">
        <v>0</v>
      </c>
      <c r="H63" s="40">
        <f t="shared" ca="1" si="11"/>
        <v>1080.8261568</v>
      </c>
      <c r="I63" s="65"/>
      <c r="J63" s="66"/>
      <c r="N63" s="34"/>
    </row>
    <row r="64" spans="1:14" s="35" customFormat="1" ht="15.75" customHeight="1" x14ac:dyDescent="0.3">
      <c r="A64" s="75">
        <v>3</v>
      </c>
      <c r="B64" s="76"/>
      <c r="C64" s="60" t="s">
        <v>308</v>
      </c>
      <c r="D64" s="61">
        <f>(5.15*6.63+3.85*2.95+3.05*3.1+1.2*1.5+2*3)*10.764</f>
        <v>675.51634799999988</v>
      </c>
      <c r="E64" s="61">
        <v>0</v>
      </c>
      <c r="F64" s="40">
        <f t="shared" si="10"/>
        <v>675.51634799999988</v>
      </c>
      <c r="G64" s="40">
        <v>0</v>
      </c>
      <c r="H64" s="40">
        <f t="shared" ca="1" si="11"/>
        <v>1080.8261567999998</v>
      </c>
      <c r="I64" s="65"/>
      <c r="J64" s="66"/>
      <c r="N64" s="34"/>
    </row>
    <row r="65" spans="1:14" s="35" customFormat="1" ht="15.75" customHeight="1" x14ac:dyDescent="0.3">
      <c r="A65" s="75">
        <v>4</v>
      </c>
      <c r="B65" s="76"/>
      <c r="C65" s="60" t="s">
        <v>308</v>
      </c>
      <c r="D65" s="61">
        <f>(5.15*6.63+3.85*2.95+3.05*3.1+1.2*1.5+2*3)*10.764</f>
        <v>675.51634799999988</v>
      </c>
      <c r="E65" s="61">
        <v>0</v>
      </c>
      <c r="F65" s="40">
        <f t="shared" si="10"/>
        <v>675.51634799999988</v>
      </c>
      <c r="G65" s="40">
        <v>0</v>
      </c>
      <c r="H65" s="40">
        <f t="shared" ca="1" si="11"/>
        <v>1080.8261567999998</v>
      </c>
      <c r="I65" s="65"/>
      <c r="J65" s="66"/>
      <c r="N65" s="34"/>
    </row>
    <row r="66" spans="1:14" s="35" customFormat="1" ht="15.75" customHeight="1" x14ac:dyDescent="0.3">
      <c r="A66" s="75">
        <v>5</v>
      </c>
      <c r="B66" s="76"/>
      <c r="C66" s="60" t="s">
        <v>308</v>
      </c>
      <c r="D66" s="61">
        <f>(5.15*6.63+3.85*1.75+3.05*3.1+1.2*1.5+2*3)*10.764</f>
        <v>625.78666799999985</v>
      </c>
      <c r="E66" s="61">
        <f>(3.85*1.2)*10.764</f>
        <v>49.729679999999995</v>
      </c>
      <c r="F66" s="40">
        <f t="shared" si="10"/>
        <v>675.51634799999988</v>
      </c>
      <c r="G66" s="40">
        <v>0</v>
      </c>
      <c r="H66" s="40">
        <f t="shared" ca="1" si="11"/>
        <v>1080.8261567999998</v>
      </c>
      <c r="I66" s="65"/>
      <c r="J66" s="66"/>
      <c r="N66" s="34"/>
    </row>
    <row r="67" spans="1:14" s="35" customFormat="1" ht="15.75" customHeight="1" x14ac:dyDescent="0.3">
      <c r="A67" s="75">
        <v>6</v>
      </c>
      <c r="B67" s="76"/>
      <c r="C67" s="60" t="s">
        <v>308</v>
      </c>
      <c r="D67" s="61">
        <f>(4.22*7.08+2.17*3.1+2.82*1.2+1.5*1.2+2*3)*10.764</f>
        <v>514.39649039999995</v>
      </c>
      <c r="E67" s="61">
        <f>(5.4*1.2+8.1*1.2)*10.764</f>
        <v>174.37679999999997</v>
      </c>
      <c r="F67" s="40">
        <f t="shared" si="10"/>
        <v>688.77329039999995</v>
      </c>
      <c r="G67" s="40">
        <v>0</v>
      </c>
      <c r="H67" s="40">
        <f t="shared" ca="1" si="11"/>
        <v>1102.0372646399999</v>
      </c>
      <c r="I67" s="65"/>
      <c r="J67" s="66"/>
      <c r="N67" s="34"/>
    </row>
    <row r="68" spans="1:14" s="35" customFormat="1" ht="15.75" customHeight="1" x14ac:dyDescent="0.3">
      <c r="A68" s="75">
        <v>7</v>
      </c>
      <c r="B68" s="76"/>
      <c r="C68" s="60" t="s">
        <v>308</v>
      </c>
      <c r="D68" s="61">
        <f>(3.725*5.95+1.78*3.1+8.425*1.95+6*2.4+1.2*1.5+2*3)*10.764</f>
        <v>713.76622199999986</v>
      </c>
      <c r="E68" s="61">
        <f>(4.35+8.5)*10.764</f>
        <v>138.31739999999999</v>
      </c>
      <c r="F68" s="40">
        <f t="shared" si="10"/>
        <v>852.08362199999988</v>
      </c>
      <c r="G68" s="40">
        <v>0</v>
      </c>
      <c r="H68" s="40">
        <f t="shared" ca="1" si="11"/>
        <v>1363.3337951999999</v>
      </c>
      <c r="I68" s="65"/>
      <c r="J68" s="66"/>
      <c r="N68" s="34"/>
    </row>
    <row r="69" spans="1:14" s="35" customFormat="1" ht="15.75" customHeight="1" x14ac:dyDescent="0.3">
      <c r="A69" s="75">
        <v>8</v>
      </c>
      <c r="B69" s="76"/>
      <c r="C69" s="60" t="s">
        <v>308</v>
      </c>
      <c r="D69" s="61">
        <f>(5.15*5.95+3.85*1.95+3.05*3.1+1.2*1.5+2*3)*10.764</f>
        <v>596.37941999999998</v>
      </c>
      <c r="E69" s="61">
        <f>(3.85)*10.764</f>
        <v>41.441400000000002</v>
      </c>
      <c r="F69" s="40">
        <f t="shared" si="10"/>
        <v>637.82082000000003</v>
      </c>
      <c r="G69" s="40">
        <v>0</v>
      </c>
      <c r="H69" s="40">
        <f t="shared" ca="1" si="11"/>
        <v>1020.513312</v>
      </c>
      <c r="I69" s="65"/>
      <c r="J69" s="66"/>
      <c r="N69" s="34"/>
    </row>
    <row r="70" spans="1:14" s="35" customFormat="1" ht="15.75" customHeight="1" x14ac:dyDescent="0.3">
      <c r="A70" s="75">
        <v>9</v>
      </c>
      <c r="B70" s="76"/>
      <c r="C70" s="60" t="s">
        <v>308</v>
      </c>
      <c r="D70" s="61">
        <f>(5.15*5.95+3.85*1.95+3.05*3.1+1.2*1.5+2*3)*10.764</f>
        <v>596.37941999999998</v>
      </c>
      <c r="E70" s="61">
        <f>(3.85)*10.764</f>
        <v>41.441400000000002</v>
      </c>
      <c r="F70" s="40">
        <f t="shared" si="10"/>
        <v>637.82082000000003</v>
      </c>
      <c r="G70" s="40">
        <v>0</v>
      </c>
      <c r="H70" s="40">
        <f t="shared" ca="1" si="11"/>
        <v>1020.513312</v>
      </c>
      <c r="I70" s="65"/>
      <c r="J70" s="66"/>
      <c r="N70" s="34"/>
    </row>
    <row r="71" spans="1:14" s="35" customFormat="1" ht="15.75" customHeight="1" x14ac:dyDescent="0.3">
      <c r="A71" s="75">
        <v>10</v>
      </c>
      <c r="B71" s="76"/>
      <c r="C71" s="60" t="s">
        <v>308</v>
      </c>
      <c r="D71" s="61">
        <f>(5.15*5.95+3.85*1.95+3.05*3.1+1.2*1.5+2*3)*10.764</f>
        <v>596.37941999999998</v>
      </c>
      <c r="E71" s="61">
        <f>(3.85)*10.764</f>
        <v>41.441400000000002</v>
      </c>
      <c r="F71" s="40">
        <f t="shared" si="10"/>
        <v>637.82082000000003</v>
      </c>
      <c r="G71" s="40">
        <v>0</v>
      </c>
      <c r="H71" s="40">
        <f t="shared" ca="1" si="11"/>
        <v>1020.513312</v>
      </c>
      <c r="I71" s="65"/>
      <c r="J71" s="66"/>
      <c r="N71" s="34"/>
    </row>
    <row r="72" spans="1:14" s="35" customFormat="1" ht="15.75" customHeight="1" x14ac:dyDescent="0.3">
      <c r="A72" s="75">
        <v>11</v>
      </c>
      <c r="B72" s="76"/>
      <c r="C72" s="60" t="s">
        <v>308</v>
      </c>
      <c r="D72" s="61">
        <f>(4.725*8.9+1.33*2.1+1.2*1.45+2*3)*10.764</f>
        <v>566.03032199999996</v>
      </c>
      <c r="E72" s="61">
        <f>(5.7+8.2)*10.764</f>
        <v>149.61959999999996</v>
      </c>
      <c r="F72" s="40">
        <f t="shared" si="10"/>
        <v>715.64992199999995</v>
      </c>
      <c r="G72" s="40">
        <v>0</v>
      </c>
      <c r="H72" s="40">
        <f t="shared" ca="1" si="11"/>
        <v>1145.0398751999999</v>
      </c>
      <c r="I72" s="65"/>
      <c r="J72" s="66"/>
      <c r="N72" s="34"/>
    </row>
    <row r="73" spans="1:14" s="35" customFormat="1" ht="15.75" customHeight="1" x14ac:dyDescent="0.3">
      <c r="A73" s="96" t="s">
        <v>320</v>
      </c>
      <c r="B73" s="97"/>
      <c r="C73" s="97"/>
      <c r="D73" s="97"/>
      <c r="E73" s="97"/>
      <c r="F73" s="97"/>
      <c r="G73" s="97"/>
      <c r="H73" s="98"/>
      <c r="I73" s="65"/>
      <c r="J73" s="66"/>
      <c r="N73" s="34"/>
    </row>
    <row r="74" spans="1:14" s="35" customFormat="1" ht="15.75" customHeight="1" x14ac:dyDescent="0.3">
      <c r="A74" s="75">
        <v>1</v>
      </c>
      <c r="B74" s="76"/>
      <c r="C74" s="60" t="s">
        <v>308</v>
      </c>
      <c r="D74" s="61">
        <f>(28.3*12.28+24.5*6.95+21.25*2.25+8.725*1.95+7.85*2.95+6.825*1.95+1.4*10.18+1.6*2.4+7.85*1.95+8.725*1.95+1.2*1.45*2+1.2*1.5*8)*10.764</f>
        <v>7399.0094489999992</v>
      </c>
      <c r="E74" s="61">
        <f>(1.5+8.725+8.2*1.2+10.18*1.2+7.85+9.725+7.5)*10.764</f>
        <v>617.37998400000004</v>
      </c>
      <c r="F74" s="40">
        <f>D74+E74</f>
        <v>8016.3894329999994</v>
      </c>
      <c r="G74" s="62">
        <v>0</v>
      </c>
      <c r="H74" s="40">
        <f ca="1">(D74+E74)*(($H$125)+1)</f>
        <v>12826.223092799999</v>
      </c>
      <c r="I74" s="65"/>
      <c r="J74" s="66"/>
      <c r="N74" s="34"/>
    </row>
    <row r="75" spans="1:14" s="35" customFormat="1" ht="15.75" customHeight="1" x14ac:dyDescent="0.3">
      <c r="A75" s="75" t="s">
        <v>315</v>
      </c>
      <c r="B75" s="76"/>
      <c r="C75" s="201" t="s">
        <v>314</v>
      </c>
      <c r="D75" s="202"/>
      <c r="E75" s="202"/>
      <c r="F75" s="202"/>
      <c r="G75" s="202"/>
      <c r="H75" s="203"/>
      <c r="I75" s="65"/>
      <c r="J75" s="66"/>
      <c r="N75" s="34"/>
    </row>
    <row r="76" spans="1:14" s="35" customFormat="1" ht="15.75" customHeight="1" x14ac:dyDescent="0.3">
      <c r="A76" s="96" t="s">
        <v>321</v>
      </c>
      <c r="B76" s="97"/>
      <c r="C76" s="97"/>
      <c r="D76" s="97"/>
      <c r="E76" s="97"/>
      <c r="F76" s="97"/>
      <c r="G76" s="97"/>
      <c r="H76" s="98"/>
      <c r="I76" s="64"/>
      <c r="N76" s="34"/>
    </row>
    <row r="77" spans="1:14" s="35" customFormat="1" ht="15.75" customHeight="1" x14ac:dyDescent="0.3">
      <c r="A77" s="75">
        <v>1</v>
      </c>
      <c r="B77" s="76"/>
      <c r="C77" s="60" t="s">
        <v>308</v>
      </c>
      <c r="D77" s="61">
        <f>(28.3*12.28+24.5*6.95+21.25*2.25+8.725*1.95+7.85*2.95+6.825*1.95+1.4*10.18+1.6*2.4+6*2.4+8.425*1.95+7.85*1.95+8.725*1.95+1.2*1.45*2+1.2*1.5*9)*10.764</f>
        <v>7750.2253139999993</v>
      </c>
      <c r="E77" s="61">
        <f>(1.5+8.725+8.2*1.2+10.18*1.2+4+9.425+7.85+9.725+7.5)*10.764</f>
        <v>761.88668400000006</v>
      </c>
      <c r="F77" s="40">
        <f>D77+E77</f>
        <v>8512.1119980000003</v>
      </c>
      <c r="G77" s="62">
        <v>0</v>
      </c>
      <c r="H77" s="40">
        <f ca="1">(D77+E77)*(($H$125)+1)</f>
        <v>13619.3791968</v>
      </c>
      <c r="I77" s="64"/>
      <c r="N77" s="34"/>
    </row>
    <row r="78" spans="1:14" s="35" customFormat="1" ht="15.75" customHeight="1" x14ac:dyDescent="0.3">
      <c r="A78" s="163" t="s">
        <v>304</v>
      </c>
      <c r="B78" s="164"/>
      <c r="C78" s="164"/>
      <c r="D78" s="164"/>
      <c r="E78" s="164"/>
      <c r="F78" s="164"/>
      <c r="G78" s="164"/>
      <c r="H78" s="165"/>
      <c r="I78" s="34"/>
      <c r="N78" s="34"/>
    </row>
    <row r="79" spans="1:14" s="35" customFormat="1" ht="15.75" customHeight="1" x14ac:dyDescent="0.3">
      <c r="A79" s="163" t="s">
        <v>302</v>
      </c>
      <c r="B79" s="164"/>
      <c r="C79" s="164"/>
      <c r="D79" s="164"/>
      <c r="E79" s="164"/>
      <c r="F79" s="164"/>
      <c r="G79" s="164"/>
      <c r="H79" s="165"/>
      <c r="I79" s="34"/>
      <c r="N79" s="34"/>
    </row>
    <row r="80" spans="1:14" s="35" customFormat="1" ht="15.75" customHeight="1" x14ac:dyDescent="0.3">
      <c r="A80" s="96" t="s">
        <v>317</v>
      </c>
      <c r="B80" s="97"/>
      <c r="C80" s="97"/>
      <c r="D80" s="97"/>
      <c r="E80" s="97"/>
      <c r="F80" s="97"/>
      <c r="G80" s="97"/>
      <c r="H80" s="98"/>
      <c r="I80" s="34"/>
      <c r="N80" s="34"/>
    </row>
    <row r="81" spans="1:14" s="35" customFormat="1" ht="15.75" customHeight="1" x14ac:dyDescent="0.3">
      <c r="A81" s="75">
        <v>9</v>
      </c>
      <c r="B81" s="76"/>
      <c r="C81" s="60" t="s">
        <v>308</v>
      </c>
      <c r="D81" s="61">
        <f>(5.375*5.4+4.075*2.95+3.275*3.1+1.2*1.5+2*3)*10.764</f>
        <v>635.062545</v>
      </c>
      <c r="E81" s="61">
        <v>0</v>
      </c>
      <c r="F81" s="40">
        <f t="shared" ref="F81:F88" si="12">D81+E81</f>
        <v>635.062545</v>
      </c>
      <c r="G81" s="40">
        <v>0</v>
      </c>
      <c r="H81" s="40">
        <f t="shared" ref="H81:H88" ca="1" si="13">(D81+E81)*(($H$125)+1)</f>
        <v>1016.1000720000001</v>
      </c>
      <c r="I81" s="34"/>
      <c r="N81" s="34"/>
    </row>
    <row r="82" spans="1:14" s="35" customFormat="1" ht="15.75" customHeight="1" x14ac:dyDescent="0.3">
      <c r="A82" s="75">
        <v>10</v>
      </c>
      <c r="B82" s="76"/>
      <c r="C82" s="60" t="s">
        <v>308</v>
      </c>
      <c r="D82" s="61">
        <f>(5.15*5.4+3.85*2.95+3.05*3.1+1.2*1.5+2*3)*10.764</f>
        <v>607.33178999999996</v>
      </c>
      <c r="E82" s="61">
        <v>0</v>
      </c>
      <c r="F82" s="40">
        <f t="shared" si="12"/>
        <v>607.33178999999996</v>
      </c>
      <c r="G82" s="40">
        <v>0</v>
      </c>
      <c r="H82" s="40">
        <f t="shared" ca="1" si="13"/>
        <v>971.730864</v>
      </c>
      <c r="I82" s="34"/>
      <c r="N82" s="34"/>
    </row>
    <row r="83" spans="1:14" s="35" customFormat="1" ht="15.75" customHeight="1" x14ac:dyDescent="0.3">
      <c r="A83" s="75">
        <v>11</v>
      </c>
      <c r="B83" s="76"/>
      <c r="C83" s="60" t="s">
        <v>308</v>
      </c>
      <c r="D83" s="61">
        <f>(5.15*5.4+3.85*2.95+3.05*3.1+1.2*1.5+2*3)*10.764</f>
        <v>607.33178999999996</v>
      </c>
      <c r="E83" s="61">
        <v>0</v>
      </c>
      <c r="F83" s="40">
        <f t="shared" si="12"/>
        <v>607.33178999999996</v>
      </c>
      <c r="G83" s="40">
        <v>0</v>
      </c>
      <c r="H83" s="40">
        <f t="shared" ca="1" si="13"/>
        <v>971.730864</v>
      </c>
      <c r="I83" s="34"/>
      <c r="N83" s="34"/>
    </row>
    <row r="84" spans="1:14" s="35" customFormat="1" ht="15.75" customHeight="1" x14ac:dyDescent="0.3">
      <c r="A84" s="75">
        <v>12</v>
      </c>
      <c r="B84" s="76"/>
      <c r="C84" s="60" t="s">
        <v>308</v>
      </c>
      <c r="D84" s="61">
        <f>(5.375*5.4+4.075*2.95+4.245*4.85+3.275*3.1+1.2*1.5+2*3)*10.764</f>
        <v>856.67446799999993</v>
      </c>
      <c r="E84" s="61">
        <v>0</v>
      </c>
      <c r="F84" s="40">
        <f t="shared" si="12"/>
        <v>856.67446799999993</v>
      </c>
      <c r="G84" s="40">
        <v>0</v>
      </c>
      <c r="H84" s="40">
        <f t="shared" ca="1" si="13"/>
        <v>1370.6791487999999</v>
      </c>
      <c r="I84" s="34"/>
      <c r="N84" s="34"/>
    </row>
    <row r="85" spans="1:14" s="35" customFormat="1" ht="15.75" customHeight="1" x14ac:dyDescent="0.3">
      <c r="A85" s="75">
        <v>13</v>
      </c>
      <c r="B85" s="76"/>
      <c r="C85" s="60" t="s">
        <v>308</v>
      </c>
      <c r="D85" s="61">
        <f>(4.925*4.95+4.395*6.9+3.825*3.1+3.625*2.95+2*3+1.2*1.5)*10.764</f>
        <v>915.53740200000004</v>
      </c>
      <c r="E85" s="61">
        <v>0</v>
      </c>
      <c r="F85" s="40">
        <f t="shared" si="12"/>
        <v>915.53740200000004</v>
      </c>
      <c r="G85" s="40">
        <v>0</v>
      </c>
      <c r="H85" s="40">
        <f t="shared" ca="1" si="13"/>
        <v>1464.8598432000001</v>
      </c>
      <c r="I85" s="34"/>
      <c r="N85" s="34"/>
    </row>
    <row r="86" spans="1:14" s="35" customFormat="1" ht="15.75" customHeight="1" x14ac:dyDescent="0.3">
      <c r="A86" s="75">
        <v>14</v>
      </c>
      <c r="B86" s="76"/>
      <c r="C86" s="60" t="s">
        <v>308</v>
      </c>
      <c r="D86" s="61">
        <f>(5.15*4.95+3.05*3.1+3.85*2.95+1.2*1.5+2*3)*10.764</f>
        <v>582.38621999999998</v>
      </c>
      <c r="E86" s="61">
        <v>0</v>
      </c>
      <c r="F86" s="40">
        <f t="shared" si="12"/>
        <v>582.38621999999998</v>
      </c>
      <c r="G86" s="40">
        <v>0</v>
      </c>
      <c r="H86" s="40">
        <f t="shared" ca="1" si="13"/>
        <v>931.81795199999999</v>
      </c>
      <c r="I86" s="34"/>
      <c r="N86" s="34"/>
    </row>
    <row r="87" spans="1:14" s="35" customFormat="1" ht="15.75" customHeight="1" x14ac:dyDescent="0.3">
      <c r="A87" s="75">
        <v>15</v>
      </c>
      <c r="B87" s="76"/>
      <c r="C87" s="60" t="s">
        <v>308</v>
      </c>
      <c r="D87" s="61">
        <f>(5.15*4.95+3.05*3.1+3.85*2.95+1.2*1.5+2*3)*10.764</f>
        <v>582.38621999999998</v>
      </c>
      <c r="E87" s="61">
        <v>0</v>
      </c>
      <c r="F87" s="40">
        <f t="shared" si="12"/>
        <v>582.38621999999998</v>
      </c>
      <c r="G87" s="40">
        <v>0</v>
      </c>
      <c r="H87" s="40">
        <f t="shared" ca="1" si="13"/>
        <v>931.81795199999999</v>
      </c>
      <c r="I87" s="34"/>
      <c r="N87" s="34"/>
    </row>
    <row r="88" spans="1:14" s="35" customFormat="1" ht="15.75" customHeight="1" x14ac:dyDescent="0.3">
      <c r="A88" s="75">
        <v>16</v>
      </c>
      <c r="B88" s="76"/>
      <c r="C88" s="60" t="s">
        <v>308</v>
      </c>
      <c r="D88" s="61">
        <f>(5.375*4.95+3.275*3.1+4.075*2.95+1.2*1.5+2*3)*10.764</f>
        <v>609.02711999999997</v>
      </c>
      <c r="E88" s="61">
        <v>0</v>
      </c>
      <c r="F88" s="40">
        <f t="shared" si="12"/>
        <v>609.02711999999997</v>
      </c>
      <c r="G88" s="40">
        <v>0</v>
      </c>
      <c r="H88" s="40">
        <f t="shared" ca="1" si="13"/>
        <v>974.44339200000002</v>
      </c>
      <c r="I88" s="34"/>
      <c r="N88" s="34"/>
    </row>
    <row r="89" spans="1:14" s="35" customFormat="1" ht="15.75" customHeight="1" x14ac:dyDescent="0.3">
      <c r="A89" s="96" t="s">
        <v>309</v>
      </c>
      <c r="B89" s="97"/>
      <c r="C89" s="97"/>
      <c r="D89" s="97"/>
      <c r="E89" s="97"/>
      <c r="F89" s="97"/>
      <c r="G89" s="97"/>
      <c r="H89" s="98"/>
      <c r="I89" s="34"/>
      <c r="N89" s="34"/>
    </row>
    <row r="90" spans="1:14" s="35" customFormat="1" ht="15.75" customHeight="1" x14ac:dyDescent="0.3">
      <c r="A90" s="75">
        <v>2</v>
      </c>
      <c r="B90" s="76"/>
      <c r="C90" s="60" t="s">
        <v>308</v>
      </c>
      <c r="D90" s="61">
        <f>(28.94*12.25+26*2.25+29.5*7.15+8.03*1.95+7.85*1.95+8.515*1.95+0.5*6.35+8.515*1.95+7.85*1.95+8.03*1.95+1.2*1.5*8+1.4*1.5*2+1.2*1.4)*10.764</f>
        <v>7992.6521219999986</v>
      </c>
      <c r="E90" s="61">
        <f>(1.8+8.03+7.85+8.515+9.2+2.4+9.515+7.85+9.03+8)*10.764</f>
        <v>777.05315999999993</v>
      </c>
      <c r="F90" s="40">
        <f>D90+E90</f>
        <v>8769.705281999999</v>
      </c>
      <c r="G90" s="62">
        <v>0</v>
      </c>
      <c r="H90" s="40">
        <f ca="1">(D90+E90)*(($H$125)+1)</f>
        <v>14031.5284512</v>
      </c>
      <c r="I90" s="34"/>
      <c r="N90" s="34"/>
    </row>
    <row r="91" spans="1:14" s="35" customFormat="1" ht="15.75" customHeight="1" x14ac:dyDescent="0.3">
      <c r="A91" s="96" t="s">
        <v>311</v>
      </c>
      <c r="B91" s="97"/>
      <c r="C91" s="97"/>
      <c r="D91" s="97"/>
      <c r="E91" s="97"/>
      <c r="F91" s="97"/>
      <c r="G91" s="97"/>
      <c r="H91" s="98"/>
      <c r="I91" s="34"/>
      <c r="N91" s="34"/>
    </row>
    <row r="92" spans="1:14" s="35" customFormat="1" ht="15.6" x14ac:dyDescent="0.3">
      <c r="A92" s="75">
        <v>1</v>
      </c>
      <c r="B92" s="76"/>
      <c r="C92" s="60" t="s">
        <v>308</v>
      </c>
      <c r="D92" s="61">
        <f>(28.94*12.25+26*2.25+29.5*7.15+8.03*1.95+7.85*1.95+8.515*1.95+0.5*6.35+8.515*1.95+7.85*1.95+8.03*1.95+1.2*1.5*8+1.4*1.5*2+1.2*1.4)*10.764</f>
        <v>7992.6521219999986</v>
      </c>
      <c r="E92" s="61">
        <f>(1.8+8.03+7.85+8.515+9.2+2.4+9.515+7.85+9.03+8)*10.764</f>
        <v>777.05315999999993</v>
      </c>
      <c r="F92" s="40">
        <f>D92+E92</f>
        <v>8769.705281999999</v>
      </c>
      <c r="G92" s="62">
        <v>0</v>
      </c>
      <c r="H92" s="40">
        <f ca="1">(D92+E92)*(($H$125)+1)</f>
        <v>14031.5284512</v>
      </c>
      <c r="I92" s="34"/>
      <c r="N92" s="34"/>
    </row>
    <row r="93" spans="1:14" s="19" customFormat="1" ht="15.75" customHeight="1" x14ac:dyDescent="0.3">
      <c r="A93" s="96" t="s">
        <v>312</v>
      </c>
      <c r="B93" s="97"/>
      <c r="C93" s="97"/>
      <c r="D93" s="97"/>
      <c r="E93" s="97"/>
      <c r="F93" s="97"/>
      <c r="G93" s="97"/>
      <c r="H93" s="98"/>
      <c r="I93" s="34"/>
    </row>
    <row r="94" spans="1:14" s="35" customFormat="1" ht="15.6" x14ac:dyDescent="0.3">
      <c r="A94" s="75">
        <v>12</v>
      </c>
      <c r="B94" s="76"/>
      <c r="C94" s="60" t="s">
        <v>308</v>
      </c>
      <c r="D94" s="61">
        <f>(8.88*6.6+6.775*3.1+8.03*1.95+1.2*1.5+2*3)*10.764</f>
        <v>1109.434716</v>
      </c>
      <c r="E94" s="61">
        <f>(1.5+9.03)*10.764</f>
        <v>113.34491999999999</v>
      </c>
      <c r="F94" s="40">
        <f t="shared" ref="F94:F104" si="14">D94+E94</f>
        <v>1222.779636</v>
      </c>
      <c r="G94" s="40">
        <v>0</v>
      </c>
      <c r="H94" s="40">
        <f t="shared" ref="H94:H104" ca="1" si="15">(D94+E94)*(($H$125)+1)</f>
        <v>1956.4474176000001</v>
      </c>
      <c r="I94" s="34"/>
    </row>
    <row r="95" spans="1:14" s="35" customFormat="1" ht="15.6" x14ac:dyDescent="0.3">
      <c r="A95" s="75">
        <v>13</v>
      </c>
      <c r="B95" s="76"/>
      <c r="C95" s="60" t="s">
        <v>308</v>
      </c>
      <c r="D95" s="61">
        <f>(5.15*6.6+3.85*1.95+3.05*3.1+1.2*1.5+2*3)*10.764</f>
        <v>632.41190999999992</v>
      </c>
      <c r="E95" s="61">
        <f>(3.85)*10.764</f>
        <v>41.441400000000002</v>
      </c>
      <c r="F95" s="40">
        <f t="shared" si="14"/>
        <v>673.85330999999996</v>
      </c>
      <c r="G95" s="40">
        <v>0</v>
      </c>
      <c r="H95" s="40">
        <f t="shared" ca="1" si="15"/>
        <v>1078.1652959999999</v>
      </c>
      <c r="J95" s="34"/>
    </row>
    <row r="96" spans="1:14" s="35" customFormat="1" ht="15.75" customHeight="1" x14ac:dyDescent="0.3">
      <c r="A96" s="75">
        <v>14</v>
      </c>
      <c r="B96" s="76"/>
      <c r="C96" s="60" t="s">
        <v>308</v>
      </c>
      <c r="D96" s="61">
        <f>(5.15*6.6+3.85*1.95+3.05*3.1+1.2*1.5+2*3)*10.764</f>
        <v>632.41190999999992</v>
      </c>
      <c r="E96" s="61">
        <f>(3.85)*10.764</f>
        <v>41.441400000000002</v>
      </c>
      <c r="F96" s="40">
        <f t="shared" si="14"/>
        <v>673.85330999999996</v>
      </c>
      <c r="G96" s="40">
        <v>0</v>
      </c>
      <c r="H96" s="40">
        <f t="shared" ca="1" si="15"/>
        <v>1078.1652959999999</v>
      </c>
      <c r="I96" s="34"/>
      <c r="L96" s="89"/>
      <c r="M96" s="89"/>
      <c r="N96" s="34"/>
    </row>
    <row r="97" spans="1:14" s="35" customFormat="1" ht="15.75" customHeight="1" x14ac:dyDescent="0.3">
      <c r="A97" s="75">
        <v>15</v>
      </c>
      <c r="B97" s="76"/>
      <c r="C97" s="60" t="s">
        <v>308</v>
      </c>
      <c r="D97" s="61">
        <f>(5.15*6.6+3.85*1.95+3.05*3.1+1.2*1.5+2*3)*10.764</f>
        <v>632.41190999999992</v>
      </c>
      <c r="E97" s="61">
        <f>(3.85)*10.764</f>
        <v>41.441400000000002</v>
      </c>
      <c r="F97" s="40">
        <f t="shared" si="14"/>
        <v>673.85330999999996</v>
      </c>
      <c r="G97" s="40">
        <v>0</v>
      </c>
      <c r="H97" s="40">
        <f t="shared" ca="1" si="15"/>
        <v>1078.1652959999999</v>
      </c>
      <c r="I97" s="34"/>
      <c r="L97" s="89"/>
      <c r="M97" s="89"/>
      <c r="N97" s="34"/>
    </row>
    <row r="98" spans="1:14" s="35" customFormat="1" ht="15.75" customHeight="1" x14ac:dyDescent="0.3">
      <c r="A98" s="75">
        <v>16</v>
      </c>
      <c r="B98" s="76"/>
      <c r="C98" s="60" t="s">
        <v>308</v>
      </c>
      <c r="D98" s="61">
        <f>(4.52*8.55+1.92*3.1+1.4*1.5+2*3)*10.764</f>
        <v>567.24127199999998</v>
      </c>
      <c r="E98" s="61">
        <f>(5.52+8.4)*10.764</f>
        <v>149.83488</v>
      </c>
      <c r="F98" s="40">
        <f t="shared" si="14"/>
        <v>717.07615199999998</v>
      </c>
      <c r="G98" s="40">
        <v>0</v>
      </c>
      <c r="H98" s="40">
        <f t="shared" ca="1" si="15"/>
        <v>1147.3218432000001</v>
      </c>
      <c r="I98" s="34"/>
      <c r="L98" s="89"/>
      <c r="M98" s="89"/>
      <c r="N98" s="34"/>
    </row>
    <row r="99" spans="1:14" s="35" customFormat="1" ht="15.75" customHeight="1" x14ac:dyDescent="0.3">
      <c r="A99" s="75">
        <v>17</v>
      </c>
      <c r="B99" s="76"/>
      <c r="C99" s="60" t="s">
        <v>308</v>
      </c>
      <c r="D99" s="61">
        <f>(4.02*8.1+1.91*3.1+1.4*1.5+2*3)*10.764</f>
        <v>501.41941199999997</v>
      </c>
      <c r="E99" s="61">
        <f>(4.5+2.5)*10.764</f>
        <v>75.347999999999999</v>
      </c>
      <c r="F99" s="40">
        <f t="shared" si="14"/>
        <v>576.76741199999992</v>
      </c>
      <c r="G99" s="40">
        <v>0</v>
      </c>
      <c r="H99" s="40">
        <f t="shared" ca="1" si="15"/>
        <v>922.82785919999992</v>
      </c>
      <c r="I99" s="34"/>
      <c r="L99" s="89"/>
      <c r="M99" s="89"/>
      <c r="N99" s="34"/>
    </row>
    <row r="100" spans="1:14" s="35" customFormat="1" ht="15.6" x14ac:dyDescent="0.3">
      <c r="A100" s="75">
        <v>18</v>
      </c>
      <c r="B100" s="76"/>
      <c r="C100" s="60" t="s">
        <v>308</v>
      </c>
      <c r="D100" s="61">
        <f>(5.15*6.15+3.85*1.95+3.05*3.1+1.2*1.5+2*3)*10.764</f>
        <v>607.46633999999995</v>
      </c>
      <c r="E100" s="61">
        <f>(3.85)*10.764</f>
        <v>41.441400000000002</v>
      </c>
      <c r="F100" s="40">
        <f t="shared" si="14"/>
        <v>648.90773999999999</v>
      </c>
      <c r="G100" s="40">
        <v>0</v>
      </c>
      <c r="H100" s="40">
        <f t="shared" ca="1" si="15"/>
        <v>1038.2523840000001</v>
      </c>
      <c r="I100" s="34"/>
      <c r="L100" s="89"/>
      <c r="M100" s="89"/>
    </row>
    <row r="101" spans="1:14" s="35" customFormat="1" ht="15.6" x14ac:dyDescent="0.3">
      <c r="A101" s="75">
        <v>19</v>
      </c>
      <c r="B101" s="76"/>
      <c r="C101" s="60" t="s">
        <v>308</v>
      </c>
      <c r="D101" s="61">
        <f>(5.15*6.15+3.85*1.95+3.05*3.1+1.2*1.5+2*3)*10.764</f>
        <v>607.46633999999995</v>
      </c>
      <c r="E101" s="61">
        <f>(3.85)*10.764</f>
        <v>41.441400000000002</v>
      </c>
      <c r="F101" s="40">
        <f t="shared" si="14"/>
        <v>648.90773999999999</v>
      </c>
      <c r="G101" s="40">
        <v>0</v>
      </c>
      <c r="H101" s="40">
        <f t="shared" ca="1" si="15"/>
        <v>1038.2523840000001</v>
      </c>
      <c r="I101" s="34"/>
      <c r="N101" s="34"/>
    </row>
    <row r="102" spans="1:14" s="35" customFormat="1" ht="15.6" x14ac:dyDescent="0.3">
      <c r="A102" s="75">
        <v>20</v>
      </c>
      <c r="B102" s="76"/>
      <c r="C102" s="60" t="s">
        <v>308</v>
      </c>
      <c r="D102" s="61">
        <f>(5.15*6.15+3.85*1.95+3.05*3.1+1.2*1.5+2*3)*10.764</f>
        <v>607.46633999999995</v>
      </c>
      <c r="E102" s="61">
        <f>(3.85)*10.764</f>
        <v>41.441400000000002</v>
      </c>
      <c r="F102" s="40">
        <f t="shared" si="14"/>
        <v>648.90773999999999</v>
      </c>
      <c r="G102" s="40">
        <v>0</v>
      </c>
      <c r="H102" s="40">
        <f t="shared" ca="1" si="15"/>
        <v>1038.2523840000001</v>
      </c>
      <c r="I102" s="34"/>
      <c r="N102" s="34"/>
    </row>
    <row r="103" spans="1:14" s="35" customFormat="1" ht="15.6" x14ac:dyDescent="0.3">
      <c r="A103" s="75">
        <v>21</v>
      </c>
      <c r="B103" s="76"/>
      <c r="C103" s="60" t="s">
        <v>308</v>
      </c>
      <c r="D103" s="61">
        <f>(5.15*6.15+3.85*1.95+3.05*3.1+1.2*1.5+2*3)*10.764</f>
        <v>607.46633999999995</v>
      </c>
      <c r="E103" s="61">
        <f>(3.85)*10.764</f>
        <v>41.441400000000002</v>
      </c>
      <c r="F103" s="40">
        <f t="shared" si="14"/>
        <v>648.90773999999999</v>
      </c>
      <c r="G103" s="40">
        <v>0</v>
      </c>
      <c r="H103" s="40">
        <f t="shared" ca="1" si="15"/>
        <v>1038.2523840000001</v>
      </c>
      <c r="I103" s="34"/>
      <c r="N103" s="34"/>
    </row>
    <row r="104" spans="1:14" s="35" customFormat="1" ht="15.6" x14ac:dyDescent="0.3">
      <c r="A104" s="75">
        <v>22</v>
      </c>
      <c r="B104" s="76"/>
      <c r="C104" s="60" t="s">
        <v>308</v>
      </c>
      <c r="D104" s="61">
        <f>(4.03*8.1+1.63*3.1+1.2*1.4+2*3)*10.764</f>
        <v>488.42726399999992</v>
      </c>
      <c r="E104" s="61">
        <f>(5.03+8.2)*10.764</f>
        <v>142.40771999999998</v>
      </c>
      <c r="F104" s="40">
        <f t="shared" si="14"/>
        <v>630.83498399999985</v>
      </c>
      <c r="G104" s="40">
        <v>0</v>
      </c>
      <c r="H104" s="40">
        <f t="shared" ca="1" si="15"/>
        <v>1009.3359743999998</v>
      </c>
      <c r="I104" s="34"/>
      <c r="N104" s="34"/>
    </row>
    <row r="105" spans="1:14" s="35" customFormat="1" ht="15.75" customHeight="1" x14ac:dyDescent="0.3">
      <c r="A105" s="96" t="s">
        <v>313</v>
      </c>
      <c r="B105" s="97"/>
      <c r="C105" s="97"/>
      <c r="D105" s="97"/>
      <c r="E105" s="97"/>
      <c r="F105" s="97"/>
      <c r="G105" s="97"/>
      <c r="H105" s="98"/>
      <c r="I105" s="34"/>
      <c r="N105" s="34"/>
    </row>
    <row r="106" spans="1:14" s="35" customFormat="1" ht="15.75" customHeight="1" x14ac:dyDescent="0.3">
      <c r="A106" s="75" t="s">
        <v>315</v>
      </c>
      <c r="B106" s="76"/>
      <c r="C106" s="201" t="s">
        <v>314</v>
      </c>
      <c r="D106" s="202"/>
      <c r="E106" s="202"/>
      <c r="F106" s="202"/>
      <c r="G106" s="202"/>
      <c r="H106" s="203"/>
      <c r="I106" s="34"/>
      <c r="N106" s="34"/>
    </row>
    <row r="107" spans="1:14" s="35" customFormat="1" ht="15.6" x14ac:dyDescent="0.3">
      <c r="A107" s="75">
        <v>12</v>
      </c>
      <c r="B107" s="76"/>
      <c r="C107" s="60" t="s">
        <v>308</v>
      </c>
      <c r="D107" s="61">
        <f>(4.925*6.6+2.825*3.1+3.625*1.95+1.2*1.5)*10.764</f>
        <v>539.61277499999994</v>
      </c>
      <c r="E107" s="61">
        <f>(3.625)*10.764</f>
        <v>39.019500000000001</v>
      </c>
      <c r="F107" s="40">
        <f t="shared" ref="F107:F117" si="16">D107+E107</f>
        <v>578.63227499999994</v>
      </c>
      <c r="G107" s="40">
        <v>0</v>
      </c>
      <c r="H107" s="40">
        <f t="shared" ref="H107:H117" ca="1" si="17">(D107+E107)*(($H$125)+1)</f>
        <v>925.8116399999999</v>
      </c>
      <c r="I107" s="34"/>
      <c r="J107" s="65">
        <f>4.925*6.6+2.825*3.1+3.625*1.95+1.2*1.5</f>
        <v>50.131249999999994</v>
      </c>
      <c r="N107" s="34"/>
    </row>
    <row r="108" spans="1:14" s="35" customFormat="1" ht="15.6" x14ac:dyDescent="0.3">
      <c r="A108" s="75">
        <v>13</v>
      </c>
      <c r="B108" s="76"/>
      <c r="C108" s="60" t="s">
        <v>308</v>
      </c>
      <c r="D108" s="61">
        <f>(5.15*6.6+3.85*1.95+3.05*3.1+1.2*1.5)*10.764</f>
        <v>567.82790999999997</v>
      </c>
      <c r="E108" s="61">
        <f>(3.85)*10.764</f>
        <v>41.441400000000002</v>
      </c>
      <c r="F108" s="40">
        <f t="shared" si="16"/>
        <v>609.26931000000002</v>
      </c>
      <c r="G108" s="40">
        <v>0</v>
      </c>
      <c r="H108" s="40">
        <f t="shared" ca="1" si="17"/>
        <v>974.83089600000005</v>
      </c>
      <c r="I108" s="34"/>
      <c r="J108" s="65">
        <f>5.15*6.6+3.85*1.95+3.05*3.1+1.2*1.5</f>
        <v>52.752499999999998</v>
      </c>
      <c r="N108" s="34"/>
    </row>
    <row r="109" spans="1:14" s="35" customFormat="1" ht="15.6" x14ac:dyDescent="0.3">
      <c r="A109" s="75">
        <v>14</v>
      </c>
      <c r="B109" s="76"/>
      <c r="C109" s="60" t="s">
        <v>308</v>
      </c>
      <c r="D109" s="61">
        <f>(5.15*6.6+3.85*1.95+3.05*3.1+1.2*1.5)*10.764</f>
        <v>567.82790999999997</v>
      </c>
      <c r="E109" s="61">
        <f>(3.85)*10.764</f>
        <v>41.441400000000002</v>
      </c>
      <c r="F109" s="40">
        <f t="shared" si="16"/>
        <v>609.26931000000002</v>
      </c>
      <c r="G109" s="40">
        <v>0</v>
      </c>
      <c r="H109" s="40">
        <f t="shared" ca="1" si="17"/>
        <v>974.83089600000005</v>
      </c>
      <c r="I109" s="34"/>
      <c r="J109" s="65">
        <f>5.15*6.6+3.85*1.95+3.05*3.1+1.2*1.5</f>
        <v>52.752499999999998</v>
      </c>
      <c r="N109" s="34"/>
    </row>
    <row r="110" spans="1:14" s="35" customFormat="1" ht="15.6" x14ac:dyDescent="0.3">
      <c r="A110" s="75">
        <v>15</v>
      </c>
      <c r="B110" s="76"/>
      <c r="C110" s="60" t="s">
        <v>308</v>
      </c>
      <c r="D110" s="61">
        <f>(5.15*6.6+3.85*1.95+3.05*3.1+1.2*1.5)*10.764</f>
        <v>567.82790999999997</v>
      </c>
      <c r="E110" s="61">
        <f>(3.85)*10.764</f>
        <v>41.441400000000002</v>
      </c>
      <c r="F110" s="40">
        <f t="shared" si="16"/>
        <v>609.26931000000002</v>
      </c>
      <c r="G110" s="40">
        <v>0</v>
      </c>
      <c r="H110" s="40">
        <f t="shared" ca="1" si="17"/>
        <v>974.83089600000005</v>
      </c>
      <c r="I110" s="34"/>
      <c r="J110" s="65">
        <f>5.15*6.6+3.85*1.95+3.05*3.1+1.2*1.5</f>
        <v>52.752499999999998</v>
      </c>
      <c r="N110" s="34"/>
    </row>
    <row r="111" spans="1:14" s="35" customFormat="1" ht="15.6" x14ac:dyDescent="0.3">
      <c r="A111" s="75">
        <v>16</v>
      </c>
      <c r="B111" s="76"/>
      <c r="C111" s="60" t="s">
        <v>308</v>
      </c>
      <c r="D111" s="61">
        <f>(4.52*5.25+2.42*3.2+4.02*3.2+1.4*1.55)*10.764</f>
        <v>500.61211199999991</v>
      </c>
      <c r="E111" s="61">
        <f>(5.52+8.4)*10.764</f>
        <v>149.83488</v>
      </c>
      <c r="F111" s="40">
        <f t="shared" si="16"/>
        <v>650.44699199999991</v>
      </c>
      <c r="G111" s="40">
        <v>0</v>
      </c>
      <c r="H111" s="40">
        <f t="shared" ca="1" si="17"/>
        <v>1040.7151871999999</v>
      </c>
      <c r="I111" s="34"/>
      <c r="J111" s="65">
        <f>4.52*5.25+2.42*3.2+4.02*3.2+1.4*1.55</f>
        <v>46.507999999999996</v>
      </c>
      <c r="N111" s="34"/>
    </row>
    <row r="112" spans="1:14" s="35" customFormat="1" ht="15.6" x14ac:dyDescent="0.3">
      <c r="A112" s="75">
        <v>17</v>
      </c>
      <c r="B112" s="76"/>
      <c r="C112" s="60" t="s">
        <v>308</v>
      </c>
      <c r="D112" s="61">
        <f>(4.015*8.1+1.92*3.1+1.4*1.5)*10.764</f>
        <v>436.7331539999999</v>
      </c>
      <c r="E112" s="61">
        <f>(4.5+2.5)*10.764</f>
        <v>75.347999999999999</v>
      </c>
      <c r="F112" s="40">
        <f t="shared" si="16"/>
        <v>512.08115399999986</v>
      </c>
      <c r="G112" s="40">
        <v>0</v>
      </c>
      <c r="H112" s="40">
        <f t="shared" ca="1" si="17"/>
        <v>819.32984639999984</v>
      </c>
      <c r="I112" s="34"/>
      <c r="J112" s="65">
        <f>4.015*8.1+1.92*3.1+1.4*1.5</f>
        <v>40.573499999999996</v>
      </c>
      <c r="N112" s="34"/>
    </row>
    <row r="113" spans="1:14" s="35" customFormat="1" ht="15.6" x14ac:dyDescent="0.3">
      <c r="A113" s="75">
        <v>18</v>
      </c>
      <c r="B113" s="76"/>
      <c r="C113" s="60" t="s">
        <v>308</v>
      </c>
      <c r="D113" s="61">
        <f>(5.15*6.15+3.85*1.95+3.05*3.1+1.2*1.5)*10.764</f>
        <v>542.88234</v>
      </c>
      <c r="E113" s="61">
        <f>(3.85)*10.764</f>
        <v>41.441400000000002</v>
      </c>
      <c r="F113" s="40">
        <f t="shared" si="16"/>
        <v>584.32374000000004</v>
      </c>
      <c r="G113" s="40">
        <v>0</v>
      </c>
      <c r="H113" s="40">
        <f t="shared" ca="1" si="17"/>
        <v>934.91798400000016</v>
      </c>
      <c r="I113" s="34"/>
      <c r="J113" s="66">
        <f>5.15*6.15+3.85*1.95+3.05*3.1+1.2*1.5</f>
        <v>50.435000000000002</v>
      </c>
      <c r="N113" s="34"/>
    </row>
    <row r="114" spans="1:14" s="35" customFormat="1" ht="15.6" x14ac:dyDescent="0.3">
      <c r="A114" s="75">
        <v>19</v>
      </c>
      <c r="B114" s="76"/>
      <c r="C114" s="60" t="s">
        <v>308</v>
      </c>
      <c r="D114" s="61">
        <f>(5.15*6.15+3.85*1.95+3.05*3.1+1.2*1.5)*10.764</f>
        <v>542.88234</v>
      </c>
      <c r="E114" s="61">
        <f>(3.85)*10.764</f>
        <v>41.441400000000002</v>
      </c>
      <c r="F114" s="40">
        <f t="shared" si="16"/>
        <v>584.32374000000004</v>
      </c>
      <c r="G114" s="40">
        <v>0</v>
      </c>
      <c r="H114" s="40">
        <f t="shared" ca="1" si="17"/>
        <v>934.91798400000016</v>
      </c>
      <c r="I114" s="34"/>
      <c r="J114" s="66">
        <f>5.15*6.15+3.85*1.95+3.05*3.1+1.2*1.5</f>
        <v>50.435000000000002</v>
      </c>
      <c r="N114" s="34"/>
    </row>
    <row r="115" spans="1:14" s="35" customFormat="1" ht="15.6" x14ac:dyDescent="0.3">
      <c r="A115" s="75">
        <v>20</v>
      </c>
      <c r="B115" s="76"/>
      <c r="C115" s="60" t="s">
        <v>308</v>
      </c>
      <c r="D115" s="61">
        <f>(5.15*6.15+3.85*1.95+3.05*3.1+1.2*1.5)*10.764</f>
        <v>542.88234</v>
      </c>
      <c r="E115" s="61">
        <f>(3.85)*10.764</f>
        <v>41.441400000000002</v>
      </c>
      <c r="F115" s="40">
        <f t="shared" si="16"/>
        <v>584.32374000000004</v>
      </c>
      <c r="G115" s="40">
        <v>0</v>
      </c>
      <c r="H115" s="40">
        <f t="shared" ca="1" si="17"/>
        <v>934.91798400000016</v>
      </c>
      <c r="I115" s="34"/>
      <c r="J115" s="66">
        <f>5.15*6.15+3.85*1.95+3.05*3.1+1.2*1.5</f>
        <v>50.435000000000002</v>
      </c>
      <c r="N115" s="34"/>
    </row>
    <row r="116" spans="1:14" s="35" customFormat="1" ht="15.6" x14ac:dyDescent="0.3">
      <c r="A116" s="75">
        <v>21</v>
      </c>
      <c r="B116" s="76"/>
      <c r="C116" s="60" t="s">
        <v>308</v>
      </c>
      <c r="D116" s="61">
        <f>(5.15*6.15+3.85*1.95+3.05*3.1+1.2*1.5)*10.764</f>
        <v>542.88234</v>
      </c>
      <c r="E116" s="61">
        <f>(3.85)*10.764</f>
        <v>41.441400000000002</v>
      </c>
      <c r="F116" s="40">
        <f t="shared" si="16"/>
        <v>584.32374000000004</v>
      </c>
      <c r="G116" s="40">
        <v>0</v>
      </c>
      <c r="H116" s="40">
        <f t="shared" ca="1" si="17"/>
        <v>934.91798400000016</v>
      </c>
      <c r="I116" s="34"/>
      <c r="J116" s="66">
        <f>5.15*6.15+3.85*1.95+3.05*3.1+1.2*1.5</f>
        <v>50.435000000000002</v>
      </c>
      <c r="N116" s="34"/>
    </row>
    <row r="117" spans="1:14" s="35" customFormat="1" ht="15.6" x14ac:dyDescent="0.3">
      <c r="A117" s="75">
        <v>22</v>
      </c>
      <c r="B117" s="76"/>
      <c r="C117" s="60" t="s">
        <v>308</v>
      </c>
      <c r="D117" s="61">
        <f>(4.03*5+1.93*3.2+3.73*3+1.2*1.4)*10.764</f>
        <v>421.90574399999997</v>
      </c>
      <c r="E117" s="61">
        <f>(5.03+8.2)*10.764</f>
        <v>142.40771999999998</v>
      </c>
      <c r="F117" s="40">
        <f t="shared" si="16"/>
        <v>564.31346399999995</v>
      </c>
      <c r="G117" s="40">
        <v>0</v>
      </c>
      <c r="H117" s="40">
        <f t="shared" ca="1" si="17"/>
        <v>902.90154239999993</v>
      </c>
      <c r="I117" s="34"/>
      <c r="J117" s="65">
        <f>4.03*5+1.93*3.2+3.73*3+1.2*1.4</f>
        <v>39.195999999999998</v>
      </c>
      <c r="N117" s="34"/>
    </row>
    <row r="118" spans="1:14" s="35" customFormat="1" ht="15.75" customHeight="1" x14ac:dyDescent="0.3">
      <c r="A118" s="96" t="s">
        <v>316</v>
      </c>
      <c r="B118" s="97"/>
      <c r="C118" s="97"/>
      <c r="D118" s="97"/>
      <c r="E118" s="97"/>
      <c r="F118" s="97"/>
      <c r="G118" s="97"/>
      <c r="H118" s="98"/>
      <c r="I118" s="34"/>
      <c r="N118" s="34"/>
    </row>
    <row r="119" spans="1:14" s="35" customFormat="1" ht="15.6" x14ac:dyDescent="0.3">
      <c r="A119" s="75">
        <v>12</v>
      </c>
      <c r="B119" s="76"/>
      <c r="C119" s="60" t="s">
        <v>308</v>
      </c>
      <c r="D119" s="61">
        <f>(8.88*6.6+6.775*3.1+8.03*1.95+1.2*1.5+2*3)*10.764</f>
        <v>1109.434716</v>
      </c>
      <c r="E119" s="61">
        <f>(1.5+9.03)*10.764</f>
        <v>113.34491999999999</v>
      </c>
      <c r="F119" s="40">
        <f t="shared" ref="F119:F129" si="18">D119+E119</f>
        <v>1222.779636</v>
      </c>
      <c r="G119" s="40">
        <v>0</v>
      </c>
      <c r="H119" s="40">
        <f t="shared" ref="H119:H129" ca="1" si="19">(D119+E119)*(($H$125)+1)</f>
        <v>1956.4474176000001</v>
      </c>
      <c r="I119" s="34"/>
      <c r="N119" s="34"/>
    </row>
    <row r="120" spans="1:14" s="35" customFormat="1" ht="15.6" x14ac:dyDescent="0.3">
      <c r="A120" s="75">
        <v>13</v>
      </c>
      <c r="B120" s="76"/>
      <c r="C120" s="60" t="s">
        <v>308</v>
      </c>
      <c r="D120" s="61">
        <f>(5.15*6.6+3.85*1.95+3.05*3.1+1.2*1.5+2*3)*10.764</f>
        <v>632.41190999999992</v>
      </c>
      <c r="E120" s="61">
        <f>(3.85)*10.764</f>
        <v>41.441400000000002</v>
      </c>
      <c r="F120" s="40">
        <f t="shared" si="18"/>
        <v>673.85330999999996</v>
      </c>
      <c r="G120" s="40">
        <v>0</v>
      </c>
      <c r="H120" s="40">
        <f t="shared" ca="1" si="19"/>
        <v>1078.1652959999999</v>
      </c>
      <c r="I120" s="34"/>
      <c r="N120" s="34"/>
    </row>
    <row r="121" spans="1:14" s="35" customFormat="1" ht="15.6" x14ac:dyDescent="0.3">
      <c r="A121" s="75">
        <v>14</v>
      </c>
      <c r="B121" s="76"/>
      <c r="C121" s="60" t="s">
        <v>308</v>
      </c>
      <c r="D121" s="61">
        <f>(5.15*6.6+3.85*1.95+3.05*3.1+1.2*1.5+2*3)*10.764</f>
        <v>632.41190999999992</v>
      </c>
      <c r="E121" s="61">
        <f>(3.85)*10.764</f>
        <v>41.441400000000002</v>
      </c>
      <c r="F121" s="40">
        <f t="shared" si="18"/>
        <v>673.85330999999996</v>
      </c>
      <c r="G121" s="40">
        <v>0</v>
      </c>
      <c r="H121" s="40">
        <f t="shared" ca="1" si="19"/>
        <v>1078.1652959999999</v>
      </c>
      <c r="I121" s="34"/>
      <c r="N121" s="34"/>
    </row>
    <row r="122" spans="1:14" s="35" customFormat="1" ht="15.6" x14ac:dyDescent="0.3">
      <c r="A122" s="75">
        <v>15</v>
      </c>
      <c r="B122" s="76"/>
      <c r="C122" s="60" t="s">
        <v>308</v>
      </c>
      <c r="D122" s="61">
        <f>(5.15*6.6+3.85*1.95+3.05*3.1+1.2*1.5+2*3)*10.764</f>
        <v>632.41190999999992</v>
      </c>
      <c r="E122" s="61">
        <f>(3.85)*10.764</f>
        <v>41.441400000000002</v>
      </c>
      <c r="F122" s="40">
        <f t="shared" si="18"/>
        <v>673.85330999999996</v>
      </c>
      <c r="G122" s="40">
        <v>0</v>
      </c>
      <c r="H122" s="40">
        <f t="shared" ca="1" si="19"/>
        <v>1078.1652959999999</v>
      </c>
      <c r="I122" s="34"/>
      <c r="N122" s="34"/>
    </row>
    <row r="123" spans="1:14" s="35" customFormat="1" ht="15.6" x14ac:dyDescent="0.3">
      <c r="A123" s="75">
        <v>16</v>
      </c>
      <c r="B123" s="76"/>
      <c r="C123" s="60" t="s">
        <v>308</v>
      </c>
      <c r="D123" s="61">
        <f>(4.52*8.55+1.92*3.1+1.4*1.5+2*3)*10.764</f>
        <v>567.24127199999998</v>
      </c>
      <c r="E123" s="61">
        <f>(5.52+8.4)*10.764</f>
        <v>149.83488</v>
      </c>
      <c r="F123" s="40">
        <f t="shared" si="18"/>
        <v>717.07615199999998</v>
      </c>
      <c r="G123" s="40">
        <v>0</v>
      </c>
      <c r="H123" s="40">
        <f t="shared" ca="1" si="19"/>
        <v>1147.3218432000001</v>
      </c>
      <c r="I123" s="34"/>
      <c r="N123" s="34"/>
    </row>
    <row r="124" spans="1:14" s="35" customFormat="1" ht="15.6" x14ac:dyDescent="0.3">
      <c r="A124" s="75">
        <v>17</v>
      </c>
      <c r="B124" s="76"/>
      <c r="C124" s="60" t="s">
        <v>308</v>
      </c>
      <c r="D124" s="61">
        <f>(4.02*8.1+1.91*3.1+1.4*1.5+2*3)*10.764</f>
        <v>501.41941199999997</v>
      </c>
      <c r="E124" s="61">
        <f>(4.5+2.5)*10.764</f>
        <v>75.347999999999999</v>
      </c>
      <c r="F124" s="40">
        <f t="shared" si="18"/>
        <v>576.76741199999992</v>
      </c>
      <c r="G124" s="40">
        <v>0</v>
      </c>
      <c r="H124" s="40">
        <f t="shared" ca="1" si="19"/>
        <v>922.82785919999992</v>
      </c>
      <c r="I124" s="34"/>
      <c r="N124" s="34"/>
    </row>
    <row r="125" spans="1:14" s="35" customFormat="1" ht="15.6" x14ac:dyDescent="0.3">
      <c r="A125" s="75">
        <v>18</v>
      </c>
      <c r="B125" s="76"/>
      <c r="C125" s="60" t="s">
        <v>308</v>
      </c>
      <c r="D125" s="61">
        <f>(5.15*6.15+3.85*1.95+3.05*3.1+1.2*1.5+2*3)*10.764</f>
        <v>607.46633999999995</v>
      </c>
      <c r="E125" s="61">
        <f>(3.85)*10.764</f>
        <v>41.441400000000002</v>
      </c>
      <c r="F125" s="40">
        <f t="shared" si="18"/>
        <v>648.90773999999999</v>
      </c>
      <c r="G125" s="40">
        <v>0</v>
      </c>
      <c r="H125" s="40">
        <f t="shared" ca="1" si="19"/>
        <v>1038.2523840000001</v>
      </c>
      <c r="I125" s="34"/>
      <c r="N125" s="34"/>
    </row>
    <row r="126" spans="1:14" s="35" customFormat="1" ht="15.6" x14ac:dyDescent="0.3">
      <c r="A126" s="75">
        <v>19</v>
      </c>
      <c r="B126" s="76"/>
      <c r="C126" s="60" t="s">
        <v>308</v>
      </c>
      <c r="D126" s="61">
        <f>(5.15*6.15+3.85*1.95+3.05*3.1+1.2*1.5+2*3)*10.764</f>
        <v>607.46633999999995</v>
      </c>
      <c r="E126" s="61">
        <f>(3.85)*10.764</f>
        <v>41.441400000000002</v>
      </c>
      <c r="F126" s="40">
        <f t="shared" si="18"/>
        <v>648.90773999999999</v>
      </c>
      <c r="G126" s="40">
        <v>0</v>
      </c>
      <c r="H126" s="40">
        <f t="shared" ca="1" si="19"/>
        <v>1038.2523840000001</v>
      </c>
      <c r="I126" s="34"/>
      <c r="N126" s="34"/>
    </row>
    <row r="127" spans="1:14" s="35" customFormat="1" ht="15.6" x14ac:dyDescent="0.3">
      <c r="A127" s="75">
        <v>20</v>
      </c>
      <c r="B127" s="76"/>
      <c r="C127" s="60" t="s">
        <v>308</v>
      </c>
      <c r="D127" s="61">
        <f>(5.15*6.15+3.85*1.95+3.05*3.1+1.2*1.5+2*3)*10.764</f>
        <v>607.46633999999995</v>
      </c>
      <c r="E127" s="61">
        <f>(3.85)*10.764</f>
        <v>41.441400000000002</v>
      </c>
      <c r="F127" s="40">
        <f t="shared" si="18"/>
        <v>648.90773999999999</v>
      </c>
      <c r="G127" s="40">
        <v>0</v>
      </c>
      <c r="H127" s="40">
        <f t="shared" ca="1" si="19"/>
        <v>1038.2523840000001</v>
      </c>
      <c r="I127" s="34"/>
      <c r="N127" s="34"/>
    </row>
    <row r="128" spans="1:14" s="35" customFormat="1" ht="15.6" x14ac:dyDescent="0.3">
      <c r="A128" s="75">
        <v>21</v>
      </c>
      <c r="B128" s="76"/>
      <c r="C128" s="60" t="s">
        <v>308</v>
      </c>
      <c r="D128" s="61">
        <f>(5.15*6.15+3.85*1.95+3.05*3.1+1.2*1.5+2*3)*10.764</f>
        <v>607.46633999999995</v>
      </c>
      <c r="E128" s="61">
        <f>(3.85)*10.764</f>
        <v>41.441400000000002</v>
      </c>
      <c r="F128" s="40">
        <f t="shared" si="18"/>
        <v>648.90773999999999</v>
      </c>
      <c r="G128" s="40">
        <v>0</v>
      </c>
      <c r="H128" s="40">
        <f t="shared" ca="1" si="19"/>
        <v>1038.2523840000001</v>
      </c>
      <c r="I128" s="34"/>
      <c r="N128" s="34"/>
    </row>
    <row r="129" spans="1:14" s="35" customFormat="1" ht="15.6" x14ac:dyDescent="0.3">
      <c r="A129" s="75">
        <v>22</v>
      </c>
      <c r="B129" s="76"/>
      <c r="C129" s="60" t="s">
        <v>308</v>
      </c>
      <c r="D129" s="61">
        <f>(4.03*8.1+1.63*3.1+1.2*1.4+2*3)*10.764</f>
        <v>488.42726399999992</v>
      </c>
      <c r="E129" s="61">
        <f>(5.03+8.2)*10.764</f>
        <v>142.40771999999998</v>
      </c>
      <c r="F129" s="40">
        <f t="shared" si="18"/>
        <v>630.83498399999985</v>
      </c>
      <c r="G129" s="40">
        <v>0</v>
      </c>
      <c r="H129" s="40">
        <f t="shared" ca="1" si="19"/>
        <v>1009.3359743999998</v>
      </c>
      <c r="I129" s="34"/>
      <c r="N129" s="34"/>
    </row>
    <row r="130" spans="1:14" s="35" customFormat="1" ht="15.75" customHeight="1" x14ac:dyDescent="0.3">
      <c r="A130" s="96" t="s">
        <v>318</v>
      </c>
      <c r="B130" s="97"/>
      <c r="C130" s="97"/>
      <c r="D130" s="97"/>
      <c r="E130" s="97"/>
      <c r="F130" s="97"/>
      <c r="G130" s="97"/>
      <c r="H130" s="98"/>
      <c r="I130" s="34"/>
      <c r="N130" s="34"/>
    </row>
    <row r="131" spans="1:14" s="35" customFormat="1" ht="15.6" x14ac:dyDescent="0.3">
      <c r="A131" s="75">
        <v>1</v>
      </c>
      <c r="B131" s="76"/>
      <c r="C131" s="60" t="s">
        <v>308</v>
      </c>
      <c r="D131" s="61">
        <f>(28.94*12.25+27*5.65+30.4*6.15+8.03*1.95+7.85*1.95+8.515*1.95+0.6*6.4+9.52*1.95+7.85*1.95+8.88*1.95+1.2*1.5*8+1.4*1.5*2+1.2*1.4+2*3)*10.764</f>
        <v>8857.7252010000011</v>
      </c>
      <c r="E131" s="61">
        <f>(1.8+8.03+7.85+8.515+9.2+2.4+9.52+7.85+9+8)*10.764</f>
        <v>776.78405999999984</v>
      </c>
      <c r="F131" s="40">
        <f>D131+E131</f>
        <v>9634.5092610000011</v>
      </c>
      <c r="G131" s="40">
        <v>0</v>
      </c>
      <c r="H131" s="40">
        <f ca="1">(D131+E131)*(($H$125)+1)</f>
        <v>15415.214817600003</v>
      </c>
      <c r="I131" s="34"/>
      <c r="N131" s="34"/>
    </row>
    <row r="132" spans="1:14" s="35" customFormat="1" ht="15.75" customHeight="1" x14ac:dyDescent="0.3">
      <c r="A132" s="96" t="s">
        <v>320</v>
      </c>
      <c r="B132" s="97"/>
      <c r="C132" s="97"/>
      <c r="D132" s="97"/>
      <c r="E132" s="97"/>
      <c r="F132" s="97"/>
      <c r="G132" s="97"/>
      <c r="H132" s="98"/>
      <c r="I132" s="34"/>
      <c r="N132" s="34"/>
    </row>
    <row r="133" spans="1:14" s="35" customFormat="1" ht="15.6" x14ac:dyDescent="0.3">
      <c r="A133" s="75">
        <v>1</v>
      </c>
      <c r="B133" s="76"/>
      <c r="C133" s="60" t="s">
        <v>308</v>
      </c>
      <c r="D133" s="61">
        <f>(24.99*9.85+27*5.65+30.4*6.15+1.95*2.4+3.625*1.95+7.85*1.95+8.515*1.95+0.5*6.4+8.515*1.95+7.85*1.95+8.88*1.95+1.2*1.5*8+1.4*1.5*2+1.2*1.4+2*3)*10.764</f>
        <v>7621.2322290000002</v>
      </c>
      <c r="E133" s="61">
        <f>(3.625+7.85+8.515+9.2+2.4+9.515+7.85+9+8)*10.764</f>
        <v>709.9396200000001</v>
      </c>
      <c r="F133" s="40">
        <f>D133+E133</f>
        <v>8331.1718490000003</v>
      </c>
      <c r="G133" s="40">
        <v>0</v>
      </c>
      <c r="H133" s="40">
        <f ca="1">(D133+E133)*(($H$125)+1)</f>
        <v>13329.874958400002</v>
      </c>
      <c r="I133" s="34"/>
      <c r="N133" s="34"/>
    </row>
    <row r="134" spans="1:14" s="35" customFormat="1" ht="15.6" x14ac:dyDescent="0.3">
      <c r="A134" s="75"/>
      <c r="B134" s="225"/>
      <c r="C134" s="225"/>
      <c r="D134" s="225"/>
      <c r="E134" s="225"/>
      <c r="F134" s="225"/>
      <c r="G134" s="225"/>
      <c r="H134" s="76"/>
      <c r="I134" s="34"/>
      <c r="N134" s="34"/>
    </row>
  </sheetData>
  <mergeCells count="145">
    <mergeCell ref="A134:H134"/>
    <mergeCell ref="A128:B128"/>
    <mergeCell ref="A129:B129"/>
    <mergeCell ref="A130:H130"/>
    <mergeCell ref="A131:B131"/>
    <mergeCell ref="A132:H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H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5:H105"/>
    <mergeCell ref="A106:B106"/>
    <mergeCell ref="C106:H106"/>
    <mergeCell ref="A107:B107"/>
    <mergeCell ref="A108:B108"/>
    <mergeCell ref="A109:B109"/>
    <mergeCell ref="A100:B100"/>
    <mergeCell ref="L100:M100"/>
    <mergeCell ref="A101:B101"/>
    <mergeCell ref="A102:B102"/>
    <mergeCell ref="A103:B103"/>
    <mergeCell ref="A104:B104"/>
    <mergeCell ref="A97:B97"/>
    <mergeCell ref="L97:M97"/>
    <mergeCell ref="A98:B98"/>
    <mergeCell ref="L98:M98"/>
    <mergeCell ref="A99:B99"/>
    <mergeCell ref="L99:M99"/>
    <mergeCell ref="A92:B92"/>
    <mergeCell ref="A93:H93"/>
    <mergeCell ref="A94:B94"/>
    <mergeCell ref="A95:B95"/>
    <mergeCell ref="A96:B96"/>
    <mergeCell ref="L96:M96"/>
    <mergeCell ref="A86:B86"/>
    <mergeCell ref="A87:B87"/>
    <mergeCell ref="A88:B88"/>
    <mergeCell ref="A89:H89"/>
    <mergeCell ref="A90:B90"/>
    <mergeCell ref="A91:H91"/>
    <mergeCell ref="A80:H80"/>
    <mergeCell ref="A81:B81"/>
    <mergeCell ref="A82:B82"/>
    <mergeCell ref="A83:B83"/>
    <mergeCell ref="A84:B84"/>
    <mergeCell ref="A85:B85"/>
    <mergeCell ref="A75:B75"/>
    <mergeCell ref="C75:H75"/>
    <mergeCell ref="A76:H76"/>
    <mergeCell ref="A77:B77"/>
    <mergeCell ref="A78:H78"/>
    <mergeCell ref="A79:H79"/>
    <mergeCell ref="A69:B69"/>
    <mergeCell ref="A70:B70"/>
    <mergeCell ref="A71:B71"/>
    <mergeCell ref="A72:B72"/>
    <mergeCell ref="A73:H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H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H49"/>
    <mergeCell ref="A50:B50"/>
    <mergeCell ref="A40:B40"/>
    <mergeCell ref="A41:B41"/>
    <mergeCell ref="A42:B42"/>
    <mergeCell ref="A43:B43"/>
    <mergeCell ref="A44:B44"/>
    <mergeCell ref="C44:H44"/>
    <mergeCell ref="A34:B34"/>
    <mergeCell ref="A35:B35"/>
    <mergeCell ref="A36:B36"/>
    <mergeCell ref="A37:H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H23"/>
    <mergeCell ref="A24:B24"/>
    <mergeCell ref="A25:H25"/>
    <mergeCell ref="A26:B26"/>
    <mergeCell ref="A27:B27"/>
    <mergeCell ref="A16:B16"/>
    <mergeCell ref="A17:B17"/>
    <mergeCell ref="A18:B18"/>
    <mergeCell ref="A19:B19"/>
    <mergeCell ref="A20:B20"/>
    <mergeCell ref="A21:H21"/>
    <mergeCell ref="A10:B10"/>
    <mergeCell ref="A11:B11"/>
    <mergeCell ref="A12:H12"/>
    <mergeCell ref="A13:B13"/>
    <mergeCell ref="A14:B14"/>
    <mergeCell ref="A15:B15"/>
    <mergeCell ref="A5:H5"/>
    <mergeCell ref="L5:M5"/>
    <mergeCell ref="A6:B6"/>
    <mergeCell ref="A7:B7"/>
    <mergeCell ref="A8:B8"/>
    <mergeCell ref="A9:B9"/>
    <mergeCell ref="A1:H1"/>
    <mergeCell ref="A2:H2"/>
    <mergeCell ref="A3:H3"/>
    <mergeCell ref="L3:M3"/>
    <mergeCell ref="A4:H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3:K69"/>
  <sheetViews>
    <sheetView topLeftCell="A55" zoomScale="130" zoomScaleNormal="130" workbookViewId="0">
      <selection activeCell="C43" sqref="C43:D69"/>
    </sheetView>
  </sheetViews>
  <sheetFormatPr defaultRowHeight="14.4" x14ac:dyDescent="0.3"/>
  <cols>
    <col min="4" max="4" width="13.88671875" bestFit="1" customWidth="1"/>
    <col min="5" max="5" width="10.44140625" bestFit="1" customWidth="1"/>
    <col min="6" max="6" width="12.44140625" bestFit="1" customWidth="1"/>
    <col min="7" max="7" width="18.109375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9"/>
      <c r="C4" s="49" t="s">
        <v>11</v>
      </c>
      <c r="D4" s="50" t="s">
        <v>174</v>
      </c>
      <c r="E4" s="50" t="s">
        <v>184</v>
      </c>
      <c r="F4" s="50" t="s">
        <v>169</v>
      </c>
      <c r="G4" s="50" t="s">
        <v>189</v>
      </c>
      <c r="H4" s="50" t="s">
        <v>207</v>
      </c>
      <c r="J4" t="s">
        <v>189</v>
      </c>
      <c r="K4" t="s">
        <v>205</v>
      </c>
    </row>
    <row r="5" spans="2:11" x14ac:dyDescent="0.3">
      <c r="B5" s="49"/>
      <c r="C5" s="49"/>
      <c r="D5" s="50" t="s">
        <v>175</v>
      </c>
      <c r="E5" s="50" t="s">
        <v>182</v>
      </c>
      <c r="F5" s="50" t="s">
        <v>204</v>
      </c>
      <c r="G5" s="50" t="s">
        <v>190</v>
      </c>
      <c r="H5" s="50" t="s">
        <v>208</v>
      </c>
    </row>
    <row r="6" spans="2:11" x14ac:dyDescent="0.3">
      <c r="B6" s="49"/>
      <c r="C6" s="49"/>
      <c r="D6" s="50" t="s">
        <v>176</v>
      </c>
      <c r="E6" s="50" t="s">
        <v>183</v>
      </c>
      <c r="F6" s="50" t="s">
        <v>205</v>
      </c>
      <c r="G6" s="50" t="s">
        <v>191</v>
      </c>
      <c r="H6" s="50" t="s">
        <v>221</v>
      </c>
    </row>
    <row r="7" spans="2:11" x14ac:dyDescent="0.3">
      <c r="B7" s="49"/>
      <c r="C7" s="49"/>
      <c r="D7" s="50" t="s">
        <v>177</v>
      </c>
      <c r="E7" s="50" t="s">
        <v>185</v>
      </c>
      <c r="F7" s="50" t="s">
        <v>206</v>
      </c>
      <c r="G7" s="50" t="s">
        <v>192</v>
      </c>
      <c r="H7" s="50" t="s">
        <v>209</v>
      </c>
    </row>
    <row r="8" spans="2:11" x14ac:dyDescent="0.3">
      <c r="B8" s="49"/>
      <c r="C8" s="49"/>
      <c r="D8" s="50" t="s">
        <v>178</v>
      </c>
      <c r="E8" s="50" t="s">
        <v>186</v>
      </c>
      <c r="F8" s="50"/>
      <c r="G8" s="50" t="s">
        <v>193</v>
      </c>
      <c r="H8" s="50" t="s">
        <v>210</v>
      </c>
    </row>
    <row r="9" spans="2:11" x14ac:dyDescent="0.3">
      <c r="B9" s="49"/>
      <c r="C9" s="49"/>
      <c r="D9" s="50" t="s">
        <v>179</v>
      </c>
      <c r="E9" s="50" t="s">
        <v>184</v>
      </c>
      <c r="F9" s="50"/>
      <c r="G9" s="50" t="s">
        <v>194</v>
      </c>
      <c r="H9" s="50" t="s">
        <v>211</v>
      </c>
    </row>
    <row r="10" spans="2:11" x14ac:dyDescent="0.3">
      <c r="B10" s="49"/>
      <c r="C10" s="49"/>
      <c r="D10" s="50" t="s">
        <v>180</v>
      </c>
      <c r="E10" s="50" t="s">
        <v>187</v>
      </c>
      <c r="F10" s="50"/>
      <c r="G10" s="50" t="s">
        <v>195</v>
      </c>
      <c r="H10" s="50" t="s">
        <v>212</v>
      </c>
    </row>
    <row r="11" spans="2:11" x14ac:dyDescent="0.3">
      <c r="B11" s="49"/>
      <c r="C11" s="49"/>
      <c r="D11" s="50" t="s">
        <v>181</v>
      </c>
      <c r="E11" s="50" t="s">
        <v>188</v>
      </c>
      <c r="F11" s="50"/>
      <c r="G11" s="50" t="s">
        <v>196</v>
      </c>
      <c r="H11" s="50" t="s">
        <v>213</v>
      </c>
    </row>
    <row r="12" spans="2:11" x14ac:dyDescent="0.3">
      <c r="B12" s="49"/>
      <c r="C12" s="49"/>
      <c r="D12" s="50"/>
      <c r="E12" s="50"/>
      <c r="F12" s="50"/>
      <c r="G12" s="50" t="s">
        <v>197</v>
      </c>
      <c r="H12" s="50" t="s">
        <v>214</v>
      </c>
    </row>
    <row r="13" spans="2:11" x14ac:dyDescent="0.3">
      <c r="B13" s="49"/>
      <c r="C13" s="49"/>
      <c r="D13" s="50"/>
      <c r="E13" s="50"/>
      <c r="F13" s="50"/>
      <c r="G13" s="50" t="s">
        <v>198</v>
      </c>
      <c r="H13" s="50" t="s">
        <v>215</v>
      </c>
    </row>
    <row r="14" spans="2:11" x14ac:dyDescent="0.3">
      <c r="B14" s="49"/>
      <c r="C14" s="49"/>
      <c r="D14" s="50"/>
      <c r="E14" s="50"/>
      <c r="F14" s="50"/>
      <c r="G14" s="50" t="s">
        <v>199</v>
      </c>
      <c r="H14" s="50" t="s">
        <v>216</v>
      </c>
    </row>
    <row r="15" spans="2:11" x14ac:dyDescent="0.3">
      <c r="B15" s="49"/>
      <c r="C15" s="49"/>
      <c r="D15" s="50"/>
      <c r="E15" s="50"/>
      <c r="F15" s="50"/>
      <c r="G15" s="50" t="s">
        <v>200</v>
      </c>
      <c r="H15" s="50" t="s">
        <v>217</v>
      </c>
    </row>
    <row r="16" spans="2:11" x14ac:dyDescent="0.3">
      <c r="B16" s="49"/>
      <c r="C16" s="49"/>
      <c r="D16" s="50"/>
      <c r="E16" s="50"/>
      <c r="F16" s="50"/>
      <c r="G16" s="50" t="s">
        <v>201</v>
      </c>
      <c r="H16" s="50" t="s">
        <v>218</v>
      </c>
    </row>
    <row r="17" spans="2:8" x14ac:dyDescent="0.3">
      <c r="B17" s="49"/>
      <c r="C17" s="49"/>
      <c r="D17" s="50"/>
      <c r="E17" s="50"/>
      <c r="F17" s="50"/>
      <c r="G17" s="50" t="s">
        <v>202</v>
      </c>
      <c r="H17" s="50" t="s">
        <v>219</v>
      </c>
    </row>
    <row r="18" spans="2:8" x14ac:dyDescent="0.3">
      <c r="B18" s="49"/>
      <c r="C18" s="49"/>
      <c r="D18" s="50"/>
      <c r="E18" s="50"/>
      <c r="F18" s="50"/>
      <c r="G18" s="50" t="s">
        <v>203</v>
      </c>
      <c r="H18" s="50" t="s">
        <v>220</v>
      </c>
    </row>
    <row r="24" spans="2:8" x14ac:dyDescent="0.3">
      <c r="C24" t="s">
        <v>166</v>
      </c>
    </row>
    <row r="25" spans="2:8" x14ac:dyDescent="0.3">
      <c r="C25" t="s">
        <v>222</v>
      </c>
    </row>
    <row r="26" spans="2:8" x14ac:dyDescent="0.3">
      <c r="C26" t="s">
        <v>223</v>
      </c>
    </row>
    <row r="27" spans="2:8" x14ac:dyDescent="0.3">
      <c r="C27" t="s">
        <v>224</v>
      </c>
    </row>
    <row r="28" spans="2:8" x14ac:dyDescent="0.3">
      <c r="C28" t="s">
        <v>225</v>
      </c>
    </row>
    <row r="29" spans="2:8" x14ac:dyDescent="0.3">
      <c r="C29" t="s">
        <v>226</v>
      </c>
    </row>
    <row r="30" spans="2:8" x14ac:dyDescent="0.3">
      <c r="C30" t="s">
        <v>166</v>
      </c>
    </row>
    <row r="33" spans="3:11" x14ac:dyDescent="0.3">
      <c r="J33">
        <v>1</v>
      </c>
      <c r="K33">
        <v>2</v>
      </c>
    </row>
    <row r="34" spans="3:11" x14ac:dyDescent="0.3">
      <c r="C34" s="53" t="s">
        <v>232</v>
      </c>
      <c r="D34" s="50" t="s">
        <v>230</v>
      </c>
      <c r="E34" s="50" t="s">
        <v>235</v>
      </c>
      <c r="F34" s="50" t="s">
        <v>233</v>
      </c>
      <c r="G34" s="50" t="s">
        <v>234</v>
      </c>
      <c r="H34" s="50" t="s">
        <v>236</v>
      </c>
      <c r="J34" t="s">
        <v>189</v>
      </c>
      <c r="K34" t="s">
        <v>205</v>
      </c>
    </row>
    <row r="35" spans="3:11" x14ac:dyDescent="0.3">
      <c r="C35" s="49" t="s">
        <v>231</v>
      </c>
      <c r="D35" s="50" t="s">
        <v>167</v>
      </c>
      <c r="E35" s="50" t="s">
        <v>240</v>
      </c>
      <c r="F35" s="50" t="s">
        <v>242</v>
      </c>
      <c r="G35" s="50" t="s">
        <v>244</v>
      </c>
      <c r="H35" s="50"/>
    </row>
    <row r="36" spans="3:11" x14ac:dyDescent="0.3">
      <c r="C36" s="49"/>
      <c r="D36" s="50" t="s">
        <v>237</v>
      </c>
      <c r="E36" s="50" t="s">
        <v>241</v>
      </c>
      <c r="F36" s="50" t="s">
        <v>243</v>
      </c>
      <c r="G36" s="50" t="s">
        <v>245</v>
      </c>
      <c r="H36" s="50"/>
    </row>
    <row r="37" spans="3:11" x14ac:dyDescent="0.3">
      <c r="C37" s="49"/>
      <c r="D37" s="50" t="s">
        <v>238</v>
      </c>
      <c r="E37" s="50"/>
      <c r="F37" s="50"/>
      <c r="G37" s="50" t="s">
        <v>246</v>
      </c>
      <c r="H37" s="50"/>
    </row>
    <row r="38" spans="3:11" x14ac:dyDescent="0.3">
      <c r="C38" s="49"/>
      <c r="D38" s="50" t="s">
        <v>239</v>
      </c>
      <c r="E38" s="50"/>
      <c r="F38" s="50"/>
      <c r="G38" s="50" t="s">
        <v>246</v>
      </c>
      <c r="H38" s="50"/>
    </row>
    <row r="39" spans="3:11" x14ac:dyDescent="0.3">
      <c r="C39" s="49"/>
      <c r="D39" s="50"/>
      <c r="E39" s="50"/>
      <c r="F39" s="50"/>
      <c r="G39" s="50" t="s">
        <v>247</v>
      </c>
      <c r="H39" s="50"/>
    </row>
    <row r="40" spans="3:11" x14ac:dyDescent="0.3">
      <c r="C40" s="49"/>
      <c r="D40" s="50"/>
      <c r="E40" s="50"/>
      <c r="F40" s="50"/>
      <c r="G40" s="50" t="s">
        <v>248</v>
      </c>
      <c r="H40" s="50"/>
    </row>
    <row r="41" spans="3:11" x14ac:dyDescent="0.3">
      <c r="C41" s="49"/>
      <c r="D41" s="50"/>
      <c r="E41" s="50"/>
      <c r="F41" s="50"/>
      <c r="G41" s="50"/>
      <c r="H41" s="50"/>
    </row>
    <row r="43" spans="3:11" x14ac:dyDescent="0.3">
      <c r="C43" t="s">
        <v>249</v>
      </c>
    </row>
    <row r="44" spans="3:11" x14ac:dyDescent="0.3">
      <c r="C44" t="s">
        <v>169</v>
      </c>
      <c r="D44" t="s">
        <v>250</v>
      </c>
    </row>
    <row r="45" spans="3:11" x14ac:dyDescent="0.3">
      <c r="D45" t="s">
        <v>251</v>
      </c>
    </row>
    <row r="46" spans="3:11" x14ac:dyDescent="0.3">
      <c r="D46" t="s">
        <v>252</v>
      </c>
    </row>
    <row r="47" spans="3:11" x14ac:dyDescent="0.3">
      <c r="D47" t="s">
        <v>253</v>
      </c>
    </row>
    <row r="48" spans="3:11" x14ac:dyDescent="0.3">
      <c r="D48" t="s">
        <v>254</v>
      </c>
    </row>
    <row r="49" spans="3:4" x14ac:dyDescent="0.3">
      <c r="C49" t="s">
        <v>174</v>
      </c>
      <c r="D49" t="s">
        <v>255</v>
      </c>
    </row>
    <row r="50" spans="3:4" x14ac:dyDescent="0.3">
      <c r="D50" t="s">
        <v>256</v>
      </c>
    </row>
    <row r="51" spans="3:4" x14ac:dyDescent="0.3">
      <c r="D51" t="s">
        <v>257</v>
      </c>
    </row>
    <row r="52" spans="3:4" x14ac:dyDescent="0.3">
      <c r="D52" t="s">
        <v>260</v>
      </c>
    </row>
    <row r="53" spans="3:4" x14ac:dyDescent="0.3">
      <c r="D53" t="s">
        <v>258</v>
      </c>
    </row>
    <row r="54" spans="3:4" x14ac:dyDescent="0.3">
      <c r="D54" t="s">
        <v>259</v>
      </c>
    </row>
    <row r="55" spans="3:4" x14ac:dyDescent="0.3">
      <c r="D55" t="s">
        <v>261</v>
      </c>
    </row>
    <row r="56" spans="3:4" x14ac:dyDescent="0.3">
      <c r="D56" t="s">
        <v>262</v>
      </c>
    </row>
    <row r="57" spans="3:4" x14ac:dyDescent="0.3">
      <c r="D57" t="s">
        <v>263</v>
      </c>
    </row>
    <row r="58" spans="3:4" x14ac:dyDescent="0.3">
      <c r="D58" t="s">
        <v>265</v>
      </c>
    </row>
    <row r="59" spans="3:4" x14ac:dyDescent="0.3">
      <c r="D59" t="s">
        <v>274</v>
      </c>
    </row>
    <row r="60" spans="3:4" x14ac:dyDescent="0.3">
      <c r="C60" t="s">
        <v>189</v>
      </c>
      <c r="D60" t="s">
        <v>266</v>
      </c>
    </row>
    <row r="61" spans="3:4" x14ac:dyDescent="0.3">
      <c r="D61" t="s">
        <v>264</v>
      </c>
    </row>
    <row r="62" spans="3:4" x14ac:dyDescent="0.3">
      <c r="D62" t="s">
        <v>254</v>
      </c>
    </row>
    <row r="63" spans="3:4" x14ac:dyDescent="0.3">
      <c r="D63" t="s">
        <v>267</v>
      </c>
    </row>
    <row r="64" spans="3:4" x14ac:dyDescent="0.3">
      <c r="D64" t="s">
        <v>268</v>
      </c>
    </row>
    <row r="65" spans="3:4" x14ac:dyDescent="0.3">
      <c r="D65" t="s">
        <v>269</v>
      </c>
    </row>
    <row r="66" spans="3:4" x14ac:dyDescent="0.3">
      <c r="D66" t="s">
        <v>270</v>
      </c>
    </row>
    <row r="67" spans="3:4" x14ac:dyDescent="0.3">
      <c r="C67" t="s">
        <v>184</v>
      </c>
      <c r="D67" t="s">
        <v>271</v>
      </c>
    </row>
    <row r="68" spans="3:4" x14ac:dyDescent="0.3">
      <c r="D68" t="s">
        <v>272</v>
      </c>
    </row>
    <row r="69" spans="3:4" x14ac:dyDescent="0.3">
      <c r="D69" t="s">
        <v>273</v>
      </c>
    </row>
  </sheetData>
  <dataValidations count="2">
    <dataValidation type="list" allowBlank="1" showInputMessage="1" showErrorMessage="1" sqref="J4 J34" xr:uid="{00000000-0002-0000-0300-000000000000}">
      <formula1>$D$4:$H$4</formula1>
    </dataValidation>
    <dataValidation type="list" allowBlank="1" showInputMessage="1" showErrorMessage="1" sqref="K4 K34" xr:uid="{00000000-0002-0000-0300-000001000000}">
      <formula1>OFFSET($D$4,1,MATCH($J4,$D$4:$H$4,0)-1,15,1)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valuation</vt:lpstr>
      <vt:lpstr>Sheet1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2025-07-11T06:21:54Z</cp:lastPrinted>
  <dcterms:created xsi:type="dcterms:W3CDTF">2019-07-16T09:29:46Z</dcterms:created>
  <dcterms:modified xsi:type="dcterms:W3CDTF">2025-07-11T06:22:13Z</dcterms:modified>
</cp:coreProperties>
</file>