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SJCV\Making\AXIS\2025-26\Axis\APF Dump\July 2025\17-07-2025\"/>
    </mc:Choice>
  </mc:AlternateContent>
  <bookViews>
    <workbookView xWindow="0" yWindow="0" windowWidth="19200" windowHeight="6640" tabRatio="830"/>
  </bookViews>
  <sheets>
    <sheet name="Sheet1" sheetId="1" r:id="rId1"/>
    <sheet name="NOte" sheetId="8" r:id="rId2"/>
    <sheet name="1" sheetId="4" r:id="rId3"/>
    <sheet name="2A" sheetId="5" r:id="rId4"/>
    <sheet name="2B" sheetId="6" r:id="rId5"/>
    <sheet name="3" sheetId="7" r:id="rId6"/>
    <sheet name="4" sheetId="2" r:id="rId7"/>
    <sheet name="Sheet3" sheetId="3" r:id="rId8"/>
    <sheet name="VALUATION" sheetId="9" r:id="rId9"/>
  </sheets>
  <definedNames>
    <definedName name="_xlnm.Print_Area" localSheetId="0">Sheet1!$A$1:$J$542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1" l="1"/>
  <c r="E307" i="1"/>
  <c r="E306" i="1"/>
  <c r="E305" i="1"/>
  <c r="E304" i="1"/>
  <c r="E303" i="1"/>
  <c r="E302" i="1"/>
  <c r="E301" i="1"/>
  <c r="E300" i="1"/>
  <c r="E299" i="1"/>
  <c r="E298" i="1"/>
  <c r="E297" i="1"/>
  <c r="E321" i="1"/>
  <c r="E320" i="1"/>
  <c r="E319" i="1"/>
  <c r="E318" i="1"/>
  <c r="E317" i="1"/>
  <c r="E316" i="1"/>
  <c r="E315" i="1"/>
  <c r="E314" i="1"/>
  <c r="E313" i="1"/>
  <c r="E312" i="1"/>
  <c r="E311" i="1"/>
  <c r="E310" i="1"/>
  <c r="F276" i="1"/>
  <c r="F275" i="1"/>
  <c r="F274" i="1"/>
  <c r="F273" i="1"/>
  <c r="F272" i="1"/>
  <c r="F271" i="1"/>
  <c r="F270" i="1"/>
  <c r="F269" i="1"/>
  <c r="F268" i="1"/>
  <c r="F267" i="1"/>
  <c r="F266" i="1"/>
  <c r="F265" i="1"/>
  <c r="L264" i="1"/>
  <c r="N333" i="1"/>
  <c r="O333" i="1" s="1"/>
  <c r="P333" i="1" s="1"/>
  <c r="M333" i="1"/>
  <c r="M330" i="1"/>
  <c r="E334" i="1"/>
  <c r="E333" i="1"/>
  <c r="E332" i="1"/>
  <c r="E331" i="1"/>
  <c r="E330" i="1"/>
  <c r="E329" i="1"/>
  <c r="E328" i="1"/>
  <c r="E327" i="1"/>
  <c r="E326" i="1"/>
  <c r="E325" i="1"/>
  <c r="E324" i="1"/>
  <c r="E323" i="1"/>
  <c r="E282" i="1"/>
  <c r="E281" i="1"/>
  <c r="E280" i="1"/>
  <c r="E279" i="1"/>
  <c r="E277" i="1"/>
  <c r="E193" i="1"/>
  <c r="E192" i="1"/>
  <c r="E191" i="1"/>
  <c r="E190" i="1"/>
  <c r="E189" i="1"/>
  <c r="E188" i="1"/>
  <c r="E187" i="1"/>
  <c r="E186" i="1"/>
  <c r="E185" i="1"/>
  <c r="E184" i="1"/>
  <c r="E202" i="1"/>
  <c r="E201" i="1"/>
  <c r="E200" i="1"/>
  <c r="E195" i="1"/>
  <c r="M195" i="1"/>
  <c r="E160" i="1"/>
  <c r="E159" i="1"/>
  <c r="E168" i="1"/>
  <c r="E167" i="1"/>
  <c r="E166" i="1"/>
  <c r="E165" i="1"/>
  <c r="E154" i="1"/>
  <c r="E153" i="1"/>
  <c r="E162" i="1"/>
  <c r="M204" i="1"/>
  <c r="M203" i="1"/>
  <c r="M202" i="1"/>
  <c r="M201" i="1"/>
  <c r="M200" i="1"/>
  <c r="M199" i="1"/>
  <c r="M198" i="1"/>
  <c r="M197" i="1"/>
  <c r="M196" i="1"/>
  <c r="P193" i="1"/>
  <c r="P189" i="1"/>
  <c r="P188" i="1"/>
  <c r="P190" i="1"/>
  <c r="P187" i="1"/>
  <c r="P192" i="1"/>
  <c r="P186" i="1"/>
  <c r="P191" i="1"/>
  <c r="P185" i="1"/>
  <c r="P184" i="1"/>
  <c r="E157" i="1"/>
  <c r="E156" i="1"/>
  <c r="E158" i="1"/>
  <c r="E155" i="1"/>
  <c r="E170" i="1"/>
  <c r="E169" i="1"/>
  <c r="E164" i="1"/>
  <c r="E163" i="1"/>
  <c r="M162" i="1"/>
  <c r="M163" i="1"/>
  <c r="I127" i="1"/>
  <c r="N199" i="1"/>
  <c r="N198" i="1"/>
  <c r="N196" i="1"/>
  <c r="E198" i="1"/>
  <c r="N195" i="1"/>
  <c r="E204" i="1"/>
  <c r="E138" i="1"/>
  <c r="E137" i="1"/>
  <c r="E132" i="1"/>
  <c r="E131" i="1"/>
  <c r="E125" i="1"/>
  <c r="E124" i="1"/>
  <c r="E119" i="1"/>
  <c r="E118" i="1"/>
  <c r="E112" i="1"/>
  <c r="E111" i="1"/>
  <c r="E106" i="1"/>
  <c r="E105" i="1"/>
  <c r="E101" i="1"/>
  <c r="E110" i="1"/>
  <c r="E109" i="1"/>
  <c r="E108" i="1"/>
  <c r="E107" i="1"/>
  <c r="E104" i="1"/>
  <c r="E103" i="1"/>
  <c r="E102" i="1"/>
  <c r="I323" i="1" l="1"/>
  <c r="I152" i="1"/>
  <c r="I162" i="1"/>
  <c r="F3" i="1"/>
  <c r="I245" i="1"/>
  <c r="I226" i="1"/>
  <c r="O252" i="1"/>
  <c r="N252" i="1"/>
  <c r="M252" i="1"/>
  <c r="E252" i="1"/>
  <c r="G252" i="1" s="1"/>
  <c r="K262" i="1"/>
  <c r="E262" i="1"/>
  <c r="G262" i="1" s="1"/>
  <c r="E261" i="1"/>
  <c r="G261" i="1" s="1"/>
  <c r="E260" i="1"/>
  <c r="G260" i="1" s="1"/>
  <c r="E259" i="1"/>
  <c r="G259" i="1" s="1"/>
  <c r="E258" i="1"/>
  <c r="G258" i="1" s="1"/>
  <c r="E257" i="1"/>
  <c r="G257" i="1" s="1"/>
  <c r="E256" i="1"/>
  <c r="G256" i="1" s="1"/>
  <c r="E255" i="1"/>
  <c r="G255" i="1" s="1"/>
  <c r="E254" i="1"/>
  <c r="G254" i="1" s="1"/>
  <c r="E253" i="1"/>
  <c r="G253" i="1" s="1"/>
  <c r="E251" i="1"/>
  <c r="G251" i="1" s="1"/>
  <c r="E250" i="1"/>
  <c r="G250" i="1" s="1"/>
  <c r="E249" i="1"/>
  <c r="G249" i="1" s="1"/>
  <c r="E248" i="1"/>
  <c r="G248" i="1" s="1"/>
  <c r="E247" i="1"/>
  <c r="G247" i="1" s="1"/>
  <c r="E246" i="1"/>
  <c r="G246" i="1" s="1"/>
  <c r="E245" i="1"/>
  <c r="G245" i="1" s="1"/>
  <c r="E203" i="1"/>
  <c r="G203" i="1" s="1"/>
  <c r="G202" i="1"/>
  <c r="G201" i="1"/>
  <c r="G200" i="1"/>
  <c r="E199" i="1"/>
  <c r="G199" i="1" s="1"/>
  <c r="G198" i="1"/>
  <c r="E197" i="1"/>
  <c r="G197" i="1" s="1"/>
  <c r="E196" i="1"/>
  <c r="G196" i="1" s="1"/>
  <c r="G204" i="1"/>
  <c r="G195" i="1"/>
  <c r="G193" i="1"/>
  <c r="N193" i="1" s="1"/>
  <c r="I184" i="1"/>
  <c r="I195" i="1"/>
  <c r="K203" i="1"/>
  <c r="L166" i="1"/>
  <c r="G170" i="1"/>
  <c r="G169" i="1"/>
  <c r="G168" i="1"/>
  <c r="G167" i="1"/>
  <c r="G166" i="1"/>
  <c r="G165" i="1"/>
  <c r="G164" i="1"/>
  <c r="G163" i="1"/>
  <c r="G162" i="1"/>
  <c r="L161" i="1"/>
  <c r="K170" i="1"/>
  <c r="G334" i="1"/>
  <c r="G333" i="1"/>
  <c r="G332" i="1"/>
  <c r="M331" i="1"/>
  <c r="G331" i="1"/>
  <c r="N330" i="1"/>
  <c r="O330" i="1" s="1"/>
  <c r="P330" i="1" s="1"/>
  <c r="G330" i="1"/>
  <c r="G329" i="1"/>
  <c r="G328" i="1"/>
  <c r="M327" i="1"/>
  <c r="G327" i="1"/>
  <c r="G326" i="1"/>
  <c r="G325" i="1"/>
  <c r="G324" i="1"/>
  <c r="G323" i="1"/>
  <c r="G282" i="1"/>
  <c r="G281" i="1"/>
  <c r="G280" i="1"/>
  <c r="G279" i="1"/>
  <c r="E278" i="1"/>
  <c r="G278" i="1" s="1"/>
  <c r="G277" i="1"/>
  <c r="G321" i="1"/>
  <c r="G320" i="1"/>
  <c r="G319" i="1"/>
  <c r="G318" i="1"/>
  <c r="G317" i="1"/>
  <c r="G316" i="1"/>
  <c r="G315" i="1"/>
  <c r="G314" i="1"/>
  <c r="G313" i="1"/>
  <c r="G312" i="1"/>
  <c r="G311" i="1"/>
  <c r="G310" i="1"/>
  <c r="G138" i="1"/>
  <c r="G137" i="1"/>
  <c r="E136" i="1"/>
  <c r="G136" i="1" s="1"/>
  <c r="E135" i="1"/>
  <c r="G135" i="1" s="1"/>
  <c r="E134" i="1"/>
  <c r="G134" i="1" s="1"/>
  <c r="E133" i="1"/>
  <c r="G133" i="1" s="1"/>
  <c r="G132" i="1"/>
  <c r="G131" i="1"/>
  <c r="E130" i="1"/>
  <c r="G130" i="1" s="1"/>
  <c r="E129" i="1"/>
  <c r="G129" i="1" s="1"/>
  <c r="E128" i="1"/>
  <c r="G128" i="1" s="1"/>
  <c r="E127" i="1"/>
  <c r="G127" i="1" s="1"/>
  <c r="E123" i="1"/>
  <c r="G123" i="1" s="1"/>
  <c r="E122" i="1"/>
  <c r="G122" i="1" s="1"/>
  <c r="E121" i="1"/>
  <c r="G121" i="1" s="1"/>
  <c r="E120" i="1"/>
  <c r="G120" i="1" s="1"/>
  <c r="E116" i="1"/>
  <c r="G116" i="1" s="1"/>
  <c r="G125" i="1"/>
  <c r="G124" i="1"/>
  <c r="G119" i="1"/>
  <c r="G118" i="1"/>
  <c r="E117" i="1"/>
  <c r="G117" i="1" s="1"/>
  <c r="E115" i="1"/>
  <c r="G115" i="1" s="1"/>
  <c r="E114" i="1"/>
  <c r="G114" i="1" s="1"/>
  <c r="K136" i="1"/>
  <c r="L374" i="1" l="1"/>
  <c r="L373" i="1"/>
  <c r="L372" i="1"/>
  <c r="L371" i="1"/>
  <c r="I364" i="1"/>
  <c r="L366" i="1" l="1"/>
  <c r="L369" i="1"/>
  <c r="L370" i="1" s="1"/>
  <c r="L375" i="1" s="1"/>
  <c r="L376" i="1" s="1"/>
  <c r="C368" i="1" s="1"/>
  <c r="D376" i="1"/>
  <c r="D370" i="1"/>
  <c r="D375" i="1"/>
  <c r="D369" i="1"/>
  <c r="L368" i="1"/>
  <c r="C367" i="1" s="1"/>
  <c r="D374" i="1"/>
  <c r="D373" i="1"/>
  <c r="D371" i="1"/>
  <c r="D372" i="1"/>
  <c r="L367" i="1"/>
  <c r="F367" i="1" l="1"/>
  <c r="D368" i="1"/>
  <c r="H367" i="1"/>
  <c r="D367" i="1"/>
  <c r="L388" i="1"/>
  <c r="L387" i="1"/>
  <c r="L386" i="1"/>
  <c r="L385" i="1"/>
  <c r="I378" i="1"/>
  <c r="K363" i="1" l="1"/>
  <c r="C365" i="1" s="1"/>
  <c r="L382" i="1"/>
  <c r="C381" i="1" s="1"/>
  <c r="D381" i="1" s="1"/>
  <c r="L380" i="1"/>
  <c r="D390" i="1"/>
  <c r="D388" i="1"/>
  <c r="D386" i="1"/>
  <c r="D384" i="1"/>
  <c r="D389" i="1"/>
  <c r="D387" i="1"/>
  <c r="D385" i="1"/>
  <c r="D383" i="1"/>
  <c r="L381" i="1"/>
  <c r="L383" i="1"/>
  <c r="L384" i="1" s="1"/>
  <c r="L389" i="1" s="1"/>
  <c r="L390" i="1" s="1"/>
  <c r="C382" i="1" s="1"/>
  <c r="L402" i="1"/>
  <c r="L401" i="1"/>
  <c r="L400" i="1"/>
  <c r="L399" i="1"/>
  <c r="L360" i="1"/>
  <c r="L359" i="1"/>
  <c r="L358" i="1"/>
  <c r="L357" i="1"/>
  <c r="L346" i="1"/>
  <c r="L345" i="1"/>
  <c r="L344" i="1"/>
  <c r="L343" i="1"/>
  <c r="I350" i="1"/>
  <c r="I392" i="1"/>
  <c r="I336" i="1"/>
  <c r="F381" i="1" l="1"/>
  <c r="K377" i="1" s="1"/>
  <c r="C379" i="1" s="1"/>
  <c r="D382" i="1"/>
  <c r="H381" i="1"/>
  <c r="L396" i="1"/>
  <c r="C395" i="1" s="1"/>
  <c r="D395" i="1" s="1"/>
  <c r="L394" i="1"/>
  <c r="D404" i="1"/>
  <c r="D402" i="1"/>
  <c r="D400" i="1"/>
  <c r="D398" i="1"/>
  <c r="L397" i="1"/>
  <c r="L398" i="1" s="1"/>
  <c r="L403" i="1" s="1"/>
  <c r="L404" i="1" s="1"/>
  <c r="C396" i="1" s="1"/>
  <c r="D403" i="1"/>
  <c r="D401" i="1"/>
  <c r="D399" i="1"/>
  <c r="D397" i="1"/>
  <c r="L395" i="1"/>
  <c r="L354" i="1"/>
  <c r="C353" i="1" s="1"/>
  <c r="D353" i="1" s="1"/>
  <c r="L352" i="1"/>
  <c r="D362" i="1"/>
  <c r="D360" i="1"/>
  <c r="D358" i="1"/>
  <c r="D356" i="1"/>
  <c r="L355" i="1"/>
  <c r="L356" i="1" s="1"/>
  <c r="L361" i="1" s="1"/>
  <c r="L362" i="1" s="1"/>
  <c r="C354" i="1" s="1"/>
  <c r="D361" i="1"/>
  <c r="D359" i="1"/>
  <c r="D357" i="1"/>
  <c r="D355" i="1"/>
  <c r="L353" i="1"/>
  <c r="C341" i="1"/>
  <c r="D341" i="1" s="1"/>
  <c r="L339" i="1"/>
  <c r="D348" i="1"/>
  <c r="D346" i="1"/>
  <c r="D344" i="1"/>
  <c r="D342" i="1"/>
  <c r="L340" i="1"/>
  <c r="C339" i="1" s="1"/>
  <c r="D339" i="1" s="1"/>
  <c r="L338" i="1"/>
  <c r="L341" i="1"/>
  <c r="L342" i="1" s="1"/>
  <c r="L347" i="1" s="1"/>
  <c r="L348" i="1" s="1"/>
  <c r="C340" i="1" s="1"/>
  <c r="D347" i="1"/>
  <c r="D345" i="1"/>
  <c r="D343" i="1"/>
  <c r="F422" i="1"/>
  <c r="G6" i="9"/>
  <c r="G7" i="9"/>
  <c r="G8" i="9"/>
  <c r="G5" i="9"/>
  <c r="G9" i="9" s="1"/>
  <c r="F288" i="1"/>
  <c r="F286" i="1"/>
  <c r="F287" i="1"/>
  <c r="F285" i="1"/>
  <c r="G112" i="1"/>
  <c r="L112" i="1" s="1"/>
  <c r="G111" i="1"/>
  <c r="L111" i="1" s="1"/>
  <c r="G110" i="1"/>
  <c r="L110" i="1" s="1"/>
  <c r="G109" i="1"/>
  <c r="L109" i="1" s="1"/>
  <c r="G108" i="1"/>
  <c r="L108" i="1" s="1"/>
  <c r="G107" i="1"/>
  <c r="G106" i="1"/>
  <c r="G102" i="1"/>
  <c r="G103" i="1"/>
  <c r="G104" i="1"/>
  <c r="G101" i="1"/>
  <c r="L101" i="1" s="1"/>
  <c r="G105" i="1"/>
  <c r="E99" i="1"/>
  <c r="G99" i="1" s="1"/>
  <c r="E98" i="1"/>
  <c r="G98" i="1" s="1"/>
  <c r="E97" i="1"/>
  <c r="G97" i="1" s="1"/>
  <c r="E96" i="1"/>
  <c r="G96" i="1" s="1"/>
  <c r="E95" i="1"/>
  <c r="G95" i="1" s="1"/>
  <c r="L95" i="1" s="1"/>
  <c r="E94" i="1"/>
  <c r="G94" i="1" s="1"/>
  <c r="L94" i="1" s="1"/>
  <c r="E93" i="1"/>
  <c r="G93" i="1" s="1"/>
  <c r="L93" i="1" s="1"/>
  <c r="E92" i="1"/>
  <c r="G92" i="1" s="1"/>
  <c r="L92" i="1" s="1"/>
  <c r="E91" i="1"/>
  <c r="G91" i="1" s="1"/>
  <c r="L91" i="1" s="1"/>
  <c r="E89" i="1"/>
  <c r="G89" i="1" s="1"/>
  <c r="E90" i="1"/>
  <c r="G90" i="1" s="1"/>
  <c r="E88" i="1"/>
  <c r="K243" i="1"/>
  <c r="K192" i="1"/>
  <c r="K160" i="1"/>
  <c r="K123" i="1"/>
  <c r="K112" i="1"/>
  <c r="I297" i="1"/>
  <c r="G308" i="1"/>
  <c r="G307" i="1"/>
  <c r="G306" i="1"/>
  <c r="G305" i="1"/>
  <c r="G304" i="1"/>
  <c r="G303" i="1"/>
  <c r="G302" i="1"/>
  <c r="G301" i="1"/>
  <c r="G300" i="1"/>
  <c r="G299" i="1"/>
  <c r="G298" i="1"/>
  <c r="G297" i="1"/>
  <c r="F289" i="1"/>
  <c r="E289" i="1"/>
  <c r="E290" i="1"/>
  <c r="G290" i="1" s="1"/>
  <c r="E291" i="1"/>
  <c r="G291" i="1" s="1"/>
  <c r="E292" i="1"/>
  <c r="G292" i="1" s="1"/>
  <c r="E293" i="1"/>
  <c r="G293" i="1" s="1"/>
  <c r="E294" i="1"/>
  <c r="G294" i="1" s="1"/>
  <c r="E295" i="1"/>
  <c r="G295" i="1" s="1"/>
  <c r="E288" i="1"/>
  <c r="G288" i="1" s="1"/>
  <c r="E285" i="1"/>
  <c r="E286" i="1"/>
  <c r="E287" i="1"/>
  <c r="E284" i="1"/>
  <c r="I284" i="1"/>
  <c r="E276" i="1"/>
  <c r="G276" i="1" s="1"/>
  <c r="E275" i="1"/>
  <c r="G275" i="1" s="1"/>
  <c r="E274" i="1"/>
  <c r="G274" i="1" s="1"/>
  <c r="E273" i="1"/>
  <c r="G273" i="1" s="1"/>
  <c r="E272" i="1"/>
  <c r="G272" i="1" s="1"/>
  <c r="E271" i="1"/>
  <c r="E270" i="1"/>
  <c r="G270" i="1" s="1"/>
  <c r="E269" i="1"/>
  <c r="G269" i="1" s="1"/>
  <c r="E268" i="1"/>
  <c r="G268" i="1" s="1"/>
  <c r="E267" i="1"/>
  <c r="G267" i="1" s="1"/>
  <c r="E266" i="1"/>
  <c r="G266" i="1" s="1"/>
  <c r="E265" i="1"/>
  <c r="G265" i="1" s="1"/>
  <c r="I207" i="1"/>
  <c r="I173" i="1"/>
  <c r="I142"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G71" i="1"/>
  <c r="B16" i="2"/>
  <c r="E10" i="2" s="1"/>
  <c r="B14" i="2"/>
  <c r="N7" i="2" s="1"/>
  <c r="H18" i="2" s="1"/>
  <c r="B12" i="2"/>
  <c r="E8" i="2" s="1"/>
  <c r="B10" i="2"/>
  <c r="L7" i="2" s="1"/>
  <c r="H16" i="2" s="1"/>
  <c r="B8" i="2"/>
  <c r="E6" i="2" s="1"/>
  <c r="I6" i="2"/>
  <c r="I7" i="2" s="1"/>
  <c r="H13" i="2" s="1"/>
  <c r="B6" i="2"/>
  <c r="E5" i="2" s="1"/>
  <c r="E4" i="2"/>
  <c r="H46" i="1"/>
  <c r="B16" i="7"/>
  <c r="O6" i="7" s="1"/>
  <c r="G19" i="7" s="1"/>
  <c r="B14" i="7"/>
  <c r="N6" i="7" s="1"/>
  <c r="G18" i="7" s="1"/>
  <c r="B12" i="7"/>
  <c r="M7" i="7" s="1"/>
  <c r="H17" i="7" s="1"/>
  <c r="B10" i="7"/>
  <c r="L6" i="7" s="1"/>
  <c r="G16" i="7" s="1"/>
  <c r="B8" i="7"/>
  <c r="K6" i="7" s="1"/>
  <c r="G15" i="7" s="1"/>
  <c r="I6" i="7"/>
  <c r="G13" i="7" s="1"/>
  <c r="B6" i="7"/>
  <c r="J7" i="7" s="1"/>
  <c r="H14" i="7" s="1"/>
  <c r="E4" i="7"/>
  <c r="B16" i="6"/>
  <c r="E10" i="6" s="1"/>
  <c r="B14" i="6"/>
  <c r="E9" i="6" s="1"/>
  <c r="B12" i="6"/>
  <c r="E8" i="6" s="1"/>
  <c r="B10" i="6"/>
  <c r="L7" i="6" s="1"/>
  <c r="H16" i="6" s="1"/>
  <c r="B8" i="6"/>
  <c r="K6" i="6" s="1"/>
  <c r="G15" i="6" s="1"/>
  <c r="I6" i="6"/>
  <c r="G13" i="6" s="1"/>
  <c r="B6" i="6"/>
  <c r="J6" i="6" s="1"/>
  <c r="G14" i="6" s="1"/>
  <c r="E4" i="6"/>
  <c r="B16" i="5"/>
  <c r="E10" i="5" s="1"/>
  <c r="B14" i="5"/>
  <c r="N6" i="5" s="1"/>
  <c r="G18" i="5" s="1"/>
  <c r="B12" i="5"/>
  <c r="M6" i="5" s="1"/>
  <c r="G17" i="5" s="1"/>
  <c r="B10" i="5"/>
  <c r="L6" i="5" s="1"/>
  <c r="G16" i="5" s="1"/>
  <c r="B8" i="5"/>
  <c r="K7" i="5" s="1"/>
  <c r="H15" i="5" s="1"/>
  <c r="O6" i="5"/>
  <c r="G19" i="5" s="1"/>
  <c r="I6" i="5"/>
  <c r="I7" i="5" s="1"/>
  <c r="H13" i="5" s="1"/>
  <c r="E6" i="5"/>
  <c r="B6" i="5"/>
  <c r="J7" i="5" s="1"/>
  <c r="H14" i="5" s="1"/>
  <c r="E4" i="5"/>
  <c r="B16" i="4"/>
  <c r="E10" i="4" s="1"/>
  <c r="B14" i="4"/>
  <c r="E9" i="4" s="1"/>
  <c r="B12" i="4"/>
  <c r="E8" i="4" s="1"/>
  <c r="M6" i="4"/>
  <c r="G17" i="4" s="1"/>
  <c r="B10" i="4"/>
  <c r="L7" i="4" s="1"/>
  <c r="H16" i="4" s="1"/>
  <c r="B8" i="4"/>
  <c r="E6" i="4" s="1"/>
  <c r="I6" i="4"/>
  <c r="G13" i="4" s="1"/>
  <c r="B6" i="4"/>
  <c r="J6" i="4" s="1"/>
  <c r="G14" i="4" s="1"/>
  <c r="E4" i="4"/>
  <c r="E243" i="1"/>
  <c r="G243" i="1" s="1"/>
  <c r="E242" i="1"/>
  <c r="G242" i="1" s="1"/>
  <c r="E241" i="1"/>
  <c r="G241" i="1" s="1"/>
  <c r="E240" i="1"/>
  <c r="G240" i="1" s="1"/>
  <c r="E239" i="1"/>
  <c r="G239" i="1" s="1"/>
  <c r="E238" i="1"/>
  <c r="G238" i="1" s="1"/>
  <c r="E237" i="1"/>
  <c r="G237" i="1" s="1"/>
  <c r="E236" i="1"/>
  <c r="G236" i="1" s="1"/>
  <c r="E235" i="1"/>
  <c r="G235" i="1" s="1"/>
  <c r="E234" i="1"/>
  <c r="G234" i="1" s="1"/>
  <c r="E233" i="1"/>
  <c r="G233" i="1" s="1"/>
  <c r="E232" i="1"/>
  <c r="G232" i="1" s="1"/>
  <c r="E231" i="1"/>
  <c r="G231" i="1" s="1"/>
  <c r="E230" i="1"/>
  <c r="G230" i="1" s="1"/>
  <c r="E229" i="1"/>
  <c r="G229" i="1" s="1"/>
  <c r="E228" i="1"/>
  <c r="G228" i="1" s="1"/>
  <c r="E227" i="1"/>
  <c r="G227" i="1" s="1"/>
  <c r="E226" i="1"/>
  <c r="G226" i="1" s="1"/>
  <c r="E224" i="1"/>
  <c r="G224" i="1" s="1"/>
  <c r="E223" i="1"/>
  <c r="G223" i="1" s="1"/>
  <c r="E222" i="1"/>
  <c r="G222" i="1" s="1"/>
  <c r="E221" i="1"/>
  <c r="G221" i="1" s="1"/>
  <c r="E220" i="1"/>
  <c r="G220" i="1" s="1"/>
  <c r="E219" i="1"/>
  <c r="G219" i="1" s="1"/>
  <c r="E218" i="1"/>
  <c r="G218" i="1" s="1"/>
  <c r="E217" i="1"/>
  <c r="G217" i="1" s="1"/>
  <c r="E216" i="1"/>
  <c r="G216" i="1" s="1"/>
  <c r="E215" i="1"/>
  <c r="G215" i="1" s="1"/>
  <c r="E214" i="1"/>
  <c r="G214" i="1" s="1"/>
  <c r="E213" i="1"/>
  <c r="G213" i="1" s="1"/>
  <c r="E212" i="1"/>
  <c r="G212" i="1" s="1"/>
  <c r="E211" i="1"/>
  <c r="G211" i="1" s="1"/>
  <c r="E210" i="1"/>
  <c r="G210" i="1" s="1"/>
  <c r="E209" i="1"/>
  <c r="G209" i="1" s="1"/>
  <c r="E208" i="1"/>
  <c r="G208" i="1" s="1"/>
  <c r="E207" i="1"/>
  <c r="G191" i="1"/>
  <c r="N191" i="1" s="1"/>
  <c r="G190" i="1"/>
  <c r="N190" i="1" s="1"/>
  <c r="G192" i="1"/>
  <c r="N192" i="1" s="1"/>
  <c r="G189" i="1"/>
  <c r="N189" i="1" s="1"/>
  <c r="G188" i="1"/>
  <c r="N188" i="1" s="1"/>
  <c r="G187" i="1"/>
  <c r="N187" i="1" s="1"/>
  <c r="G186" i="1"/>
  <c r="N186" i="1" s="1"/>
  <c r="G185" i="1"/>
  <c r="N185" i="1" s="1"/>
  <c r="G184" i="1"/>
  <c r="N184" i="1" s="1"/>
  <c r="G160" i="1"/>
  <c r="G159" i="1"/>
  <c r="G158" i="1"/>
  <c r="G157" i="1"/>
  <c r="G156" i="1"/>
  <c r="G155" i="1"/>
  <c r="G154" i="1"/>
  <c r="G153" i="1"/>
  <c r="E152" i="1"/>
  <c r="G152" i="1" s="1"/>
  <c r="E182" i="1"/>
  <c r="G182" i="1" s="1"/>
  <c r="E181" i="1"/>
  <c r="G181" i="1" s="1"/>
  <c r="E180" i="1"/>
  <c r="G180" i="1" s="1"/>
  <c r="E179" i="1"/>
  <c r="G179" i="1" s="1"/>
  <c r="E178" i="1"/>
  <c r="G178" i="1" s="1"/>
  <c r="E176" i="1"/>
  <c r="G176" i="1" s="1"/>
  <c r="E174" i="1"/>
  <c r="G174" i="1" s="1"/>
  <c r="E173" i="1"/>
  <c r="E149" i="1"/>
  <c r="G149" i="1" s="1"/>
  <c r="E150" i="1"/>
  <c r="G150" i="1" s="1"/>
  <c r="E148" i="1"/>
  <c r="G148" i="1" s="1"/>
  <c r="E147" i="1"/>
  <c r="G147" i="1" s="1"/>
  <c r="E146" i="1"/>
  <c r="G146" i="1" s="1"/>
  <c r="E145" i="1"/>
  <c r="G145" i="1" s="1"/>
  <c r="E144" i="1"/>
  <c r="G144" i="1" s="1"/>
  <c r="E143" i="1"/>
  <c r="G143" i="1" s="1"/>
  <c r="E142" i="1"/>
  <c r="E177" i="1"/>
  <c r="G177" i="1" s="1"/>
  <c r="E175" i="1"/>
  <c r="G175" i="1" s="1"/>
  <c r="N7" i="7"/>
  <c r="H18" i="7" s="1"/>
  <c r="K6" i="5"/>
  <c r="G15" i="5" s="1"/>
  <c r="N6" i="6"/>
  <c r="G18" i="6" s="1"/>
  <c r="L7" i="7"/>
  <c r="H16" i="7" s="1"/>
  <c r="J7" i="2"/>
  <c r="H14" i="2" s="1"/>
  <c r="O7" i="5"/>
  <c r="H19" i="5" s="1"/>
  <c r="N7" i="6"/>
  <c r="H18" i="6" s="1"/>
  <c r="E7" i="7"/>
  <c r="E5" i="7"/>
  <c r="I7" i="4"/>
  <c r="H13" i="4" s="1"/>
  <c r="I7" i="6"/>
  <c r="H13" i="6" s="1"/>
  <c r="G13" i="2"/>
  <c r="O7" i="4"/>
  <c r="H19" i="4" s="1"/>
  <c r="J6" i="2"/>
  <c r="G14" i="2" s="1"/>
  <c r="O6" i="4"/>
  <c r="G19" i="4" s="1"/>
  <c r="K6" i="2"/>
  <c r="G15" i="2" s="1"/>
  <c r="K6" i="4"/>
  <c r="G15" i="4" s="1"/>
  <c r="K7" i="2"/>
  <c r="H15" i="2" s="1"/>
  <c r="N6" i="4" l="1"/>
  <c r="G18" i="4" s="1"/>
  <c r="G285" i="1"/>
  <c r="M7" i="6"/>
  <c r="H17" i="6" s="1"/>
  <c r="M6" i="6"/>
  <c r="G17" i="6" s="1"/>
  <c r="G13" i="5"/>
  <c r="O7" i="6"/>
  <c r="H19" i="6" s="1"/>
  <c r="E78" i="1"/>
  <c r="M6" i="2"/>
  <c r="G17" i="2" s="1"/>
  <c r="J7" i="4"/>
  <c r="H14" i="4" s="1"/>
  <c r="G286" i="1"/>
  <c r="G289" i="1"/>
  <c r="O6" i="6"/>
  <c r="G19" i="6" s="1"/>
  <c r="M7" i="5"/>
  <c r="H17" i="5" s="1"/>
  <c r="N7" i="4"/>
  <c r="H18" i="4" s="1"/>
  <c r="L7" i="5"/>
  <c r="H16" i="5" s="1"/>
  <c r="G271" i="1"/>
  <c r="L271" i="1" s="1"/>
  <c r="G287" i="1"/>
  <c r="E7" i="5"/>
  <c r="E34" i="3"/>
  <c r="I7" i="7"/>
  <c r="H13" i="7" s="1"/>
  <c r="L6" i="6"/>
  <c r="G16" i="6" s="1"/>
  <c r="E5" i="4"/>
  <c r="E80" i="1"/>
  <c r="S88" i="1"/>
  <c r="C78" i="1"/>
  <c r="G88" i="1"/>
  <c r="K102" i="1"/>
  <c r="L102" i="1"/>
  <c r="G284" i="1"/>
  <c r="E82" i="1"/>
  <c r="S92" i="1"/>
  <c r="C82" i="1"/>
  <c r="K90" i="1"/>
  <c r="L90" i="1"/>
  <c r="K106" i="1"/>
  <c r="L106" i="1"/>
  <c r="L89" i="1"/>
  <c r="K89" i="1"/>
  <c r="L107" i="1"/>
  <c r="K107" i="1"/>
  <c r="C79" i="1"/>
  <c r="E79" i="1"/>
  <c r="S89" i="1"/>
  <c r="G142" i="1"/>
  <c r="H79" i="1" s="1"/>
  <c r="C75" i="1"/>
  <c r="E75" i="1"/>
  <c r="K105" i="1"/>
  <c r="L105" i="1"/>
  <c r="C80" i="1"/>
  <c r="S90" i="1"/>
  <c r="G173" i="1"/>
  <c r="H80" i="1" s="1"/>
  <c r="C81" i="1"/>
  <c r="S91" i="1"/>
  <c r="E81" i="1"/>
  <c r="G207" i="1"/>
  <c r="H81" i="1" s="1"/>
  <c r="L104" i="1"/>
  <c r="K104" i="1"/>
  <c r="K103" i="1"/>
  <c r="L103" i="1"/>
  <c r="L6" i="2"/>
  <c r="G16" i="2" s="1"/>
  <c r="E5" i="6"/>
  <c r="K7" i="4"/>
  <c r="H15" i="4" s="1"/>
  <c r="E9" i="7"/>
  <c r="M7" i="2"/>
  <c r="H17" i="2" s="1"/>
  <c r="I34" i="3"/>
  <c r="H34" i="3" s="1"/>
  <c r="E5" i="5"/>
  <c r="K7" i="7"/>
  <c r="H15" i="7" s="1"/>
  <c r="J7" i="6"/>
  <c r="H14" i="6" s="1"/>
  <c r="J6" i="7"/>
  <c r="G14" i="7" s="1"/>
  <c r="E9" i="2"/>
  <c r="L34" i="3"/>
  <c r="K34" i="3" s="1"/>
  <c r="E6" i="7"/>
  <c r="E8" i="5"/>
  <c r="M6" i="7"/>
  <c r="G17" i="7" s="1"/>
  <c r="E7" i="2"/>
  <c r="N6" i="2"/>
  <c r="G18" i="2" s="1"/>
  <c r="E10" i="7"/>
  <c r="O7" i="7"/>
  <c r="H19" i="7" s="1"/>
  <c r="H20" i="7" s="1"/>
  <c r="G20" i="6"/>
  <c r="D34" i="3"/>
  <c r="K7" i="6"/>
  <c r="H15" i="6" s="1"/>
  <c r="H20" i="6" s="1"/>
  <c r="L6" i="4"/>
  <c r="G16" i="4" s="1"/>
  <c r="G20" i="4" s="1"/>
  <c r="J6" i="5"/>
  <c r="G14" i="5" s="1"/>
  <c r="G20" i="5" s="1"/>
  <c r="E6" i="6"/>
  <c r="O7" i="2"/>
  <c r="H19" i="2" s="1"/>
  <c r="E7" i="6"/>
  <c r="M7" i="4"/>
  <c r="H17" i="4" s="1"/>
  <c r="E8" i="7"/>
  <c r="O6" i="2"/>
  <c r="G19" i="2" s="1"/>
  <c r="G20" i="2" s="1"/>
  <c r="N7" i="5"/>
  <c r="H18" i="5" s="1"/>
  <c r="E7" i="4"/>
  <c r="E9" i="5"/>
  <c r="F395" i="1"/>
  <c r="K391" i="1" s="1"/>
  <c r="C393" i="1" s="1"/>
  <c r="D396" i="1"/>
  <c r="H395" i="1"/>
  <c r="F353" i="1"/>
  <c r="K349" i="1" s="1"/>
  <c r="C351" i="1" s="1"/>
  <c r="D354" i="1"/>
  <c r="H353" i="1"/>
  <c r="F339" i="1"/>
  <c r="D340" i="1"/>
  <c r="H339" i="1"/>
  <c r="H75" i="1" l="1"/>
  <c r="E36" i="3"/>
  <c r="G20" i="7"/>
  <c r="H20" i="2"/>
  <c r="H20" i="4"/>
  <c r="H82" i="1"/>
  <c r="H20" i="5"/>
  <c r="D36" i="3"/>
  <c r="H78" i="1"/>
  <c r="H83" i="1" s="1"/>
  <c r="L88" i="1"/>
  <c r="K88" i="1"/>
  <c r="E83" i="1"/>
  <c r="C83" i="1"/>
  <c r="K335" i="1"/>
  <c r="C337" i="1" s="1"/>
</calcChain>
</file>

<file path=xl/sharedStrings.xml><?xml version="1.0" encoding="utf-8"?>
<sst xmlns="http://schemas.openxmlformats.org/spreadsheetml/2006/main" count="1240" uniqueCount="334">
  <si>
    <t>Date:</t>
  </si>
  <si>
    <t>CPC Name:</t>
  </si>
  <si>
    <t>Date Of Property Visit</t>
  </si>
  <si>
    <t>Name of the builder group</t>
  </si>
  <si>
    <t>Name of the builder company</t>
  </si>
  <si>
    <t>Name of the Project</t>
  </si>
  <si>
    <t>Docouments Provided</t>
  </si>
  <si>
    <t>Accessibility of the project from the city:(Proximities to civic amenities like school, hospital &amp; market, etc.)</t>
  </si>
  <si>
    <t>Does the property have electricity/water/Drainage Connection</t>
  </si>
  <si>
    <t>Class of locality</t>
  </si>
  <si>
    <t>Boundaries</t>
  </si>
  <si>
    <t>East</t>
  </si>
  <si>
    <t>West</t>
  </si>
  <si>
    <t>South</t>
  </si>
  <si>
    <t>North</t>
  </si>
  <si>
    <t>As per deed</t>
  </si>
  <si>
    <t>At site</t>
  </si>
  <si>
    <t>Does the boundaries at site match, as mentioned in the Docoumentation:</t>
  </si>
  <si>
    <t>Approval details:</t>
  </si>
  <si>
    <t>Total land area of the project</t>
  </si>
  <si>
    <t>Permissible FSI</t>
  </si>
  <si>
    <t>Permissible TDR/Paid FSI</t>
  </si>
  <si>
    <t>Total FSI availaible for the project</t>
  </si>
  <si>
    <t>Total Approved Builtup area of the project</t>
  </si>
  <si>
    <t>Total number of Buildings</t>
  </si>
  <si>
    <t>Approval Detail :</t>
  </si>
  <si>
    <t>Building wise Construction details</t>
  </si>
  <si>
    <t>Recommended Rates of the Property :</t>
  </si>
  <si>
    <t xml:space="preserve">Club Charges </t>
  </si>
  <si>
    <t>Distress valuation of the property</t>
  </si>
  <si>
    <t>Building details floor wise</t>
  </si>
  <si>
    <t>Undertaking :</t>
  </si>
  <si>
    <t>Authorized Signatory
                                                                                                                                                                                                                                                                                     Name &amp; Seal of the agency</t>
  </si>
  <si>
    <t>2) I/We have no direct or Indirect Interest in the property being valued</t>
  </si>
  <si>
    <t>Sr.</t>
  </si>
  <si>
    <t>Description</t>
  </si>
  <si>
    <t>Attached Terrace area</t>
  </si>
  <si>
    <t>PLC Y/N</t>
  </si>
  <si>
    <t>Floor</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</si>
  <si>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</si>
  <si>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</si>
  <si>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</si>
  <si>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</si>
  <si>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</si>
  <si>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</si>
  <si>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</si>
  <si>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</si>
  <si>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</si>
  <si>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</si>
  <si>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</si>
  <si>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Details of Flats in Building and wings. </t>
  </si>
  <si>
    <t xml:space="preserve">Latitude &amp; Longitude </t>
  </si>
  <si>
    <t>M/s. Uddan Builders &amp; Developers</t>
  </si>
  <si>
    <t>District: Riagad</t>
  </si>
  <si>
    <t>Pin Code : 410201</t>
  </si>
  <si>
    <t>Road : Taloja By Pass Phata</t>
  </si>
  <si>
    <t>City : Karjat</t>
  </si>
  <si>
    <t>Nearby Landmark: Bhivpuri Road Railway Station</t>
  </si>
  <si>
    <t xml:space="preserve">All the mentioned amenities are within the radius of 2 to 2.5 KM </t>
  </si>
  <si>
    <t>Yes</t>
  </si>
  <si>
    <t>Middle Class</t>
  </si>
  <si>
    <t>Nature of land with topographical condtion : Plane</t>
  </si>
  <si>
    <t>Quality of infrastructure in vicinity             : Good</t>
  </si>
  <si>
    <t>Not Provided</t>
  </si>
  <si>
    <t>MDR Road</t>
  </si>
  <si>
    <t>Open Land</t>
  </si>
  <si>
    <t>Bhivpuri Station Road</t>
  </si>
  <si>
    <t>Kalyan Karjat Road</t>
  </si>
  <si>
    <t>Type of Structure :RCC Framed Structure</t>
  </si>
  <si>
    <t>Longitude</t>
  </si>
  <si>
    <t>NA</t>
  </si>
  <si>
    <t>Approved usage of the Property                                : Residential                                                                                                                                                    (Restrictive convenants in regards to land use , if any) : Residential</t>
  </si>
  <si>
    <t>Quality of construction: Good</t>
  </si>
  <si>
    <t>Material laying at Site :Inlot, Cement, Brick.</t>
  </si>
  <si>
    <t>Ground Floor Plan</t>
  </si>
  <si>
    <t>1 RK</t>
  </si>
  <si>
    <t>A-Wing</t>
  </si>
  <si>
    <t>Wing-B</t>
  </si>
  <si>
    <t>Violations Observed if any : No.</t>
  </si>
  <si>
    <t>1 BHK</t>
  </si>
  <si>
    <t>(Building Type-3) Building Name: 'D'</t>
  </si>
  <si>
    <t>Valuation Report For UDAAN ARIA</t>
  </si>
  <si>
    <t>Development Charges</t>
  </si>
  <si>
    <t>Typical 1st To 4th Floor Plan</t>
  </si>
  <si>
    <t>101 to 401</t>
  </si>
  <si>
    <t>102 to 402</t>
  </si>
  <si>
    <t>103 to 403</t>
  </si>
  <si>
    <t>104 to 404</t>
  </si>
  <si>
    <t>105 to 405</t>
  </si>
  <si>
    <t>106 to 406</t>
  </si>
  <si>
    <t>107 to 407</t>
  </si>
  <si>
    <t>108 to 408</t>
  </si>
  <si>
    <t>109 to 409</t>
  </si>
  <si>
    <t>110 to 410</t>
  </si>
  <si>
    <t>110 to 411</t>
  </si>
  <si>
    <t>112 to 412</t>
  </si>
  <si>
    <t>113 to 413</t>
  </si>
  <si>
    <t>114 to 414</t>
  </si>
  <si>
    <t>115 to 415</t>
  </si>
  <si>
    <t>116 to 416</t>
  </si>
  <si>
    <t>117 to 417</t>
  </si>
  <si>
    <t>118 to 418</t>
  </si>
  <si>
    <t>Flooring</t>
  </si>
  <si>
    <t>Finishing</t>
  </si>
  <si>
    <t>4) The saleable area is as per builder's sale plan.</t>
  </si>
  <si>
    <t>Date of Commencement of Construction: 15/03/2016.</t>
  </si>
  <si>
    <t>Wheather the construction is as per approved Building plan : under construction</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</si>
  <si>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</si>
  <si>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</si>
  <si>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</si>
  <si>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</si>
  <si>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</si>
  <si>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</si>
  <si>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</si>
  <si>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</si>
  <si>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</si>
  <si>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</si>
  <si>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</si>
  <si>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</si>
  <si>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</si>
  <si>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</si>
  <si>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</si>
  <si>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</si>
  <si>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</si>
  <si>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</si>
  <si>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</si>
  <si>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</si>
  <si>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</si>
  <si>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Google Map :</t>
  </si>
  <si>
    <t>Distance from city centre: 550m from Bhivpuri Road</t>
  </si>
  <si>
    <t>N</t>
  </si>
  <si>
    <t>Axis Sanpada</t>
  </si>
  <si>
    <t>Udaan Aria</t>
  </si>
  <si>
    <t>Dated</t>
  </si>
  <si>
    <t>Valid upto date: 
One year from date of issue</t>
  </si>
  <si>
    <t xml:space="preserve">Layout Approval No  </t>
  </si>
  <si>
    <t>22/05/2018.</t>
  </si>
  <si>
    <t>Project location details: Udaan Aria, Survey No.13/1/C/1, 13/1/C/3, 13/1/D, 13/2/A/1, 13/2/A/2, 13/2/A/3,
13/2/A/4, 13/2/A/5, 13/2/A/6, 13/2/A/7, 13/2/A/8, Chinchavali, Karjat.</t>
  </si>
  <si>
    <t>Survey No.13/1/C/1, 13/1/C/3, 13/1/D, 13/2/A/1, 13/2/A/2, 13/2/A/3,13/2/A/4, 13/2/A/5, 13/2/A/6, 13/2/A/7, 13/2/A/8</t>
  </si>
  <si>
    <t>Locality: Chinchavali</t>
  </si>
  <si>
    <t>Nature of the locality                                   : Developing</t>
  </si>
  <si>
    <t>Typical 1st &amp; 2nd Floor Plan</t>
  </si>
  <si>
    <t>Typical 3rd &amp; 4th Floor Plan</t>
  </si>
  <si>
    <t>1st &amp; 2nd</t>
  </si>
  <si>
    <t>3rd &amp; 4th</t>
  </si>
  <si>
    <t xml:space="preserve">PHOTOGRAPHS OF PROPERTY : </t>
  </si>
  <si>
    <t>Recommended rate of the flat per Sq.ft (On saleable area)
(Including Development Charges)</t>
  </si>
  <si>
    <t>Other Amenities and Club Membership Charges</t>
  </si>
  <si>
    <t>No. of the Project</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</si>
  <si>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</si>
  <si>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</si>
  <si>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</si>
  <si>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</si>
  <si>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</si>
  <si>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</si>
  <si>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</si>
  <si>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</si>
  <si>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</si>
  <si>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</si>
  <si>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</si>
  <si>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</si>
  <si>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</si>
  <si>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</si>
  <si>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</si>
  <si>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</si>
  <si>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</si>
  <si>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</si>
  <si>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</si>
  <si>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</si>
  <si>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</si>
  <si>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</si>
  <si>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</si>
  <si>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Total</t>
  </si>
  <si>
    <t xml:space="preserve">Ground Floor </t>
  </si>
  <si>
    <t>1RK</t>
  </si>
  <si>
    <t xml:space="preserve">Ground Floor is For parking &amp; Commercial </t>
  </si>
  <si>
    <t>Shop</t>
  </si>
  <si>
    <t>Ground Floor</t>
  </si>
  <si>
    <t xml:space="preserve">1st Floor </t>
  </si>
  <si>
    <t>1BHK</t>
  </si>
  <si>
    <t xml:space="preserve">2nd Floor </t>
  </si>
  <si>
    <t>(Building No.4 Type - 4) Building Name: 'B'</t>
  </si>
  <si>
    <t xml:space="preserve"> (Building No.1 Type - 1) Building Name: 'A'</t>
  </si>
  <si>
    <t xml:space="preserve">Building No.1 - Type 1 = A
Building No.2 - Type 2 = C (A &amp; B Wing)
Building No.3 - Type 3 = D
Building No.4 - Type 4 = B 
</t>
  </si>
  <si>
    <t>O. Certificate No. NA</t>
  </si>
  <si>
    <t xml:space="preserve">Recommended rate of the Shop per Sq.ft (On saleable area)
</t>
  </si>
  <si>
    <t>RERA No</t>
  </si>
  <si>
    <t>P52000008827</t>
  </si>
  <si>
    <t>04 Buildings (02 Wings)</t>
  </si>
  <si>
    <t>6000/-</t>
  </si>
  <si>
    <t>001</t>
  </si>
  <si>
    <t>002</t>
  </si>
  <si>
    <t>003</t>
  </si>
  <si>
    <t>004</t>
  </si>
  <si>
    <t>005</t>
  </si>
  <si>
    <t>006</t>
  </si>
  <si>
    <t>007</t>
  </si>
  <si>
    <t>008</t>
  </si>
  <si>
    <t>009</t>
  </si>
  <si>
    <t>010</t>
  </si>
  <si>
    <t>011</t>
  </si>
  <si>
    <t>012</t>
  </si>
  <si>
    <t>101, 201</t>
  </si>
  <si>
    <t>102, 202</t>
  </si>
  <si>
    <t>103, 203</t>
  </si>
  <si>
    <t>104, 204</t>
  </si>
  <si>
    <t>105, 205</t>
  </si>
  <si>
    <t>106, 206</t>
  </si>
  <si>
    <t>107, 207</t>
  </si>
  <si>
    <t>108, 208</t>
  </si>
  <si>
    <t>109, 209</t>
  </si>
  <si>
    <t>110, 210</t>
  </si>
  <si>
    <t>111, 211</t>
  </si>
  <si>
    <t>112, 212</t>
  </si>
  <si>
    <t>301, 401</t>
  </si>
  <si>
    <t>302, 402</t>
  </si>
  <si>
    <t>303, 403</t>
  </si>
  <si>
    <t>304, 404</t>
  </si>
  <si>
    <t>305, 405</t>
  </si>
  <si>
    <t>306, 406</t>
  </si>
  <si>
    <t>307, 407</t>
  </si>
  <si>
    <t>308, 408</t>
  </si>
  <si>
    <t>309, 409</t>
  </si>
  <si>
    <t>310, 410</t>
  </si>
  <si>
    <t>3rd Floor</t>
  </si>
  <si>
    <t xml:space="preserve">Approved no of Floors : </t>
  </si>
  <si>
    <t>Market Research Data</t>
  </si>
  <si>
    <t>Source</t>
  </si>
  <si>
    <t>Distance from proposed property</t>
  </si>
  <si>
    <t>Net Carpet</t>
  </si>
  <si>
    <t>Saleable Area</t>
  </si>
  <si>
    <t>Rate on Saleable</t>
  </si>
  <si>
    <t>Market Value</t>
  </si>
  <si>
    <t>Average</t>
  </si>
  <si>
    <t xml:space="preserve">Valuation Adopted </t>
  </si>
  <si>
    <t>commonfloor.</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</si>
  <si>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</si>
  <si>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</si>
  <si>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</si>
  <si>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</si>
  <si>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</si>
  <si>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</si>
  <si>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</si>
  <si>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</si>
  <si>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</si>
  <si>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</si>
  <si>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</si>
  <si>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</si>
  <si>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</si>
  <si>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</si>
  <si>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</si>
  <si>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</si>
  <si>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</si>
  <si>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</si>
  <si>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</si>
  <si>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</si>
  <si>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</si>
  <si>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</si>
  <si>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</si>
  <si>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</si>
  <si>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</si>
  <si>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</si>
  <si>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</si>
  <si>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</si>
  <si>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</si>
  <si>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</si>
  <si>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</si>
  <si>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</si>
  <si>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 Building Type 4 = G + 1st to 5th Floor</t>
  </si>
  <si>
    <t>42,000/-</t>
  </si>
  <si>
    <t>85000/-</t>
  </si>
  <si>
    <t>Proposed no of Floors : G +1st to 5th Floor</t>
  </si>
  <si>
    <t xml:space="preserve">RCC </t>
  </si>
  <si>
    <t>Building Type 3 = G + 1st to 5th Floor</t>
  </si>
  <si>
    <t>Building Type 1 = G + 1st to 5th Floor</t>
  </si>
  <si>
    <t xml:space="preserve">Dated </t>
  </si>
  <si>
    <t>15/03/2016.</t>
  </si>
  <si>
    <t xml:space="preserve">Building Type 2A = G + 1st to 5th Floor
</t>
  </si>
  <si>
    <t>Building Type 2B = G + 1st to 5th Floor</t>
  </si>
  <si>
    <t>311, 411</t>
  </si>
  <si>
    <t>312, 412</t>
  </si>
  <si>
    <t>5th Floor</t>
  </si>
  <si>
    <t>4th &amp; 5th Floor</t>
  </si>
  <si>
    <t>(Building No.2 Type-2) Building Name: 'C'</t>
  </si>
  <si>
    <t>5th Floor Plan</t>
  </si>
  <si>
    <t>Building No.1, 2, 3, 4 = G + 1st to 5th Floor</t>
  </si>
  <si>
    <t>MS/LNA-1(B)/T.No.13999/PK.150/2018    
Building no.1 = 3rd to 5th Floor
Building no.2 &amp; 3 = 5th Floor
Building no.4 = G + 3rd to 5th Floor</t>
  </si>
  <si>
    <t xml:space="preserve">MS/LNA-1/PK.150/2018
Valid upto approved :
Building no.1 = 3rd to 5th Floor
Building no.2 &amp; 3 = 5th Floor
Building no.4 = G + 3rd to 5th Floor                         </t>
  </si>
  <si>
    <t>Saleable Area
Loading :</t>
  </si>
  <si>
    <t xml:space="preserve"> (Building No.1 Type - 1)</t>
  </si>
  <si>
    <t>Commercial Area Details:</t>
  </si>
  <si>
    <t>Building &amp; Wing</t>
  </si>
  <si>
    <t>No of Units</t>
  </si>
  <si>
    <t>Total Carpet Area</t>
  </si>
  <si>
    <t>Total Saleable Area</t>
  </si>
  <si>
    <t>Residential Area Details:</t>
  </si>
  <si>
    <t>Shops</t>
  </si>
  <si>
    <t>Approved no of units : Flats = 360 &amp; Shop = 12</t>
  </si>
  <si>
    <t>1. CC. 2. Approved Plan</t>
  </si>
  <si>
    <t>Approved Layout Plan : MS/LNA-1/PK.150/2018                   Date : 30/11/2022</t>
  </si>
  <si>
    <t>MS/LNA-1/PK.150/2018</t>
  </si>
  <si>
    <t xml:space="preserve">Approved Floor plan No.
</t>
  </si>
  <si>
    <t xml:space="preserve">MS/LNA-1/PK/06/2016      
Valid upto approved : Building no.2 &amp; 3 = G + 1st to 2nd Floor                           </t>
  </si>
  <si>
    <t xml:space="preserve">MS/LNA-1(B)/PK6/2016     
Building no.2 &amp; 3 = G+1st to 4th Floor                           </t>
  </si>
  <si>
    <t>MSHA/L.N.A.1(B)/S.R.185/2017
Building No.1 = G + 4th Floor
Building No.4 = G + 3rd Floor</t>
  </si>
  <si>
    <t xml:space="preserve">C.certificate No. 
Valid Up to:                                                 
</t>
  </si>
  <si>
    <t>Approved area of the building : 12310.00 Sq.Mtr.</t>
  </si>
  <si>
    <t>Projected life : 60 Years after completion</t>
  </si>
  <si>
    <t xml:space="preserve"> Sr.No</t>
  </si>
  <si>
    <t>Building Name As per Plan</t>
  </si>
  <si>
    <t>Building Name As per Builder</t>
  </si>
  <si>
    <t>Building Type 1</t>
  </si>
  <si>
    <t>Building Type 2</t>
  </si>
  <si>
    <t>Building Type 3</t>
  </si>
  <si>
    <t>Building Type 4</t>
  </si>
  <si>
    <t>Building A</t>
  </si>
  <si>
    <t>Building B</t>
  </si>
  <si>
    <t>Building C</t>
  </si>
  <si>
    <t>Building D</t>
  </si>
  <si>
    <t>Building C 
(Wing A)</t>
  </si>
  <si>
    <t>Building C
(Wing B)</t>
  </si>
  <si>
    <t>MS/LNA-1/PK.150/2018
Building No.1 = G + 2nd Floor
Building No.4 = 1st &amp; 2nd Floor</t>
  </si>
  <si>
    <t>Layout Plan :</t>
  </si>
  <si>
    <t>1,75,000/-</t>
  </si>
  <si>
    <t>3800 to 4000</t>
  </si>
  <si>
    <t>nikhil dani</t>
  </si>
  <si>
    <t>akash sir</t>
  </si>
  <si>
    <t xml:space="preserve">Location Link </t>
  </si>
  <si>
    <t>https://goo.gl/maps/4BSsC7j5JYqvFUpb9</t>
  </si>
  <si>
    <t xml:space="preserve">Office No. 1031, Wing J, Akshar Business Park, Plot No. 03 Sector 25, Near APMC Market, Vashi, 
Navi Mumbai, Maharashtra 400703 TEL: 022-46090378/79/80
Email : vsjcapf@gmail.com. Web site : www.vsjadon.com
</t>
  </si>
  <si>
    <t>18.974853,73.330650</t>
  </si>
  <si>
    <t xml:space="preserve">Proposed Amenities 
1. Vitrified tiles flooring 
2. Garanite marble Kitchen platform
3. Power coated sliding windows with tinted glass  
4. Designer Bathroom with branded Sanitary were
5. Premium quality paints on internal walls                                                                                                                                                                                                                                                                                                         </t>
  </si>
  <si>
    <t xml:space="preserve">Expected Completion: 31/12/2027
</t>
  </si>
  <si>
    <r>
      <t xml:space="preserve">Remarks :
1. Building Type 1 - All work Complete. Please provide OC. Occupancy seems to be less( 20 30% only) in building no.1 since building is completed on dtd 07/06/2022.
  Building Type 2(A Wing), (B Wing) - Construction work is same Since visit dtd. 11/01/2024.
  Building Type 3 (D Wing) - Some Flats Occupied by tenants but Construction work is the same as last visit (dtd.05/10/2024).
  Building Type 4 - Construction work is same Since visit dtd. 13/04/2024.
2. We have considered Saleable area of Residential &amp; Commercial as per our Calculation.
3. As per provided builder conformation letter we are mention the building name &amp; building type.
4. We have considered rate by verifying it from market inquire.
5. We have considered Other charges from cost sheet.
6. </t>
    </r>
    <r>
      <rPr>
        <b/>
        <sz val="11"/>
        <color rgb="FFFF0000"/>
        <rFont val="Times New Roman"/>
        <family val="1"/>
      </rPr>
      <t>As per RERA, completion period of project Udaan Aria is expired on 31/07/2024 but still project is under construction.</t>
    </r>
    <r>
      <rPr>
        <b/>
        <sz val="11"/>
        <color indexed="8"/>
        <rFont val="Times New Roman"/>
        <family val="1"/>
      </rPr>
      <t xml:space="preserve">
6. We have updated All Wings approved plans &amp; CC on 16/12/2022
7. On site, we meet Mr. Yadav : 7064800625.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</si>
</sst>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sz val="12"/>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1"/>
      <color theme="1"/>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sz val="11"/>
      <name val="Calibri"/>
      <family val="2"/>
      <scheme val="minor"/>
    </font>
    <font>
      <b/>
      <sz val="11"/>
      <name val="Times New Roman"/>
      <family val="1"/>
    </font>
    <font>
      <sz val="11"/>
      <name val="Times New Roman"/>
      <family val="1"/>
    </font>
    <font>
      <sz val="11"/>
      <color rgb="FFFF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0" fillId="0" borderId="0"/>
    <xf numFmtId="0" fontId="10" fillId="0" borderId="0"/>
    <xf numFmtId="0" fontId="9" fillId="0" borderId="0"/>
    <xf numFmtId="0" fontId="10" fillId="0" borderId="0"/>
    <xf numFmtId="0" fontId="11" fillId="0" borderId="0"/>
    <xf numFmtId="0" fontId="25" fillId="0" borderId="0" applyNumberFormat="0" applyFill="0" applyBorder="0" applyAlignment="0" applyProtection="0"/>
  </cellStyleXfs>
  <cellXfs count="229">
    <xf numFmtId="0" fontId="0" fillId="0" borderId="0" xfId="0"/>
    <xf numFmtId="0" fontId="2" fillId="0" borderId="0" xfId="2"/>
    <xf numFmtId="0" fontId="4" fillId="0" borderId="1" xfId="0" applyFont="1" applyBorder="1" applyAlignment="1">
      <alignment horizontal="center" vertical="center"/>
    </xf>
    <xf numFmtId="1" fontId="4" fillId="0" borderId="2"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3" xfId="0" applyFont="1" applyBorder="1" applyAlignment="1">
      <alignment horizontal="center" vertical="center"/>
    </xf>
    <xf numFmtId="1" fontId="4" fillId="0" borderId="4" xfId="0" applyNumberFormat="1" applyFont="1" applyBorder="1" applyAlignment="1">
      <alignment horizontal="center" vertical="center" wrapText="1"/>
    </xf>
    <xf numFmtId="1" fontId="4" fillId="0" borderId="1" xfId="0" applyNumberFormat="1" applyFont="1" applyBorder="1" applyAlignment="1">
      <alignment horizontal="center" vertical="top" wrapText="1"/>
    </xf>
    <xf numFmtId="1" fontId="4" fillId="0" borderId="1" xfId="0" applyNumberFormat="1" applyFont="1" applyBorder="1" applyAlignment="1">
      <alignment vertical="top" wrapText="1"/>
    </xf>
    <xf numFmtId="0" fontId="12" fillId="2" borderId="1" xfId="0" applyFont="1" applyFill="1" applyBorder="1"/>
    <xf numFmtId="0" fontId="0" fillId="0" borderId="1" xfId="0" applyBorder="1"/>
    <xf numFmtId="0" fontId="0" fillId="0" borderId="3" xfId="0" applyBorder="1"/>
    <xf numFmtId="0" fontId="0" fillId="0" borderId="0" xfId="0" applyAlignment="1">
      <alignment wrapText="1"/>
    </xf>
    <xf numFmtId="0" fontId="0" fillId="0" borderId="1" xfId="0" applyBorder="1" applyAlignment="1">
      <alignment wrapText="1"/>
    </xf>
    <xf numFmtId="0" fontId="14" fillId="0" borderId="0" xfId="0" applyFont="1"/>
    <xf numFmtId="1" fontId="6" fillId="0" borderId="1" xfId="0" applyNumberFormat="1" applyFont="1" applyBorder="1" applyAlignment="1">
      <alignment horizontal="center" vertical="top" wrapText="1"/>
    </xf>
    <xf numFmtId="0" fontId="4" fillId="3" borderId="1" xfId="5" applyFont="1" applyFill="1" applyBorder="1" applyAlignment="1">
      <alignment horizontal="left" vertical="top"/>
    </xf>
    <xf numFmtId="0" fontId="4" fillId="3" borderId="1" xfId="5" applyFont="1" applyFill="1" applyBorder="1" applyAlignment="1">
      <alignment vertical="top"/>
    </xf>
    <xf numFmtId="1" fontId="3" fillId="0" borderId="1" xfId="0" applyNumberFormat="1" applyFont="1" applyBorder="1" applyAlignment="1">
      <alignment horizontal="center" vertical="top" wrapText="1"/>
    </xf>
    <xf numFmtId="2" fontId="4" fillId="0" borderId="2" xfId="0" applyNumberFormat="1" applyFont="1" applyBorder="1" applyAlignment="1">
      <alignment horizontal="center" vertical="center" wrapText="1"/>
    </xf>
    <xf numFmtId="0" fontId="12" fillId="0" borderId="0" xfId="0" applyFont="1"/>
    <xf numFmtId="0" fontId="0" fillId="2" borderId="1" xfId="0" applyFill="1" applyBorder="1"/>
    <xf numFmtId="0" fontId="0" fillId="0" borderId="5" xfId="0" applyBorder="1"/>
    <xf numFmtId="0" fontId="12" fillId="0" borderId="1" xfId="0" applyFont="1" applyBorder="1"/>
    <xf numFmtId="0" fontId="12" fillId="0" borderId="1" xfId="0" applyFont="1" applyBorder="1" applyAlignment="1">
      <alignment horizontal="center"/>
    </xf>
    <xf numFmtId="0" fontId="0" fillId="0" borderId="6" xfId="0" applyBorder="1"/>
    <xf numFmtId="1" fontId="6" fillId="0" borderId="1" xfId="0" applyNumberFormat="1" applyFont="1" applyBorder="1" applyAlignment="1">
      <alignment horizontal="center" vertical="center" wrapText="1"/>
    </xf>
    <xf numFmtId="1" fontId="4" fillId="0" borderId="2" xfId="0" applyNumberFormat="1" applyFont="1" applyBorder="1" applyAlignment="1">
      <alignment horizontal="center" vertical="top" wrapText="1"/>
    </xf>
    <xf numFmtId="0" fontId="4" fillId="0" borderId="1" xfId="0" applyFont="1" applyBorder="1" applyAlignment="1">
      <alignment vertical="top" wrapText="1"/>
    </xf>
    <xf numFmtId="1" fontId="4" fillId="0" borderId="1" xfId="0" quotePrefix="1" applyNumberFormat="1" applyFont="1" applyBorder="1" applyAlignment="1">
      <alignment horizontal="center" vertical="center" wrapText="1"/>
    </xf>
    <xf numFmtId="0" fontId="11" fillId="0" borderId="0" xfId="9"/>
    <xf numFmtId="0" fontId="1" fillId="0" borderId="0" xfId="3"/>
    <xf numFmtId="0" fontId="10" fillId="0" borderId="0" xfId="8"/>
    <xf numFmtId="0" fontId="12" fillId="0" borderId="1" xfId="8" applyFont="1" applyBorder="1" applyAlignment="1">
      <alignment horizontal="center" vertical="top" wrapText="1"/>
    </xf>
    <xf numFmtId="0" fontId="15" fillId="0" borderId="0" xfId="3" applyFont="1"/>
    <xf numFmtId="0" fontId="10" fillId="0" borderId="1" xfId="8" applyBorder="1" applyAlignment="1">
      <alignment horizontal="center" vertical="center"/>
    </xf>
    <xf numFmtId="1" fontId="10" fillId="0" borderId="1" xfId="8" applyNumberFormat="1" applyBorder="1" applyAlignment="1">
      <alignment horizontal="center" vertical="center"/>
    </xf>
    <xf numFmtId="165" fontId="10" fillId="0" borderId="1" xfId="1" applyNumberFormat="1" applyFont="1" applyBorder="1" applyAlignment="1">
      <alignment horizontal="right" vertical="center"/>
    </xf>
    <xf numFmtId="0" fontId="12" fillId="0" borderId="1" xfId="8" applyFont="1" applyBorder="1" applyAlignment="1">
      <alignment horizontal="center" vertical="center"/>
    </xf>
    <xf numFmtId="1" fontId="13" fillId="0" borderId="1" xfId="8" applyNumberFormat="1" applyFont="1" applyBorder="1" applyAlignment="1">
      <alignment horizontal="center" vertical="center"/>
    </xf>
    <xf numFmtId="0" fontId="1" fillId="0" borderId="1" xfId="3" applyBorder="1" applyAlignment="1">
      <alignment horizontal="center" vertical="center"/>
    </xf>
    <xf numFmtId="0" fontId="10" fillId="0" borderId="1" xfId="8" applyBorder="1" applyAlignment="1">
      <alignment horizontal="left" vertical="center"/>
    </xf>
    <xf numFmtId="0" fontId="17" fillId="0" borderId="21" xfId="6" applyFont="1" applyBorder="1" applyProtection="1">
      <protection hidden="1"/>
    </xf>
    <xf numFmtId="0" fontId="17" fillId="0" borderId="22" xfId="6" applyFont="1" applyBorder="1" applyProtection="1">
      <protection hidden="1"/>
    </xf>
    <xf numFmtId="0" fontId="17" fillId="0" borderId="0" xfId="6" applyFont="1" applyProtection="1">
      <protection hidden="1"/>
    </xf>
    <xf numFmtId="0" fontId="17" fillId="0" borderId="25" xfId="6" applyFont="1" applyBorder="1" applyProtection="1">
      <protection hidden="1"/>
    </xf>
    <xf numFmtId="0" fontId="20" fillId="0" borderId="0" xfId="0" applyFont="1" applyProtection="1">
      <protection hidden="1"/>
    </xf>
    <xf numFmtId="0" fontId="17" fillId="0" borderId="25" xfId="6" applyFont="1" applyBorder="1"/>
    <xf numFmtId="0" fontId="20" fillId="0" borderId="25" xfId="0" applyFont="1" applyBorder="1" applyProtection="1">
      <protection hidden="1"/>
    </xf>
    <xf numFmtId="1" fontId="0" fillId="0" borderId="25" xfId="0" applyNumberFormat="1" applyBorder="1"/>
    <xf numFmtId="1" fontId="0" fillId="0" borderId="25" xfId="0" applyNumberFormat="1" applyBorder="1" applyAlignment="1">
      <alignment horizontal="right"/>
    </xf>
    <xf numFmtId="0" fontId="20" fillId="0" borderId="34" xfId="0" applyFont="1" applyBorder="1" applyProtection="1">
      <protection hidden="1"/>
    </xf>
    <xf numFmtId="1" fontId="0" fillId="0" borderId="35" xfId="0" applyNumberFormat="1" applyBorder="1"/>
    <xf numFmtId="0" fontId="18" fillId="0" borderId="1" xfId="6" applyFont="1" applyBorder="1" applyAlignment="1" applyProtection="1">
      <alignment horizontal="center" wrapText="1"/>
      <protection locked="0"/>
    </xf>
    <xf numFmtId="1" fontId="18" fillId="0" borderId="1" xfId="6" applyNumberFormat="1" applyFont="1" applyBorder="1" applyAlignment="1" applyProtection="1">
      <alignment horizontal="center" wrapText="1"/>
      <protection locked="0"/>
    </xf>
    <xf numFmtId="0" fontId="18" fillId="0" borderId="30" xfId="6" applyFont="1" applyBorder="1" applyAlignment="1" applyProtection="1">
      <alignment horizontal="center" wrapText="1"/>
      <protection locked="0"/>
    </xf>
    <xf numFmtId="0" fontId="4" fillId="0" borderId="3" xfId="0" applyFont="1" applyBorder="1" applyAlignment="1">
      <alignment horizontal="left" vertical="top" wrapText="1"/>
    </xf>
    <xf numFmtId="1" fontId="6" fillId="0" borderId="2" xfId="0" applyNumberFormat="1" applyFont="1" applyBorder="1" applyAlignment="1">
      <alignment horizontal="center" vertical="center" wrapText="1"/>
    </xf>
    <xf numFmtId="1" fontId="0" fillId="0" borderId="0" xfId="0" applyNumberFormat="1"/>
    <xf numFmtId="0" fontId="13" fillId="0" borderId="0" xfId="0" applyFont="1"/>
    <xf numFmtId="1" fontId="0" fillId="0" borderId="0" xfId="0" applyNumberFormat="1" applyAlignment="1">
      <alignment horizontal="center" vertical="center"/>
    </xf>
    <xf numFmtId="1" fontId="0" fillId="0" borderId="1" xfId="0" applyNumberFormat="1" applyBorder="1" applyAlignment="1">
      <alignment horizontal="center" vertical="center"/>
    </xf>
    <xf numFmtId="1" fontId="16"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1" fontId="23" fillId="0" borderId="2" xfId="0" applyNumberFormat="1" applyFont="1" applyBorder="1" applyAlignment="1">
      <alignment horizontal="center" vertical="center" wrapText="1"/>
    </xf>
    <xf numFmtId="0" fontId="3" fillId="0" borderId="1" xfId="0" applyFont="1" applyBorder="1" applyAlignment="1">
      <alignment vertical="top"/>
    </xf>
    <xf numFmtId="1" fontId="24" fillId="0" borderId="2"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0" fontId="0" fillId="2" borderId="0" xfId="0" applyFill="1"/>
    <xf numFmtId="14" fontId="0" fillId="2" borderId="0" xfId="0" applyNumberFormat="1" applyFill="1"/>
    <xf numFmtId="14" fontId="0" fillId="0" borderId="0" xfId="0" applyNumberFormat="1"/>
    <xf numFmtId="0" fontId="18" fillId="0" borderId="1" xfId="6" applyFont="1" applyBorder="1" applyAlignment="1" applyProtection="1">
      <alignment horizontal="center" vertical="top" wrapText="1"/>
      <protection locked="0"/>
    </xf>
    <xf numFmtId="0" fontId="18" fillId="0" borderId="23" xfId="6" applyFont="1" applyBorder="1" applyAlignment="1" applyProtection="1">
      <alignment horizontal="center" vertical="top"/>
      <protection locked="0"/>
    </xf>
    <xf numFmtId="0" fontId="18" fillId="0" borderId="1" xfId="6" applyFont="1" applyBorder="1" applyAlignment="1" applyProtection="1">
      <alignment horizontal="center" vertical="top"/>
      <protection locked="0"/>
    </xf>
    <xf numFmtId="0" fontId="18" fillId="0" borderId="1" xfId="6" applyFont="1" applyBorder="1" applyAlignment="1" applyProtection="1">
      <alignment horizontal="center" vertical="top" wrapText="1"/>
      <protection locked="0"/>
    </xf>
    <xf numFmtId="0" fontId="18" fillId="0" borderId="1" xfId="6" applyFont="1" applyBorder="1" applyAlignment="1" applyProtection="1">
      <alignment horizontal="center" vertical="top"/>
      <protection locked="0"/>
    </xf>
    <xf numFmtId="0" fontId="4" fillId="0" borderId="1" xfId="0" applyFont="1" applyBorder="1" applyAlignment="1">
      <alignment horizontal="left" vertical="top" wrapText="1"/>
    </xf>
    <xf numFmtId="0" fontId="4" fillId="0" borderId="13" xfId="0" applyFont="1" applyBorder="1" applyAlignment="1">
      <alignment horizontal="center" vertical="top"/>
    </xf>
    <xf numFmtId="0" fontId="5" fillId="0" borderId="15" xfId="0" applyFont="1" applyBorder="1" applyAlignment="1">
      <alignment horizontal="center" vertical="top"/>
    </xf>
    <xf numFmtId="0" fontId="25" fillId="0" borderId="13" xfId="10"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center" vertical="top"/>
    </xf>
    <xf numFmtId="1" fontId="4" fillId="0" borderId="13" xfId="0" applyNumberFormat="1" applyFont="1" applyBorder="1" applyAlignment="1">
      <alignment horizontal="center" vertical="center"/>
    </xf>
    <xf numFmtId="1" fontId="4" fillId="0" borderId="14" xfId="0" applyNumberFormat="1" applyFont="1" applyBorder="1" applyAlignment="1">
      <alignment horizontal="center" vertical="center"/>
    </xf>
    <xf numFmtId="1" fontId="4" fillId="0" borderId="15" xfId="0" applyNumberFormat="1" applyFont="1" applyBorder="1" applyAlignment="1">
      <alignment horizontal="center" vertical="center"/>
    </xf>
    <xf numFmtId="1" fontId="4" fillId="0" borderId="13" xfId="0" applyNumberFormat="1" applyFont="1" applyBorder="1" applyAlignment="1">
      <alignment horizontal="center" vertical="top"/>
    </xf>
    <xf numFmtId="0" fontId="4" fillId="0" borderId="14" xfId="0" applyFont="1" applyBorder="1" applyAlignment="1">
      <alignment horizontal="center" vertical="top"/>
    </xf>
    <xf numFmtId="1" fontId="4" fillId="0" borderId="14" xfId="0" applyNumberFormat="1" applyFont="1" applyBorder="1" applyAlignment="1">
      <alignment horizontal="center" vertical="top"/>
    </xf>
    <xf numFmtId="1" fontId="4" fillId="0" borderId="15" xfId="0" applyNumberFormat="1" applyFont="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horizontal="center" vertical="top"/>
    </xf>
    <xf numFmtId="0" fontId="4" fillId="0" borderId="10" xfId="0" applyFont="1" applyBorder="1" applyAlignment="1">
      <alignment horizontal="left" vertical="top"/>
    </xf>
    <xf numFmtId="0" fontId="4" fillId="0" borderId="6" xfId="0" applyFont="1" applyBorder="1" applyAlignment="1">
      <alignment horizontal="left" vertical="top"/>
    </xf>
    <xf numFmtId="0" fontId="4" fillId="0" borderId="11" xfId="0" applyFont="1" applyBorder="1" applyAlignment="1">
      <alignment horizontal="left" vertical="top"/>
    </xf>
    <xf numFmtId="0" fontId="7" fillId="0" borderId="1" xfId="0" applyFont="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horizontal="left" vertical="top"/>
    </xf>
    <xf numFmtId="0" fontId="22" fillId="0" borderId="1" xfId="0" applyFont="1" applyBorder="1" applyAlignment="1">
      <alignment horizontal="center" vertical="center"/>
    </xf>
    <xf numFmtId="1" fontId="6" fillId="0" borderId="9" xfId="0" applyNumberFormat="1" applyFont="1" applyBorder="1" applyAlignment="1">
      <alignment horizontal="center" vertical="center" wrapText="1"/>
    </xf>
    <xf numFmtId="0" fontId="22" fillId="0" borderId="13" xfId="0" applyFont="1" applyBorder="1" applyAlignment="1">
      <alignment horizontal="center" vertical="top"/>
    </xf>
    <xf numFmtId="0" fontId="22" fillId="0" borderId="14" xfId="0" applyFont="1" applyBorder="1" applyAlignment="1">
      <alignment horizontal="center" vertical="top"/>
    </xf>
    <xf numFmtId="0" fontId="22" fillId="0" borderId="15" xfId="0" applyFont="1" applyBorder="1" applyAlignment="1">
      <alignment horizontal="center" vertical="top"/>
    </xf>
    <xf numFmtId="0" fontId="4" fillId="0" borderId="13" xfId="5" applyFont="1" applyBorder="1" applyAlignment="1">
      <alignment horizontal="left" vertical="top" wrapText="1"/>
    </xf>
    <xf numFmtId="0" fontId="4" fillId="0" borderId="15" xfId="5" applyFont="1" applyBorder="1" applyAlignment="1">
      <alignment horizontal="left" vertical="top" wrapText="1"/>
    </xf>
    <xf numFmtId="0" fontId="4" fillId="0" borderId="1" xfId="0" applyFont="1" applyBorder="1" applyAlignment="1">
      <alignment horizontal="left" vertical="top" wrapText="1"/>
    </xf>
    <xf numFmtId="14" fontId="4" fillId="0" borderId="10" xfId="0" applyNumberFormat="1" applyFont="1" applyBorder="1" applyAlignment="1">
      <alignment horizontal="left" vertical="top"/>
    </xf>
    <xf numFmtId="0" fontId="1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13" xfId="0" applyFont="1" applyBorder="1" applyAlignment="1">
      <alignment horizontal="center" vertical="top"/>
    </xf>
    <xf numFmtId="0" fontId="3" fillId="0" borderId="15" xfId="0" applyFont="1" applyBorder="1" applyAlignment="1">
      <alignment horizontal="center" vertical="top"/>
    </xf>
    <xf numFmtId="1" fontId="4" fillId="0" borderId="1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0" fontId="22" fillId="0" borderId="1" xfId="0" applyFont="1" applyBorder="1" applyAlignment="1">
      <alignment horizontal="center" vertical="top"/>
    </xf>
    <xf numFmtId="1" fontId="6"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18" fillId="0" borderId="23" xfId="6" applyFont="1" applyBorder="1" applyAlignment="1" applyProtection="1">
      <alignment horizontal="center" vertical="top" wrapText="1"/>
      <protection locked="0"/>
    </xf>
    <xf numFmtId="0" fontId="18" fillId="0" borderId="1" xfId="6" applyFont="1" applyBorder="1" applyAlignment="1" applyProtection="1">
      <alignment horizontal="center" vertical="top" wrapText="1"/>
      <protection locked="0"/>
    </xf>
    <xf numFmtId="9" fontId="18" fillId="3" borderId="13" xfId="6" applyNumberFormat="1" applyFont="1" applyFill="1" applyBorder="1" applyAlignment="1" applyProtection="1">
      <alignment horizontal="center" vertical="center" wrapText="1"/>
      <protection hidden="1"/>
    </xf>
    <xf numFmtId="9" fontId="18" fillId="3" borderId="15" xfId="6" applyNumberFormat="1" applyFont="1" applyFill="1" applyBorder="1" applyAlignment="1" applyProtection="1">
      <alignment horizontal="center" vertical="center" wrapText="1"/>
      <protection hidden="1"/>
    </xf>
    <xf numFmtId="9" fontId="18" fillId="3" borderId="1" xfId="6" applyNumberFormat="1" applyFont="1" applyFill="1" applyBorder="1" applyAlignment="1" applyProtection="1">
      <alignment horizontal="center" vertical="center" wrapText="1"/>
      <protection hidden="1"/>
    </xf>
    <xf numFmtId="9" fontId="18" fillId="3" borderId="30" xfId="6" applyNumberFormat="1" applyFont="1" applyFill="1" applyBorder="1" applyAlignment="1" applyProtection="1">
      <alignment horizontal="center" vertical="center" wrapText="1"/>
      <protection hidden="1"/>
    </xf>
    <xf numFmtId="9" fontId="18" fillId="3" borderId="10" xfId="6" applyNumberFormat="1" applyFont="1" applyFill="1" applyBorder="1" applyAlignment="1" applyProtection="1">
      <alignment horizontal="center" vertical="center" wrapText="1"/>
      <protection hidden="1"/>
    </xf>
    <xf numFmtId="9" fontId="18" fillId="3" borderId="6" xfId="6" applyNumberFormat="1" applyFont="1" applyFill="1" applyBorder="1" applyAlignment="1" applyProtection="1">
      <alignment horizontal="center" vertical="center" wrapText="1"/>
      <protection hidden="1"/>
    </xf>
    <xf numFmtId="9" fontId="18" fillId="3" borderId="28" xfId="6" applyNumberFormat="1" applyFont="1" applyFill="1" applyBorder="1" applyAlignment="1" applyProtection="1">
      <alignment horizontal="center" vertical="center" wrapText="1"/>
      <protection hidden="1"/>
    </xf>
    <xf numFmtId="9" fontId="18" fillId="3" borderId="9" xfId="6" applyNumberFormat="1" applyFont="1" applyFill="1" applyBorder="1" applyAlignment="1" applyProtection="1">
      <alignment horizontal="center" vertical="center" wrapText="1"/>
      <protection hidden="1"/>
    </xf>
    <xf numFmtId="9" fontId="18" fillId="3" borderId="0" xfId="6" applyNumberFormat="1" applyFont="1" applyFill="1" applyAlignment="1" applyProtection="1">
      <alignment horizontal="center" vertical="center" wrapText="1"/>
      <protection hidden="1"/>
    </xf>
    <xf numFmtId="9" fontId="18" fillId="3" borderId="25" xfId="6" applyNumberFormat="1" applyFont="1" applyFill="1" applyBorder="1" applyAlignment="1" applyProtection="1">
      <alignment horizontal="center" vertical="center" wrapText="1"/>
      <protection hidden="1"/>
    </xf>
    <xf numFmtId="9" fontId="18" fillId="3" borderId="33" xfId="6" applyNumberFormat="1" applyFont="1" applyFill="1" applyBorder="1" applyAlignment="1" applyProtection="1">
      <alignment horizontal="center" vertical="center" wrapText="1"/>
      <protection hidden="1"/>
    </xf>
    <xf numFmtId="9" fontId="18" fillId="3" borderId="34" xfId="6" applyNumberFormat="1" applyFont="1" applyFill="1" applyBorder="1" applyAlignment="1" applyProtection="1">
      <alignment horizontal="center" vertical="center" wrapText="1"/>
      <protection hidden="1"/>
    </xf>
    <xf numFmtId="9" fontId="18" fillId="3" borderId="35" xfId="6" applyNumberFormat="1" applyFont="1" applyFill="1" applyBorder="1" applyAlignment="1" applyProtection="1">
      <alignment horizontal="center" vertical="center" wrapText="1"/>
      <protection hidden="1"/>
    </xf>
    <xf numFmtId="0" fontId="18" fillId="0" borderId="23" xfId="6" applyFont="1" applyBorder="1" applyAlignment="1" applyProtection="1">
      <alignment horizontal="center" vertical="top"/>
      <protection locked="0"/>
    </xf>
    <xf numFmtId="0" fontId="18" fillId="0" borderId="1" xfId="6" applyFont="1" applyBorder="1" applyAlignment="1" applyProtection="1">
      <alignment horizontal="center" vertical="top"/>
      <protection locked="0"/>
    </xf>
    <xf numFmtId="0" fontId="18" fillId="0" borderId="29" xfId="6" applyFont="1" applyBorder="1" applyAlignment="1" applyProtection="1">
      <alignment horizontal="center" vertical="top" wrapText="1"/>
      <protection locked="0"/>
    </xf>
    <xf numFmtId="0" fontId="18" fillId="0" borderId="30" xfId="6" applyFont="1" applyBorder="1" applyAlignment="1" applyProtection="1">
      <alignment horizontal="center" vertical="top" wrapText="1"/>
      <protection locked="0"/>
    </xf>
    <xf numFmtId="9" fontId="18" fillId="3" borderId="31" xfId="6" applyNumberFormat="1" applyFont="1" applyFill="1" applyBorder="1" applyAlignment="1" applyProtection="1">
      <alignment horizontal="center" vertical="center" wrapText="1"/>
      <protection hidden="1"/>
    </xf>
    <xf numFmtId="9" fontId="18" fillId="3" borderId="32" xfId="6" applyNumberFormat="1" applyFont="1" applyFill="1" applyBorder="1" applyAlignment="1" applyProtection="1">
      <alignment horizontal="center" vertical="center" wrapText="1"/>
      <protection hidden="1"/>
    </xf>
    <xf numFmtId="0" fontId="19" fillId="0" borderId="16" xfId="6" applyFont="1" applyBorder="1" applyAlignment="1" applyProtection="1">
      <alignment horizontal="center" vertical="top" wrapText="1"/>
      <protection locked="0"/>
    </xf>
    <xf numFmtId="0" fontId="19" fillId="0" borderId="17" xfId="6" applyFont="1" applyBorder="1" applyAlignment="1" applyProtection="1">
      <alignment horizontal="center" vertical="top" wrapText="1"/>
      <protection locked="0"/>
    </xf>
    <xf numFmtId="0" fontId="19" fillId="0" borderId="18" xfId="6" applyFont="1" applyBorder="1" applyAlignment="1" applyProtection="1">
      <alignment horizontal="left" vertical="top" wrapText="1"/>
      <protection locked="0"/>
    </xf>
    <xf numFmtId="0" fontId="19" fillId="0" borderId="19" xfId="6" applyFont="1" applyBorder="1" applyAlignment="1" applyProtection="1">
      <alignment horizontal="left" vertical="top" wrapText="1"/>
      <protection locked="0"/>
    </xf>
    <xf numFmtId="0" fontId="19" fillId="0" borderId="20" xfId="6" applyFont="1" applyBorder="1" applyAlignment="1" applyProtection="1">
      <alignment horizontal="left" vertical="top" wrapText="1"/>
      <protection locked="0"/>
    </xf>
    <xf numFmtId="0" fontId="18" fillId="0" borderId="13" xfId="6" applyFont="1" applyBorder="1" applyAlignment="1" applyProtection="1">
      <alignment horizontal="center" vertical="top"/>
      <protection locked="0"/>
    </xf>
    <xf numFmtId="0" fontId="18" fillId="0" borderId="15" xfId="6" applyFont="1" applyBorder="1" applyAlignment="1" applyProtection="1">
      <alignment horizontal="center" vertical="top"/>
      <protection locked="0"/>
    </xf>
    <xf numFmtId="0" fontId="18" fillId="0" borderId="24" xfId="6" applyFont="1" applyBorder="1" applyAlignment="1" applyProtection="1">
      <alignment horizontal="center" vertical="top"/>
      <protection locked="0"/>
    </xf>
    <xf numFmtId="0" fontId="19" fillId="0" borderId="23" xfId="6" applyFont="1" applyBorder="1" applyAlignment="1" applyProtection="1">
      <alignment horizontal="left" vertical="top"/>
      <protection locked="0"/>
    </xf>
    <xf numFmtId="0" fontId="19" fillId="0" borderId="1" xfId="6" applyFont="1" applyBorder="1" applyAlignment="1" applyProtection="1">
      <alignment horizontal="left" vertical="top"/>
      <protection locked="0"/>
    </xf>
    <xf numFmtId="0" fontId="19" fillId="0" borderId="13" xfId="6" applyFont="1" applyBorder="1" applyAlignment="1" applyProtection="1">
      <alignment horizontal="left" vertical="top" wrapText="1"/>
      <protection locked="0"/>
    </xf>
    <xf numFmtId="0" fontId="19" fillId="0" borderId="14" xfId="6" applyFont="1" applyBorder="1" applyAlignment="1" applyProtection="1">
      <alignment horizontal="left" vertical="top" wrapText="1"/>
      <protection locked="0"/>
    </xf>
    <xf numFmtId="0" fontId="19" fillId="0" borderId="24" xfId="6" applyFont="1" applyBorder="1" applyAlignment="1" applyProtection="1">
      <alignment horizontal="left" vertical="top" wrapText="1"/>
      <protection locked="0"/>
    </xf>
    <xf numFmtId="0" fontId="18" fillId="0" borderId="26" xfId="6" applyFont="1" applyBorder="1" applyAlignment="1" applyProtection="1">
      <alignment horizontal="center" vertical="top" wrapText="1"/>
      <protection locked="0"/>
    </xf>
    <xf numFmtId="0" fontId="18" fillId="0" borderId="15" xfId="6" applyFont="1" applyBorder="1" applyAlignment="1" applyProtection="1">
      <alignment horizontal="center" vertical="top" wrapText="1"/>
      <protection locked="0"/>
    </xf>
    <xf numFmtId="0" fontId="18" fillId="0" borderId="27" xfId="6" applyFont="1" applyBorder="1" applyAlignment="1" applyProtection="1">
      <alignment horizontal="center" vertical="top" wrapText="1"/>
      <protection locked="0"/>
    </xf>
    <xf numFmtId="0" fontId="5" fillId="0" borderId="1" xfId="0" applyFont="1" applyBorder="1" applyAlignment="1">
      <alignment vertical="top"/>
    </xf>
    <xf numFmtId="0" fontId="23" fillId="0" borderId="1" xfId="0" applyFont="1" applyBorder="1" applyAlignment="1">
      <alignment horizontal="left" vertical="top"/>
    </xf>
    <xf numFmtId="0" fontId="3" fillId="0" borderId="1" xfId="0" applyFont="1" applyBorder="1" applyAlignment="1">
      <alignment vertical="top" wrapText="1"/>
    </xf>
    <xf numFmtId="0" fontId="7" fillId="0" borderId="1" xfId="0" applyFont="1" applyBorder="1" applyAlignment="1">
      <alignment vertical="top" wrapText="1"/>
    </xf>
    <xf numFmtId="1" fontId="8" fillId="0" borderId="10" xfId="0" applyNumberFormat="1" applyFont="1" applyBorder="1" applyAlignment="1">
      <alignment horizontal="center" vertical="center"/>
    </xf>
    <xf numFmtId="1" fontId="8" fillId="0" borderId="11" xfId="0" applyNumberFormat="1" applyFont="1" applyBorder="1" applyAlignment="1">
      <alignment horizontal="center" vertical="center"/>
    </xf>
    <xf numFmtId="1" fontId="8" fillId="0" borderId="9" xfId="0" applyNumberFormat="1" applyFont="1" applyBorder="1" applyAlignment="1">
      <alignment horizontal="center" vertical="center"/>
    </xf>
    <xf numFmtId="1" fontId="8" fillId="0" borderId="8" xfId="0" applyNumberFormat="1" applyFont="1" applyBorder="1" applyAlignment="1">
      <alignment horizontal="center" vertical="center"/>
    </xf>
    <xf numFmtId="1" fontId="8" fillId="0" borderId="7" xfId="0" applyNumberFormat="1" applyFont="1" applyBorder="1" applyAlignment="1">
      <alignment horizontal="center" vertical="center"/>
    </xf>
    <xf numFmtId="1" fontId="8" fillId="0" borderId="12" xfId="0" applyNumberFormat="1" applyFont="1" applyBorder="1" applyAlignment="1">
      <alignment horizontal="center" vertical="center"/>
    </xf>
    <xf numFmtId="0" fontId="7" fillId="0" borderId="1" xfId="0" applyFont="1" applyBorder="1" applyAlignment="1">
      <alignment horizontal="center" vertical="top"/>
    </xf>
    <xf numFmtId="14" fontId="4" fillId="0" borderId="1" xfId="0" applyNumberFormat="1"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16" fillId="0" borderId="10" xfId="0" applyFont="1" applyBorder="1" applyAlignment="1">
      <alignment horizontal="left" vertical="top" wrapText="1"/>
    </xf>
    <xf numFmtId="0" fontId="16" fillId="0" borderId="6" xfId="0" applyFont="1" applyBorder="1" applyAlignment="1">
      <alignment horizontal="left" vertical="top" wrapText="1"/>
    </xf>
    <xf numFmtId="0" fontId="16" fillId="0" borderId="11" xfId="0" applyFont="1" applyBorder="1" applyAlignment="1">
      <alignment horizontal="left" vertical="top" wrapText="1"/>
    </xf>
    <xf numFmtId="0" fontId="16" fillId="0" borderId="7" xfId="0" applyFont="1" applyBorder="1" applyAlignment="1">
      <alignment horizontal="left" vertical="top" wrapText="1"/>
    </xf>
    <xf numFmtId="0" fontId="16" fillId="0" borderId="5" xfId="0" applyFont="1" applyBorder="1" applyAlignment="1">
      <alignment horizontal="left" vertical="top" wrapText="1"/>
    </xf>
    <xf numFmtId="0" fontId="16" fillId="0" borderId="12" xfId="0" applyFont="1" applyBorder="1" applyAlignment="1">
      <alignment horizontal="left" vertical="top" wrapText="1"/>
    </xf>
    <xf numFmtId="0" fontId="5" fillId="0" borderId="1" xfId="0" applyFont="1" applyBorder="1" applyAlignment="1">
      <alignment horizontal="left" vertical="top" wrapText="1"/>
    </xf>
    <xf numFmtId="0" fontId="4"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16" fillId="0" borderId="1" xfId="0" applyFont="1" applyBorder="1" applyAlignment="1">
      <alignment horizontal="left"/>
    </xf>
    <xf numFmtId="0" fontId="4" fillId="0" borderId="1" xfId="0" applyFont="1" applyBorder="1" applyAlignment="1">
      <alignment horizontal="center" vertical="top"/>
    </xf>
    <xf numFmtId="0" fontId="4" fillId="3" borderId="13" xfId="5" applyFont="1" applyFill="1" applyBorder="1" applyAlignment="1">
      <alignment horizontal="left" vertical="top" wrapText="1"/>
    </xf>
    <xf numFmtId="0" fontId="4" fillId="0" borderId="14" xfId="5" applyFont="1" applyBorder="1" applyAlignment="1">
      <alignment horizontal="left" vertical="top" wrapText="1"/>
    </xf>
    <xf numFmtId="1" fontId="6" fillId="0" borderId="1" xfId="0" applyNumberFormat="1" applyFont="1" applyBorder="1" applyAlignment="1">
      <alignment horizontal="center" vertical="center" wrapText="1"/>
    </xf>
    <xf numFmtId="1" fontId="3" fillId="0" borderId="13" xfId="0" applyNumberFormat="1" applyFont="1" applyBorder="1" applyAlignment="1">
      <alignment horizontal="center" vertical="top"/>
    </xf>
    <xf numFmtId="0" fontId="3" fillId="0" borderId="14" xfId="0" applyFont="1" applyBorder="1" applyAlignment="1">
      <alignment horizontal="center" vertical="top"/>
    </xf>
    <xf numFmtId="0" fontId="5" fillId="0" borderId="14" xfId="0" applyFont="1" applyBorder="1" applyAlignment="1">
      <alignment horizontal="center" vertical="top"/>
    </xf>
    <xf numFmtId="1" fontId="6" fillId="0" borderId="36" xfId="0" applyNumberFormat="1" applyFont="1" applyBorder="1" applyAlignment="1">
      <alignment horizontal="center" vertical="center" wrapText="1"/>
    </xf>
    <xf numFmtId="1" fontId="4" fillId="0" borderId="33" xfId="0" applyNumberFormat="1" applyFont="1" applyBorder="1" applyAlignment="1">
      <alignment horizontal="center" vertical="center" wrapText="1"/>
    </xf>
    <xf numFmtId="1" fontId="4" fillId="0" borderId="37" xfId="0" applyNumberFormat="1" applyFont="1" applyBorder="1" applyAlignment="1">
      <alignment horizontal="center" vertical="center" wrapText="1"/>
    </xf>
    <xf numFmtId="0" fontId="3" fillId="0" borderId="1" xfId="0" applyFont="1" applyBorder="1" applyAlignment="1">
      <alignment horizontal="center" vertical="top" wrapText="1"/>
    </xf>
    <xf numFmtId="0" fontId="7" fillId="0" borderId="1" xfId="0" applyFont="1" applyBorder="1" applyAlignment="1">
      <alignment horizontal="center" vertical="top" wrapText="1"/>
    </xf>
    <xf numFmtId="0" fontId="4" fillId="0" borderId="13" xfId="0" applyFont="1" applyBorder="1" applyAlignment="1">
      <alignment horizontal="left" vertical="top"/>
    </xf>
    <xf numFmtId="0" fontId="4" fillId="3" borderId="14" xfId="5" applyFont="1" applyFill="1" applyBorder="1" applyAlignment="1">
      <alignment horizontal="left" vertical="top"/>
    </xf>
    <xf numFmtId="0" fontId="4" fillId="3" borderId="15" xfId="5" applyFont="1" applyFill="1" applyBorder="1" applyAlignment="1">
      <alignment horizontal="left" vertical="top"/>
    </xf>
    <xf numFmtId="0" fontId="5" fillId="0" borderId="3" xfId="0" applyFont="1" applyBorder="1" applyAlignment="1">
      <alignment horizontal="left" vertical="top"/>
    </xf>
    <xf numFmtId="0" fontId="4" fillId="0" borderId="13" xfId="0" applyFont="1" applyBorder="1" applyAlignment="1">
      <alignment horizontal="center" vertical="center" wrapText="1"/>
    </xf>
    <xf numFmtId="0" fontId="0" fillId="0" borderId="0" xfId="0" applyAlignment="1">
      <alignment horizontal="center"/>
    </xf>
    <xf numFmtId="0" fontId="4"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3" fillId="0" borderId="13" xfId="2" applyFont="1" applyBorder="1" applyAlignment="1">
      <alignment vertical="top" wrapText="1"/>
    </xf>
    <xf numFmtId="0" fontId="3" fillId="0" borderId="14" xfId="2" applyFont="1" applyBorder="1" applyAlignment="1">
      <alignment vertical="top" wrapText="1"/>
    </xf>
    <xf numFmtId="0" fontId="3" fillId="0" borderId="15" xfId="2" applyFont="1" applyBorder="1" applyAlignment="1">
      <alignment vertical="top" wrapText="1"/>
    </xf>
    <xf numFmtId="0" fontId="5" fillId="0" borderId="13" xfId="0" applyFont="1" applyBorder="1" applyAlignment="1">
      <alignment vertical="top"/>
    </xf>
    <xf numFmtId="1" fontId="6" fillId="0" borderId="13" xfId="0" applyNumberFormat="1" applyFont="1" applyBorder="1" applyAlignment="1">
      <alignment horizontal="center" vertical="top" wrapText="1"/>
    </xf>
    <xf numFmtId="1" fontId="6" fillId="0" borderId="15" xfId="0" applyNumberFormat="1" applyFont="1" applyBorder="1" applyAlignment="1">
      <alignment horizontal="center" vertical="top" wrapText="1"/>
    </xf>
    <xf numFmtId="0" fontId="0" fillId="2" borderId="1" xfId="0" applyFill="1" applyBorder="1" applyAlignment="1">
      <alignment horizontal="center" wrapText="1"/>
    </xf>
    <xf numFmtId="0" fontId="12" fillId="0" borderId="1" xfId="0" applyFont="1" applyBorder="1" applyAlignment="1">
      <alignment horizontal="center"/>
    </xf>
    <xf numFmtId="0" fontId="12" fillId="0" borderId="1" xfId="8" applyFont="1" applyBorder="1" applyAlignment="1">
      <alignment horizontal="left"/>
    </xf>
    <xf numFmtId="0" fontId="4" fillId="0" borderId="1" xfId="5" applyFont="1" applyBorder="1" applyAlignment="1">
      <alignment horizontal="left" vertical="top" wrapText="1"/>
    </xf>
    <xf numFmtId="0" fontId="4" fillId="3" borderId="1" xfId="5" applyFont="1" applyFill="1" applyBorder="1" applyAlignment="1">
      <alignment horizontal="left" vertical="top" wrapText="1"/>
    </xf>
    <xf numFmtId="0" fontId="4" fillId="3" borderId="1" xfId="5" applyFont="1" applyFill="1" applyBorder="1" applyAlignment="1">
      <alignment horizontal="left" vertical="top"/>
    </xf>
    <xf numFmtId="14" fontId="4" fillId="0" borderId="1" xfId="5" applyNumberFormat="1" applyFont="1" applyBorder="1" applyAlignment="1">
      <alignment horizontal="left" vertical="top" wrapText="1"/>
    </xf>
    <xf numFmtId="0" fontId="19" fillId="0" borderId="1" xfId="6" applyFont="1" applyBorder="1" applyAlignment="1" applyProtection="1">
      <alignment horizontal="center" vertical="top" wrapText="1"/>
      <protection locked="0"/>
    </xf>
    <xf numFmtId="0" fontId="19" fillId="0" borderId="1" xfId="6" applyFont="1" applyBorder="1" applyAlignment="1" applyProtection="1">
      <alignment horizontal="left" vertical="top" wrapText="1"/>
      <protection locked="0"/>
    </xf>
  </cellXfs>
  <cellStyles count="11">
    <cellStyle name="Comma 2" xfId="1"/>
    <cellStyle name="Excel Built-in Normal" xfId="2"/>
    <cellStyle name="Excel Built-in Normal 2" xfId="3"/>
    <cellStyle name="Excel Built-in Normal 3" xfId="4"/>
    <cellStyle name="Hyperlink" xfId="10" builtinId="8"/>
    <cellStyle name="Normal" xfId="0" builtinId="0"/>
    <cellStyle name="Normal 2" xfId="5"/>
    <cellStyle name="Normal 3" xfId="6"/>
    <cellStyle name="Normal 3 3" xfId="7"/>
    <cellStyle name="Normal 4" xfId="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534829</xdr:colOff>
      <xdr:row>509</xdr:row>
      <xdr:rowOff>185627</xdr:rowOff>
    </xdr:from>
    <xdr:to>
      <xdr:col>8</xdr:col>
      <xdr:colOff>9744</xdr:colOff>
      <xdr:row>524</xdr:row>
      <xdr:rowOff>40038</xdr:rowOff>
    </xdr:to>
    <xdr:pic>
      <xdr:nvPicPr>
        <xdr:cNvPr id="11987" name="Picture 7">
          <a:extLst>
            <a:ext uri="{FF2B5EF4-FFF2-40B4-BE49-F238E27FC236}">
              <a16:creationId xmlns:a16="http://schemas.microsoft.com/office/drawing/2014/main" id="{00000000-0008-0000-0000-0000D32E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23503" y="105755757"/>
          <a:ext cx="4253980" cy="271191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520176</xdr:colOff>
      <xdr:row>525</xdr:row>
      <xdr:rowOff>3305</xdr:rowOff>
    </xdr:from>
    <xdr:to>
      <xdr:col>7</xdr:col>
      <xdr:colOff>644733</xdr:colOff>
      <xdr:row>539</xdr:row>
      <xdr:rowOff>48216</xdr:rowOff>
    </xdr:to>
    <xdr:pic>
      <xdr:nvPicPr>
        <xdr:cNvPr id="11988" name="Picture 8">
          <a:extLst>
            <a:ext uri="{FF2B5EF4-FFF2-40B4-BE49-F238E27FC236}">
              <a16:creationId xmlns:a16="http://schemas.microsoft.com/office/drawing/2014/main" id="{00000000-0008-0000-0000-0000D42E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08850" y="108621435"/>
          <a:ext cx="4249296" cy="271191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22225</xdr:colOff>
      <xdr:row>431</xdr:row>
      <xdr:rowOff>63500</xdr:rowOff>
    </xdr:from>
    <xdr:to>
      <xdr:col>14</xdr:col>
      <xdr:colOff>441325</xdr:colOff>
      <xdr:row>432</xdr:row>
      <xdr:rowOff>158750</xdr:rowOff>
    </xdr:to>
    <xdr:sp macro="" textlink="">
      <xdr:nvSpPr>
        <xdr:cNvPr id="11989" name="TextBox 1023">
          <a:extLst>
            <a:ext uri="{FF2B5EF4-FFF2-40B4-BE49-F238E27FC236}">
              <a16:creationId xmlns:a16="http://schemas.microsoft.com/office/drawing/2014/main" id="{00000000-0008-0000-0000-0000D52E0000}"/>
            </a:ext>
          </a:extLst>
        </xdr:cNvPr>
        <xdr:cNvSpPr txBox="1">
          <a:spLocks noChangeArrowheads="1"/>
        </xdr:cNvSpPr>
      </xdr:nvSpPr>
      <xdr:spPr bwMode="auto">
        <a:xfrm>
          <a:off x="6365875" y="90979625"/>
          <a:ext cx="3095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136525</xdr:colOff>
      <xdr:row>445</xdr:row>
      <xdr:rowOff>101600</xdr:rowOff>
    </xdr:from>
    <xdr:to>
      <xdr:col>13</xdr:col>
      <xdr:colOff>307975</xdr:colOff>
      <xdr:row>455</xdr:row>
      <xdr:rowOff>176600</xdr:rowOff>
    </xdr:to>
    <xdr:sp macro="" textlink="">
      <xdr:nvSpPr>
        <xdr:cNvPr id="11991" name="TextBox 67">
          <a:extLst>
            <a:ext uri="{FF2B5EF4-FFF2-40B4-BE49-F238E27FC236}">
              <a16:creationId xmlns:a16="http://schemas.microsoft.com/office/drawing/2014/main" id="{00000000-0008-0000-0000-0000D72E0000}"/>
            </a:ext>
          </a:extLst>
        </xdr:cNvPr>
        <xdr:cNvSpPr txBox="1">
          <a:spLocks noChangeArrowheads="1"/>
        </xdr:cNvSpPr>
      </xdr:nvSpPr>
      <xdr:spPr bwMode="auto">
        <a:xfrm>
          <a:off x="6986242" y="93479730"/>
          <a:ext cx="3078646" cy="19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311150</xdr:colOff>
      <xdr:row>445</xdr:row>
      <xdr:rowOff>107950</xdr:rowOff>
    </xdr:from>
    <xdr:to>
      <xdr:col>19</xdr:col>
      <xdr:colOff>133350</xdr:colOff>
      <xdr:row>447</xdr:row>
      <xdr:rowOff>19050</xdr:rowOff>
    </xdr:to>
    <xdr:sp macro="" textlink="">
      <xdr:nvSpPr>
        <xdr:cNvPr id="11992" name="TextBox 68">
          <a:extLst>
            <a:ext uri="{FF2B5EF4-FFF2-40B4-BE49-F238E27FC236}">
              <a16:creationId xmlns:a16="http://schemas.microsoft.com/office/drawing/2014/main" id="{00000000-0008-0000-0000-0000D82E0000}"/>
            </a:ext>
          </a:extLst>
        </xdr:cNvPr>
        <xdr:cNvSpPr txBox="1">
          <a:spLocks noChangeArrowheads="1"/>
        </xdr:cNvSpPr>
      </xdr:nvSpPr>
      <xdr:spPr bwMode="auto">
        <a:xfrm>
          <a:off x="10550525" y="93691075"/>
          <a:ext cx="16510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489585</xdr:colOff>
      <xdr:row>455</xdr:row>
      <xdr:rowOff>174625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900160" y="956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13</xdr:col>
      <xdr:colOff>489585</xdr:colOff>
      <xdr:row>461</xdr:row>
      <xdr:rowOff>171450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900160" y="968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13</xdr:col>
      <xdr:colOff>489585</xdr:colOff>
      <xdr:row>461</xdr:row>
      <xdr:rowOff>171450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900160" y="968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13</xdr:col>
      <xdr:colOff>489585</xdr:colOff>
      <xdr:row>461</xdr:row>
      <xdr:rowOff>171450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8900160" y="968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13</xdr:col>
      <xdr:colOff>489585</xdr:colOff>
      <xdr:row>461</xdr:row>
      <xdr:rowOff>171450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8900160" y="968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13</xdr:col>
      <xdr:colOff>489585</xdr:colOff>
      <xdr:row>461</xdr:row>
      <xdr:rowOff>171450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900160" y="968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190500</xdr:colOff>
      <xdr:row>467</xdr:row>
      <xdr:rowOff>104775</xdr:rowOff>
    </xdr:from>
    <xdr:to>
      <xdr:col>9</xdr:col>
      <xdr:colOff>323850</xdr:colOff>
      <xdr:row>504</xdr:row>
      <xdr:rowOff>47625</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 r="-221"/>
        <a:stretch/>
      </xdr:blipFill>
      <xdr:spPr>
        <a:xfrm>
          <a:off x="190500" y="97878900"/>
          <a:ext cx="5953125" cy="6991350"/>
        </a:xfrm>
        <a:prstGeom prst="rect">
          <a:avLst/>
        </a:prstGeom>
        <a:ln>
          <a:solidFill>
            <a:schemeClr val="tx1"/>
          </a:solidFill>
        </a:ln>
      </xdr:spPr>
    </xdr:pic>
    <xdr:clientData/>
  </xdr:twoCellAnchor>
  <xdr:twoCellAnchor>
    <xdr:from>
      <xdr:col>5</xdr:col>
      <xdr:colOff>253762</xdr:colOff>
      <xdr:row>492</xdr:row>
      <xdr:rowOff>41567</xdr:rowOff>
    </xdr:from>
    <xdr:to>
      <xdr:col>8</xdr:col>
      <xdr:colOff>288806</xdr:colOff>
      <xdr:row>503</xdr:row>
      <xdr:rowOff>38100</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a:off x="3863737" y="102702017"/>
          <a:ext cx="2092444" cy="2092033"/>
        </a:xfrm>
        <a:prstGeom prst="rect">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132992</xdr:colOff>
      <xdr:row>483</xdr:row>
      <xdr:rowOff>30783</xdr:rowOff>
    </xdr:from>
    <xdr:to>
      <xdr:col>8</xdr:col>
      <xdr:colOff>116278</xdr:colOff>
      <xdr:row>491</xdr:row>
      <xdr:rowOff>94044</xdr:rowOff>
    </xdr:to>
    <xdr:sp macro="" textlink="">
      <xdr:nvSpPr>
        <xdr:cNvPr id="49" name="Rectangle 48">
          <a:extLst>
            <a:ext uri="{FF2B5EF4-FFF2-40B4-BE49-F238E27FC236}">
              <a16:creationId xmlns:a16="http://schemas.microsoft.com/office/drawing/2014/main" id="{00000000-0008-0000-0000-000031000000}"/>
            </a:ext>
          </a:extLst>
        </xdr:cNvPr>
        <xdr:cNvSpPr/>
      </xdr:nvSpPr>
      <xdr:spPr>
        <a:xfrm>
          <a:off x="3485792" y="100852908"/>
          <a:ext cx="1897811" cy="158726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364059</xdr:colOff>
      <xdr:row>476</xdr:row>
      <xdr:rowOff>10590</xdr:rowOff>
    </xdr:from>
    <xdr:to>
      <xdr:col>3</xdr:col>
      <xdr:colOff>332958</xdr:colOff>
      <xdr:row>485</xdr:row>
      <xdr:rowOff>124890</xdr:rowOff>
    </xdr:to>
    <xdr:sp macro="" textlink="">
      <xdr:nvSpPr>
        <xdr:cNvPr id="50" name="Rectangle 49">
          <a:extLst>
            <a:ext uri="{FF2B5EF4-FFF2-40B4-BE49-F238E27FC236}">
              <a16:creationId xmlns:a16="http://schemas.microsoft.com/office/drawing/2014/main" id="{00000000-0008-0000-0000-000032000000}"/>
            </a:ext>
          </a:extLst>
        </xdr:cNvPr>
        <xdr:cNvSpPr/>
      </xdr:nvSpPr>
      <xdr:spPr>
        <a:xfrm rot="20817109">
          <a:off x="1830909" y="99499215"/>
          <a:ext cx="749949" cy="18288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304547</xdr:colOff>
      <xdr:row>476</xdr:row>
      <xdr:rowOff>74434</xdr:rowOff>
    </xdr:from>
    <xdr:to>
      <xdr:col>6</xdr:col>
      <xdr:colOff>418847</xdr:colOff>
      <xdr:row>480</xdr:row>
      <xdr:rowOff>62383</xdr:rowOff>
    </xdr:to>
    <xdr:sp macro="" textlink="">
      <xdr:nvSpPr>
        <xdr:cNvPr id="54" name="Rectangle 53">
          <a:extLst>
            <a:ext uri="{FF2B5EF4-FFF2-40B4-BE49-F238E27FC236}">
              <a16:creationId xmlns:a16="http://schemas.microsoft.com/office/drawing/2014/main" id="{00000000-0008-0000-0000-000036000000}"/>
            </a:ext>
          </a:extLst>
        </xdr:cNvPr>
        <xdr:cNvSpPr/>
      </xdr:nvSpPr>
      <xdr:spPr>
        <a:xfrm rot="16837310">
          <a:off x="3091872" y="99023634"/>
          <a:ext cx="749949" cy="1828800"/>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63769</xdr:colOff>
      <xdr:row>498</xdr:row>
      <xdr:rowOff>164714</xdr:rowOff>
    </xdr:from>
    <xdr:to>
      <xdr:col>4</xdr:col>
      <xdr:colOff>504467</xdr:colOff>
      <xdr:row>500</xdr:row>
      <xdr:rowOff>153046</xdr:rowOff>
    </xdr:to>
    <xdr:sp macro="" textlink="">
      <xdr:nvSpPr>
        <xdr:cNvPr id="55" name="TextBox 6">
          <a:extLst>
            <a:ext uri="{FF2B5EF4-FFF2-40B4-BE49-F238E27FC236}">
              <a16:creationId xmlns:a16="http://schemas.microsoft.com/office/drawing/2014/main" id="{00000000-0008-0000-0000-000037000000}"/>
            </a:ext>
          </a:extLst>
        </xdr:cNvPr>
        <xdr:cNvSpPr txBox="1"/>
      </xdr:nvSpPr>
      <xdr:spPr>
        <a:xfrm>
          <a:off x="1644919" y="103968164"/>
          <a:ext cx="1936123"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Type 3 Bldg 3 (D)</a:t>
          </a:r>
        </a:p>
      </xdr:txBody>
    </xdr:sp>
    <xdr:clientData/>
  </xdr:twoCellAnchor>
  <xdr:twoCellAnchor>
    <xdr:from>
      <xdr:col>6</xdr:col>
      <xdr:colOff>498175</xdr:colOff>
      <xdr:row>480</xdr:row>
      <xdr:rowOff>39840</xdr:rowOff>
    </xdr:from>
    <xdr:to>
      <xdr:col>9</xdr:col>
      <xdr:colOff>95814</xdr:colOff>
      <xdr:row>482</xdr:row>
      <xdr:rowOff>28172</xdr:rowOff>
    </xdr:to>
    <xdr:sp macro="" textlink="">
      <xdr:nvSpPr>
        <xdr:cNvPr id="61" name="TextBox 7">
          <a:extLst>
            <a:ext uri="{FF2B5EF4-FFF2-40B4-BE49-F238E27FC236}">
              <a16:creationId xmlns:a16="http://schemas.microsoft.com/office/drawing/2014/main" id="{00000000-0008-0000-0000-00003D000000}"/>
            </a:ext>
          </a:extLst>
        </xdr:cNvPr>
        <xdr:cNvSpPr txBox="1"/>
      </xdr:nvSpPr>
      <xdr:spPr>
        <a:xfrm>
          <a:off x="4460575" y="100290465"/>
          <a:ext cx="1455014"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chemeClr val="tx1">
                  <a:lumMod val="95000"/>
                  <a:lumOff val="5000"/>
                </a:schemeClr>
              </a:solidFill>
            </a:rPr>
            <a:t>Type 2 Bldg C</a:t>
          </a:r>
          <a:endParaRPr lang="en-IN" b="1">
            <a:solidFill>
              <a:schemeClr val="tx1">
                <a:lumMod val="95000"/>
                <a:lumOff val="5000"/>
              </a:schemeClr>
            </a:solidFill>
          </a:endParaRPr>
        </a:p>
      </xdr:txBody>
    </xdr:sp>
    <xdr:clientData/>
  </xdr:twoCellAnchor>
  <xdr:twoCellAnchor>
    <xdr:from>
      <xdr:col>3</xdr:col>
      <xdr:colOff>529721</xdr:colOff>
      <xdr:row>473</xdr:row>
      <xdr:rowOff>106035</xdr:rowOff>
    </xdr:from>
    <xdr:to>
      <xdr:col>6</xdr:col>
      <xdr:colOff>592439</xdr:colOff>
      <xdr:row>475</xdr:row>
      <xdr:rowOff>94367</xdr:rowOff>
    </xdr:to>
    <xdr:sp macro="" textlink="">
      <xdr:nvSpPr>
        <xdr:cNvPr id="62" name="TextBox 8">
          <a:extLst>
            <a:ext uri="{FF2B5EF4-FFF2-40B4-BE49-F238E27FC236}">
              <a16:creationId xmlns:a16="http://schemas.microsoft.com/office/drawing/2014/main" id="{00000000-0008-0000-0000-00003E000000}"/>
            </a:ext>
          </a:extLst>
        </xdr:cNvPr>
        <xdr:cNvSpPr txBox="1"/>
      </xdr:nvSpPr>
      <xdr:spPr>
        <a:xfrm>
          <a:off x="2777621" y="99023160"/>
          <a:ext cx="1777218"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chemeClr val="bg2">
                  <a:lumMod val="10000"/>
                </a:schemeClr>
              </a:solidFill>
            </a:rPr>
            <a:t>Type 4 Bldg 4 (B)</a:t>
          </a:r>
          <a:endParaRPr lang="en-IN" b="1">
            <a:solidFill>
              <a:schemeClr val="bg2">
                <a:lumMod val="10000"/>
              </a:schemeClr>
            </a:solidFill>
          </a:endParaRPr>
        </a:p>
      </xdr:txBody>
    </xdr:sp>
    <xdr:clientData/>
  </xdr:twoCellAnchor>
  <xdr:twoCellAnchor>
    <xdr:from>
      <xdr:col>0</xdr:col>
      <xdr:colOff>455269</xdr:colOff>
      <xdr:row>483</xdr:row>
      <xdr:rowOff>148226</xdr:rowOff>
    </xdr:from>
    <xdr:to>
      <xdr:col>2</xdr:col>
      <xdr:colOff>438624</xdr:colOff>
      <xdr:row>485</xdr:row>
      <xdr:rowOff>136558</xdr:rowOff>
    </xdr:to>
    <xdr:sp macro="" textlink="">
      <xdr:nvSpPr>
        <xdr:cNvPr id="63" name="TextBox 9">
          <a:extLst>
            <a:ext uri="{FF2B5EF4-FFF2-40B4-BE49-F238E27FC236}">
              <a16:creationId xmlns:a16="http://schemas.microsoft.com/office/drawing/2014/main" id="{00000000-0008-0000-0000-00003F000000}"/>
            </a:ext>
          </a:extLst>
        </xdr:cNvPr>
        <xdr:cNvSpPr txBox="1"/>
      </xdr:nvSpPr>
      <xdr:spPr>
        <a:xfrm>
          <a:off x="455269" y="100970351"/>
          <a:ext cx="1450205"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chemeClr val="bg2">
                  <a:lumMod val="10000"/>
                </a:schemeClr>
              </a:solidFill>
            </a:rPr>
            <a:t>Type 1 Bldg 1</a:t>
          </a:r>
        </a:p>
      </xdr:txBody>
    </xdr:sp>
    <xdr:clientData/>
  </xdr:twoCellAnchor>
  <xdr:twoCellAnchor>
    <xdr:from>
      <xdr:col>11</xdr:col>
      <xdr:colOff>589339</xdr:colOff>
      <xdr:row>423</xdr:row>
      <xdr:rowOff>75818</xdr:rowOff>
    </xdr:from>
    <xdr:to>
      <xdr:col>12</xdr:col>
      <xdr:colOff>247523</xdr:colOff>
      <xdr:row>424</xdr:row>
      <xdr:rowOff>119780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778643" y="89262948"/>
          <a:ext cx="271097" cy="234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a:t>
          </a:r>
        </a:p>
      </xdr:txBody>
    </xdr:sp>
    <xdr:clientData/>
  </xdr:twoCellAnchor>
  <xdr:twoCellAnchor>
    <xdr:from>
      <xdr:col>12</xdr:col>
      <xdr:colOff>332395</xdr:colOff>
      <xdr:row>423</xdr:row>
      <xdr:rowOff>55748</xdr:rowOff>
    </xdr:from>
    <xdr:to>
      <xdr:col>12</xdr:col>
      <xdr:colOff>603492</xdr:colOff>
      <xdr:row>424</xdr:row>
      <xdr:rowOff>99710</xdr:rowOff>
    </xdr:to>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8134612" y="89242878"/>
          <a:ext cx="271097" cy="234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12</xdr:col>
      <xdr:colOff>936842</xdr:colOff>
      <xdr:row>423</xdr:row>
      <xdr:rowOff>77729</xdr:rowOff>
    </xdr:from>
    <xdr:to>
      <xdr:col>12</xdr:col>
      <xdr:colOff>1207939</xdr:colOff>
      <xdr:row>424</xdr:row>
      <xdr:rowOff>121691</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8739059" y="89264859"/>
          <a:ext cx="271097" cy="234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D</a:t>
          </a:r>
        </a:p>
      </xdr:txBody>
    </xdr:sp>
    <xdr:clientData/>
  </xdr:twoCellAnchor>
  <xdr:twoCellAnchor>
    <xdr:from>
      <xdr:col>10</xdr:col>
      <xdr:colOff>438954</xdr:colOff>
      <xdr:row>435</xdr:row>
      <xdr:rowOff>175733</xdr:rowOff>
    </xdr:from>
    <xdr:to>
      <xdr:col>12</xdr:col>
      <xdr:colOff>320793</xdr:colOff>
      <xdr:row>437</xdr:row>
      <xdr:rowOff>68491</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6783432" y="91648863"/>
          <a:ext cx="1339578" cy="273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 Building (A</a:t>
          </a:r>
          <a:r>
            <a:rPr lang="en-IN" sz="1100" baseline="0"/>
            <a:t> Wing )</a:t>
          </a:r>
          <a:endParaRPr lang="en-IN" sz="1100"/>
        </a:p>
      </xdr:txBody>
    </xdr:sp>
    <xdr:clientData/>
  </xdr:twoCellAnchor>
  <xdr:twoCellAnchor>
    <xdr:from>
      <xdr:col>12</xdr:col>
      <xdr:colOff>555255</xdr:colOff>
      <xdr:row>436</xdr:row>
      <xdr:rowOff>1798</xdr:rowOff>
    </xdr:from>
    <xdr:to>
      <xdr:col>13</xdr:col>
      <xdr:colOff>455888</xdr:colOff>
      <xdr:row>437</xdr:row>
      <xdr:rowOff>85056</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8357472" y="91665428"/>
          <a:ext cx="1350090" cy="273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 Building (B</a:t>
          </a:r>
          <a:r>
            <a:rPr lang="en-IN" sz="1100" baseline="0"/>
            <a:t> Wing )</a:t>
          </a:r>
          <a:endParaRPr lang="en-IN" sz="1100"/>
        </a:p>
      </xdr:txBody>
    </xdr:sp>
    <xdr:clientData/>
  </xdr:twoCellAnchor>
  <xdr:oneCellAnchor>
    <xdr:from>
      <xdr:col>10</xdr:col>
      <xdr:colOff>428944</xdr:colOff>
      <xdr:row>422</xdr:row>
      <xdr:rowOff>127000</xdr:rowOff>
    </xdr:from>
    <xdr:ext cx="564963"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7277419" y="89338150"/>
          <a:ext cx="5649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Type 1</a:t>
          </a:r>
          <a:endParaRPr lang="en-IN" sz="1100"/>
        </a:p>
      </xdr:txBody>
    </xdr:sp>
    <xdr:clientData/>
  </xdr:oneCellAnchor>
  <xdr:oneCellAnchor>
    <xdr:from>
      <xdr:col>12</xdr:col>
      <xdr:colOff>1033402</xdr:colOff>
      <xdr:row>422</xdr:row>
      <xdr:rowOff>127000</xdr:rowOff>
    </xdr:from>
    <xdr:ext cx="646587"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9339202" y="89338150"/>
          <a:ext cx="6465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Type 2A</a:t>
          </a:r>
          <a:endParaRPr lang="en-IN" sz="1100"/>
        </a:p>
      </xdr:txBody>
    </xdr:sp>
    <xdr:clientData/>
  </xdr:oneCellAnchor>
  <xdr:oneCellAnchor>
    <xdr:from>
      <xdr:col>15</xdr:col>
      <xdr:colOff>447235</xdr:colOff>
      <xdr:row>422</xdr:row>
      <xdr:rowOff>127000</xdr:rowOff>
    </xdr:from>
    <xdr:ext cx="646587"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11420035" y="89338150"/>
          <a:ext cx="6465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Type 2B</a:t>
          </a:r>
          <a:endParaRPr lang="en-IN" sz="1100"/>
        </a:p>
      </xdr:txBody>
    </xdr:sp>
    <xdr:clientData/>
  </xdr:oneCellAnchor>
  <xdr:oneCellAnchor>
    <xdr:from>
      <xdr:col>10</xdr:col>
      <xdr:colOff>590869</xdr:colOff>
      <xdr:row>437</xdr:row>
      <xdr:rowOff>136383</xdr:rowOff>
    </xdr:from>
    <xdr:ext cx="564963"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7439344" y="92205033"/>
          <a:ext cx="5649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Type 3</a:t>
          </a:r>
          <a:endParaRPr lang="en-IN" sz="1100"/>
        </a:p>
      </xdr:txBody>
    </xdr:sp>
    <xdr:clientData/>
  </xdr:oneCellAnchor>
  <xdr:oneCellAnchor>
    <xdr:from>
      <xdr:col>12</xdr:col>
      <xdr:colOff>798837</xdr:colOff>
      <xdr:row>437</xdr:row>
      <xdr:rowOff>136383</xdr:rowOff>
    </xdr:from>
    <xdr:ext cx="564963"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9104637" y="92205033"/>
          <a:ext cx="5649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Type 4</a:t>
          </a:r>
          <a:endParaRPr lang="en-IN" sz="1100"/>
        </a:p>
      </xdr:txBody>
    </xdr:sp>
    <xdr:clientData/>
  </xdr:oneCellAnchor>
  <xdr:oneCellAnchor>
    <xdr:from>
      <xdr:col>15</xdr:col>
      <xdr:colOff>203530</xdr:colOff>
      <xdr:row>439</xdr:row>
      <xdr:rowOff>22083</xdr:rowOff>
    </xdr:from>
    <xdr:ext cx="564963"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11176330" y="92471733"/>
          <a:ext cx="5649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a:t>Type 4</a:t>
          </a:r>
          <a:endParaRPr lang="en-IN" sz="1100"/>
        </a:p>
      </xdr:txBody>
    </xdr:sp>
    <xdr:clientData/>
  </xdr:oneCellAnchor>
  <xdr:twoCellAnchor>
    <xdr:from>
      <xdr:col>15</xdr:col>
      <xdr:colOff>450445</xdr:colOff>
      <xdr:row>449</xdr:row>
      <xdr:rowOff>155039</xdr:rowOff>
    </xdr:from>
    <xdr:to>
      <xdr:col>18</xdr:col>
      <xdr:colOff>419444</xdr:colOff>
      <xdr:row>462</xdr:row>
      <xdr:rowOff>26670</xdr:rowOff>
    </xdr:to>
    <xdr:pic>
      <xdr:nvPicPr>
        <xdr:cNvPr id="56" name="Picture 55" descr="https://vsjcllp.vsjadon.com/upload/insp-214095-1525.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11674705" y="92585639"/>
          <a:ext cx="1797799" cy="22490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829637</xdr:colOff>
      <xdr:row>449</xdr:row>
      <xdr:rowOff>155039</xdr:rowOff>
    </xdr:from>
    <xdr:to>
      <xdr:col>12</xdr:col>
      <xdr:colOff>1149156</xdr:colOff>
      <xdr:row>462</xdr:row>
      <xdr:rowOff>26670</xdr:rowOff>
    </xdr:to>
    <xdr:pic>
      <xdr:nvPicPr>
        <xdr:cNvPr id="58" name="Picture 57" descr="https://vsjcllp.vsjadon.com/upload/insp-214095-849.jpg">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870517" y="92585639"/>
          <a:ext cx="1797799" cy="22490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1243696</xdr:colOff>
      <xdr:row>449</xdr:row>
      <xdr:rowOff>155039</xdr:rowOff>
    </xdr:from>
    <xdr:to>
      <xdr:col>15</xdr:col>
      <xdr:colOff>336395</xdr:colOff>
      <xdr:row>462</xdr:row>
      <xdr:rowOff>26670</xdr:rowOff>
    </xdr:to>
    <xdr:pic>
      <xdr:nvPicPr>
        <xdr:cNvPr id="68" name="Picture 67" descr="https://vsjcllp.vsjadon.com/upload/insp-214095-1512.jpg">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9762856" y="92585639"/>
          <a:ext cx="1797799" cy="22490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334915</xdr:colOff>
      <xdr:row>422</xdr:row>
      <xdr:rowOff>55244</xdr:rowOff>
    </xdr:from>
    <xdr:to>
      <xdr:col>12</xdr:col>
      <xdr:colOff>954068</xdr:colOff>
      <xdr:row>436</xdr:row>
      <xdr:rowOff>118840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504065" y="87348694"/>
          <a:ext cx="2111403" cy="2641696"/>
          <a:chOff x="179792" y="89258774"/>
          <a:chExt cx="2048121" cy="2733675"/>
        </a:xfrm>
      </xdr:grpSpPr>
      <xdr:pic>
        <xdr:nvPicPr>
          <xdr:cNvPr id="64" name="Picture 63" descr="https://vsjcllp.vsjadon.com/upload/insp-214095-860.jpg">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79792" y="89258774"/>
            <a:ext cx="2048121"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179792" y="89258774"/>
            <a:ext cx="6769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Type 1</a:t>
            </a:r>
          </a:p>
        </xdr:txBody>
      </xdr:sp>
    </xdr:grpSp>
    <xdr:clientData/>
  </xdr:twoCellAnchor>
  <xdr:twoCellAnchor>
    <xdr:from>
      <xdr:col>12</xdr:col>
      <xdr:colOff>1051359</xdr:colOff>
      <xdr:row>422</xdr:row>
      <xdr:rowOff>55244</xdr:rowOff>
    </xdr:from>
    <xdr:to>
      <xdr:col>15</xdr:col>
      <xdr:colOff>457985</xdr:colOff>
      <xdr:row>436</xdr:row>
      <xdr:rowOff>118840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9712759" y="87348694"/>
          <a:ext cx="2137126" cy="2641696"/>
          <a:chOff x="2322917" y="89258774"/>
          <a:chExt cx="2062078" cy="2733675"/>
        </a:xfrm>
      </xdr:grpSpPr>
      <xdr:pic>
        <xdr:nvPicPr>
          <xdr:cNvPr id="65" name="Picture 64" descr="https://vsjcllp.vsjadon.com/upload/insp-214095-871.jpg">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322917" y="89258774"/>
            <a:ext cx="2048121"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3599267" y="89258774"/>
            <a:ext cx="78572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Type 2A</a:t>
            </a:r>
          </a:p>
        </xdr:txBody>
      </xdr:sp>
    </xdr:grpSp>
    <xdr:clientData/>
  </xdr:twoCellAnchor>
  <xdr:twoCellAnchor>
    <xdr:from>
      <xdr:col>15</xdr:col>
      <xdr:colOff>560492</xdr:colOff>
      <xdr:row>422</xdr:row>
      <xdr:rowOff>55244</xdr:rowOff>
    </xdr:from>
    <xdr:to>
      <xdr:col>19</xdr:col>
      <xdr:colOff>219525</xdr:colOff>
      <xdr:row>436</xdr:row>
      <xdr:rowOff>118840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1952392" y="87348694"/>
          <a:ext cx="2097433" cy="2641696"/>
          <a:chOff x="4485092" y="89258774"/>
          <a:chExt cx="2048121" cy="2733675"/>
        </a:xfrm>
      </xdr:grpSpPr>
      <xdr:pic>
        <xdr:nvPicPr>
          <xdr:cNvPr id="60" name="Picture 59" descr="https://vsjcllp.vsjadon.com/upload/insp-214095-862.jpg">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485092" y="89258774"/>
            <a:ext cx="2048121"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5732867" y="89268299"/>
            <a:ext cx="77758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Type 2B</a:t>
            </a:r>
          </a:p>
        </xdr:txBody>
      </xdr:sp>
    </xdr:grpSp>
    <xdr:clientData/>
  </xdr:twoCellAnchor>
  <xdr:twoCellAnchor>
    <xdr:from>
      <xdr:col>10</xdr:col>
      <xdr:colOff>219075</xdr:colOff>
      <xdr:row>437</xdr:row>
      <xdr:rowOff>36377</xdr:rowOff>
    </xdr:from>
    <xdr:to>
      <xdr:col>12</xdr:col>
      <xdr:colOff>515123</xdr:colOff>
      <xdr:row>449</xdr:row>
      <xdr:rowOff>61525</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7388225" y="90092077"/>
          <a:ext cx="1788298" cy="2234948"/>
          <a:chOff x="66675" y="92097066"/>
          <a:chExt cx="1732613" cy="2312559"/>
        </a:xfrm>
      </xdr:grpSpPr>
      <xdr:pic>
        <xdr:nvPicPr>
          <xdr:cNvPr id="59" name="Picture 58" descr="https://vsjcllp.vsjadon.com/upload/insp-214095-861.jpg">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66675" y="92097066"/>
            <a:ext cx="1732613" cy="2312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66675" y="92097066"/>
            <a:ext cx="6769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Type 3</a:t>
            </a:r>
          </a:p>
        </xdr:txBody>
      </xdr:sp>
    </xdr:grpSp>
    <xdr:clientData/>
  </xdr:twoCellAnchor>
  <xdr:twoCellAnchor>
    <xdr:from>
      <xdr:col>12</xdr:col>
      <xdr:colOff>603872</xdr:colOff>
      <xdr:row>437</xdr:row>
      <xdr:rowOff>36377</xdr:rowOff>
    </xdr:from>
    <xdr:to>
      <xdr:col>14</xdr:col>
      <xdr:colOff>282700</xdr:colOff>
      <xdr:row>449</xdr:row>
      <xdr:rowOff>61525</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9265272" y="90092077"/>
          <a:ext cx="1799728" cy="2234948"/>
          <a:chOff x="1885950" y="92097066"/>
          <a:chExt cx="1732613" cy="2312559"/>
        </a:xfrm>
      </xdr:grpSpPr>
      <xdr:pic>
        <xdr:nvPicPr>
          <xdr:cNvPr id="57" name="Picture 56" descr="https://vsjcllp.vsjadon.com/upload/insp-214095-843.jp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885950" y="92097066"/>
            <a:ext cx="1732613" cy="2312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1885950" y="92097066"/>
            <a:ext cx="6769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Type 4</a:t>
            </a:r>
          </a:p>
        </xdr:txBody>
      </xdr:sp>
    </xdr:grpSp>
    <xdr:clientData/>
  </xdr:twoCellAnchor>
  <xdr:twoCellAnchor>
    <xdr:from>
      <xdr:col>14</xdr:col>
      <xdr:colOff>377929</xdr:colOff>
      <xdr:row>437</xdr:row>
      <xdr:rowOff>40948</xdr:rowOff>
    </xdr:from>
    <xdr:to>
      <xdr:col>19</xdr:col>
      <xdr:colOff>484654</xdr:colOff>
      <xdr:row>449</xdr:row>
      <xdr:rowOff>66096</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11160229" y="90096648"/>
          <a:ext cx="3154725" cy="2234948"/>
          <a:chOff x="3711553" y="92101828"/>
          <a:chExt cx="3080556" cy="2312559"/>
        </a:xfrm>
      </xdr:grpSpPr>
      <xdr:pic>
        <xdr:nvPicPr>
          <xdr:cNvPr id="66" name="Picture 65" descr="https://vsjcllp.vsjadon.com/upload/insp-214095-874.jpg">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711553" y="92101828"/>
            <a:ext cx="3080556" cy="2312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4206853" y="92139928"/>
            <a:ext cx="6769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Type 4</a:t>
            </a:r>
          </a:p>
        </xdr:txBody>
      </xdr:sp>
    </xdr:grpSp>
    <xdr:clientData/>
  </xdr:twoCellAnchor>
  <xdr:twoCellAnchor>
    <xdr:from>
      <xdr:col>0</xdr:col>
      <xdr:colOff>336550</xdr:colOff>
      <xdr:row>422</xdr:row>
      <xdr:rowOff>158750</xdr:rowOff>
    </xdr:from>
    <xdr:to>
      <xdr:col>9</xdr:col>
      <xdr:colOff>760765</xdr:colOff>
      <xdr:row>458</xdr:row>
      <xdr:rowOff>180676</xdr:rowOff>
    </xdr:to>
    <xdr:grpSp>
      <xdr:nvGrpSpPr>
        <xdr:cNvPr id="4" name="Group 3"/>
        <xdr:cNvGrpSpPr/>
      </xdr:nvGrpSpPr>
      <xdr:grpSpPr>
        <a:xfrm>
          <a:off x="336550" y="87452200"/>
          <a:ext cx="6513865" cy="6651326"/>
          <a:chOff x="336550" y="87452200"/>
          <a:chExt cx="6513865" cy="6651326"/>
        </a:xfrm>
      </xdr:grpSpPr>
      <xdr:pic>
        <xdr:nvPicPr>
          <xdr:cNvPr id="72" name="Picture 7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291699" y="92087526"/>
            <a:ext cx="1510425" cy="2016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48333" y="92087526"/>
            <a:ext cx="1510425" cy="2016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61601" y="92087526"/>
            <a:ext cx="1510425" cy="2016000"/>
          </a:xfrm>
          <a:prstGeom prst="rect">
            <a:avLst/>
          </a:prstGeom>
          <a:ln>
            <a:solidFill>
              <a:schemeClr val="tx1"/>
            </a:solidFill>
          </a:ln>
        </xdr:spPr>
      </xdr:pic>
      <xdr:pic>
        <xdr:nvPicPr>
          <xdr:cNvPr id="91" name="Picture 9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36550" y="87458550"/>
            <a:ext cx="2877333" cy="2160000"/>
          </a:xfrm>
          <a:prstGeom prst="rect">
            <a:avLst/>
          </a:prstGeom>
          <a:ln>
            <a:solidFill>
              <a:schemeClr val="tx1"/>
            </a:solidFill>
          </a:ln>
        </xdr:spPr>
      </xdr:pic>
      <xdr:pic>
        <xdr:nvPicPr>
          <xdr:cNvPr id="93" name="Picture 9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396952" y="87458550"/>
            <a:ext cx="1618313" cy="2160000"/>
          </a:xfrm>
          <a:prstGeom prst="rect">
            <a:avLst/>
          </a:prstGeom>
          <a:ln>
            <a:solidFill>
              <a:schemeClr val="tx1"/>
            </a:solidFill>
          </a:ln>
        </xdr:spPr>
      </xdr:pic>
      <xdr:pic>
        <xdr:nvPicPr>
          <xdr:cNvPr id="95" name="Picture 9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171700" y="89734938"/>
            <a:ext cx="1618313" cy="2160000"/>
          </a:xfrm>
          <a:prstGeom prst="rect">
            <a:avLst/>
          </a:prstGeom>
          <a:ln>
            <a:solidFill>
              <a:schemeClr val="tx1"/>
            </a:solidFill>
          </a:ln>
        </xdr:spPr>
      </xdr:pic>
      <xdr:pic>
        <xdr:nvPicPr>
          <xdr:cNvPr id="96" name="Picture 9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973082" y="89734938"/>
            <a:ext cx="2877333" cy="2160000"/>
          </a:xfrm>
          <a:prstGeom prst="rect">
            <a:avLst/>
          </a:prstGeom>
          <a:ln>
            <a:solidFill>
              <a:schemeClr val="tx1"/>
            </a:solidFill>
          </a:ln>
        </xdr:spPr>
      </xdr:pic>
      <xdr:pic>
        <xdr:nvPicPr>
          <xdr:cNvPr id="97" name="Picture 9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004967" y="92087526"/>
            <a:ext cx="1510425" cy="2016000"/>
          </a:xfrm>
          <a:prstGeom prst="rect">
            <a:avLst/>
          </a:prstGeom>
          <a:ln>
            <a:solidFill>
              <a:schemeClr val="tx1"/>
            </a:solidFill>
          </a:ln>
        </xdr:spPr>
      </xdr:pic>
      <xdr:sp macro="" textlink="">
        <xdr:nvSpPr>
          <xdr:cNvPr id="98" name="TextBox 97">
            <a:extLst>
              <a:ext uri="{FF2B5EF4-FFF2-40B4-BE49-F238E27FC236}">
                <a16:creationId xmlns:a16="http://schemas.microsoft.com/office/drawing/2014/main" id="{00000000-0008-0000-0000-000055000000}"/>
              </a:ext>
            </a:extLst>
          </xdr:cNvPr>
          <xdr:cNvSpPr txBox="1"/>
        </xdr:nvSpPr>
        <xdr:spPr>
          <a:xfrm>
            <a:off x="1663700" y="87477600"/>
            <a:ext cx="697832" cy="301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Type 1</a:t>
            </a:r>
          </a:p>
        </xdr:txBody>
      </xdr:sp>
      <xdr:pic>
        <xdr:nvPicPr>
          <xdr:cNvPr id="99" name="Picture 98"/>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5194300" y="87452200"/>
            <a:ext cx="1618313" cy="2160000"/>
          </a:xfrm>
          <a:prstGeom prst="rect">
            <a:avLst/>
          </a:prstGeom>
          <a:ln>
            <a:solidFill>
              <a:schemeClr val="tx1"/>
            </a:solidFill>
          </a:ln>
        </xdr:spPr>
      </xdr:pic>
      <xdr:sp macro="" textlink="">
        <xdr:nvSpPr>
          <xdr:cNvPr id="100" name="TextBox 99">
            <a:extLst>
              <a:ext uri="{FF2B5EF4-FFF2-40B4-BE49-F238E27FC236}">
                <a16:creationId xmlns:a16="http://schemas.microsoft.com/office/drawing/2014/main" id="{00000000-0008-0000-0000-000056000000}"/>
              </a:ext>
            </a:extLst>
          </xdr:cNvPr>
          <xdr:cNvSpPr txBox="1"/>
        </xdr:nvSpPr>
        <xdr:spPr>
          <a:xfrm>
            <a:off x="5524500" y="87515700"/>
            <a:ext cx="814324" cy="301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Type 2A</a:t>
            </a:r>
          </a:p>
        </xdr:txBody>
      </xdr:sp>
      <xdr:pic>
        <xdr:nvPicPr>
          <xdr:cNvPr id="101" name="Picture 100"/>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393700" y="89738200"/>
            <a:ext cx="1618313" cy="2160000"/>
          </a:xfrm>
          <a:prstGeom prst="rect">
            <a:avLst/>
          </a:prstGeom>
          <a:ln>
            <a:solidFill>
              <a:schemeClr val="tx1"/>
            </a:solidFill>
          </a:ln>
        </xdr:spPr>
      </xdr:pic>
      <xdr:sp macro="" textlink="">
        <xdr:nvSpPr>
          <xdr:cNvPr id="102" name="TextBox 101">
            <a:extLst>
              <a:ext uri="{FF2B5EF4-FFF2-40B4-BE49-F238E27FC236}">
                <a16:creationId xmlns:a16="http://schemas.microsoft.com/office/drawing/2014/main" id="{00000000-0008-0000-0000-000057000000}"/>
              </a:ext>
            </a:extLst>
          </xdr:cNvPr>
          <xdr:cNvSpPr txBox="1"/>
        </xdr:nvSpPr>
        <xdr:spPr>
          <a:xfrm>
            <a:off x="927100" y="89731850"/>
            <a:ext cx="796307" cy="301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Type 2B</a:t>
            </a:r>
          </a:p>
        </xdr:txBody>
      </xdr:sp>
      <xdr:sp macro="" textlink="">
        <xdr:nvSpPr>
          <xdr:cNvPr id="103" name="TextBox 102">
            <a:extLst>
              <a:ext uri="{FF2B5EF4-FFF2-40B4-BE49-F238E27FC236}">
                <a16:creationId xmlns:a16="http://schemas.microsoft.com/office/drawing/2014/main" id="{00000000-0008-0000-0000-000058000000}"/>
              </a:ext>
            </a:extLst>
          </xdr:cNvPr>
          <xdr:cNvSpPr txBox="1"/>
        </xdr:nvSpPr>
        <xdr:spPr>
          <a:xfrm>
            <a:off x="2508250" y="89817488"/>
            <a:ext cx="698673" cy="3010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Type 3</a:t>
            </a:r>
          </a:p>
        </xdr:txBody>
      </xdr:sp>
      <xdr:sp macro="" textlink="">
        <xdr:nvSpPr>
          <xdr:cNvPr id="104" name="TextBox 103">
            <a:extLst>
              <a:ext uri="{FF2B5EF4-FFF2-40B4-BE49-F238E27FC236}">
                <a16:creationId xmlns:a16="http://schemas.microsoft.com/office/drawing/2014/main" id="{00000000-0008-0000-0000-000059000000}"/>
              </a:ext>
            </a:extLst>
          </xdr:cNvPr>
          <xdr:cNvSpPr txBox="1"/>
        </xdr:nvSpPr>
        <xdr:spPr>
          <a:xfrm>
            <a:off x="5287532" y="90274688"/>
            <a:ext cx="703138" cy="3010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Type 4</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10</xdr:col>
      <xdr:colOff>260350</xdr:colOff>
      <xdr:row>38</xdr:row>
      <xdr:rowOff>95250</xdr:rowOff>
    </xdr:to>
    <xdr:pic>
      <xdr:nvPicPr>
        <xdr:cNvPr id="8296" name="Picture 1">
          <a:extLst>
            <a:ext uri="{FF2B5EF4-FFF2-40B4-BE49-F238E27FC236}">
              <a16:creationId xmlns:a16="http://schemas.microsoft.com/office/drawing/2014/main" id="{00000000-0008-0000-0100-00006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50"/>
          <a:ext cx="5137150" cy="690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19</xdr:row>
      <xdr:rowOff>0</xdr:rowOff>
    </xdr:from>
    <xdr:to>
      <xdr:col>12</xdr:col>
      <xdr:colOff>685800</xdr:colOff>
      <xdr:row>30</xdr:row>
      <xdr:rowOff>63500</xdr:rowOff>
    </xdr:to>
    <xdr:pic>
      <xdr:nvPicPr>
        <xdr:cNvPr id="4223" name="Picture 1">
          <a:extLst>
            <a:ext uri="{FF2B5EF4-FFF2-40B4-BE49-F238E27FC236}">
              <a16:creationId xmlns:a16="http://schemas.microsoft.com/office/drawing/2014/main" id="{00000000-0008-0000-0200-00007F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0" y="3898900"/>
          <a:ext cx="29654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33</xdr:row>
      <xdr:rowOff>0</xdr:rowOff>
    </xdr:from>
    <xdr:to>
      <xdr:col>12</xdr:col>
      <xdr:colOff>685800</xdr:colOff>
      <xdr:row>44</xdr:row>
      <xdr:rowOff>63500</xdr:rowOff>
    </xdr:to>
    <xdr:pic>
      <xdr:nvPicPr>
        <xdr:cNvPr id="4224" name="Picture 2">
          <a:extLst>
            <a:ext uri="{FF2B5EF4-FFF2-40B4-BE49-F238E27FC236}">
              <a16:creationId xmlns:a16="http://schemas.microsoft.com/office/drawing/2014/main" id="{00000000-0008-0000-0200-0000801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0" y="6477000"/>
          <a:ext cx="29654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95250</xdr:colOff>
      <xdr:row>29</xdr:row>
      <xdr:rowOff>165100</xdr:rowOff>
    </xdr:to>
    <xdr:pic>
      <xdr:nvPicPr>
        <xdr:cNvPr id="9294" name="Picture 1">
          <a:extLst>
            <a:ext uri="{FF2B5EF4-FFF2-40B4-BE49-F238E27FC236}">
              <a16:creationId xmlns:a16="http://schemas.microsoft.com/office/drawing/2014/main" id="{00000000-0008-0000-0800-00004E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209800"/>
          <a:ext cx="69786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4BSsC7j5JYqvFUpb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0"/>
  <sheetViews>
    <sheetView tabSelected="1" view="pageBreakPreview" topLeftCell="A339" zoomScaleNormal="100" zoomScaleSheetLayoutView="100" zoomScalePageLayoutView="70" workbookViewId="0">
      <selection activeCell="A341" sqref="A339:J352"/>
    </sheetView>
  </sheetViews>
  <sheetFormatPr defaultRowHeight="14.5" x14ac:dyDescent="0.35"/>
  <cols>
    <col min="1" max="1" width="7.36328125" customWidth="1"/>
    <col min="2" max="2" width="14.6328125" customWidth="1"/>
    <col min="3" max="3" width="11.6328125" customWidth="1"/>
    <col min="4" max="4" width="9.08984375" customWidth="1"/>
    <col min="5" max="5" width="7.453125" customWidth="1"/>
    <col min="6" max="6" width="9.08984375" customWidth="1"/>
    <col min="7" max="7" width="9.6328125" customWidth="1"/>
    <col min="8" max="8" width="9.90625" customWidth="1"/>
    <col min="9" max="9" width="8.36328125" customWidth="1"/>
    <col min="10" max="10" width="15.453125" customWidth="1"/>
    <col min="11" max="11" width="12.6328125" customWidth="1"/>
    <col min="13" max="13" width="21.6328125" customWidth="1"/>
  </cols>
  <sheetData>
    <row r="1" spans="1:10" ht="44" customHeight="1" x14ac:dyDescent="0.35">
      <c r="A1" s="203" t="s">
        <v>329</v>
      </c>
      <c r="B1" s="204"/>
      <c r="C1" s="204"/>
      <c r="D1" s="204"/>
      <c r="E1" s="204"/>
      <c r="F1" s="204"/>
      <c r="G1" s="204"/>
      <c r="H1" s="204"/>
      <c r="I1" s="204"/>
      <c r="J1" s="204"/>
    </row>
    <row r="2" spans="1:10" x14ac:dyDescent="0.35">
      <c r="A2" s="95" t="s">
        <v>81</v>
      </c>
      <c r="B2" s="175"/>
      <c r="C2" s="175"/>
      <c r="D2" s="175"/>
      <c r="E2" s="175"/>
      <c r="F2" s="175"/>
      <c r="G2" s="175"/>
      <c r="H2" s="175"/>
      <c r="I2" s="175"/>
      <c r="J2" s="175"/>
    </row>
    <row r="3" spans="1:10" x14ac:dyDescent="0.35">
      <c r="A3" s="101" t="s">
        <v>0</v>
      </c>
      <c r="B3" s="101"/>
      <c r="C3" s="101"/>
      <c r="D3" s="101"/>
      <c r="E3" s="101"/>
      <c r="F3" s="176" t="str">
        <f ca="1">TEXT(TODAY(),"DD/MM/YYYY")</f>
        <v>17/07/2025</v>
      </c>
      <c r="G3" s="101"/>
      <c r="H3" s="101"/>
      <c r="I3" s="101"/>
      <c r="J3" s="101"/>
    </row>
    <row r="4" spans="1:10" x14ac:dyDescent="0.35">
      <c r="A4" s="101" t="s">
        <v>1</v>
      </c>
      <c r="B4" s="101"/>
      <c r="C4" s="101"/>
      <c r="D4" s="101"/>
      <c r="E4" s="101"/>
      <c r="F4" s="102" t="s">
        <v>131</v>
      </c>
      <c r="G4" s="102"/>
      <c r="H4" s="102"/>
      <c r="I4" s="102"/>
      <c r="J4" s="102"/>
    </row>
    <row r="5" spans="1:10" x14ac:dyDescent="0.35">
      <c r="A5" s="177" t="s">
        <v>2</v>
      </c>
      <c r="B5" s="178"/>
      <c r="C5" s="178"/>
      <c r="D5" s="178"/>
      <c r="E5" s="179"/>
      <c r="F5" s="176">
        <v>45854</v>
      </c>
      <c r="G5" s="101"/>
      <c r="H5" s="101"/>
      <c r="I5" s="101"/>
      <c r="J5" s="101"/>
    </row>
    <row r="6" spans="1:10" x14ac:dyDescent="0.35">
      <c r="A6" s="101" t="s">
        <v>3</v>
      </c>
      <c r="B6" s="101"/>
      <c r="C6" s="101"/>
      <c r="D6" s="101"/>
      <c r="E6" s="101"/>
      <c r="F6" s="102" t="s">
        <v>52</v>
      </c>
      <c r="G6" s="101"/>
      <c r="H6" s="101"/>
      <c r="I6" s="101"/>
      <c r="J6" s="101"/>
    </row>
    <row r="7" spans="1:10" x14ac:dyDescent="0.35">
      <c r="A7" s="101" t="s">
        <v>4</v>
      </c>
      <c r="B7" s="101"/>
      <c r="C7" s="101"/>
      <c r="D7" s="101"/>
      <c r="E7" s="101"/>
      <c r="F7" s="102" t="s">
        <v>52</v>
      </c>
      <c r="G7" s="101"/>
      <c r="H7" s="101"/>
      <c r="I7" s="101"/>
      <c r="J7" s="101"/>
    </row>
    <row r="8" spans="1:10" x14ac:dyDescent="0.35">
      <c r="A8" s="101" t="s">
        <v>5</v>
      </c>
      <c r="B8" s="101"/>
      <c r="C8" s="101"/>
      <c r="D8" s="101"/>
      <c r="E8" s="101"/>
      <c r="F8" s="114" t="s">
        <v>132</v>
      </c>
      <c r="G8" s="114"/>
      <c r="H8" s="114"/>
      <c r="I8" s="114"/>
      <c r="J8" s="114"/>
    </row>
    <row r="9" spans="1:10" ht="61.5" customHeight="1" x14ac:dyDescent="0.35">
      <c r="A9" s="102" t="s">
        <v>148</v>
      </c>
      <c r="B9" s="101"/>
      <c r="C9" s="101"/>
      <c r="D9" s="101"/>
      <c r="E9" s="101"/>
      <c r="F9" s="110" t="s">
        <v>183</v>
      </c>
      <c r="G9" s="101"/>
      <c r="H9" s="101"/>
      <c r="I9" s="101"/>
      <c r="J9" s="101"/>
    </row>
    <row r="10" spans="1:10" x14ac:dyDescent="0.35">
      <c r="A10" s="102" t="s">
        <v>186</v>
      </c>
      <c r="B10" s="101"/>
      <c r="C10" s="101"/>
      <c r="D10" s="101"/>
      <c r="E10" s="101"/>
      <c r="F10" s="102" t="s">
        <v>187</v>
      </c>
      <c r="G10" s="101"/>
      <c r="H10" s="101"/>
      <c r="I10" s="101"/>
      <c r="J10" s="101"/>
    </row>
    <row r="11" spans="1:10" x14ac:dyDescent="0.35">
      <c r="A11" s="101" t="s">
        <v>6</v>
      </c>
      <c r="B11" s="101"/>
      <c r="C11" s="101"/>
      <c r="D11" s="101"/>
      <c r="E11" s="101"/>
      <c r="F11" s="102" t="s">
        <v>298</v>
      </c>
      <c r="G11" s="101"/>
      <c r="H11" s="101"/>
      <c r="I11" s="101"/>
      <c r="J11" s="101"/>
    </row>
    <row r="12" spans="1:10" x14ac:dyDescent="0.35">
      <c r="A12" s="102" t="s">
        <v>299</v>
      </c>
      <c r="B12" s="101"/>
      <c r="C12" s="101"/>
      <c r="D12" s="101"/>
      <c r="E12" s="101"/>
      <c r="F12" s="101"/>
      <c r="G12" s="101"/>
      <c r="H12" s="101"/>
      <c r="I12" s="101"/>
      <c r="J12" s="101"/>
    </row>
    <row r="13" spans="1:10" ht="31.5" customHeight="1" x14ac:dyDescent="0.35">
      <c r="A13" s="187" t="s">
        <v>137</v>
      </c>
      <c r="B13" s="188"/>
      <c r="C13" s="188"/>
      <c r="D13" s="188"/>
      <c r="E13" s="188"/>
      <c r="F13" s="188"/>
      <c r="G13" s="188"/>
      <c r="H13" s="188"/>
      <c r="I13" s="188"/>
      <c r="J13" s="189"/>
    </row>
    <row r="14" spans="1:10" ht="31.5" customHeight="1" x14ac:dyDescent="0.35">
      <c r="A14" s="187" t="s">
        <v>138</v>
      </c>
      <c r="B14" s="190"/>
      <c r="C14" s="190"/>
      <c r="D14" s="190"/>
      <c r="E14" s="190"/>
      <c r="F14" s="190"/>
      <c r="G14" s="190"/>
      <c r="H14" s="191"/>
      <c r="I14" s="110" t="s">
        <v>139</v>
      </c>
      <c r="J14" s="186"/>
    </row>
    <row r="15" spans="1:10" x14ac:dyDescent="0.35">
      <c r="A15" s="102" t="s">
        <v>55</v>
      </c>
      <c r="B15" s="101"/>
      <c r="C15" s="101"/>
      <c r="D15" s="101"/>
      <c r="E15" s="101"/>
      <c r="F15" s="102" t="s">
        <v>53</v>
      </c>
      <c r="G15" s="101"/>
      <c r="H15" s="101"/>
      <c r="I15" s="101"/>
      <c r="J15" s="101"/>
    </row>
    <row r="16" spans="1:10" x14ac:dyDescent="0.35">
      <c r="A16" s="102" t="s">
        <v>56</v>
      </c>
      <c r="B16" s="101"/>
      <c r="C16" s="101"/>
      <c r="D16" s="101"/>
      <c r="E16" s="101"/>
      <c r="F16" s="102" t="s">
        <v>54</v>
      </c>
      <c r="G16" s="101"/>
      <c r="H16" s="101"/>
      <c r="I16" s="101"/>
      <c r="J16" s="101"/>
    </row>
    <row r="17" spans="1:10" x14ac:dyDescent="0.35">
      <c r="A17" s="102" t="s">
        <v>57</v>
      </c>
      <c r="B17" s="101"/>
      <c r="C17" s="101"/>
      <c r="D17" s="101"/>
      <c r="E17" s="101"/>
      <c r="F17" s="102" t="s">
        <v>129</v>
      </c>
      <c r="G17" s="101"/>
      <c r="H17" s="101"/>
      <c r="I17" s="101"/>
      <c r="J17" s="101"/>
    </row>
    <row r="18" spans="1:10" x14ac:dyDescent="0.35">
      <c r="A18" s="186" t="s">
        <v>7</v>
      </c>
      <c r="B18" s="186"/>
      <c r="C18" s="186"/>
      <c r="D18" s="186"/>
      <c r="E18" s="186"/>
      <c r="F18" s="180" t="s">
        <v>58</v>
      </c>
      <c r="G18" s="181"/>
      <c r="H18" s="181"/>
      <c r="I18" s="181"/>
      <c r="J18" s="182"/>
    </row>
    <row r="19" spans="1:10" x14ac:dyDescent="0.35">
      <c r="A19" s="186"/>
      <c r="B19" s="186"/>
      <c r="C19" s="186"/>
      <c r="D19" s="186"/>
      <c r="E19" s="186"/>
      <c r="F19" s="183"/>
      <c r="G19" s="184"/>
      <c r="H19" s="184"/>
      <c r="I19" s="184"/>
      <c r="J19" s="185"/>
    </row>
    <row r="20" spans="1:10" x14ac:dyDescent="0.35">
      <c r="A20" s="186" t="s">
        <v>8</v>
      </c>
      <c r="B20" s="186"/>
      <c r="C20" s="186"/>
      <c r="D20" s="186"/>
      <c r="E20" s="186"/>
      <c r="F20" s="180" t="s">
        <v>59</v>
      </c>
      <c r="G20" s="181"/>
      <c r="H20" s="181"/>
      <c r="I20" s="181"/>
      <c r="J20" s="182"/>
    </row>
    <row r="21" spans="1:10" x14ac:dyDescent="0.35">
      <c r="A21" s="101" t="s">
        <v>9</v>
      </c>
      <c r="B21" s="101"/>
      <c r="C21" s="101"/>
      <c r="D21" s="101"/>
      <c r="E21" s="101"/>
      <c r="F21" s="192" t="s">
        <v>60</v>
      </c>
      <c r="G21" s="192"/>
      <c r="H21" s="192"/>
      <c r="I21" s="192"/>
      <c r="J21" s="192"/>
    </row>
    <row r="22" spans="1:10" x14ac:dyDescent="0.35">
      <c r="A22" s="102" t="s">
        <v>61</v>
      </c>
      <c r="B22" s="101"/>
      <c r="C22" s="101"/>
      <c r="D22" s="101"/>
      <c r="E22" s="101"/>
      <c r="F22" s="101"/>
      <c r="G22" s="101"/>
      <c r="H22" s="101"/>
      <c r="I22" s="101"/>
      <c r="J22" s="101"/>
    </row>
    <row r="23" spans="1:10" x14ac:dyDescent="0.35">
      <c r="A23" s="102" t="s">
        <v>140</v>
      </c>
      <c r="B23" s="101"/>
      <c r="C23" s="101"/>
      <c r="D23" s="101"/>
      <c r="E23" s="101"/>
      <c r="F23" s="101"/>
      <c r="G23" s="101"/>
      <c r="H23" s="101"/>
      <c r="I23" s="101"/>
      <c r="J23" s="101"/>
    </row>
    <row r="24" spans="1:10" x14ac:dyDescent="0.35">
      <c r="A24" s="102" t="s">
        <v>62</v>
      </c>
      <c r="B24" s="101"/>
      <c r="C24" s="101"/>
      <c r="D24" s="101"/>
      <c r="E24" s="101"/>
      <c r="F24" s="101"/>
      <c r="G24" s="101"/>
      <c r="H24" s="101"/>
      <c r="I24" s="101"/>
      <c r="J24" s="101"/>
    </row>
    <row r="25" spans="1:10" x14ac:dyDescent="0.35">
      <c r="A25" s="96" t="s">
        <v>10</v>
      </c>
      <c r="B25" s="96"/>
      <c r="C25" s="96" t="s">
        <v>11</v>
      </c>
      <c r="D25" s="96"/>
      <c r="E25" s="96" t="s">
        <v>12</v>
      </c>
      <c r="F25" s="96"/>
      <c r="G25" s="96" t="s">
        <v>13</v>
      </c>
      <c r="H25" s="96"/>
      <c r="I25" s="96" t="s">
        <v>14</v>
      </c>
      <c r="J25" s="96"/>
    </row>
    <row r="26" spans="1:10" x14ac:dyDescent="0.35">
      <c r="A26" s="96" t="s">
        <v>15</v>
      </c>
      <c r="B26" s="96"/>
      <c r="C26" s="77" t="s">
        <v>63</v>
      </c>
      <c r="D26" s="199"/>
      <c r="E26" s="199"/>
      <c r="F26" s="199"/>
      <c r="G26" s="199"/>
      <c r="H26" s="199"/>
      <c r="I26" s="199"/>
      <c r="J26" s="78"/>
    </row>
    <row r="27" spans="1:10" x14ac:dyDescent="0.35">
      <c r="A27" s="96" t="s">
        <v>16</v>
      </c>
      <c r="B27" s="96"/>
      <c r="C27" s="193" t="s">
        <v>64</v>
      </c>
      <c r="D27" s="96"/>
      <c r="E27" s="193" t="s">
        <v>65</v>
      </c>
      <c r="F27" s="96"/>
      <c r="G27" s="193" t="s">
        <v>66</v>
      </c>
      <c r="H27" s="96"/>
      <c r="I27" s="193" t="s">
        <v>67</v>
      </c>
      <c r="J27" s="96"/>
    </row>
    <row r="28" spans="1:10" x14ac:dyDescent="0.35">
      <c r="A28" s="100" t="s">
        <v>17</v>
      </c>
      <c r="B28" s="100"/>
      <c r="C28" s="100"/>
      <c r="D28" s="100"/>
      <c r="E28" s="100"/>
      <c r="F28" s="100"/>
      <c r="G28" s="100"/>
      <c r="H28" s="100"/>
      <c r="I28" s="100"/>
      <c r="J28" s="100"/>
    </row>
    <row r="29" spans="1:10" x14ac:dyDescent="0.35">
      <c r="A29" s="102" t="s">
        <v>68</v>
      </c>
      <c r="B29" s="101"/>
      <c r="C29" s="101"/>
      <c r="D29" s="101"/>
      <c r="E29" s="101"/>
      <c r="F29" s="101"/>
      <c r="G29" s="101"/>
      <c r="H29" s="101"/>
      <c r="I29" s="101"/>
      <c r="J29" s="101"/>
    </row>
    <row r="30" spans="1:10" x14ac:dyDescent="0.35">
      <c r="A30" s="77" t="s">
        <v>51</v>
      </c>
      <c r="B30" s="78"/>
      <c r="C30" s="82" t="s">
        <v>330</v>
      </c>
      <c r="D30" s="83"/>
      <c r="E30" s="83">
        <v>18.975684099999999</v>
      </c>
      <c r="F30" s="83"/>
      <c r="G30" s="83" t="s">
        <v>69</v>
      </c>
      <c r="H30" s="83"/>
      <c r="I30" s="83"/>
      <c r="J30" s="84"/>
    </row>
    <row r="31" spans="1:10" x14ac:dyDescent="0.35">
      <c r="A31" s="77" t="s">
        <v>327</v>
      </c>
      <c r="B31" s="78"/>
      <c r="C31" s="79" t="s">
        <v>328</v>
      </c>
      <c r="D31" s="80"/>
      <c r="E31" s="80"/>
      <c r="F31" s="80"/>
      <c r="G31" s="80"/>
      <c r="H31" s="80"/>
      <c r="I31" s="80"/>
      <c r="J31" s="81"/>
    </row>
    <row r="32" spans="1:10" x14ac:dyDescent="0.35">
      <c r="A32" s="114" t="s">
        <v>18</v>
      </c>
      <c r="B32" s="114"/>
      <c r="C32" s="114"/>
      <c r="D32" s="114"/>
      <c r="E32" s="114"/>
      <c r="F32" s="114"/>
      <c r="G32" s="114"/>
      <c r="H32" s="114"/>
      <c r="I32" s="114"/>
      <c r="J32" s="114"/>
    </row>
    <row r="33" spans="1:10" x14ac:dyDescent="0.35">
      <c r="A33" s="110" t="s">
        <v>71</v>
      </c>
      <c r="B33" s="186"/>
      <c r="C33" s="186"/>
      <c r="D33" s="186"/>
      <c r="E33" s="186"/>
      <c r="F33" s="186"/>
      <c r="G33" s="186"/>
      <c r="H33" s="186"/>
      <c r="I33" s="186"/>
      <c r="J33" s="186"/>
    </row>
    <row r="34" spans="1:10" x14ac:dyDescent="0.35">
      <c r="A34" s="186"/>
      <c r="B34" s="186"/>
      <c r="C34" s="186"/>
      <c r="D34" s="186"/>
      <c r="E34" s="186"/>
      <c r="F34" s="186"/>
      <c r="G34" s="186"/>
      <c r="H34" s="186"/>
      <c r="I34" s="186"/>
      <c r="J34" s="186"/>
    </row>
    <row r="35" spans="1:10" x14ac:dyDescent="0.35">
      <c r="A35" s="101" t="s">
        <v>19</v>
      </c>
      <c r="B35" s="101"/>
      <c r="C35" s="101"/>
      <c r="D35" s="101"/>
      <c r="E35" s="101"/>
      <c r="F35" s="102">
        <v>10972</v>
      </c>
      <c r="G35" s="101"/>
      <c r="H35" s="101"/>
      <c r="I35" s="101"/>
      <c r="J35" s="101"/>
    </row>
    <row r="36" spans="1:10" x14ac:dyDescent="0.35">
      <c r="A36" s="101" t="s">
        <v>20</v>
      </c>
      <c r="B36" s="101"/>
      <c r="C36" s="101"/>
      <c r="D36" s="101"/>
      <c r="E36" s="101"/>
      <c r="F36" s="101">
        <v>1</v>
      </c>
      <c r="G36" s="101"/>
      <c r="H36" s="101"/>
      <c r="I36" s="101"/>
      <c r="J36" s="101"/>
    </row>
    <row r="37" spans="1:10" x14ac:dyDescent="0.35">
      <c r="A37" s="101" t="s">
        <v>21</v>
      </c>
      <c r="B37" s="101"/>
      <c r="C37" s="101"/>
      <c r="D37" s="101"/>
      <c r="E37" s="101"/>
      <c r="F37" s="101">
        <v>0</v>
      </c>
      <c r="G37" s="101"/>
      <c r="H37" s="101"/>
      <c r="I37" s="101"/>
      <c r="J37" s="101"/>
    </row>
    <row r="38" spans="1:10" x14ac:dyDescent="0.35">
      <c r="A38" s="101" t="s">
        <v>22</v>
      </c>
      <c r="B38" s="101"/>
      <c r="C38" s="101"/>
      <c r="D38" s="101"/>
      <c r="E38" s="101"/>
      <c r="F38" s="101">
        <v>1</v>
      </c>
      <c r="G38" s="101"/>
      <c r="H38" s="101"/>
      <c r="I38" s="101"/>
      <c r="J38" s="101"/>
    </row>
    <row r="39" spans="1:10" x14ac:dyDescent="0.35">
      <c r="A39" s="101" t="s">
        <v>23</v>
      </c>
      <c r="B39" s="101"/>
      <c r="C39" s="101"/>
      <c r="D39" s="101"/>
      <c r="E39" s="101"/>
      <c r="F39" s="102">
        <v>12310</v>
      </c>
      <c r="G39" s="101"/>
      <c r="H39" s="101"/>
      <c r="I39" s="101"/>
      <c r="J39" s="101"/>
    </row>
    <row r="40" spans="1:10" x14ac:dyDescent="0.35">
      <c r="A40" s="101" t="s">
        <v>24</v>
      </c>
      <c r="B40" s="101"/>
      <c r="C40" s="101"/>
      <c r="D40" s="101"/>
      <c r="E40" s="101"/>
      <c r="F40" s="102" t="s">
        <v>188</v>
      </c>
      <c r="G40" s="101"/>
      <c r="H40" s="101"/>
      <c r="I40" s="101"/>
      <c r="J40" s="101"/>
    </row>
    <row r="41" spans="1:10" x14ac:dyDescent="0.35">
      <c r="A41" s="114" t="s">
        <v>25</v>
      </c>
      <c r="B41" s="114"/>
      <c r="C41" s="114"/>
      <c r="D41" s="114"/>
      <c r="E41" s="114"/>
      <c r="F41" s="114"/>
      <c r="G41" s="114"/>
      <c r="H41" s="114"/>
      <c r="I41" s="114"/>
      <c r="J41" s="114"/>
    </row>
    <row r="42" spans="1:10" x14ac:dyDescent="0.35">
      <c r="A42" s="223" t="s">
        <v>135</v>
      </c>
      <c r="B42" s="223"/>
      <c r="C42" s="224" t="s">
        <v>300</v>
      </c>
      <c r="D42" s="225"/>
      <c r="E42" s="225"/>
      <c r="F42" s="225"/>
      <c r="G42" s="16" t="s">
        <v>133</v>
      </c>
      <c r="H42" s="226">
        <v>44895</v>
      </c>
      <c r="I42" s="223"/>
      <c r="J42" s="223"/>
    </row>
    <row r="43" spans="1:10" ht="47.25" customHeight="1" x14ac:dyDescent="0.35">
      <c r="A43" s="223" t="s">
        <v>301</v>
      </c>
      <c r="B43" s="223"/>
      <c r="C43" s="224" t="s">
        <v>321</v>
      </c>
      <c r="D43" s="224"/>
      <c r="E43" s="224"/>
      <c r="F43" s="224"/>
      <c r="G43" s="16" t="s">
        <v>133</v>
      </c>
      <c r="H43" s="223" t="s">
        <v>136</v>
      </c>
      <c r="I43" s="223"/>
      <c r="J43" s="223"/>
    </row>
    <row r="44" spans="1:10" ht="45" customHeight="1" x14ac:dyDescent="0.35">
      <c r="A44" s="223" t="s">
        <v>301</v>
      </c>
      <c r="B44" s="223"/>
      <c r="C44" s="110" t="s">
        <v>302</v>
      </c>
      <c r="D44" s="110"/>
      <c r="E44" s="110"/>
      <c r="F44" s="110"/>
      <c r="G44" s="76" t="s">
        <v>275</v>
      </c>
      <c r="H44" s="102" t="s">
        <v>276</v>
      </c>
      <c r="I44" s="102"/>
      <c r="J44" s="102"/>
    </row>
    <row r="45" spans="1:10" ht="76.5" customHeight="1" x14ac:dyDescent="0.35">
      <c r="A45" s="223" t="s">
        <v>301</v>
      </c>
      <c r="B45" s="223"/>
      <c r="C45" s="110" t="s">
        <v>287</v>
      </c>
      <c r="D45" s="110"/>
      <c r="E45" s="110"/>
      <c r="F45" s="110"/>
      <c r="G45" s="76" t="s">
        <v>275</v>
      </c>
      <c r="H45" s="176">
        <v>44895</v>
      </c>
      <c r="I45" s="102"/>
      <c r="J45" s="102"/>
    </row>
    <row r="46" spans="1:10" ht="46.5" customHeight="1" x14ac:dyDescent="0.35">
      <c r="A46" s="112" t="s">
        <v>305</v>
      </c>
      <c r="B46" s="112"/>
      <c r="C46" s="194" t="s">
        <v>304</v>
      </c>
      <c r="D46" s="206"/>
      <c r="E46" s="206"/>
      <c r="F46" s="207"/>
      <c r="G46" s="17" t="s">
        <v>133</v>
      </c>
      <c r="H46" s="108" t="str">
        <f>H43</f>
        <v>22/05/2018.</v>
      </c>
      <c r="I46" s="195" t="s">
        <v>134</v>
      </c>
      <c r="J46" s="109"/>
    </row>
    <row r="47" spans="1:10" ht="32.25" customHeight="1" x14ac:dyDescent="0.35">
      <c r="A47" s="112" t="s">
        <v>305</v>
      </c>
      <c r="B47" s="112"/>
      <c r="C47" s="110" t="s">
        <v>303</v>
      </c>
      <c r="D47" s="110"/>
      <c r="E47" s="110"/>
      <c r="F47" s="110"/>
      <c r="G47" s="56" t="s">
        <v>275</v>
      </c>
      <c r="H47" s="97" t="s">
        <v>276</v>
      </c>
      <c r="I47" s="98"/>
      <c r="J47" s="99"/>
    </row>
    <row r="48" spans="1:10" ht="61.5" customHeight="1" x14ac:dyDescent="0.35">
      <c r="A48" s="112" t="s">
        <v>305</v>
      </c>
      <c r="B48" s="112"/>
      <c r="C48" s="110" t="s">
        <v>286</v>
      </c>
      <c r="D48" s="110"/>
      <c r="E48" s="110"/>
      <c r="F48" s="110"/>
      <c r="G48" s="56" t="s">
        <v>275</v>
      </c>
      <c r="H48" s="111">
        <v>44895</v>
      </c>
      <c r="I48" s="98"/>
      <c r="J48" s="99"/>
    </row>
    <row r="49" spans="1:10" x14ac:dyDescent="0.35">
      <c r="A49" s="205" t="s">
        <v>184</v>
      </c>
      <c r="B49" s="80"/>
      <c r="C49" s="80"/>
      <c r="D49" s="80"/>
      <c r="E49" s="81"/>
      <c r="F49" s="28" t="s">
        <v>133</v>
      </c>
      <c r="G49" s="187" t="s">
        <v>70</v>
      </c>
      <c r="H49" s="190"/>
      <c r="I49" s="190"/>
      <c r="J49" s="191"/>
    </row>
    <row r="50" spans="1:10" x14ac:dyDescent="0.35">
      <c r="A50" s="102" t="s">
        <v>105</v>
      </c>
      <c r="B50" s="101"/>
      <c r="C50" s="101"/>
      <c r="D50" s="101"/>
      <c r="E50" s="101"/>
      <c r="F50" s="110" t="s">
        <v>332</v>
      </c>
      <c r="G50" s="101"/>
      <c r="H50" s="101"/>
      <c r="I50" s="101"/>
      <c r="J50" s="101"/>
    </row>
    <row r="51" spans="1:10" x14ac:dyDescent="0.35">
      <c r="A51" s="165" t="s">
        <v>26</v>
      </c>
      <c r="B51" s="165"/>
      <c r="C51" s="165"/>
      <c r="D51" s="165"/>
      <c r="E51" s="165"/>
      <c r="F51" s="165"/>
      <c r="G51" s="165"/>
      <c r="H51" s="165"/>
      <c r="I51" s="165"/>
      <c r="J51" s="165"/>
    </row>
    <row r="52" spans="1:10" x14ac:dyDescent="0.35">
      <c r="A52" s="102" t="s">
        <v>306</v>
      </c>
      <c r="B52" s="101"/>
      <c r="C52" s="101"/>
      <c r="D52" s="101"/>
      <c r="E52" s="101"/>
      <c r="F52" s="166" t="s">
        <v>297</v>
      </c>
      <c r="G52" s="166"/>
      <c r="H52" s="166"/>
      <c r="I52" s="166"/>
      <c r="J52" s="166"/>
    </row>
    <row r="53" spans="1:10" x14ac:dyDescent="0.35">
      <c r="A53" s="110" t="s">
        <v>225</v>
      </c>
      <c r="B53" s="110"/>
      <c r="C53" s="110"/>
      <c r="D53" s="110" t="s">
        <v>285</v>
      </c>
      <c r="E53" s="110"/>
      <c r="F53" s="110"/>
      <c r="G53" s="110"/>
      <c r="H53" s="110"/>
      <c r="I53" s="110"/>
      <c r="J53" s="110"/>
    </row>
    <row r="54" spans="1:10" x14ac:dyDescent="0.35">
      <c r="A54" s="82" t="s">
        <v>271</v>
      </c>
      <c r="B54" s="83"/>
      <c r="C54" s="83"/>
      <c r="D54" s="83"/>
      <c r="E54" s="83"/>
      <c r="F54" s="83"/>
      <c r="G54" s="83"/>
      <c r="H54" s="83"/>
      <c r="I54" s="83"/>
      <c r="J54" s="84"/>
    </row>
    <row r="55" spans="1:10" x14ac:dyDescent="0.35">
      <c r="A55" s="102" t="s">
        <v>72</v>
      </c>
      <c r="B55" s="101"/>
      <c r="C55" s="101"/>
      <c r="D55" s="101"/>
      <c r="E55" s="101"/>
      <c r="F55" s="102" t="s">
        <v>307</v>
      </c>
      <c r="G55" s="101"/>
      <c r="H55" s="101"/>
      <c r="I55" s="101"/>
      <c r="J55" s="101"/>
    </row>
    <row r="56" spans="1:10" x14ac:dyDescent="0.35">
      <c r="A56" s="102" t="s">
        <v>73</v>
      </c>
      <c r="B56" s="102"/>
      <c r="C56" s="102"/>
      <c r="D56" s="102"/>
      <c r="E56" s="102"/>
      <c r="F56" s="102"/>
      <c r="G56" s="102"/>
      <c r="H56" s="102"/>
      <c r="I56" s="102"/>
      <c r="J56" s="102"/>
    </row>
    <row r="57" spans="1:10" x14ac:dyDescent="0.35">
      <c r="A57" s="102" t="s">
        <v>106</v>
      </c>
      <c r="B57" s="101"/>
      <c r="C57" s="101"/>
      <c r="D57" s="101"/>
      <c r="E57" s="101"/>
      <c r="F57" s="101"/>
      <c r="G57" s="101"/>
      <c r="H57" s="101"/>
      <c r="I57" s="101"/>
      <c r="J57" s="101"/>
    </row>
    <row r="58" spans="1:10" x14ac:dyDescent="0.35">
      <c r="A58" s="102" t="s">
        <v>78</v>
      </c>
      <c r="B58" s="101"/>
      <c r="C58" s="101"/>
      <c r="D58" s="101"/>
      <c r="E58" s="101"/>
      <c r="F58" s="101"/>
      <c r="G58" s="101"/>
      <c r="H58" s="101"/>
      <c r="I58" s="101"/>
      <c r="J58" s="101"/>
    </row>
    <row r="59" spans="1:10" x14ac:dyDescent="0.35">
      <c r="A59" s="167" t="s">
        <v>331</v>
      </c>
      <c r="B59" s="168"/>
      <c r="C59" s="168"/>
      <c r="D59" s="168"/>
      <c r="E59" s="168"/>
      <c r="F59" s="168"/>
      <c r="G59" s="168"/>
      <c r="H59" s="168"/>
      <c r="I59" s="168"/>
      <c r="J59" s="168"/>
    </row>
    <row r="60" spans="1:10" x14ac:dyDescent="0.35">
      <c r="A60" s="168"/>
      <c r="B60" s="168"/>
      <c r="C60" s="168"/>
      <c r="D60" s="168"/>
      <c r="E60" s="168"/>
      <c r="F60" s="168"/>
      <c r="G60" s="168"/>
      <c r="H60" s="168"/>
      <c r="I60" s="168"/>
      <c r="J60" s="168"/>
    </row>
    <row r="61" spans="1:10" x14ac:dyDescent="0.35">
      <c r="A61" s="168"/>
      <c r="B61" s="168"/>
      <c r="C61" s="168"/>
      <c r="D61" s="168"/>
      <c r="E61" s="168"/>
      <c r="F61" s="168"/>
      <c r="G61" s="168"/>
      <c r="H61" s="168"/>
      <c r="I61" s="168"/>
      <c r="J61" s="168"/>
    </row>
    <row r="62" spans="1:10" x14ac:dyDescent="0.35">
      <c r="A62" s="168"/>
      <c r="B62" s="168"/>
      <c r="C62" s="168"/>
      <c r="D62" s="168"/>
      <c r="E62" s="168"/>
      <c r="F62" s="168"/>
      <c r="G62" s="168"/>
      <c r="H62" s="168"/>
      <c r="I62" s="168"/>
      <c r="J62" s="168"/>
    </row>
    <row r="63" spans="1:10" x14ac:dyDescent="0.35">
      <c r="A63" s="168"/>
      <c r="B63" s="168"/>
      <c r="C63" s="168"/>
      <c r="D63" s="168"/>
      <c r="E63" s="168"/>
      <c r="F63" s="168"/>
      <c r="G63" s="168"/>
      <c r="H63" s="168"/>
      <c r="I63" s="168"/>
      <c r="J63" s="168"/>
    </row>
    <row r="64" spans="1:10" x14ac:dyDescent="0.35">
      <c r="A64" s="168"/>
      <c r="B64" s="168"/>
      <c r="C64" s="168"/>
      <c r="D64" s="168"/>
      <c r="E64" s="168"/>
      <c r="F64" s="168"/>
      <c r="G64" s="168"/>
      <c r="H64" s="168"/>
      <c r="I64" s="168"/>
      <c r="J64" s="168"/>
    </row>
    <row r="65" spans="1:14" x14ac:dyDescent="0.35">
      <c r="A65" s="100" t="s">
        <v>27</v>
      </c>
      <c r="B65" s="100"/>
      <c r="C65" s="100"/>
      <c r="D65" s="100"/>
      <c r="E65" s="100"/>
      <c r="F65" s="100"/>
      <c r="G65" s="100"/>
      <c r="H65" s="100"/>
      <c r="I65" s="100"/>
      <c r="J65" s="100"/>
    </row>
    <row r="66" spans="1:14" ht="30.75" customHeight="1" x14ac:dyDescent="0.35">
      <c r="A66" s="113" t="s">
        <v>146</v>
      </c>
      <c r="B66" s="114"/>
      <c r="C66" s="114"/>
      <c r="D66" s="114"/>
      <c r="E66" s="114"/>
      <c r="F66" s="114"/>
      <c r="G66" s="114">
        <v>3800</v>
      </c>
      <c r="H66" s="114"/>
      <c r="I66" s="114"/>
      <c r="J66" s="114"/>
      <c r="L66" s="68" t="s">
        <v>324</v>
      </c>
      <c r="M66" s="69">
        <v>44981</v>
      </c>
      <c r="N66" s="68" t="s">
        <v>325</v>
      </c>
    </row>
    <row r="67" spans="1:14" x14ac:dyDescent="0.35">
      <c r="A67" s="110" t="s">
        <v>185</v>
      </c>
      <c r="B67" s="101"/>
      <c r="C67" s="101"/>
      <c r="D67" s="101"/>
      <c r="E67" s="101"/>
      <c r="F67" s="101"/>
      <c r="G67" s="102" t="s">
        <v>189</v>
      </c>
      <c r="H67" s="101"/>
      <c r="I67" s="101"/>
      <c r="J67" s="101"/>
      <c r="L67">
        <v>3800</v>
      </c>
      <c r="M67" s="70">
        <v>44984</v>
      </c>
      <c r="N67" t="s">
        <v>326</v>
      </c>
    </row>
    <row r="68" spans="1:14" hidden="1" x14ac:dyDescent="0.35">
      <c r="A68" s="102" t="s">
        <v>82</v>
      </c>
      <c r="B68" s="101"/>
      <c r="C68" s="101"/>
      <c r="D68" s="101"/>
      <c r="E68" s="101"/>
      <c r="F68" s="101"/>
      <c r="G68" s="102" t="s">
        <v>270</v>
      </c>
      <c r="H68" s="101"/>
      <c r="I68" s="101"/>
      <c r="J68" s="101"/>
    </row>
    <row r="69" spans="1:14" ht="14.4" customHeight="1" x14ac:dyDescent="0.35">
      <c r="A69" s="101" t="s">
        <v>28</v>
      </c>
      <c r="B69" s="101"/>
      <c r="C69" s="101"/>
      <c r="D69" s="101"/>
      <c r="E69" s="101"/>
      <c r="F69" s="101"/>
      <c r="G69" s="102" t="s">
        <v>269</v>
      </c>
      <c r="H69" s="101"/>
      <c r="I69" s="101"/>
      <c r="J69" s="101"/>
    </row>
    <row r="70" spans="1:14" ht="14.4" customHeight="1" x14ac:dyDescent="0.35">
      <c r="A70" s="102" t="s">
        <v>147</v>
      </c>
      <c r="B70" s="101"/>
      <c r="C70" s="101"/>
      <c r="D70" s="101"/>
      <c r="E70" s="101"/>
      <c r="F70" s="101"/>
      <c r="G70" s="102" t="s">
        <v>323</v>
      </c>
      <c r="H70" s="101"/>
      <c r="I70" s="101"/>
      <c r="J70" s="101"/>
    </row>
    <row r="71" spans="1:14" s="1" customFormat="1" ht="14.4" customHeight="1" x14ac:dyDescent="0.35">
      <c r="A71" s="100" t="s">
        <v>29</v>
      </c>
      <c r="B71" s="100"/>
      <c r="C71" s="100"/>
      <c r="D71" s="100"/>
      <c r="E71" s="100"/>
      <c r="F71" s="100"/>
      <c r="G71" s="102">
        <f>G66*0.8</f>
        <v>3040</v>
      </c>
      <c r="H71" s="101"/>
      <c r="I71" s="101"/>
      <c r="J71" s="101"/>
    </row>
    <row r="72" spans="1:14" s="1" customFormat="1" x14ac:dyDescent="0.35">
      <c r="A72" s="208" t="s">
        <v>30</v>
      </c>
      <c r="B72" s="208"/>
      <c r="C72" s="208"/>
      <c r="D72" s="208"/>
      <c r="E72" s="208"/>
      <c r="F72" s="208"/>
      <c r="G72" s="208"/>
      <c r="H72" s="208"/>
      <c r="I72" s="208"/>
      <c r="J72" s="208"/>
    </row>
    <row r="73" spans="1:14" s="1" customFormat="1" x14ac:dyDescent="0.35">
      <c r="A73" s="95" t="s">
        <v>290</v>
      </c>
      <c r="B73" s="96"/>
      <c r="C73" s="96"/>
      <c r="D73" s="96"/>
      <c r="E73" s="96"/>
      <c r="F73" s="96"/>
      <c r="G73" s="96"/>
      <c r="H73" s="96"/>
      <c r="I73" s="96"/>
      <c r="J73" s="96"/>
    </row>
    <row r="74" spans="1:14" s="1" customFormat="1" x14ac:dyDescent="0.35">
      <c r="A74" s="95" t="s">
        <v>291</v>
      </c>
      <c r="B74" s="95"/>
      <c r="C74" s="95" t="s">
        <v>292</v>
      </c>
      <c r="D74" s="95"/>
      <c r="E74" s="95" t="s">
        <v>293</v>
      </c>
      <c r="F74" s="95"/>
      <c r="G74" s="95"/>
      <c r="H74" s="95" t="s">
        <v>294</v>
      </c>
      <c r="I74" s="95"/>
      <c r="J74" s="95"/>
    </row>
    <row r="75" spans="1:14" s="1" customFormat="1" x14ac:dyDescent="0.35">
      <c r="A75" s="77" t="s">
        <v>296</v>
      </c>
      <c r="B75" s="87"/>
      <c r="C75" s="91">
        <f>COUNT(E265:E276)</f>
        <v>12</v>
      </c>
      <c r="D75" s="87"/>
      <c r="E75" s="91">
        <f>SUM(E265:E276)</f>
        <v>1738.386</v>
      </c>
      <c r="F75" s="92"/>
      <c r="G75" s="87"/>
      <c r="H75" s="91">
        <f>SUM(G265:G276)</f>
        <v>3391.790219999999</v>
      </c>
      <c r="I75" s="93"/>
      <c r="J75" s="94"/>
    </row>
    <row r="76" spans="1:14" s="1" customFormat="1" x14ac:dyDescent="0.35">
      <c r="A76" s="95" t="s">
        <v>295</v>
      </c>
      <c r="B76" s="96"/>
      <c r="C76" s="96"/>
      <c r="D76" s="96"/>
      <c r="E76" s="96"/>
      <c r="F76" s="96"/>
      <c r="G76" s="96"/>
      <c r="H76" s="96"/>
      <c r="I76" s="96"/>
      <c r="J76" s="96"/>
    </row>
    <row r="77" spans="1:14" s="1" customFormat="1" x14ac:dyDescent="0.35">
      <c r="A77" s="95" t="s">
        <v>291</v>
      </c>
      <c r="B77" s="95"/>
      <c r="C77" s="95" t="s">
        <v>292</v>
      </c>
      <c r="D77" s="95"/>
      <c r="E77" s="95" t="s">
        <v>293</v>
      </c>
      <c r="F77" s="95"/>
      <c r="G77" s="95"/>
      <c r="H77" s="95" t="s">
        <v>294</v>
      </c>
      <c r="I77" s="95"/>
      <c r="J77" s="95"/>
    </row>
    <row r="78" spans="1:14" s="1" customFormat="1" x14ac:dyDescent="0.35">
      <c r="A78" s="85" t="s">
        <v>315</v>
      </c>
      <c r="B78" s="86"/>
      <c r="C78" s="77">
        <f>COUNT(E88:E99)+COUNT(E101:E112)*2+COUNT(E114:E125)*2+COUNT(E127:E138)</f>
        <v>72</v>
      </c>
      <c r="D78" s="87"/>
      <c r="E78" s="88">
        <f>SUM(E88:E99)+SUM(E101:E112)*2+SUM(E114:E125)*2+SUM(E127:E138)</f>
        <v>24908.864759999989</v>
      </c>
      <c r="F78" s="89"/>
      <c r="G78" s="90"/>
      <c r="H78" s="88">
        <f>SUM(G88:G99)+SUM(G101:G112)*2+SUM(G114:G125)*2+SUM(G127:G138)</f>
        <v>36117.853902000003</v>
      </c>
      <c r="I78" s="89"/>
      <c r="J78" s="90"/>
    </row>
    <row r="79" spans="1:14" s="1" customFormat="1" ht="33.75" customHeight="1" x14ac:dyDescent="0.35">
      <c r="A79" s="209" t="s">
        <v>319</v>
      </c>
      <c r="B79" s="86"/>
      <c r="C79" s="85">
        <f>COUNT(E142:E150)+COUNT(E152:E160)*4+COUNT(E162:E170)</f>
        <v>54</v>
      </c>
      <c r="D79" s="86"/>
      <c r="E79" s="88">
        <f>SUM(E142:E150)+SUM(E152:E160)*4+SUM(E162:E170)</f>
        <v>12838.922460000002</v>
      </c>
      <c r="F79" s="89"/>
      <c r="G79" s="90"/>
      <c r="H79" s="88">
        <f>SUM(G142:G150)+SUM(G152:G160)*4+SUM(G162:G170)</f>
        <v>18616.437566999994</v>
      </c>
      <c r="I79" s="89"/>
      <c r="J79" s="90"/>
    </row>
    <row r="80" spans="1:14" s="1" customFormat="1" ht="33.75" customHeight="1" x14ac:dyDescent="0.35">
      <c r="A80" s="209" t="s">
        <v>320</v>
      </c>
      <c r="B80" s="86"/>
      <c r="C80" s="85">
        <f>COUNT(E173:E182)+COUNT(E184:E193)*4+COUNT(E195:E204)</f>
        <v>60</v>
      </c>
      <c r="D80" s="86"/>
      <c r="E80" s="88">
        <f>SUM(E173:E182)+SUM(E184:E193)*4+SUM(E195:E204)</f>
        <v>19848.180923999993</v>
      </c>
      <c r="F80" s="89"/>
      <c r="G80" s="90"/>
      <c r="H80" s="88">
        <f>SUM(G173:G182)+SUM(G184:G193)*4+SUM(G195:G204)</f>
        <v>28779.862339799998</v>
      </c>
      <c r="I80" s="89"/>
      <c r="J80" s="90"/>
    </row>
    <row r="81" spans="1:19" s="1" customFormat="1" x14ac:dyDescent="0.35">
      <c r="A81" s="85" t="s">
        <v>318</v>
      </c>
      <c r="B81" s="86"/>
      <c r="C81" s="77">
        <f>COUNT(E207:E224)+COUNT(E226:E243)*4+COUNT(E245:E262)</f>
        <v>108</v>
      </c>
      <c r="D81" s="87"/>
      <c r="E81" s="88">
        <f t="shared" ref="E81" si="0">SUM(E207:E224)+SUM(E226:E243)*4+SUM(E245:E262)</f>
        <v>25324.032239999993</v>
      </c>
      <c r="F81" s="89"/>
      <c r="G81" s="90"/>
      <c r="H81" s="88">
        <f>SUM(G207:G224)+SUM(G226:G243)*4+SUM(G245:G262)</f>
        <v>36719.846748000004</v>
      </c>
      <c r="I81" s="89"/>
      <c r="J81" s="90"/>
    </row>
    <row r="82" spans="1:19" s="1" customFormat="1" x14ac:dyDescent="0.35">
      <c r="A82" s="85" t="s">
        <v>316</v>
      </c>
      <c r="B82" s="86"/>
      <c r="C82" s="77">
        <f>COUNT(E277:E282)+COUNT(E284:E295)+COUNT(E297:E308)+COUNT(E310:E321)+COUNT(E323:E334)*2</f>
        <v>66</v>
      </c>
      <c r="D82" s="87"/>
      <c r="E82" s="88">
        <f t="shared" ref="E82" si="1">SUM(E277:E282)+SUM(E284:E295)+SUM(E297:E308)+SUM(E310:E321)+SUM(E323:E334)*2</f>
        <v>22136.004539999998</v>
      </c>
      <c r="F82" s="89"/>
      <c r="G82" s="90"/>
      <c r="H82" s="88">
        <f>SUM(G277:G282)+SUM(G284:G295)+SUM(G297:G308)+SUM(G310:G321)+SUM(G323:G334)*2</f>
        <v>32301.507302999999</v>
      </c>
      <c r="I82" s="89"/>
      <c r="J82" s="90"/>
    </row>
    <row r="83" spans="1:19" s="1" customFormat="1" x14ac:dyDescent="0.35">
      <c r="A83" s="115" t="s">
        <v>172</v>
      </c>
      <c r="B83" s="116"/>
      <c r="C83" s="115">
        <f>SUM(C78:C82)</f>
        <v>360</v>
      </c>
      <c r="D83" s="116"/>
      <c r="E83" s="197">
        <f>SUM(E78:E82)</f>
        <v>105056.00492399998</v>
      </c>
      <c r="F83" s="198"/>
      <c r="G83" s="116"/>
      <c r="H83" s="197">
        <f>SUM(H78:H82)</f>
        <v>152535.50785979998</v>
      </c>
      <c r="I83" s="198"/>
      <c r="J83" s="116"/>
    </row>
    <row r="84" spans="1:19" x14ac:dyDescent="0.35">
      <c r="A84" s="95" t="s">
        <v>50</v>
      </c>
      <c r="B84" s="95"/>
      <c r="C84" s="95"/>
      <c r="D84" s="95"/>
      <c r="E84" s="95"/>
      <c r="F84" s="95"/>
      <c r="G84" s="95"/>
      <c r="H84" s="95"/>
      <c r="I84" s="95"/>
      <c r="J84" s="95"/>
    </row>
    <row r="85" spans="1:19" ht="45" customHeight="1" x14ac:dyDescent="0.35">
      <c r="A85" s="26"/>
      <c r="B85" s="15" t="s">
        <v>34</v>
      </c>
      <c r="C85" s="15" t="s">
        <v>39</v>
      </c>
      <c r="D85" s="15" t="s">
        <v>35</v>
      </c>
      <c r="E85" s="18" t="s">
        <v>49</v>
      </c>
      <c r="F85" s="18" t="s">
        <v>36</v>
      </c>
      <c r="G85" s="18" t="s">
        <v>288</v>
      </c>
      <c r="H85" s="15" t="s">
        <v>37</v>
      </c>
      <c r="I85" s="218" t="s">
        <v>38</v>
      </c>
      <c r="J85" s="219"/>
    </row>
    <row r="86" spans="1:19" x14ac:dyDescent="0.35">
      <c r="A86" s="105" t="s">
        <v>182</v>
      </c>
      <c r="B86" s="106"/>
      <c r="C86" s="106"/>
      <c r="D86" s="106"/>
      <c r="E86" s="106"/>
      <c r="F86" s="106"/>
      <c r="G86" s="106"/>
      <c r="H86" s="106"/>
      <c r="I86" s="106"/>
      <c r="J86" s="107"/>
      <c r="M86">
        <v>5</v>
      </c>
    </row>
    <row r="87" spans="1:19" x14ac:dyDescent="0.35">
      <c r="A87" s="95" t="s">
        <v>173</v>
      </c>
      <c r="B87" s="95"/>
      <c r="C87" s="95"/>
      <c r="D87" s="95"/>
      <c r="E87" s="95"/>
      <c r="F87" s="95"/>
      <c r="G87" s="95"/>
      <c r="H87" s="95"/>
      <c r="I87" s="95"/>
      <c r="J87" s="95"/>
    </row>
    <row r="88" spans="1:19" ht="15.75" customHeight="1" x14ac:dyDescent="0.35">
      <c r="A88" s="124"/>
      <c r="B88" s="4">
        <v>1</v>
      </c>
      <c r="C88" s="29" t="s">
        <v>190</v>
      </c>
      <c r="D88" s="4" t="s">
        <v>174</v>
      </c>
      <c r="E88" s="4">
        <f>(3*3.2+1.5*2.2+1.2*1.2+1.4*1.2+1.5*1.3+1.5*1.73+1.1*1.4)*10.764</f>
        <v>237.93822</v>
      </c>
      <c r="F88" s="4">
        <v>0</v>
      </c>
      <c r="G88" s="4">
        <f>E88*1.45+F88</f>
        <v>345.01041900000001</v>
      </c>
      <c r="H88" s="4" t="s">
        <v>130</v>
      </c>
      <c r="I88" s="169" t="s">
        <v>173</v>
      </c>
      <c r="J88" s="170"/>
      <c r="K88">
        <f>75*G88</f>
        <v>25875.781425000001</v>
      </c>
      <c r="L88">
        <f>150*G88</f>
        <v>51751.562850000002</v>
      </c>
      <c r="N88" t="s">
        <v>289</v>
      </c>
      <c r="S88">
        <f>SUM(E88:E99)+SUM(E101:E112)*2+SUM(E114:E125)*2+SUM(E127:E138)</f>
        <v>24908.864759999989</v>
      </c>
    </row>
    <row r="89" spans="1:19" ht="15.75" customHeight="1" x14ac:dyDescent="0.35">
      <c r="A89" s="125"/>
      <c r="B89" s="3">
        <v>2</v>
      </c>
      <c r="C89" s="29" t="s">
        <v>191</v>
      </c>
      <c r="D89" s="4" t="s">
        <v>75</v>
      </c>
      <c r="E89" s="4">
        <f>(3*3.2+1.5*2.2+1.2*1.2+1.4*1.2+1.5*1.3+1.5*1.73+1.1*1.4)*10.764</f>
        <v>237.93822</v>
      </c>
      <c r="F89" s="3">
        <v>0</v>
      </c>
      <c r="G89" s="4">
        <f t="shared" ref="G89:G138" si="2">E89*1.45+F89</f>
        <v>345.01041900000001</v>
      </c>
      <c r="H89" s="3" t="s">
        <v>130</v>
      </c>
      <c r="I89" s="171"/>
      <c r="J89" s="172"/>
      <c r="K89">
        <f t="shared" ref="K89:K90" si="3">75*G89</f>
        <v>25875.781425000001</v>
      </c>
      <c r="L89">
        <f t="shared" ref="L89:L95" si="4">150*G89</f>
        <v>51751.562850000002</v>
      </c>
      <c r="N89" t="s">
        <v>283</v>
      </c>
      <c r="S89">
        <f>SUM(E142:E150)+SUM(E152:E160)*4+SUM(E162:E170)</f>
        <v>12838.922460000002</v>
      </c>
    </row>
    <row r="90" spans="1:19" ht="15.75" customHeight="1" x14ac:dyDescent="0.35">
      <c r="A90" s="125"/>
      <c r="B90" s="4">
        <v>3</v>
      </c>
      <c r="C90" s="29" t="s">
        <v>192</v>
      </c>
      <c r="D90" s="4" t="s">
        <v>75</v>
      </c>
      <c r="E90" s="4">
        <f>(3*3.2+1.5*2.2+1.2*1.2+1.4*1.2+1.5*1.3+1.5*1.73+1.1*1.4)*10.764</f>
        <v>237.93822</v>
      </c>
      <c r="F90" s="4">
        <v>0</v>
      </c>
      <c r="G90" s="4">
        <f t="shared" si="2"/>
        <v>345.01041900000001</v>
      </c>
      <c r="H90" s="4" t="s">
        <v>130</v>
      </c>
      <c r="I90" s="171"/>
      <c r="J90" s="172"/>
      <c r="K90">
        <f t="shared" si="3"/>
        <v>25875.781425000001</v>
      </c>
      <c r="L90">
        <f t="shared" si="4"/>
        <v>51751.562850000002</v>
      </c>
      <c r="S90">
        <f>SUM(E173:E182)+SUM(E184:E193)*4+SUM(E195:E204)</f>
        <v>19848.180923999993</v>
      </c>
    </row>
    <row r="91" spans="1:19" ht="15.75" customHeight="1" x14ac:dyDescent="0.35">
      <c r="A91" s="125"/>
      <c r="B91" s="4">
        <v>4</v>
      </c>
      <c r="C91" s="29" t="s">
        <v>193</v>
      </c>
      <c r="D91" s="4" t="s">
        <v>75</v>
      </c>
      <c r="E91" s="4">
        <f>(3*3.2+1.5*2.2+1.2*1.2+1.4*1.2+1.5*1.3+1.5*1.73+1.1*1.4)*10.764</f>
        <v>237.93822</v>
      </c>
      <c r="F91" s="4">
        <v>0</v>
      </c>
      <c r="G91" s="4">
        <f t="shared" si="2"/>
        <v>345.01041900000001</v>
      </c>
      <c r="H91" s="4" t="s">
        <v>130</v>
      </c>
      <c r="I91" s="171"/>
      <c r="J91" s="172"/>
      <c r="L91">
        <f t="shared" si="4"/>
        <v>51751.562850000002</v>
      </c>
      <c r="N91" t="s">
        <v>80</v>
      </c>
      <c r="S91">
        <f>SUM(E207:E224)+SUM(E226:E243)*4+SUM(E245:E262)</f>
        <v>25324.032239999993</v>
      </c>
    </row>
    <row r="92" spans="1:19" ht="15.75" customHeight="1" x14ac:dyDescent="0.35">
      <c r="A92" s="125"/>
      <c r="B92" s="4">
        <v>5</v>
      </c>
      <c r="C92" s="29" t="s">
        <v>194</v>
      </c>
      <c r="D92" s="4" t="s">
        <v>79</v>
      </c>
      <c r="E92" s="3">
        <f>(3.2*3+2.7*1.8+1.5*2.2+1.2*1.4+1*1.4+1.5*1.65+1.5*1.4+1.5*3)*10.764</f>
        <v>322.00505999999996</v>
      </c>
      <c r="F92" s="3">
        <v>0</v>
      </c>
      <c r="G92" s="4">
        <f t="shared" si="2"/>
        <v>466.90733699999993</v>
      </c>
      <c r="H92" s="3" t="s">
        <v>130</v>
      </c>
      <c r="I92" s="171"/>
      <c r="J92" s="172"/>
      <c r="L92">
        <f t="shared" si="4"/>
        <v>70036.100549999988</v>
      </c>
      <c r="N92" t="s">
        <v>181</v>
      </c>
      <c r="S92">
        <f>SUM(E277:E282)+SUM(E284:E295)+SUM(E297:E308)+SUM(E310:E321)+SUM(E323:E334)*2</f>
        <v>22136.004539999998</v>
      </c>
    </row>
    <row r="93" spans="1:19" ht="15.75" customHeight="1" x14ac:dyDescent="0.35">
      <c r="A93" s="125"/>
      <c r="B93" s="3">
        <v>6</v>
      </c>
      <c r="C93" s="29" t="s">
        <v>195</v>
      </c>
      <c r="D93" s="4" t="s">
        <v>79</v>
      </c>
      <c r="E93" s="3">
        <f>(3.2*3+2.7*1.8+1.5*2.2+1.2*1.4+1*1.4+1.5*1.65+1.5*1.4+1.5*3)*10.764</f>
        <v>322.00505999999996</v>
      </c>
      <c r="F93" s="3">
        <v>0</v>
      </c>
      <c r="G93" s="4">
        <f t="shared" si="2"/>
        <v>466.90733699999993</v>
      </c>
      <c r="H93" s="3" t="s">
        <v>130</v>
      </c>
      <c r="I93" s="171"/>
      <c r="J93" s="172"/>
      <c r="L93">
        <f t="shared" si="4"/>
        <v>70036.100549999988</v>
      </c>
    </row>
    <row r="94" spans="1:19" ht="15.75" customHeight="1" x14ac:dyDescent="0.35">
      <c r="A94" s="125"/>
      <c r="B94" s="2">
        <v>7</v>
      </c>
      <c r="C94" s="29" t="s">
        <v>196</v>
      </c>
      <c r="D94" s="4" t="s">
        <v>75</v>
      </c>
      <c r="E94" s="4">
        <f>(3*3.2+1.5*2.2+1.2*1.2+1.4*1.2+1.5*1.3+1.5*1.73+1.1*1.4)*10.764</f>
        <v>237.93822</v>
      </c>
      <c r="F94" s="3">
        <v>0</v>
      </c>
      <c r="G94" s="4">
        <f t="shared" si="2"/>
        <v>345.01041900000001</v>
      </c>
      <c r="H94" s="3" t="s">
        <v>130</v>
      </c>
      <c r="I94" s="171"/>
      <c r="J94" s="172"/>
      <c r="L94">
        <f t="shared" si="4"/>
        <v>51751.562850000002</v>
      </c>
    </row>
    <row r="95" spans="1:19" ht="15.75" customHeight="1" x14ac:dyDescent="0.35">
      <c r="A95" s="125"/>
      <c r="B95" s="2">
        <v>8</v>
      </c>
      <c r="C95" s="29" t="s">
        <v>197</v>
      </c>
      <c r="D95" s="4" t="s">
        <v>75</v>
      </c>
      <c r="E95" s="4">
        <f>(3*3.2+1.5*2.2+1.2*1.2+1.4*1.2+1.5*1.3+1.5*1.73+1.1*1.4)*10.764</f>
        <v>237.93822</v>
      </c>
      <c r="F95" s="3">
        <v>0</v>
      </c>
      <c r="G95" s="4">
        <f t="shared" si="2"/>
        <v>345.01041900000001</v>
      </c>
      <c r="H95" s="3" t="s">
        <v>130</v>
      </c>
      <c r="I95" s="171"/>
      <c r="J95" s="172"/>
      <c r="L95">
        <f t="shared" si="4"/>
        <v>51751.562850000002</v>
      </c>
    </row>
    <row r="96" spans="1:19" ht="15.75" customHeight="1" x14ac:dyDescent="0.35">
      <c r="A96" s="125"/>
      <c r="B96" s="2">
        <v>9</v>
      </c>
      <c r="C96" s="29" t="s">
        <v>198</v>
      </c>
      <c r="D96" s="4" t="s">
        <v>75</v>
      </c>
      <c r="E96" s="4">
        <f>(3*3.2+1.5*2.2+1.2*1.2+1.4*1.2+1.5*1.3+1.5*1.73+1.1*1.4)*10.764</f>
        <v>237.93822</v>
      </c>
      <c r="F96" s="3">
        <v>0</v>
      </c>
      <c r="G96" s="4">
        <f t="shared" si="2"/>
        <v>345.01041900000001</v>
      </c>
      <c r="H96" s="3" t="s">
        <v>130</v>
      </c>
      <c r="I96" s="171"/>
      <c r="J96" s="172"/>
    </row>
    <row r="97" spans="1:12" ht="15.75" customHeight="1" x14ac:dyDescent="0.35">
      <c r="A97" s="125"/>
      <c r="B97" s="2">
        <v>10</v>
      </c>
      <c r="C97" s="29" t="s">
        <v>199</v>
      </c>
      <c r="D97" s="4" t="s">
        <v>75</v>
      </c>
      <c r="E97" s="4">
        <f>(3*3.2+1.5*2.2+1.2*1.2+1.4*1.2+1.5*1.3+1.5*1.73+1.1*1.4)*10.764</f>
        <v>237.93822</v>
      </c>
      <c r="F97" s="3">
        <v>0</v>
      </c>
      <c r="G97" s="4">
        <f t="shared" si="2"/>
        <v>345.01041900000001</v>
      </c>
      <c r="H97" s="3" t="s">
        <v>130</v>
      </c>
      <c r="I97" s="171"/>
      <c r="J97" s="172"/>
    </row>
    <row r="98" spans="1:12" ht="15.75" customHeight="1" x14ac:dyDescent="0.35">
      <c r="A98" s="125"/>
      <c r="B98" s="4">
        <v>11</v>
      </c>
      <c r="C98" s="29" t="s">
        <v>200</v>
      </c>
      <c r="D98" s="4" t="s">
        <v>79</v>
      </c>
      <c r="E98" s="3">
        <f>(3.2*3+2.7*1.8+1.5*2.2+1.2*1.4+1*1.4+1.5*1.65+1.5*1.4+1.5*3)*10.764</f>
        <v>322.00505999999996</v>
      </c>
      <c r="F98" s="3">
        <v>0</v>
      </c>
      <c r="G98" s="4">
        <f t="shared" si="2"/>
        <v>466.90733699999993</v>
      </c>
      <c r="H98" s="3" t="s">
        <v>130</v>
      </c>
      <c r="I98" s="171"/>
      <c r="J98" s="172"/>
    </row>
    <row r="99" spans="1:12" ht="15.75" customHeight="1" x14ac:dyDescent="0.35">
      <c r="A99" s="126"/>
      <c r="B99" s="3">
        <v>12</v>
      </c>
      <c r="C99" s="29" t="s">
        <v>201</v>
      </c>
      <c r="D99" s="4" t="s">
        <v>79</v>
      </c>
      <c r="E99" s="3">
        <f>(3.2*3+2.7*1.8+1.5*2.2+1.2*1.4+1*1.4+1.5*1.65+1.5*1.4+1.5*3)*10.764</f>
        <v>322.00505999999996</v>
      </c>
      <c r="F99" s="3">
        <v>0</v>
      </c>
      <c r="G99" s="4">
        <f t="shared" si="2"/>
        <v>466.90733699999993</v>
      </c>
      <c r="H99" s="3" t="s">
        <v>130</v>
      </c>
      <c r="I99" s="173"/>
      <c r="J99" s="174"/>
      <c r="K99">
        <v>12</v>
      </c>
    </row>
    <row r="100" spans="1:12" x14ac:dyDescent="0.35">
      <c r="A100" s="115" t="s">
        <v>141</v>
      </c>
      <c r="B100" s="198"/>
      <c r="C100" s="198"/>
      <c r="D100" s="198"/>
      <c r="E100" s="198"/>
      <c r="F100" s="198"/>
      <c r="G100" s="198"/>
      <c r="H100" s="198"/>
      <c r="I100" s="198"/>
      <c r="J100" s="116"/>
    </row>
    <row r="101" spans="1:12" x14ac:dyDescent="0.35">
      <c r="A101" s="125"/>
      <c r="B101" s="4">
        <v>1</v>
      </c>
      <c r="C101" s="4" t="s">
        <v>202</v>
      </c>
      <c r="D101" s="4" t="s">
        <v>79</v>
      </c>
      <c r="E101" s="3">
        <f>(3.2*3+2.7*1.8+1.5*2.2+1.2*1.4+1*1.4+1.5*1.65+1.5*2.93+2.7*1+1.4*1.5+0.75*1.5)*10.764</f>
        <v>362.04713999999996</v>
      </c>
      <c r="F101" s="4">
        <v>0</v>
      </c>
      <c r="G101" s="4">
        <f t="shared" si="2"/>
        <v>524.96835299999987</v>
      </c>
      <c r="H101" s="19" t="s">
        <v>130</v>
      </c>
      <c r="I101" s="169" t="s">
        <v>143</v>
      </c>
      <c r="J101" s="170"/>
      <c r="L101">
        <f t="shared" ref="L101:L112" si="5">150*G101</f>
        <v>78745.25294999998</v>
      </c>
    </row>
    <row r="102" spans="1:12" x14ac:dyDescent="0.35">
      <c r="A102" s="125"/>
      <c r="B102" s="4">
        <v>2</v>
      </c>
      <c r="C102" s="4" t="s">
        <v>203</v>
      </c>
      <c r="D102" s="4" t="s">
        <v>79</v>
      </c>
      <c r="E102" s="3">
        <f>(3.2*3+2.7*1.8+1.5*2.2+1.2*1.4+1*1.4+1.5*1.65+1.5*2.93+2.7*1+1.4*1.5+0.75*1.5)*10.764</f>
        <v>362.04713999999996</v>
      </c>
      <c r="F102" s="4">
        <v>0</v>
      </c>
      <c r="G102" s="4">
        <f t="shared" si="2"/>
        <v>524.96835299999987</v>
      </c>
      <c r="H102" s="19" t="s">
        <v>130</v>
      </c>
      <c r="I102" s="171" t="s">
        <v>143</v>
      </c>
      <c r="J102" s="172"/>
      <c r="K102">
        <f>75*G102</f>
        <v>39372.62647499999</v>
      </c>
      <c r="L102">
        <f t="shared" si="5"/>
        <v>78745.25294999998</v>
      </c>
    </row>
    <row r="103" spans="1:12" x14ac:dyDescent="0.35">
      <c r="A103" s="125"/>
      <c r="B103" s="4">
        <v>3</v>
      </c>
      <c r="C103" s="4" t="s">
        <v>204</v>
      </c>
      <c r="D103" s="4" t="s">
        <v>79</v>
      </c>
      <c r="E103" s="3">
        <f>(3.2*3+2.7*1.8+1.5*2.2+1.2*1.4+1*1.4+1.5*1.65+1.5*2.93+2.7*1+1.4*1.5+0.75*1.5)*10.764</f>
        <v>362.04713999999996</v>
      </c>
      <c r="F103" s="4">
        <v>0</v>
      </c>
      <c r="G103" s="4">
        <f t="shared" si="2"/>
        <v>524.96835299999987</v>
      </c>
      <c r="H103" s="19" t="s">
        <v>130</v>
      </c>
      <c r="I103" s="171" t="s">
        <v>143</v>
      </c>
      <c r="J103" s="172"/>
      <c r="K103">
        <f t="shared" ref="K103:K107" si="6">75*G103</f>
        <v>39372.62647499999</v>
      </c>
      <c r="L103">
        <f t="shared" si="5"/>
        <v>78745.25294999998</v>
      </c>
    </row>
    <row r="104" spans="1:12" x14ac:dyDescent="0.35">
      <c r="A104" s="125"/>
      <c r="B104" s="4">
        <v>4</v>
      </c>
      <c r="C104" s="4" t="s">
        <v>205</v>
      </c>
      <c r="D104" s="4" t="s">
        <v>79</v>
      </c>
      <c r="E104" s="3">
        <f>(3.2*3+2.7*1.8+1.5*2.2+1.2*1.4+1*1.4+1.5*1.65+1.5*2.93+2.7*1+1.4*1.5+0.75*1.5)*10.764</f>
        <v>362.04713999999996</v>
      </c>
      <c r="F104" s="4">
        <v>0</v>
      </c>
      <c r="G104" s="4">
        <f t="shared" si="2"/>
        <v>524.96835299999987</v>
      </c>
      <c r="H104" s="19" t="s">
        <v>130</v>
      </c>
      <c r="I104" s="171" t="s">
        <v>143</v>
      </c>
      <c r="J104" s="172"/>
      <c r="K104">
        <f t="shared" si="6"/>
        <v>39372.62647499999</v>
      </c>
      <c r="L104">
        <f t="shared" si="5"/>
        <v>78745.25294999998</v>
      </c>
    </row>
    <row r="105" spans="1:12" x14ac:dyDescent="0.35">
      <c r="A105" s="125"/>
      <c r="B105" s="4">
        <v>5</v>
      </c>
      <c r="C105" s="4" t="s">
        <v>206</v>
      </c>
      <c r="D105" s="4" t="s">
        <v>79</v>
      </c>
      <c r="E105" s="3">
        <f>(3.2*3+2.7*1.8+1.5*2.2+1.2*1.4+1*1.4+1.2*1.65+1.5*3+2.7*1+2.1*0.45+1.4*1.5+0.75*(1.5))*10.764</f>
        <v>368.02115999999995</v>
      </c>
      <c r="F105" s="4">
        <v>0</v>
      </c>
      <c r="G105" s="4">
        <f t="shared" si="2"/>
        <v>533.63068199999987</v>
      </c>
      <c r="H105" s="19" t="s">
        <v>130</v>
      </c>
      <c r="I105" s="171" t="s">
        <v>143</v>
      </c>
      <c r="J105" s="172"/>
      <c r="K105">
        <f>75*G105</f>
        <v>40022.301149999992</v>
      </c>
      <c r="L105">
        <f t="shared" si="5"/>
        <v>80044.602299999984</v>
      </c>
    </row>
    <row r="106" spans="1:12" x14ac:dyDescent="0.35">
      <c r="A106" s="125"/>
      <c r="B106" s="4">
        <v>6</v>
      </c>
      <c r="C106" s="4" t="s">
        <v>207</v>
      </c>
      <c r="D106" s="4" t="s">
        <v>79</v>
      </c>
      <c r="E106" s="3">
        <f>(3.2*3+2.7*1.8+1.5*2.2+1.2*1.4+1*1.4+1.2*1.65+1.5*3+2.7*1+2.1*0.45+1.4*1.5+0.75*(1.5))*10.764</f>
        <v>368.02115999999995</v>
      </c>
      <c r="F106" s="4">
        <v>0</v>
      </c>
      <c r="G106" s="4">
        <f t="shared" si="2"/>
        <v>533.63068199999987</v>
      </c>
      <c r="H106" s="19" t="s">
        <v>130</v>
      </c>
      <c r="I106" s="171" t="s">
        <v>143</v>
      </c>
      <c r="J106" s="172"/>
      <c r="K106">
        <f t="shared" si="6"/>
        <v>40022.301149999992</v>
      </c>
      <c r="L106">
        <f t="shared" si="5"/>
        <v>80044.602299999984</v>
      </c>
    </row>
    <row r="107" spans="1:12" x14ac:dyDescent="0.35">
      <c r="A107" s="125"/>
      <c r="B107" s="4">
        <v>7</v>
      </c>
      <c r="C107" s="4" t="s">
        <v>208</v>
      </c>
      <c r="D107" s="4" t="s">
        <v>79</v>
      </c>
      <c r="E107" s="3">
        <f>(3.2*3+2.7*1.8+1.5*2.2+1.2*1.4+1*1.4+1.2*1.8+1.2*2.93+2.7*1+2.1*0.45+1.4*1.5+0.75*1.5)*10.764</f>
        <v>359.36690399999992</v>
      </c>
      <c r="F107" s="4">
        <v>0</v>
      </c>
      <c r="G107" s="4">
        <f t="shared" si="2"/>
        <v>521.08201079999992</v>
      </c>
      <c r="H107" s="19" t="s">
        <v>130</v>
      </c>
      <c r="I107" s="171" t="s">
        <v>143</v>
      </c>
      <c r="J107" s="172"/>
      <c r="K107">
        <f t="shared" si="6"/>
        <v>39081.150809999992</v>
      </c>
      <c r="L107">
        <f t="shared" si="5"/>
        <v>78162.301619999984</v>
      </c>
    </row>
    <row r="108" spans="1:12" x14ac:dyDescent="0.35">
      <c r="A108" s="125"/>
      <c r="B108" s="4">
        <v>8</v>
      </c>
      <c r="C108" s="4" t="s">
        <v>209</v>
      </c>
      <c r="D108" s="4" t="s">
        <v>79</v>
      </c>
      <c r="E108" s="3">
        <f>(3.2*3+2.7*1.8+1.5*2.2+1.2*1.4+1*1.4+1.2*2.93+1.2*1.8+2.7*1+1.4*1.5+0.75*1.5)*10.764</f>
        <v>349.19492400000001</v>
      </c>
      <c r="F108" s="4">
        <v>0</v>
      </c>
      <c r="G108" s="4">
        <f t="shared" si="2"/>
        <v>506.33263979999998</v>
      </c>
      <c r="H108" s="19" t="s">
        <v>130</v>
      </c>
      <c r="I108" s="171" t="s">
        <v>143</v>
      </c>
      <c r="J108" s="172"/>
      <c r="L108">
        <f t="shared" si="5"/>
        <v>75949.895969999998</v>
      </c>
    </row>
    <row r="109" spans="1:12" x14ac:dyDescent="0.35">
      <c r="A109" s="125"/>
      <c r="B109" s="4">
        <v>9</v>
      </c>
      <c r="C109" s="4" t="s">
        <v>210</v>
      </c>
      <c r="D109" s="4" t="s">
        <v>79</v>
      </c>
      <c r="E109" s="3">
        <f>(3.2*3+2.7*1.8+1.5*2.2+1.2*1.4+1*1.4+1.2*2.93+1.2*1.8+2.7*1+1.4*1.5+0.75*1.5)*10.764</f>
        <v>349.19492400000001</v>
      </c>
      <c r="F109" s="4">
        <v>0</v>
      </c>
      <c r="G109" s="4">
        <f t="shared" si="2"/>
        <v>506.33263979999998</v>
      </c>
      <c r="H109" s="19" t="s">
        <v>130</v>
      </c>
      <c r="I109" s="171" t="s">
        <v>143</v>
      </c>
      <c r="J109" s="172"/>
      <c r="L109">
        <f t="shared" si="5"/>
        <v>75949.895969999998</v>
      </c>
    </row>
    <row r="110" spans="1:12" x14ac:dyDescent="0.35">
      <c r="A110" s="125"/>
      <c r="B110" s="4">
        <v>10</v>
      </c>
      <c r="C110" s="4" t="s">
        <v>211</v>
      </c>
      <c r="D110" s="4" t="s">
        <v>79</v>
      </c>
      <c r="E110" s="3">
        <f>(3.2*3+2.7*1.8+1.5*2.2+1.2*1.4+1*1.4+1.2*1.65+1.5*3+2.7*1+2.1*0.45+1.4*1.5+0.75*1.5)*10.764</f>
        <v>368.02115999999995</v>
      </c>
      <c r="F110" s="4">
        <v>0</v>
      </c>
      <c r="G110" s="4">
        <f t="shared" si="2"/>
        <v>533.63068199999987</v>
      </c>
      <c r="H110" s="19" t="s">
        <v>130</v>
      </c>
      <c r="I110" s="171" t="s">
        <v>143</v>
      </c>
      <c r="J110" s="172"/>
      <c r="L110">
        <f t="shared" si="5"/>
        <v>80044.602299999984</v>
      </c>
    </row>
    <row r="111" spans="1:12" x14ac:dyDescent="0.35">
      <c r="A111" s="125"/>
      <c r="B111" s="4">
        <v>11</v>
      </c>
      <c r="C111" s="4" t="s">
        <v>212</v>
      </c>
      <c r="D111" s="4" t="s">
        <v>79</v>
      </c>
      <c r="E111" s="64">
        <f>(3.2*3+2.7*1.8+0.45*2.1+1.5*2.2+1.2*1.4+1*1.4+1.2*1.8+1.4*3+2.7*1+1.4*1.5+0.75*(1.5))*10.764</f>
        <v>366.72947999999997</v>
      </c>
      <c r="F111" s="3">
        <v>0</v>
      </c>
      <c r="G111" s="4">
        <f t="shared" si="2"/>
        <v>531.75774599999988</v>
      </c>
      <c r="H111" s="3" t="s">
        <v>130</v>
      </c>
      <c r="I111" s="171" t="s">
        <v>143</v>
      </c>
      <c r="J111" s="172"/>
      <c r="L111">
        <f t="shared" si="5"/>
        <v>79763.661899999977</v>
      </c>
    </row>
    <row r="112" spans="1:12" x14ac:dyDescent="0.35">
      <c r="A112" s="126"/>
      <c r="B112" s="3">
        <v>12</v>
      </c>
      <c r="C112" s="4" t="s">
        <v>213</v>
      </c>
      <c r="D112" s="4" t="s">
        <v>79</v>
      </c>
      <c r="E112" s="64">
        <f>(3.2*3+2.7*1.8+0.45*2.1+1.5*2.2+1.2*1.4+1*1.4+1.2*1.8+1.4*3+2.7*1+1.4*1.5+0.75*(1.5))*10.764</f>
        <v>366.72947999999997</v>
      </c>
      <c r="F112" s="3">
        <v>0</v>
      </c>
      <c r="G112" s="4">
        <f t="shared" si="2"/>
        <v>531.75774599999988</v>
      </c>
      <c r="H112" s="3" t="s">
        <v>130</v>
      </c>
      <c r="I112" s="173" t="s">
        <v>143</v>
      </c>
      <c r="J112" s="174"/>
      <c r="K112">
        <f>12*2</f>
        <v>24</v>
      </c>
      <c r="L112">
        <f t="shared" si="5"/>
        <v>79763.661899999977</v>
      </c>
    </row>
    <row r="113" spans="1:11" x14ac:dyDescent="0.35">
      <c r="A113" s="95" t="s">
        <v>142</v>
      </c>
      <c r="B113" s="95"/>
      <c r="C113" s="95"/>
      <c r="D113" s="95"/>
      <c r="E113" s="95"/>
      <c r="F113" s="95"/>
      <c r="G113" s="95"/>
      <c r="H113" s="95"/>
      <c r="I113" s="95"/>
      <c r="J113" s="95"/>
    </row>
    <row r="114" spans="1:11" x14ac:dyDescent="0.35">
      <c r="A114" s="196"/>
      <c r="B114" s="4">
        <v>1</v>
      </c>
      <c r="C114" s="4" t="s">
        <v>214</v>
      </c>
      <c r="D114" s="4" t="s">
        <v>79</v>
      </c>
      <c r="E114" s="3">
        <f>(3.2*3+2.7*1.8+1.5*2.2+1.2*1.4+1*1.4+1.5*1.65+1.5*2.93+2.7*1+1.4*1.5+0.75*1.5)*10.764</f>
        <v>362.04713999999996</v>
      </c>
      <c r="F114" s="4">
        <v>0</v>
      </c>
      <c r="G114" s="4">
        <f t="shared" si="2"/>
        <v>524.96835299999987</v>
      </c>
      <c r="H114" s="19" t="s">
        <v>130</v>
      </c>
      <c r="I114" s="169" t="s">
        <v>144</v>
      </c>
      <c r="J114" s="170"/>
    </row>
    <row r="115" spans="1:11" x14ac:dyDescent="0.35">
      <c r="A115" s="196"/>
      <c r="B115" s="4">
        <v>2</v>
      </c>
      <c r="C115" s="4" t="s">
        <v>215</v>
      </c>
      <c r="D115" s="4" t="s">
        <v>79</v>
      </c>
      <c r="E115" s="3">
        <f>(3.2*3+2.7*1.8+1.5*2.2+1.2*1.4+1*1.4+1.5*1.65+1.5*2.93+2.7*1+1.4*1.5+0.75*1.5)*10.764</f>
        <v>362.04713999999996</v>
      </c>
      <c r="F115" s="4">
        <v>0</v>
      </c>
      <c r="G115" s="4">
        <f t="shared" si="2"/>
        <v>524.96835299999987</v>
      </c>
      <c r="H115" s="19" t="s">
        <v>130</v>
      </c>
      <c r="I115" s="171" t="s">
        <v>144</v>
      </c>
      <c r="J115" s="172"/>
    </row>
    <row r="116" spans="1:11" x14ac:dyDescent="0.35">
      <c r="A116" s="196"/>
      <c r="B116" s="4">
        <v>3</v>
      </c>
      <c r="C116" s="4" t="s">
        <v>216</v>
      </c>
      <c r="D116" s="4" t="s">
        <v>79</v>
      </c>
      <c r="E116" s="3">
        <f>(3.2*3+2.7*1.8+1.5*2.2+1.2*1.4+1*1.4+1.5*1.65+1.5*2.93+2.7*1+1.4*1.5+0.75*1.5)*10.764</f>
        <v>362.04713999999996</v>
      </c>
      <c r="F116" s="4">
        <v>0</v>
      </c>
      <c r="G116" s="4">
        <f t="shared" si="2"/>
        <v>524.96835299999987</v>
      </c>
      <c r="H116" s="19" t="s">
        <v>130</v>
      </c>
      <c r="I116" s="171" t="s">
        <v>144</v>
      </c>
      <c r="J116" s="172"/>
    </row>
    <row r="117" spans="1:11" x14ac:dyDescent="0.35">
      <c r="A117" s="196"/>
      <c r="B117" s="4">
        <v>4</v>
      </c>
      <c r="C117" s="4" t="s">
        <v>217</v>
      </c>
      <c r="D117" s="4" t="s">
        <v>79</v>
      </c>
      <c r="E117" s="3">
        <f>(3.2*3+2.7*1.8+1.5*2.2+1.2*1.4+1*1.4+1.5*1.65+1.5*2.93+2.7*1+1.4*1.5+0.75*1.5)*10.764</f>
        <v>362.04713999999996</v>
      </c>
      <c r="F117" s="4">
        <v>0</v>
      </c>
      <c r="G117" s="4">
        <f t="shared" si="2"/>
        <v>524.96835299999987</v>
      </c>
      <c r="H117" s="19" t="s">
        <v>130</v>
      </c>
      <c r="I117" s="171" t="s">
        <v>144</v>
      </c>
      <c r="J117" s="172"/>
    </row>
    <row r="118" spans="1:11" x14ac:dyDescent="0.35">
      <c r="A118" s="196"/>
      <c r="B118" s="4">
        <v>5</v>
      </c>
      <c r="C118" s="4" t="s">
        <v>218</v>
      </c>
      <c r="D118" s="4" t="s">
        <v>79</v>
      </c>
      <c r="E118" s="3">
        <f>(3.2*3+2.7*1.8+1.5*2.2+1.2*1.4+1*1.4+1.2*1.65+1.5*3+2.7*1+2.1*0.45+1.4*1.5+0.75*(1.5))*10.764</f>
        <v>368.02115999999995</v>
      </c>
      <c r="F118" s="4">
        <v>0</v>
      </c>
      <c r="G118" s="4">
        <f t="shared" si="2"/>
        <v>533.63068199999987</v>
      </c>
      <c r="H118" s="19" t="s">
        <v>130</v>
      </c>
      <c r="I118" s="171" t="s">
        <v>144</v>
      </c>
      <c r="J118" s="172"/>
    </row>
    <row r="119" spans="1:11" x14ac:dyDescent="0.35">
      <c r="A119" s="196"/>
      <c r="B119" s="4">
        <v>6</v>
      </c>
      <c r="C119" s="4" t="s">
        <v>219</v>
      </c>
      <c r="D119" s="4" t="s">
        <v>79</v>
      </c>
      <c r="E119" s="3">
        <f>(3.2*3+2.7*1.8+1.5*2.2+1.2*1.4+1*1.4+1.2*1.65+1.5*3+2.7*1+2.1*0.45+1.4*1.5+0.75*(1.5))*10.764</f>
        <v>368.02115999999995</v>
      </c>
      <c r="F119" s="4">
        <v>0</v>
      </c>
      <c r="G119" s="4">
        <f t="shared" si="2"/>
        <v>533.63068199999987</v>
      </c>
      <c r="H119" s="19" t="s">
        <v>130</v>
      </c>
      <c r="I119" s="171" t="s">
        <v>144</v>
      </c>
      <c r="J119" s="172"/>
    </row>
    <row r="120" spans="1:11" x14ac:dyDescent="0.35">
      <c r="A120" s="196"/>
      <c r="B120" s="4">
        <v>7</v>
      </c>
      <c r="C120" s="4" t="s">
        <v>220</v>
      </c>
      <c r="D120" s="4" t="s">
        <v>79</v>
      </c>
      <c r="E120" s="3">
        <f>(3.2*3+2.7*1.8+1.5*2.2+1.2*1.4+1*1.4+1.2*1.8+1.2*2.93+2.7*1+2.1*0.45+1.4*1.5+0.75*1.5)*10.764</f>
        <v>359.36690399999992</v>
      </c>
      <c r="F120" s="4">
        <v>0</v>
      </c>
      <c r="G120" s="4">
        <f t="shared" si="2"/>
        <v>521.08201079999992</v>
      </c>
      <c r="H120" s="19" t="s">
        <v>130</v>
      </c>
      <c r="I120" s="171" t="s">
        <v>144</v>
      </c>
      <c r="J120" s="172"/>
    </row>
    <row r="121" spans="1:11" x14ac:dyDescent="0.35">
      <c r="A121" s="196"/>
      <c r="B121" s="4">
        <v>8</v>
      </c>
      <c r="C121" s="4" t="s">
        <v>221</v>
      </c>
      <c r="D121" s="4" t="s">
        <v>79</v>
      </c>
      <c r="E121" s="3">
        <f>(3.2*3+2.7*1.8+1.5*2.2+1.2*1.4+1*1.4+1.2*2.93+1.2*1.8+2.7*1+1.4*1.5+0.75*1.5)*10.764</f>
        <v>349.19492400000001</v>
      </c>
      <c r="F121" s="4">
        <v>0</v>
      </c>
      <c r="G121" s="4">
        <f t="shared" si="2"/>
        <v>506.33263979999998</v>
      </c>
      <c r="H121" s="19" t="s">
        <v>130</v>
      </c>
      <c r="I121" s="171" t="s">
        <v>144</v>
      </c>
      <c r="J121" s="172"/>
    </row>
    <row r="122" spans="1:11" x14ac:dyDescent="0.35">
      <c r="A122" s="196"/>
      <c r="B122" s="4">
        <v>9</v>
      </c>
      <c r="C122" s="4" t="s">
        <v>222</v>
      </c>
      <c r="D122" s="4" t="s">
        <v>79</v>
      </c>
      <c r="E122" s="3">
        <f>(3.2*3+2.7*1.8+1.5*2.2+1.2*1.4+1*1.4+1.2*2.93+1.2*1.8+2.7*1+1.4*1.5+0.75*1.5)*10.764</f>
        <v>349.19492400000001</v>
      </c>
      <c r="F122" s="4">
        <v>0</v>
      </c>
      <c r="G122" s="4">
        <f t="shared" si="2"/>
        <v>506.33263979999998</v>
      </c>
      <c r="H122" s="19" t="s">
        <v>130</v>
      </c>
      <c r="I122" s="171" t="s">
        <v>144</v>
      </c>
      <c r="J122" s="172"/>
    </row>
    <row r="123" spans="1:11" x14ac:dyDescent="0.35">
      <c r="A123" s="196"/>
      <c r="B123" s="4">
        <v>10</v>
      </c>
      <c r="C123" s="4" t="s">
        <v>223</v>
      </c>
      <c r="D123" s="4" t="s">
        <v>79</v>
      </c>
      <c r="E123" s="3">
        <f>(3.2*3+2.7*1.8+1.5*2.2+1.2*1.4+1*1.4+1.2*1.65+1.5*3+2.7*1+2.1*0.45+1.4*1.5+0.75*1.5)*10.764</f>
        <v>368.02115999999995</v>
      </c>
      <c r="F123" s="4">
        <v>0</v>
      </c>
      <c r="G123" s="4">
        <f t="shared" si="2"/>
        <v>533.63068199999987</v>
      </c>
      <c r="H123" s="19" t="s">
        <v>130</v>
      </c>
      <c r="I123" s="171" t="s">
        <v>144</v>
      </c>
      <c r="J123" s="172"/>
      <c r="K123">
        <f>10*2</f>
        <v>20</v>
      </c>
    </row>
    <row r="124" spans="1:11" ht="15" customHeight="1" x14ac:dyDescent="0.35">
      <c r="A124" s="196"/>
      <c r="B124" s="4">
        <v>11</v>
      </c>
      <c r="C124" s="4" t="s">
        <v>279</v>
      </c>
      <c r="D124" s="4" t="s">
        <v>79</v>
      </c>
      <c r="E124" s="64">
        <f>(3.2*3+2.7*1.8+0.45*2.1+1.5*2.2+1.2*1.4+1*1.4+1.2*1.8+1.4*3+2.7*1+1.4*1.5+0.75*(1.5))*10.764</f>
        <v>366.72947999999997</v>
      </c>
      <c r="F124" s="4">
        <v>0</v>
      </c>
      <c r="G124" s="4">
        <f t="shared" si="2"/>
        <v>531.75774599999988</v>
      </c>
      <c r="H124" s="19" t="s">
        <v>130</v>
      </c>
      <c r="I124" s="171" t="s">
        <v>144</v>
      </c>
      <c r="J124" s="172"/>
    </row>
    <row r="125" spans="1:11" x14ac:dyDescent="0.35">
      <c r="A125" s="196"/>
      <c r="B125" s="3">
        <v>12</v>
      </c>
      <c r="C125" s="4" t="s">
        <v>280</v>
      </c>
      <c r="D125" s="4" t="s">
        <v>79</v>
      </c>
      <c r="E125" s="64">
        <f>(3.2*3+2.7*1.8+0.45*2.1+1.5*2.2+1.2*1.4+1*1.4+1.2*1.8+1.4*3+2.7*1+1.4*1.5+0.75*(1.5))*10.764</f>
        <v>366.72947999999997</v>
      </c>
      <c r="F125" s="4">
        <v>0</v>
      </c>
      <c r="G125" s="4">
        <f t="shared" si="2"/>
        <v>531.75774599999988</v>
      </c>
      <c r="H125" s="19" t="s">
        <v>130</v>
      </c>
      <c r="I125" s="173" t="s">
        <v>144</v>
      </c>
      <c r="J125" s="174"/>
    </row>
    <row r="126" spans="1:11" x14ac:dyDescent="0.35">
      <c r="A126" s="95" t="s">
        <v>281</v>
      </c>
      <c r="B126" s="95"/>
      <c r="C126" s="95"/>
      <c r="D126" s="95"/>
      <c r="E126" s="95"/>
      <c r="F126" s="95"/>
      <c r="G126" s="95"/>
      <c r="H126" s="95"/>
      <c r="I126" s="95"/>
      <c r="J126" s="95"/>
    </row>
    <row r="127" spans="1:11" x14ac:dyDescent="0.35">
      <c r="A127" s="196"/>
      <c r="B127" s="4">
        <v>1</v>
      </c>
      <c r="C127" s="4">
        <v>501</v>
      </c>
      <c r="D127" s="4" t="s">
        <v>79</v>
      </c>
      <c r="E127" s="3">
        <f>(3.2*3+2.7*1.8+1.5*2.2+1.2*1.4+1*1.4+1.5*1.65+1.5*2.93+2.7*1+1.4*1.5+0.75*1.5)*10.764</f>
        <v>362.04713999999996</v>
      </c>
      <c r="F127" s="4">
        <v>0</v>
      </c>
      <c r="G127" s="4">
        <f t="shared" si="2"/>
        <v>524.96835299999987</v>
      </c>
      <c r="H127" s="19" t="s">
        <v>130</v>
      </c>
      <c r="I127" s="169" t="str">
        <f>A126</f>
        <v>5th Floor</v>
      </c>
      <c r="J127" s="170"/>
    </row>
    <row r="128" spans="1:11" x14ac:dyDescent="0.35">
      <c r="A128" s="196"/>
      <c r="B128" s="4">
        <v>2</v>
      </c>
      <c r="C128" s="4">
        <v>502</v>
      </c>
      <c r="D128" s="4" t="s">
        <v>79</v>
      </c>
      <c r="E128" s="3">
        <f>(3.2*3+2.7*1.8+1.5*2.2+1.2*1.4+1*1.4+1.5*1.65+1.5*2.93+2.7*1+1.4*1.5+0.75*1.5)*10.764</f>
        <v>362.04713999999996</v>
      </c>
      <c r="F128" s="4">
        <v>0</v>
      </c>
      <c r="G128" s="4">
        <f t="shared" si="2"/>
        <v>524.96835299999987</v>
      </c>
      <c r="H128" s="19" t="s">
        <v>130</v>
      </c>
      <c r="I128" s="171" t="s">
        <v>144</v>
      </c>
      <c r="J128" s="172"/>
    </row>
    <row r="129" spans="1:11" x14ac:dyDescent="0.35">
      <c r="A129" s="196"/>
      <c r="B129" s="4">
        <v>3</v>
      </c>
      <c r="C129" s="4">
        <v>503</v>
      </c>
      <c r="D129" s="4" t="s">
        <v>79</v>
      </c>
      <c r="E129" s="3">
        <f>(3.2*3+2.7*1.8+1.5*2.2+1.2*1.4+1*1.4+1.5*1.65+1.5*2.93+2.7*1+1.4*1.5+0.75*1.5)*10.764</f>
        <v>362.04713999999996</v>
      </c>
      <c r="F129" s="4">
        <v>0</v>
      </c>
      <c r="G129" s="4">
        <f t="shared" si="2"/>
        <v>524.96835299999987</v>
      </c>
      <c r="H129" s="19" t="s">
        <v>130</v>
      </c>
      <c r="I129" s="171" t="s">
        <v>144</v>
      </c>
      <c r="J129" s="172"/>
    </row>
    <row r="130" spans="1:11" x14ac:dyDescent="0.35">
      <c r="A130" s="196"/>
      <c r="B130" s="4">
        <v>4</v>
      </c>
      <c r="C130" s="4">
        <v>504</v>
      </c>
      <c r="D130" s="4" t="s">
        <v>79</v>
      </c>
      <c r="E130" s="3">
        <f>(3.2*3+2.7*1.8+1.5*2.2+1.2*1.4+1*1.4+1.5*1.65+1.5*2.93+2.7*1+1.4*1.5+0.75*1.5)*10.764</f>
        <v>362.04713999999996</v>
      </c>
      <c r="F130" s="4">
        <v>0</v>
      </c>
      <c r="G130" s="4">
        <f t="shared" si="2"/>
        <v>524.96835299999987</v>
      </c>
      <c r="H130" s="19" t="s">
        <v>130</v>
      </c>
      <c r="I130" s="171" t="s">
        <v>144</v>
      </c>
      <c r="J130" s="172"/>
    </row>
    <row r="131" spans="1:11" x14ac:dyDescent="0.35">
      <c r="A131" s="196"/>
      <c r="B131" s="4">
        <v>5</v>
      </c>
      <c r="C131" s="4">
        <v>505</v>
      </c>
      <c r="D131" s="4" t="s">
        <v>79</v>
      </c>
      <c r="E131" s="3">
        <f>(3.2*3+2.7*1.8+1.5*2.2+1.2*1.4+1*1.4+1.2*1.65+1.5*3+2.7*1+2.1*0.45+1.4*1.5+0.75*(1.5))*10.764</f>
        <v>368.02115999999995</v>
      </c>
      <c r="F131" s="4">
        <v>0</v>
      </c>
      <c r="G131" s="4">
        <f t="shared" si="2"/>
        <v>533.63068199999987</v>
      </c>
      <c r="H131" s="19" t="s">
        <v>130</v>
      </c>
      <c r="I131" s="171" t="s">
        <v>144</v>
      </c>
      <c r="J131" s="172"/>
    </row>
    <row r="132" spans="1:11" x14ac:dyDescent="0.35">
      <c r="A132" s="196"/>
      <c r="B132" s="4">
        <v>6</v>
      </c>
      <c r="C132" s="4">
        <v>506</v>
      </c>
      <c r="D132" s="4" t="s">
        <v>79</v>
      </c>
      <c r="E132" s="3">
        <f>(3.2*3+2.7*1.8+1.5*2.2+1.2*1.4+1*1.4+1.2*1.65+1.5*3+2.7*1+2.1*0.45+1.4*1.5+0.75*(1.5))*10.764</f>
        <v>368.02115999999995</v>
      </c>
      <c r="F132" s="4">
        <v>0</v>
      </c>
      <c r="G132" s="4">
        <f t="shared" si="2"/>
        <v>533.63068199999987</v>
      </c>
      <c r="H132" s="19" t="s">
        <v>130</v>
      </c>
      <c r="I132" s="171" t="s">
        <v>144</v>
      </c>
      <c r="J132" s="172"/>
    </row>
    <row r="133" spans="1:11" x14ac:dyDescent="0.35">
      <c r="A133" s="196"/>
      <c r="B133" s="4">
        <v>7</v>
      </c>
      <c r="C133" s="4">
        <v>507</v>
      </c>
      <c r="D133" s="4" t="s">
        <v>79</v>
      </c>
      <c r="E133" s="3">
        <f>(3.2*3+2.7*1.8+1.5*2.2+1.2*1.4+1*1.4+1.2*1.8+1.2*2.93+2.7*1+2.1*0.45+1.4*1.5+0.75*1.5)*10.764</f>
        <v>359.36690399999992</v>
      </c>
      <c r="F133" s="4">
        <v>0</v>
      </c>
      <c r="G133" s="4">
        <f t="shared" si="2"/>
        <v>521.08201079999992</v>
      </c>
      <c r="H133" s="19" t="s">
        <v>130</v>
      </c>
      <c r="I133" s="171" t="s">
        <v>144</v>
      </c>
      <c r="J133" s="172"/>
    </row>
    <row r="134" spans="1:11" x14ac:dyDescent="0.35">
      <c r="A134" s="196"/>
      <c r="B134" s="4">
        <v>8</v>
      </c>
      <c r="C134" s="4">
        <v>508</v>
      </c>
      <c r="D134" s="4" t="s">
        <v>79</v>
      </c>
      <c r="E134" s="3">
        <f>(3.2*3+2.7*1.8+1.5*2.2+1.2*1.4+1*1.4+1.2*2.93+1.2*1.8+2.7*1+1.4*1.5+0.75*1.5)*10.764</f>
        <v>349.19492400000001</v>
      </c>
      <c r="F134" s="4">
        <v>0</v>
      </c>
      <c r="G134" s="4">
        <f t="shared" si="2"/>
        <v>506.33263979999998</v>
      </c>
      <c r="H134" s="19" t="s">
        <v>130</v>
      </c>
      <c r="I134" s="171" t="s">
        <v>144</v>
      </c>
      <c r="J134" s="172"/>
    </row>
    <row r="135" spans="1:11" x14ac:dyDescent="0.35">
      <c r="A135" s="196"/>
      <c r="B135" s="4">
        <v>9</v>
      </c>
      <c r="C135" s="4">
        <v>509</v>
      </c>
      <c r="D135" s="4" t="s">
        <v>79</v>
      </c>
      <c r="E135" s="3">
        <f>(3.2*3+2.7*1.8+1.5*2.2+1.2*1.4+1*1.4+1.2*2.93+1.2*1.8+2.7*1+1.4*1.5+0.75*1.5)*10.764</f>
        <v>349.19492400000001</v>
      </c>
      <c r="F135" s="4">
        <v>0</v>
      </c>
      <c r="G135" s="4">
        <f t="shared" si="2"/>
        <v>506.33263979999998</v>
      </c>
      <c r="H135" s="19" t="s">
        <v>130</v>
      </c>
      <c r="I135" s="171" t="s">
        <v>144</v>
      </c>
      <c r="J135" s="172"/>
    </row>
    <row r="136" spans="1:11" x14ac:dyDescent="0.35">
      <c r="A136" s="196"/>
      <c r="B136" s="4">
        <v>10</v>
      </c>
      <c r="C136" s="4">
        <v>510</v>
      </c>
      <c r="D136" s="4" t="s">
        <v>79</v>
      </c>
      <c r="E136" s="3">
        <f>(3.2*3+2.7*1.8+1.5*2.2+1.2*1.4+1*1.4+1.2*1.65+1.5*3+2.7*1+2.1*0.45+1.4*1.5+0.75*1.5)*10.764</f>
        <v>368.02115999999995</v>
      </c>
      <c r="F136" s="4">
        <v>0</v>
      </c>
      <c r="G136" s="4">
        <f t="shared" si="2"/>
        <v>533.63068199999987</v>
      </c>
      <c r="H136" s="19" t="s">
        <v>130</v>
      </c>
      <c r="I136" s="171" t="s">
        <v>144</v>
      </c>
      <c r="J136" s="172"/>
      <c r="K136">
        <f>10*2</f>
        <v>20</v>
      </c>
    </row>
    <row r="137" spans="1:11" ht="15" customHeight="1" x14ac:dyDescent="0.35">
      <c r="A137" s="196"/>
      <c r="B137" s="4">
        <v>11</v>
      </c>
      <c r="C137" s="4">
        <v>511</v>
      </c>
      <c r="D137" s="4" t="s">
        <v>79</v>
      </c>
      <c r="E137" s="64">
        <f>(3.2*3+2.7*1.8+0.45*2.1+1.5*2.2+1.2*1.4+1*1.4+1.2*1.8+1.4*3+2.7*1+1.4*1.5+0.75*(1.5))*10.764</f>
        <v>366.72947999999997</v>
      </c>
      <c r="F137" s="4">
        <v>0</v>
      </c>
      <c r="G137" s="4">
        <f t="shared" si="2"/>
        <v>531.75774599999988</v>
      </c>
      <c r="H137" s="19" t="s">
        <v>130</v>
      </c>
      <c r="I137" s="171" t="s">
        <v>144</v>
      </c>
      <c r="J137" s="172"/>
    </row>
    <row r="138" spans="1:11" x14ac:dyDescent="0.35">
      <c r="A138" s="196"/>
      <c r="B138" s="3">
        <v>12</v>
      </c>
      <c r="C138" s="4">
        <v>512</v>
      </c>
      <c r="D138" s="4" t="s">
        <v>79</v>
      </c>
      <c r="E138" s="64">
        <f>(3.2*3+2.7*1.8+0.45*2.1+1.5*2.2+1.2*1.4+1*1.4+1.2*1.8+1.4*3+2.7*1+1.4*1.5+0.75*(1.5))*10.764</f>
        <v>366.72947999999997</v>
      </c>
      <c r="F138" s="4">
        <v>0</v>
      </c>
      <c r="G138" s="4">
        <f t="shared" si="2"/>
        <v>531.75774599999988</v>
      </c>
      <c r="H138" s="19" t="s">
        <v>130</v>
      </c>
      <c r="I138" s="173" t="s">
        <v>144</v>
      </c>
      <c r="J138" s="174"/>
    </row>
    <row r="139" spans="1:11" x14ac:dyDescent="0.35">
      <c r="A139" s="115" t="s">
        <v>283</v>
      </c>
      <c r="B139" s="198"/>
      <c r="C139" s="198"/>
      <c r="D139" s="198"/>
      <c r="E139" s="198"/>
      <c r="F139" s="198"/>
      <c r="G139" s="198"/>
      <c r="H139" s="198"/>
      <c r="I139" s="198"/>
      <c r="J139" s="116"/>
    </row>
    <row r="140" spans="1:11" x14ac:dyDescent="0.35">
      <c r="A140" s="115" t="s">
        <v>76</v>
      </c>
      <c r="B140" s="198"/>
      <c r="C140" s="198"/>
      <c r="D140" s="198"/>
      <c r="E140" s="198"/>
      <c r="F140" s="198"/>
      <c r="G140" s="198"/>
      <c r="H140" s="198"/>
      <c r="I140" s="198"/>
      <c r="J140" s="116"/>
    </row>
    <row r="141" spans="1:11" x14ac:dyDescent="0.35">
      <c r="A141" s="95" t="s">
        <v>173</v>
      </c>
      <c r="B141" s="95"/>
      <c r="C141" s="95"/>
      <c r="D141" s="95"/>
      <c r="E141" s="95"/>
      <c r="F141" s="95"/>
      <c r="G141" s="95"/>
      <c r="H141" s="95"/>
      <c r="I141" s="95"/>
      <c r="J141" s="95"/>
    </row>
    <row r="142" spans="1:11" s="22" customFormat="1" ht="15.75" customHeight="1" x14ac:dyDescent="0.35">
      <c r="A142" s="124"/>
      <c r="B142" s="3">
        <v>1</v>
      </c>
      <c r="C142" s="3">
        <v>1</v>
      </c>
      <c r="D142" s="3" t="s">
        <v>75</v>
      </c>
      <c r="E142" s="3">
        <f>((3.2*4.25)+(1.2*1)+(1.4*0.9)+(1.4*1)+(1.65*2)+(2*0.75))*10.764</f>
        <v>239.60664</v>
      </c>
      <c r="F142" s="4">
        <v>0</v>
      </c>
      <c r="G142" s="4">
        <f t="shared" ref="G142:G150" si="7">E142*1.45+F142</f>
        <v>347.42962799999998</v>
      </c>
      <c r="H142" s="3" t="s">
        <v>130</v>
      </c>
      <c r="I142" s="117" t="str">
        <f>A141</f>
        <v xml:space="preserve">Ground Floor </v>
      </c>
      <c r="J142" s="118"/>
    </row>
    <row r="143" spans="1:11" s="10" customFormat="1" ht="15" customHeight="1" x14ac:dyDescent="0.35">
      <c r="A143" s="125"/>
      <c r="B143" s="4">
        <v>2</v>
      </c>
      <c r="C143" s="4">
        <v>2</v>
      </c>
      <c r="D143" s="4" t="s">
        <v>75</v>
      </c>
      <c r="E143" s="4">
        <f>((3*3)+(2*1.65)+(0.75*2)+(1*1.4)+(1.2*1)+(1.25*3.02)+(0.9*1.4))*10.764</f>
        <v>230.72634000000002</v>
      </c>
      <c r="F143" s="4">
        <v>0</v>
      </c>
      <c r="G143" s="4">
        <f t="shared" si="7"/>
        <v>334.55319300000002</v>
      </c>
      <c r="H143" s="4" t="s">
        <v>130</v>
      </c>
      <c r="I143" s="119"/>
      <c r="J143" s="120"/>
    </row>
    <row r="144" spans="1:11" ht="15" customHeight="1" x14ac:dyDescent="0.35">
      <c r="A144" s="125"/>
      <c r="B144" s="3">
        <v>3</v>
      </c>
      <c r="C144" s="3">
        <v>3</v>
      </c>
      <c r="D144" s="3" t="s">
        <v>75</v>
      </c>
      <c r="E144" s="3">
        <f>((3*3)+(2*1.65)+(0.75*2)+(1*1.4)+(1.2*1)+(1.25*3.02)+(0.9*1.4))*10.764</f>
        <v>230.72634000000002</v>
      </c>
      <c r="F144" s="4">
        <v>0</v>
      </c>
      <c r="G144" s="4">
        <f t="shared" si="7"/>
        <v>334.55319300000002</v>
      </c>
      <c r="H144" s="3" t="s">
        <v>130</v>
      </c>
      <c r="I144" s="119"/>
      <c r="J144" s="120"/>
    </row>
    <row r="145" spans="1:11" ht="15" customHeight="1" x14ac:dyDescent="0.35">
      <c r="A145" s="125"/>
      <c r="B145" s="4">
        <v>4</v>
      </c>
      <c r="C145" s="4">
        <v>4</v>
      </c>
      <c r="D145" s="4" t="s">
        <v>75</v>
      </c>
      <c r="E145" s="3">
        <f>((3*3)+(2*1.65)+(0.75*2)+(1*1.4)+(1.2*1)+(1.25*2.95)+(0.9*1.4))*10.764</f>
        <v>229.78449000000003</v>
      </c>
      <c r="F145" s="4">
        <v>0</v>
      </c>
      <c r="G145" s="4">
        <f t="shared" si="7"/>
        <v>333.18751050000003</v>
      </c>
      <c r="H145" s="3" t="s">
        <v>130</v>
      </c>
      <c r="I145" s="119"/>
      <c r="J145" s="120"/>
    </row>
    <row r="146" spans="1:11" ht="15" customHeight="1" x14ac:dyDescent="0.35">
      <c r="A146" s="125"/>
      <c r="B146" s="4">
        <v>5</v>
      </c>
      <c r="C146" s="4">
        <v>5</v>
      </c>
      <c r="D146" s="4" t="s">
        <v>75</v>
      </c>
      <c r="E146" s="3">
        <f>((3*3)+(2*1.65)+(0.75*2)+(1*1.4)+(1.2*1)+(1.25*3.1)+(0.9*1.4))*10.764</f>
        <v>231.80274000000003</v>
      </c>
      <c r="F146" s="4">
        <v>0</v>
      </c>
      <c r="G146" s="4">
        <f t="shared" si="7"/>
        <v>336.11397300000004</v>
      </c>
      <c r="H146" s="3" t="s">
        <v>130</v>
      </c>
      <c r="I146" s="119"/>
      <c r="J146" s="120"/>
    </row>
    <row r="147" spans="1:11" ht="15" customHeight="1" x14ac:dyDescent="0.35">
      <c r="A147" s="125"/>
      <c r="B147" s="3">
        <v>6</v>
      </c>
      <c r="C147" s="3">
        <v>6</v>
      </c>
      <c r="D147" s="3" t="s">
        <v>75</v>
      </c>
      <c r="E147" s="3">
        <f>((3*3)+(2*1.65)+(0.75*2)+(1*1.4)+(1.2*1)+(1.25*3.1)+(0.9*1.4))*10.764</f>
        <v>231.80274000000003</v>
      </c>
      <c r="F147" s="4">
        <v>0</v>
      </c>
      <c r="G147" s="4">
        <f t="shared" si="7"/>
        <v>336.11397300000004</v>
      </c>
      <c r="H147" s="3" t="s">
        <v>130</v>
      </c>
      <c r="I147" s="119"/>
      <c r="J147" s="120"/>
    </row>
    <row r="148" spans="1:11" ht="15" customHeight="1" x14ac:dyDescent="0.35">
      <c r="A148" s="125"/>
      <c r="B148" s="2">
        <v>7</v>
      </c>
      <c r="C148" s="2">
        <v>7</v>
      </c>
      <c r="D148" s="3" t="s">
        <v>75</v>
      </c>
      <c r="E148" s="3">
        <f>((3*3)+(2*1.65)+(0.75*2)+(1*1.4)+(1.2*1)+(1.25*3.1)+(0.9*1.4))*10.764</f>
        <v>231.80274000000003</v>
      </c>
      <c r="F148" s="4">
        <v>0</v>
      </c>
      <c r="G148" s="4">
        <f t="shared" si="7"/>
        <v>336.11397300000004</v>
      </c>
      <c r="H148" s="3" t="s">
        <v>130</v>
      </c>
      <c r="I148" s="119"/>
      <c r="J148" s="120"/>
    </row>
    <row r="149" spans="1:11" ht="15" customHeight="1" x14ac:dyDescent="0.35">
      <c r="A149" s="125"/>
      <c r="B149" s="2">
        <v>8</v>
      </c>
      <c r="C149" s="2">
        <v>8</v>
      </c>
      <c r="D149" s="4" t="s">
        <v>75</v>
      </c>
      <c r="E149" s="4">
        <f>((3*4.25)+(1.2*1)+(1.4*0.9)+(1.4*1)+(1.65*2)+(2*0.75))*10.764</f>
        <v>230.45723999999998</v>
      </c>
      <c r="F149" s="4">
        <v>0</v>
      </c>
      <c r="G149" s="4">
        <f t="shared" si="7"/>
        <v>334.16299799999996</v>
      </c>
      <c r="H149" s="4" t="s">
        <v>130</v>
      </c>
      <c r="I149" s="119"/>
      <c r="J149" s="120"/>
    </row>
    <row r="150" spans="1:11" s="25" customFormat="1" ht="15" customHeight="1" x14ac:dyDescent="0.35">
      <c r="A150" s="126"/>
      <c r="B150" s="2">
        <v>9</v>
      </c>
      <c r="C150" s="2">
        <v>9</v>
      </c>
      <c r="D150" s="4" t="s">
        <v>75</v>
      </c>
      <c r="E150" s="4">
        <f>((3*4.25)+(1.2*1)+(1.4*0.9)+(1.4*1)+(1.65*2)+(2*0.75))*10.764</f>
        <v>230.45723999999998</v>
      </c>
      <c r="F150" s="4">
        <v>0</v>
      </c>
      <c r="G150" s="4">
        <f t="shared" si="7"/>
        <v>334.16299799999996</v>
      </c>
      <c r="H150" s="4" t="s">
        <v>130</v>
      </c>
      <c r="I150" s="121"/>
      <c r="J150" s="122"/>
      <c r="K150" s="25">
        <v>9</v>
      </c>
    </row>
    <row r="151" spans="1:11" x14ac:dyDescent="0.35">
      <c r="A151" s="95" t="s">
        <v>83</v>
      </c>
      <c r="B151" s="95"/>
      <c r="C151" s="95"/>
      <c r="D151" s="95"/>
      <c r="E151" s="95"/>
      <c r="F151" s="95"/>
      <c r="G151" s="95"/>
      <c r="H151" s="95"/>
      <c r="I151" s="95"/>
      <c r="J151" s="95"/>
    </row>
    <row r="152" spans="1:11" x14ac:dyDescent="0.35">
      <c r="A152" s="104"/>
      <c r="B152" s="3">
        <v>1</v>
      </c>
      <c r="C152" s="4" t="s">
        <v>84</v>
      </c>
      <c r="D152" s="3" t="s">
        <v>75</v>
      </c>
      <c r="E152" s="3">
        <f>((3.2*3)+(1.25*3.3)+(1*1.2)+(1.4*0.9)+(1.4*1)+(1.65*2)+(0.75*2))*10.764</f>
        <v>240.95214000000001</v>
      </c>
      <c r="F152" s="4">
        <v>0</v>
      </c>
      <c r="G152" s="4">
        <f t="shared" ref="G152:G160" si="8">E152*1.45+F152</f>
        <v>349.38060300000001</v>
      </c>
      <c r="H152" s="3" t="s">
        <v>130</v>
      </c>
      <c r="I152" s="117" t="str">
        <f>A151</f>
        <v>Typical 1st To 4th Floor Plan</v>
      </c>
      <c r="J152" s="118"/>
    </row>
    <row r="153" spans="1:11" x14ac:dyDescent="0.35">
      <c r="A153" s="104"/>
      <c r="B153" s="3">
        <v>2</v>
      </c>
      <c r="C153" s="4" t="s">
        <v>85</v>
      </c>
      <c r="D153" s="3" t="s">
        <v>75</v>
      </c>
      <c r="E153" s="63">
        <f>(16.56+3.39+2*0.75)*(10.764)</f>
        <v>230.88779999999997</v>
      </c>
      <c r="F153" s="4">
        <v>0</v>
      </c>
      <c r="G153" s="4">
        <f t="shared" si="8"/>
        <v>334.78730999999993</v>
      </c>
      <c r="H153" s="3" t="s">
        <v>130</v>
      </c>
      <c r="I153" s="119"/>
      <c r="J153" s="120"/>
    </row>
    <row r="154" spans="1:11" x14ac:dyDescent="0.35">
      <c r="A154" s="104"/>
      <c r="B154" s="3">
        <v>3</v>
      </c>
      <c r="C154" s="4" t="s">
        <v>86</v>
      </c>
      <c r="D154" s="3" t="s">
        <v>75</v>
      </c>
      <c r="E154" s="63">
        <f>(16.56+3.39+2*0.75)*(10.764)</f>
        <v>230.88779999999997</v>
      </c>
      <c r="F154" s="4">
        <v>0</v>
      </c>
      <c r="G154" s="4">
        <f t="shared" si="8"/>
        <v>334.78730999999993</v>
      </c>
      <c r="H154" s="3" t="s">
        <v>130</v>
      </c>
      <c r="I154" s="119"/>
      <c r="J154" s="120"/>
    </row>
    <row r="155" spans="1:11" x14ac:dyDescent="0.35">
      <c r="A155" s="104"/>
      <c r="B155" s="4">
        <v>4</v>
      </c>
      <c r="C155" s="4" t="s">
        <v>87</v>
      </c>
      <c r="D155" s="4" t="s">
        <v>75</v>
      </c>
      <c r="E155" s="4">
        <f>((3*3)+(2*1.65)+(0.75*2)+(1*1.4)+(0.7*1.4)+(1.2*1)+(1.25*2.95)+(0.7*1.4))*10.764</f>
        <v>237.31928999999997</v>
      </c>
      <c r="F155" s="4">
        <v>0</v>
      </c>
      <c r="G155" s="4">
        <f t="shared" si="8"/>
        <v>344.11297049999996</v>
      </c>
      <c r="H155" s="4" t="s">
        <v>130</v>
      </c>
      <c r="I155" s="119"/>
      <c r="J155" s="120"/>
    </row>
    <row r="156" spans="1:11" x14ac:dyDescent="0.35">
      <c r="A156" s="104"/>
      <c r="B156" s="4">
        <v>5</v>
      </c>
      <c r="C156" s="4" t="s">
        <v>88</v>
      </c>
      <c r="D156" s="4" t="s">
        <v>75</v>
      </c>
      <c r="E156" s="4">
        <f t="shared" ref="E156:E157" si="9">((3*3)+(2.1*0.45)+(2*1.65)+(0.75*2)+(1*1.4)+(0.7*1.4)+(1.2*1)+(1.25*3.1)+(0.7*1.4))*10.764</f>
        <v>249.50951999999998</v>
      </c>
      <c r="F156" s="4">
        <v>0</v>
      </c>
      <c r="G156" s="4">
        <f t="shared" si="8"/>
        <v>361.78880399999997</v>
      </c>
      <c r="H156" s="3" t="s">
        <v>130</v>
      </c>
      <c r="I156" s="119"/>
      <c r="J156" s="120"/>
    </row>
    <row r="157" spans="1:11" x14ac:dyDescent="0.35">
      <c r="A157" s="104"/>
      <c r="B157" s="3">
        <v>6</v>
      </c>
      <c r="C157" s="4" t="s">
        <v>89</v>
      </c>
      <c r="D157" s="3" t="s">
        <v>75</v>
      </c>
      <c r="E157" s="4">
        <f t="shared" si="9"/>
        <v>249.50951999999998</v>
      </c>
      <c r="F157" s="4">
        <v>0</v>
      </c>
      <c r="G157" s="4">
        <f t="shared" si="8"/>
        <v>361.78880399999997</v>
      </c>
      <c r="H157" s="3" t="s">
        <v>130</v>
      </c>
      <c r="I157" s="119"/>
      <c r="J157" s="120"/>
    </row>
    <row r="158" spans="1:11" x14ac:dyDescent="0.35">
      <c r="A158" s="104"/>
      <c r="B158" s="2">
        <v>7</v>
      </c>
      <c r="C158" s="4" t="s">
        <v>90</v>
      </c>
      <c r="D158" s="3" t="s">
        <v>75</v>
      </c>
      <c r="E158" s="67">
        <f>((3*3)+(2.1*0.45)+(2*1.65)+(0.75*2)+(1*1.4)+(0.7*1.4)+(1.2*1)+(1.25*3.1)+(0.7*1.4))*10.764</f>
        <v>249.50951999999998</v>
      </c>
      <c r="F158" s="4">
        <v>0</v>
      </c>
      <c r="G158" s="4">
        <f t="shared" si="8"/>
        <v>361.78880399999997</v>
      </c>
      <c r="H158" s="3" t="s">
        <v>130</v>
      </c>
      <c r="I158" s="119"/>
      <c r="J158" s="120"/>
    </row>
    <row r="159" spans="1:11" x14ac:dyDescent="0.35">
      <c r="A159" s="104"/>
      <c r="B159" s="2">
        <v>8</v>
      </c>
      <c r="C159" s="4" t="s">
        <v>91</v>
      </c>
      <c r="D159" s="3" t="s">
        <v>75</v>
      </c>
      <c r="E159" s="63">
        <f>(16.56+3.39+2*0.75)*(10.764)</f>
        <v>230.88779999999997</v>
      </c>
      <c r="F159" s="4">
        <v>0</v>
      </c>
      <c r="G159" s="4">
        <f t="shared" si="8"/>
        <v>334.78730999999993</v>
      </c>
      <c r="H159" s="3" t="s">
        <v>130</v>
      </c>
      <c r="I159" s="119"/>
      <c r="J159" s="120"/>
    </row>
    <row r="160" spans="1:11" x14ac:dyDescent="0.35">
      <c r="A160" s="104"/>
      <c r="B160" s="5">
        <v>9</v>
      </c>
      <c r="C160" s="4" t="s">
        <v>92</v>
      </c>
      <c r="D160" s="6" t="s">
        <v>75</v>
      </c>
      <c r="E160" s="63">
        <f>(16.56+3.39+2*0.75)*(10.764)</f>
        <v>230.88779999999997</v>
      </c>
      <c r="F160" s="4">
        <v>0</v>
      </c>
      <c r="G160" s="4">
        <f t="shared" si="8"/>
        <v>334.78730999999993</v>
      </c>
      <c r="H160" s="3" t="s">
        <v>130</v>
      </c>
      <c r="I160" s="121"/>
      <c r="J160" s="122"/>
      <c r="K160">
        <f>9*4</f>
        <v>36</v>
      </c>
    </row>
    <row r="161" spans="1:13" x14ac:dyDescent="0.35">
      <c r="A161" s="95" t="s">
        <v>281</v>
      </c>
      <c r="B161" s="95"/>
      <c r="C161" s="95"/>
      <c r="D161" s="95"/>
      <c r="E161" s="95"/>
      <c r="F161" s="95"/>
      <c r="G161" s="95"/>
      <c r="H161" s="95"/>
      <c r="I161" s="95"/>
      <c r="J161" s="95"/>
      <c r="L161" s="60">
        <f>10.764</f>
        <v>10.763999999999999</v>
      </c>
    </row>
    <row r="162" spans="1:13" x14ac:dyDescent="0.35">
      <c r="A162" s="104"/>
      <c r="B162" s="3">
        <v>1</v>
      </c>
      <c r="C162" s="4">
        <v>501</v>
      </c>
      <c r="D162" s="3" t="s">
        <v>75</v>
      </c>
      <c r="E162" s="64">
        <f>((3.2*3)+(1.25*3.3)+(1*1.2)+(1.4*0.9)+(1.4*1)+(1.65*2)+(0.75*2))*10.764</f>
        <v>240.95214000000001</v>
      </c>
      <c r="F162" s="4">
        <v>0</v>
      </c>
      <c r="G162" s="4">
        <f t="shared" ref="G162:G170" si="10">E162*1.45+F162</f>
        <v>349.38060300000001</v>
      </c>
      <c r="H162" s="3" t="s">
        <v>130</v>
      </c>
      <c r="I162" s="117" t="str">
        <f>A161</f>
        <v>5th Floor</v>
      </c>
      <c r="J162" s="118"/>
      <c r="M162">
        <f>3*3+2*1.65+1*1.4+1.2*1+1.4*0.7+1.25*3.02</f>
        <v>19.655000000000001</v>
      </c>
    </row>
    <row r="163" spans="1:13" x14ac:dyDescent="0.35">
      <c r="A163" s="104"/>
      <c r="B163" s="3">
        <v>2</v>
      </c>
      <c r="C163" s="4">
        <v>502</v>
      </c>
      <c r="D163" s="3" t="s">
        <v>75</v>
      </c>
      <c r="E163" s="63">
        <f>(16.56+3.39+2*0.75)*(10.764)</f>
        <v>230.88779999999997</v>
      </c>
      <c r="F163" s="4">
        <v>0</v>
      </c>
      <c r="G163" s="4">
        <f t="shared" si="10"/>
        <v>334.78730999999993</v>
      </c>
      <c r="H163" s="3" t="s">
        <v>130</v>
      </c>
      <c r="I163" s="119"/>
      <c r="J163" s="120"/>
      <c r="M163">
        <f>(16.56+3.39)</f>
        <v>19.95</v>
      </c>
    </row>
    <row r="164" spans="1:13" x14ac:dyDescent="0.35">
      <c r="A164" s="104"/>
      <c r="B164" s="3">
        <v>3</v>
      </c>
      <c r="C164" s="4">
        <v>503</v>
      </c>
      <c r="D164" s="3" t="s">
        <v>75</v>
      </c>
      <c r="E164" s="63">
        <f>(16.56+3.39+2*0.75)*(10.764)</f>
        <v>230.88779999999997</v>
      </c>
      <c r="F164" s="4">
        <v>0</v>
      </c>
      <c r="G164" s="4">
        <f t="shared" si="10"/>
        <v>334.78730999999993</v>
      </c>
      <c r="H164" s="3" t="s">
        <v>130</v>
      </c>
      <c r="I164" s="119"/>
      <c r="J164" s="120"/>
    </row>
    <row r="165" spans="1:13" x14ac:dyDescent="0.35">
      <c r="A165" s="104"/>
      <c r="B165" s="4">
        <v>4</v>
      </c>
      <c r="C165" s="4">
        <v>504</v>
      </c>
      <c r="D165" s="4" t="s">
        <v>75</v>
      </c>
      <c r="E165" s="67">
        <f>((3*3)+(2*1.65)+(0.75*2)+(1*1.4)+(0.7*1.4)+(1.2*1)+(1.25*2.95)+(0.7*1.4))*10.764</f>
        <v>237.31928999999997</v>
      </c>
      <c r="F165" s="4">
        <v>0</v>
      </c>
      <c r="G165" s="4">
        <f t="shared" si="10"/>
        <v>344.11297049999996</v>
      </c>
      <c r="H165" s="4" t="s">
        <v>130</v>
      </c>
      <c r="I165" s="119"/>
      <c r="J165" s="120"/>
    </row>
    <row r="166" spans="1:13" x14ac:dyDescent="0.35">
      <c r="A166" s="104"/>
      <c r="B166" s="4">
        <v>5</v>
      </c>
      <c r="C166" s="4">
        <v>505</v>
      </c>
      <c r="D166" s="4" t="s">
        <v>75</v>
      </c>
      <c r="E166" s="67">
        <f t="shared" ref="E166:E167" si="11">((3*3)+(2.1*0.45)+(2*1.65)+(0.75*2)+(1*1.4)+(0.7*1.4)+(1.2*1)+(1.25*3.1)+(0.7*1.4))*10.764</f>
        <v>249.50951999999998</v>
      </c>
      <c r="F166" s="4">
        <v>0</v>
      </c>
      <c r="G166" s="4">
        <f t="shared" si="10"/>
        <v>361.78880399999997</v>
      </c>
      <c r="H166" s="3" t="s">
        <v>130</v>
      </c>
      <c r="I166" s="119"/>
      <c r="J166" s="120"/>
      <c r="L166" s="60">
        <f>(3*3+2*1.65+1*1.4+1.2*1+1*0.7+1.25*3.1+2.1*0.45)*(10.764)</f>
        <v>219.80088000000001</v>
      </c>
    </row>
    <row r="167" spans="1:13" x14ac:dyDescent="0.35">
      <c r="A167" s="104"/>
      <c r="B167" s="3">
        <v>6</v>
      </c>
      <c r="C167" s="4">
        <v>506</v>
      </c>
      <c r="D167" s="3" t="s">
        <v>75</v>
      </c>
      <c r="E167" s="67">
        <f t="shared" si="11"/>
        <v>249.50951999999998</v>
      </c>
      <c r="F167" s="4">
        <v>0</v>
      </c>
      <c r="G167" s="4">
        <f t="shared" si="10"/>
        <v>361.78880399999997</v>
      </c>
      <c r="H167" s="3" t="s">
        <v>130</v>
      </c>
      <c r="I167" s="119"/>
      <c r="J167" s="120"/>
    </row>
    <row r="168" spans="1:13" x14ac:dyDescent="0.35">
      <c r="A168" s="104"/>
      <c r="B168" s="2">
        <v>7</v>
      </c>
      <c r="C168" s="4">
        <v>507</v>
      </c>
      <c r="D168" s="3" t="s">
        <v>75</v>
      </c>
      <c r="E168" s="67">
        <f>((3*3)+(2.1*0.45)+(2*1.65)+(0.75*2)+(1*1.4)+(0.7*1.4)+(1.2*1)+(1.25*3.1)+(0.7*1.4))*10.764</f>
        <v>249.50951999999998</v>
      </c>
      <c r="F168" s="4">
        <v>0</v>
      </c>
      <c r="G168" s="4">
        <f t="shared" si="10"/>
        <v>361.78880399999997</v>
      </c>
      <c r="H168" s="3" t="s">
        <v>130</v>
      </c>
      <c r="I168" s="119"/>
      <c r="J168" s="120"/>
    </row>
    <row r="169" spans="1:13" x14ac:dyDescent="0.35">
      <c r="A169" s="104"/>
      <c r="B169" s="2">
        <v>8</v>
      </c>
      <c r="C169" s="4">
        <v>508</v>
      </c>
      <c r="D169" s="3" t="s">
        <v>75</v>
      </c>
      <c r="E169" s="63">
        <f>(16.56+3.39+2*0.75)*(10.764)</f>
        <v>230.88779999999997</v>
      </c>
      <c r="F169" s="4">
        <v>0</v>
      </c>
      <c r="G169" s="4">
        <f t="shared" si="10"/>
        <v>334.78730999999993</v>
      </c>
      <c r="H169" s="3" t="s">
        <v>130</v>
      </c>
      <c r="I169" s="119"/>
      <c r="J169" s="120"/>
    </row>
    <row r="170" spans="1:13" x14ac:dyDescent="0.35">
      <c r="A170" s="104"/>
      <c r="B170" s="5">
        <v>9</v>
      </c>
      <c r="C170" s="4">
        <v>509</v>
      </c>
      <c r="D170" s="6" t="s">
        <v>75</v>
      </c>
      <c r="E170" s="63">
        <f>(16.56+3.39+2*0.75)*(10.764)</f>
        <v>230.88779999999997</v>
      </c>
      <c r="F170" s="4">
        <v>0</v>
      </c>
      <c r="G170" s="4">
        <f t="shared" si="10"/>
        <v>334.78730999999993</v>
      </c>
      <c r="H170" s="3" t="s">
        <v>130</v>
      </c>
      <c r="I170" s="121"/>
      <c r="J170" s="122"/>
      <c r="K170">
        <f>9*4</f>
        <v>36</v>
      </c>
    </row>
    <row r="171" spans="1:13" ht="15" x14ac:dyDescent="0.35">
      <c r="A171" s="196" t="s">
        <v>77</v>
      </c>
      <c r="B171" s="196"/>
      <c r="C171" s="196"/>
      <c r="D171" s="196"/>
      <c r="E171" s="196"/>
      <c r="F171" s="196"/>
      <c r="G171" s="196"/>
      <c r="H171" s="196"/>
      <c r="I171" s="196"/>
      <c r="J171" s="196"/>
    </row>
    <row r="172" spans="1:13" x14ac:dyDescent="0.35">
      <c r="A172" s="95" t="s">
        <v>74</v>
      </c>
      <c r="B172" s="95"/>
      <c r="C172" s="95"/>
      <c r="D172" s="95"/>
      <c r="E172" s="95"/>
      <c r="F172" s="95"/>
      <c r="G172" s="95"/>
      <c r="H172" s="95"/>
      <c r="I172" s="95"/>
      <c r="J172" s="95"/>
    </row>
    <row r="173" spans="1:13" x14ac:dyDescent="0.35">
      <c r="A173" s="104"/>
      <c r="B173" s="3">
        <v>1</v>
      </c>
      <c r="C173" s="3">
        <v>1</v>
      </c>
      <c r="D173" s="3" t="s">
        <v>79</v>
      </c>
      <c r="E173" s="3">
        <f>((3*3)+(1.6*1.2)+(1.5*2.2)+(0.75*1.5)+(0.3*3)+(1.5*3)+(2.7*1.8)+(1*1.4)+(1.2*1.4)+(0.75*0.75)+(2.2*0.75)+(1.2*2))*10.764</f>
        <v>358.41428999999999</v>
      </c>
      <c r="F173" s="4">
        <v>0</v>
      </c>
      <c r="G173" s="4">
        <f t="shared" ref="G173:G204" si="12">E173*1.45+F173</f>
        <v>519.70072049999999</v>
      </c>
      <c r="H173" s="3" t="s">
        <v>130</v>
      </c>
      <c r="I173" s="117" t="str">
        <f>A172</f>
        <v>Ground Floor Plan</v>
      </c>
      <c r="J173" s="118"/>
    </row>
    <row r="174" spans="1:13" x14ac:dyDescent="0.35">
      <c r="A174" s="104"/>
      <c r="B174" s="3">
        <v>2</v>
      </c>
      <c r="C174" s="3">
        <v>2</v>
      </c>
      <c r="D174" s="3" t="s">
        <v>75</v>
      </c>
      <c r="E174" s="3">
        <f>((3*3)+(1.2*1)+(0.3*3.45)+(1.5*3.45)+(2.2*3.1)+(0.9*1.2)+(1.2*1.2)+(1*1.2))*10.764</f>
        <v>290.08980000000003</v>
      </c>
      <c r="F174" s="4">
        <v>0</v>
      </c>
      <c r="G174" s="4">
        <f t="shared" si="12"/>
        <v>420.63021000000003</v>
      </c>
      <c r="H174" s="3" t="s">
        <v>130</v>
      </c>
      <c r="I174" s="119"/>
      <c r="J174" s="120"/>
    </row>
    <row r="175" spans="1:13" x14ac:dyDescent="0.35">
      <c r="A175" s="104"/>
      <c r="B175" s="3">
        <v>3</v>
      </c>
      <c r="C175" s="3">
        <v>3</v>
      </c>
      <c r="D175" s="3" t="s">
        <v>75</v>
      </c>
      <c r="E175" s="3">
        <f>((3*3)+(1.2*1)+(0.3*3.45)+(1.5*3.45)+(2.2*3.1)+(0.9*1.2)+(1.2*1.2)+(1*1.2))*10.764</f>
        <v>290.08980000000003</v>
      </c>
      <c r="F175" s="4">
        <v>0</v>
      </c>
      <c r="G175" s="4">
        <f t="shared" si="12"/>
        <v>420.63021000000003</v>
      </c>
      <c r="H175" s="3" t="s">
        <v>130</v>
      </c>
      <c r="I175" s="119"/>
      <c r="J175" s="120"/>
    </row>
    <row r="176" spans="1:13" x14ac:dyDescent="0.35">
      <c r="A176" s="104"/>
      <c r="B176" s="3">
        <v>4</v>
      </c>
      <c r="C176" s="3">
        <v>4</v>
      </c>
      <c r="D176" s="3" t="s">
        <v>75</v>
      </c>
      <c r="E176" s="3">
        <f>((3*3)+(1.2*1)+(0.3*3.4)+(1.5*3.45)+(2.2*3.1)+(0.9*1.2)+(1.2*1.2)+(1*1.2))*10.764</f>
        <v>289.92833999999999</v>
      </c>
      <c r="F176" s="4">
        <v>0</v>
      </c>
      <c r="G176" s="4">
        <f t="shared" si="12"/>
        <v>420.39609299999995</v>
      </c>
      <c r="H176" s="3" t="s">
        <v>130</v>
      </c>
      <c r="I176" s="119"/>
      <c r="J176" s="120"/>
    </row>
    <row r="177" spans="1:16" x14ac:dyDescent="0.35">
      <c r="A177" s="104"/>
      <c r="B177" s="4">
        <v>5</v>
      </c>
      <c r="C177" s="4">
        <v>5</v>
      </c>
      <c r="D177" s="4" t="s">
        <v>75</v>
      </c>
      <c r="E177" s="3">
        <f>((3*3)+(1.2*1)+(0.3*3.45)+(1.5*3.45)+(2.2*3.1)+(0.9*1.2)+(1.2*1.2)+(1*1.2))*10.764</f>
        <v>290.08980000000003</v>
      </c>
      <c r="F177" s="4">
        <v>0</v>
      </c>
      <c r="G177" s="4">
        <f t="shared" si="12"/>
        <v>420.63021000000003</v>
      </c>
      <c r="H177" s="3" t="s">
        <v>130</v>
      </c>
      <c r="I177" s="119"/>
      <c r="J177" s="120"/>
    </row>
    <row r="178" spans="1:16" x14ac:dyDescent="0.35">
      <c r="A178" s="104"/>
      <c r="B178" s="4">
        <v>6</v>
      </c>
      <c r="C178" s="4">
        <v>6</v>
      </c>
      <c r="D178" s="4" t="s">
        <v>79</v>
      </c>
      <c r="E178" s="4">
        <f>((3*3)+(1.2*1.6)+(1.5*2.2)+(1.5*0.75)+(0.3*2.93)+(1.5*2.93)+(2.7*1.8)+(1.4*1)+(1.2*1.4)+(2*1.2))*10.764</f>
        <v>333.24267599999996</v>
      </c>
      <c r="F178" s="4">
        <v>0</v>
      </c>
      <c r="G178" s="4">
        <f t="shared" si="12"/>
        <v>483.20188019999995</v>
      </c>
      <c r="H178" s="3" t="s">
        <v>130</v>
      </c>
      <c r="I178" s="119"/>
      <c r="J178" s="120"/>
    </row>
    <row r="179" spans="1:16" x14ac:dyDescent="0.35">
      <c r="A179" s="104"/>
      <c r="B179" s="2">
        <v>7</v>
      </c>
      <c r="C179" s="2">
        <v>7</v>
      </c>
      <c r="D179" s="3" t="s">
        <v>79</v>
      </c>
      <c r="E179" s="4">
        <f>((3*3)+(1.2*1.45)+(1.5*2.2)+(1.5*0.75)+(0.3*2.93)+(1.5*2.93)+(2.7*1.8)+(1.4*1)+(1.2*1.4)+(2*1.2))*10.764</f>
        <v>331.30515599999995</v>
      </c>
      <c r="F179" s="4">
        <v>0</v>
      </c>
      <c r="G179" s="4">
        <f t="shared" si="12"/>
        <v>480.39247619999992</v>
      </c>
      <c r="H179" s="3" t="s">
        <v>130</v>
      </c>
      <c r="I179" s="119"/>
      <c r="J179" s="120"/>
    </row>
    <row r="180" spans="1:16" x14ac:dyDescent="0.35">
      <c r="A180" s="104"/>
      <c r="B180" s="2">
        <v>8</v>
      </c>
      <c r="C180" s="2">
        <v>8</v>
      </c>
      <c r="D180" s="3" t="s">
        <v>79</v>
      </c>
      <c r="E180" s="4">
        <f>((3*3)+(1.2*1.45)+(1.5*2.2)+(1.5*0.75)+(0.3*2.93)+(1.5*2.93)+(2.7*1.8)+(1.4*1)+(1.2*1.4)+(2*1.2))*10.764</f>
        <v>331.30515599999995</v>
      </c>
      <c r="F180" s="4">
        <v>0</v>
      </c>
      <c r="G180" s="4">
        <f t="shared" si="12"/>
        <v>480.39247619999992</v>
      </c>
      <c r="H180" s="3" t="s">
        <v>130</v>
      </c>
      <c r="I180" s="119"/>
      <c r="J180" s="120"/>
    </row>
    <row r="181" spans="1:16" x14ac:dyDescent="0.35">
      <c r="A181" s="104"/>
      <c r="B181" s="2">
        <v>9</v>
      </c>
      <c r="C181" s="2">
        <v>9</v>
      </c>
      <c r="D181" s="3" t="s">
        <v>79</v>
      </c>
      <c r="E181" s="4">
        <f>((3*3)+(1.2*1.6)+(1.5*2.2)+(1.5*0.75)+(0.3*2.93)+(1.5*2.93)+(2.7*1.8)+(1.4*1)+(1.2*1.4)+(2*1.2))*10.764</f>
        <v>333.24267599999996</v>
      </c>
      <c r="F181" s="4">
        <v>0</v>
      </c>
      <c r="G181" s="4">
        <f t="shared" si="12"/>
        <v>483.20188019999995</v>
      </c>
      <c r="H181" s="3" t="s">
        <v>130</v>
      </c>
      <c r="I181" s="119"/>
      <c r="J181" s="120"/>
    </row>
    <row r="182" spans="1:16" x14ac:dyDescent="0.35">
      <c r="A182" s="127"/>
      <c r="B182" s="2">
        <v>10</v>
      </c>
      <c r="C182" s="2">
        <v>10</v>
      </c>
      <c r="D182" s="3" t="s">
        <v>79</v>
      </c>
      <c r="E182" s="3">
        <f>((3*3)+(1.6*1.2)+(1.5*2.2)+(0.75*1.5)+(0.3*3)+(1.5*3)+(2.7*1.8)+(1*1.4)+(1.2*1.4)+(0.75*0.75)+(2.2*0.75)+(1.2*2))*10.764</f>
        <v>358.41428999999999</v>
      </c>
      <c r="F182" s="4">
        <v>0</v>
      </c>
      <c r="G182" s="4">
        <f t="shared" si="12"/>
        <v>519.70072049999999</v>
      </c>
      <c r="H182" s="3" t="s">
        <v>130</v>
      </c>
      <c r="I182" s="121"/>
      <c r="J182" s="122"/>
      <c r="K182">
        <v>10</v>
      </c>
    </row>
    <row r="183" spans="1:16" x14ac:dyDescent="0.35">
      <c r="A183" s="95" t="s">
        <v>83</v>
      </c>
      <c r="B183" s="95"/>
      <c r="C183" s="95"/>
      <c r="D183" s="95"/>
      <c r="E183" s="95"/>
      <c r="F183" s="95"/>
      <c r="G183" s="95"/>
      <c r="H183" s="95"/>
      <c r="I183" s="95"/>
      <c r="J183" s="95"/>
    </row>
    <row r="184" spans="1:16" ht="15" customHeight="1" x14ac:dyDescent="0.35">
      <c r="A184" s="124"/>
      <c r="B184" s="3">
        <v>1</v>
      </c>
      <c r="C184" s="8" t="s">
        <v>84</v>
      </c>
      <c r="D184" s="3" t="s">
        <v>79</v>
      </c>
      <c r="E184" s="64">
        <f>((3*3)+(1.6*1.2)+(1.5*2.2)+(0.75*1.5)+(0.3*3)+(1.5*3)+(2.7*1.8)+(1*1.4)+(1.2*1.4)+(1.2*1.8))*10.764</f>
        <v>332.01557999999994</v>
      </c>
      <c r="F184" s="4">
        <v>0</v>
      </c>
      <c r="G184" s="4">
        <f t="shared" si="12"/>
        <v>481.4225909999999</v>
      </c>
      <c r="H184" s="3" t="s">
        <v>130</v>
      </c>
      <c r="I184" s="117" t="str">
        <f>A183</f>
        <v>Typical 1st To 4th Floor Plan</v>
      </c>
      <c r="J184" s="118"/>
      <c r="N184">
        <f>G184/E184</f>
        <v>1.45</v>
      </c>
      <c r="P184" s="3">
        <f>((3*3)+(1.6*1.2)+(1.5*2.2)+(0.75*1.5)+(0.3*3)+(1.5*3)+(2.7*1.8)+(1*1.4)+(1.2*1.4)+(1.2*1.8))*10.764</f>
        <v>332.01557999999994</v>
      </c>
    </row>
    <row r="185" spans="1:16" ht="15" customHeight="1" x14ac:dyDescent="0.35">
      <c r="A185" s="125"/>
      <c r="B185" s="3">
        <v>2</v>
      </c>
      <c r="C185" s="8" t="s">
        <v>85</v>
      </c>
      <c r="D185" s="3" t="s">
        <v>79</v>
      </c>
      <c r="E185" s="62">
        <f>(24.16+4.94+0.75*1.5)*(10.764)</f>
        <v>325.34190000000001</v>
      </c>
      <c r="F185" s="4">
        <v>0</v>
      </c>
      <c r="G185" s="4">
        <f t="shared" si="12"/>
        <v>471.74575499999997</v>
      </c>
      <c r="H185" s="3" t="s">
        <v>130</v>
      </c>
      <c r="I185" s="119"/>
      <c r="J185" s="120"/>
      <c r="N185">
        <f t="shared" ref="N185:N193" si="13">G185/E185</f>
        <v>1.45</v>
      </c>
      <c r="P185" s="3">
        <f>((3*3)+(1.2*1.45)+(1.5*2.2)+(1.5*0.75)+(0.3*2.93)+(1.2*2.93)+(2.7*1.8)+(1.4*1)+(1.2*1.4)+(1.8*1.2))*10.764</f>
        <v>319.26024000000001</v>
      </c>
    </row>
    <row r="186" spans="1:16" ht="15" customHeight="1" x14ac:dyDescent="0.35">
      <c r="A186" s="125"/>
      <c r="B186" s="3">
        <v>3</v>
      </c>
      <c r="C186" s="8" t="s">
        <v>86</v>
      </c>
      <c r="D186" s="3" t="s">
        <v>79</v>
      </c>
      <c r="E186" s="62">
        <f>(25.1+4.94+0.75*1.5)*(10.764)</f>
        <v>335.46006</v>
      </c>
      <c r="F186" s="4">
        <v>0</v>
      </c>
      <c r="G186" s="4">
        <f t="shared" si="12"/>
        <v>486.41708699999998</v>
      </c>
      <c r="H186" s="3" t="s">
        <v>130</v>
      </c>
      <c r="I186" s="119"/>
      <c r="J186" s="120"/>
      <c r="N186">
        <f t="shared" si="13"/>
        <v>1.45</v>
      </c>
      <c r="P186" s="3">
        <f>((3*3)+(2.4*0.45)+(1.2*1.6)+(1.5*2.2)+(1.5*0.75)+(0.3*2.93)+(1.2*2.93)+(2.7*1.8)+(1.4*1)+(1.2*1.4)+(1.8*1.2))*10.764</f>
        <v>332.82287999999994</v>
      </c>
    </row>
    <row r="187" spans="1:16" ht="15" customHeight="1" x14ac:dyDescent="0.35">
      <c r="A187" s="125"/>
      <c r="B187" s="3">
        <v>4</v>
      </c>
      <c r="C187" s="8" t="s">
        <v>87</v>
      </c>
      <c r="D187" s="3" t="s">
        <v>79</v>
      </c>
      <c r="E187" s="62">
        <f>(24.16+4.94+0.75*1.5)*(10.764)</f>
        <v>325.34190000000001</v>
      </c>
      <c r="F187" s="4">
        <v>0</v>
      </c>
      <c r="G187" s="4">
        <f t="shared" si="12"/>
        <v>471.74575499999997</v>
      </c>
      <c r="H187" s="3" t="s">
        <v>130</v>
      </c>
      <c r="I187" s="119"/>
      <c r="J187" s="120"/>
      <c r="N187">
        <f t="shared" si="13"/>
        <v>1.45</v>
      </c>
      <c r="P187" s="3">
        <f>((3*3)+(1.2*1.6)+(1.5*2.2)+(1.5*0.75)+(0.3*2.93)+(1.2*2.93)+(2.7*1.8)+(1.4*1)+(1.2*1.4)+(1.8*1.2))*10.764</f>
        <v>321.19775999999996</v>
      </c>
    </row>
    <row r="188" spans="1:16" ht="15" customHeight="1" x14ac:dyDescent="0.35">
      <c r="A188" s="125"/>
      <c r="B188" s="4">
        <v>5</v>
      </c>
      <c r="C188" s="8" t="s">
        <v>88</v>
      </c>
      <c r="D188" s="3" t="s">
        <v>79</v>
      </c>
      <c r="E188" s="62">
        <f>(25.1+4.94+0.75*1.5)*(10.764)</f>
        <v>335.46006</v>
      </c>
      <c r="F188" s="4">
        <v>0</v>
      </c>
      <c r="G188" s="4">
        <f t="shared" si="12"/>
        <v>486.41708699999998</v>
      </c>
      <c r="H188" s="3" t="s">
        <v>130</v>
      </c>
      <c r="I188" s="119"/>
      <c r="J188" s="120"/>
      <c r="N188">
        <f t="shared" si="13"/>
        <v>1.45</v>
      </c>
      <c r="P188" s="3">
        <f>((3*3)+(1.2*1.6)+(1.5*2.2)+(1.5*0.75)+(0.3*2.93)+(1.2*2.93)+(2.7*1.8)+(1.4*1)+(1.2*1.4)+(1.8*1.2)+(2.1*0.45))*10.764</f>
        <v>331.36973999999998</v>
      </c>
    </row>
    <row r="189" spans="1:16" ht="15" customHeight="1" x14ac:dyDescent="0.35">
      <c r="A189" s="125"/>
      <c r="B189" s="4">
        <v>6</v>
      </c>
      <c r="C189" s="8" t="s">
        <v>89</v>
      </c>
      <c r="D189" s="3" t="s">
        <v>79</v>
      </c>
      <c r="E189" s="64">
        <f>((3*3)+(1.2*1.6)+(1.5*2.2)+(1.5*0.75)+(0.3*2.93)+(1.5*2.93)+(2.7*1.8)+(1.4*1)+(1.2*1.4)+(1.8*1.2)+(2.1*0.45))*10.764</f>
        <v>340.83129599999995</v>
      </c>
      <c r="F189" s="4">
        <v>0</v>
      </c>
      <c r="G189" s="4">
        <f t="shared" si="12"/>
        <v>494.20537919999992</v>
      </c>
      <c r="H189" s="3" t="s">
        <v>130</v>
      </c>
      <c r="I189" s="119"/>
      <c r="J189" s="120"/>
      <c r="N189">
        <f t="shared" si="13"/>
        <v>1.45</v>
      </c>
      <c r="P189" s="66">
        <f>((3*3)+(1.2*1.6)+(1.5*2.2)+(1.5*0.75)+(0.3*2.93)+(1.5*2.93)+(2.7*1.8)+(1.4*1)+(1.2*1.4)+(1.8*1.2)+(2.1*0.45))*10.764</f>
        <v>340.83129599999995</v>
      </c>
    </row>
    <row r="190" spans="1:16" ht="15" customHeight="1" x14ac:dyDescent="0.35">
      <c r="A190" s="125"/>
      <c r="B190" s="2">
        <v>7</v>
      </c>
      <c r="C190" s="8" t="s">
        <v>90</v>
      </c>
      <c r="D190" s="3" t="s">
        <v>79</v>
      </c>
      <c r="E190" s="64">
        <f>((3*3)+(1.2*1.45)+(1.5*2.2)+(1.5*0.75)+(0.3*2.93)+(1.5*2.93)+(2.7*1.8)+(1.4*1)+(1.2*1.4)+(1.8*1.2))*10.764</f>
        <v>328.72179599999998</v>
      </c>
      <c r="F190" s="4">
        <v>0</v>
      </c>
      <c r="G190" s="4">
        <f t="shared" si="12"/>
        <v>476.64660419999996</v>
      </c>
      <c r="H190" s="3" t="s">
        <v>130</v>
      </c>
      <c r="I190" s="119"/>
      <c r="J190" s="120"/>
      <c r="N190">
        <f t="shared" si="13"/>
        <v>1.45</v>
      </c>
      <c r="P190" s="66">
        <f>((3*3)+(1.2*1.45)+(1.5*2.2)+(1.5*0.75)+(0.3*2.93)+(1.5*2.93)+(2.7*1.8)+(1.4*1)+(1.2*1.4)+(1.8*1.2))*10.764</f>
        <v>328.72179599999998</v>
      </c>
    </row>
    <row r="191" spans="1:16" s="22" customFormat="1" ht="15" customHeight="1" x14ac:dyDescent="0.35">
      <c r="A191" s="125"/>
      <c r="B191" s="2">
        <v>8</v>
      </c>
      <c r="C191" s="8" t="s">
        <v>91</v>
      </c>
      <c r="D191" s="3" t="s">
        <v>79</v>
      </c>
      <c r="E191" s="64">
        <f>((3*3)+(1.2*1.45)+(1.5*2.2)+(1.5*0.75)+(0.3*2.93)+(1.5*2.93)+(2.7*1.8)+(1.4*1)+(1.2*1.4)+(1.8*1.2))*10.764</f>
        <v>328.72179599999998</v>
      </c>
      <c r="F191" s="4">
        <v>0</v>
      </c>
      <c r="G191" s="4">
        <f t="shared" si="12"/>
        <v>476.64660419999996</v>
      </c>
      <c r="H191" s="3" t="s">
        <v>130</v>
      </c>
      <c r="I191" s="119"/>
      <c r="J191" s="120"/>
      <c r="N191">
        <f t="shared" si="13"/>
        <v>1.45</v>
      </c>
      <c r="P191" s="66">
        <f>((3*3)+(1.2*1.45)+(1.5*2.2)+(1.5*0.75)+(0.3*2.93)+(1.5*2.93)+(2.7*1.8)+(1.4*1)+(1.2*1.4)+(1.8*1.2))*10.764</f>
        <v>328.72179599999998</v>
      </c>
    </row>
    <row r="192" spans="1:16" s="25" customFormat="1" ht="15.75" customHeight="1" x14ac:dyDescent="0.35">
      <c r="A192" s="125"/>
      <c r="B192" s="2">
        <v>9</v>
      </c>
      <c r="C192" s="8" t="s">
        <v>92</v>
      </c>
      <c r="D192" s="4" t="s">
        <v>79</v>
      </c>
      <c r="E192" s="62">
        <f>(25.1+4.94+0.75*1.5)*(10.764)</f>
        <v>335.46006</v>
      </c>
      <c r="F192" s="4">
        <v>0</v>
      </c>
      <c r="G192" s="4">
        <f t="shared" si="12"/>
        <v>486.41708699999998</v>
      </c>
      <c r="H192" s="4" t="s">
        <v>130</v>
      </c>
      <c r="I192" s="119"/>
      <c r="J192" s="120"/>
      <c r="K192" s="25">
        <f>10*4</f>
        <v>40</v>
      </c>
      <c r="N192">
        <f t="shared" si="13"/>
        <v>1.45</v>
      </c>
      <c r="P192" s="66">
        <f>((3*3)+(2.4*0.45)+(1.2*1.6)+(1.5*2.2)+(1.5*0.75)+(0.3*2.93)+(1.2*2.93)+(2.7*1.8)+(1.4*1)+(1.2*1.4)+(1.8*1.2))*10.764</f>
        <v>332.82287999999994</v>
      </c>
    </row>
    <row r="193" spans="1:16" ht="15.75" customHeight="1" x14ac:dyDescent="0.35">
      <c r="A193" s="126"/>
      <c r="B193" s="2">
        <v>10</v>
      </c>
      <c r="C193" s="8" t="s">
        <v>93</v>
      </c>
      <c r="D193" s="3" t="s">
        <v>79</v>
      </c>
      <c r="E193" s="62">
        <f>(25.54+5.02+0.75*(1.5))*(10.764)</f>
        <v>341.05733999999995</v>
      </c>
      <c r="F193" s="4">
        <v>0</v>
      </c>
      <c r="G193" s="4">
        <f t="shared" si="12"/>
        <v>494.53314299999994</v>
      </c>
      <c r="H193" s="3" t="s">
        <v>130</v>
      </c>
      <c r="I193" s="121"/>
      <c r="J193" s="122"/>
      <c r="N193">
        <f t="shared" si="13"/>
        <v>1.45</v>
      </c>
      <c r="P193" s="3">
        <f>((3*3)+(1.6*1.2)+(1.5*2.2)+(0.75*1.5)+(0.3*3)+(1.5*3)+(2.7*1.8)+(1*1.4)+(1.2*1.4)+(1.2*1.8))*10.764</f>
        <v>332.01557999999994</v>
      </c>
    </row>
    <row r="194" spans="1:16" s="59" customFormat="1" x14ac:dyDescent="0.35">
      <c r="A194" s="123" t="s">
        <v>284</v>
      </c>
      <c r="B194" s="123"/>
      <c r="C194" s="123"/>
      <c r="D194" s="123"/>
      <c r="E194" s="123"/>
      <c r="F194" s="123"/>
      <c r="G194" s="123"/>
      <c r="H194" s="123"/>
      <c r="I194" s="123"/>
      <c r="J194" s="123"/>
      <c r="M194" s="63"/>
    </row>
    <row r="195" spans="1:16" ht="15" customHeight="1" x14ac:dyDescent="0.35">
      <c r="A195" s="124"/>
      <c r="B195" s="3">
        <v>1</v>
      </c>
      <c r="C195" s="4">
        <v>501</v>
      </c>
      <c r="D195" s="3" t="s">
        <v>79</v>
      </c>
      <c r="E195" s="64">
        <f>((3*3)+(1.6*1.2)+(1.5*2.2)+(0.75*1.5)+(0.3*3)+(1.5*3)+(2.7*1.8)+(1*1.4)+(1.2*1.4)+(1.2*1.8))*10.764</f>
        <v>332.01557999999994</v>
      </c>
      <c r="F195" s="4">
        <v>0</v>
      </c>
      <c r="G195" s="4">
        <f t="shared" si="12"/>
        <v>481.4225909999999</v>
      </c>
      <c r="H195" s="3" t="s">
        <v>130</v>
      </c>
      <c r="I195" s="117" t="str">
        <f>A194</f>
        <v>5th Floor Plan</v>
      </c>
      <c r="J195" s="118"/>
      <c r="M195" s="64">
        <f>((3*3)+(1.6*1.2)+(1.5*2.2)+(0.75*1.5)+(0.3*3)+(1.5*3)+(2.7*1.8)+(1*1.4)+(1.2*1.4)+(1.2*1.8))*10.764</f>
        <v>332.01557999999994</v>
      </c>
      <c r="N195">
        <f>(3*3)+(1.2*1.45)+(1.5*2.2)+(1.5*0.75)+(0.3*2.93)+(1.2*2.93)+(2.7*1.8)+(1.4*1)+(1.2*1.4)+(2*1.2)</f>
        <v>29.9</v>
      </c>
    </row>
    <row r="196" spans="1:16" ht="15" customHeight="1" x14ac:dyDescent="0.35">
      <c r="A196" s="125"/>
      <c r="B196" s="3">
        <v>2</v>
      </c>
      <c r="C196" s="4">
        <v>502</v>
      </c>
      <c r="D196" s="3" t="s">
        <v>79</v>
      </c>
      <c r="E196" s="62">
        <f>(24.16+4.94+0.75*1.5)*(10.764)</f>
        <v>325.34190000000001</v>
      </c>
      <c r="F196" s="4">
        <v>0</v>
      </c>
      <c r="G196" s="4">
        <f t="shared" si="12"/>
        <v>471.74575499999997</v>
      </c>
      <c r="H196" s="3" t="s">
        <v>130</v>
      </c>
      <c r="I196" s="119"/>
      <c r="J196" s="120"/>
      <c r="M196" s="64">
        <f>((3*3)+(1.2*1.45)+(1.5*2.2)+(1.5*0.75)+(0.3*2.93)+(1.2*2.93)+(2.7*1.8)+(1.4*1)+(1.2*1.4)+(1.8*1.2))*10.764</f>
        <v>319.26024000000001</v>
      </c>
      <c r="N196">
        <f>24.16+4.94+0.75*1.5</f>
        <v>30.225000000000001</v>
      </c>
    </row>
    <row r="197" spans="1:16" ht="15" customHeight="1" x14ac:dyDescent="0.35">
      <c r="A197" s="125"/>
      <c r="B197" s="3">
        <v>3</v>
      </c>
      <c r="C197" s="4">
        <v>503</v>
      </c>
      <c r="D197" s="3" t="s">
        <v>79</v>
      </c>
      <c r="E197" s="62">
        <f>(25.1+4.94+0.75*1.5)*(10.764)</f>
        <v>335.46006</v>
      </c>
      <c r="F197" s="4">
        <v>0</v>
      </c>
      <c r="G197" s="4">
        <f t="shared" si="12"/>
        <v>486.41708699999998</v>
      </c>
      <c r="H197" s="3" t="s">
        <v>130</v>
      </c>
      <c r="I197" s="119"/>
      <c r="J197" s="120"/>
      <c r="M197" s="64">
        <f>((3*3)+(2.4*0.45)+(1.2*1.6)+(1.5*2.2)+(1.5*0.75)+(0.3*2.93)+(1.2*2.93)+(2.7*1.8)+(1.4*1)+(1.2*1.4)+(1.8*1.2))*10.764</f>
        <v>332.82287999999994</v>
      </c>
    </row>
    <row r="198" spans="1:16" ht="15" customHeight="1" x14ac:dyDescent="0.35">
      <c r="A198" s="125"/>
      <c r="B198" s="3">
        <v>4</v>
      </c>
      <c r="C198" s="4">
        <v>504</v>
      </c>
      <c r="D198" s="3" t="s">
        <v>79</v>
      </c>
      <c r="E198" s="62">
        <f>(24.16+4.94+0.75*1.5)*(10.764)</f>
        <v>325.34190000000001</v>
      </c>
      <c r="F198" s="4">
        <v>0</v>
      </c>
      <c r="G198" s="4">
        <f t="shared" si="12"/>
        <v>471.74575499999997</v>
      </c>
      <c r="H198" s="3" t="s">
        <v>130</v>
      </c>
      <c r="I198" s="119"/>
      <c r="J198" s="120"/>
      <c r="M198" s="64">
        <f>((3*3)+(1.2*1.6)+(1.5*2.2)+(1.5*0.75)+(0.3*2.93)+(1.2*2.93)+(2.7*1.8)+(1.4*1)+(1.2*1.4)+(1.8*1.2))*10.764</f>
        <v>321.19775999999996</v>
      </c>
      <c r="N198">
        <f>(3*3)+(1.6*1.2)+(1.5*2.2)+(0.75*1.5)+(0.3*3)+(1.5*3)+(2.7*1.8)+(1*1.4)+(1.2*1.4)+(1.2*2)</f>
        <v>31.084999999999997</v>
      </c>
    </row>
    <row r="199" spans="1:16" ht="15" customHeight="1" x14ac:dyDescent="0.35">
      <c r="A199" s="125"/>
      <c r="B199" s="4">
        <v>5</v>
      </c>
      <c r="C199" s="4">
        <v>505</v>
      </c>
      <c r="D199" s="3" t="s">
        <v>79</v>
      </c>
      <c r="E199" s="62">
        <f>(25.1+4.94+0.75*1.5)*(10.764)</f>
        <v>335.46006</v>
      </c>
      <c r="F199" s="4">
        <v>0</v>
      </c>
      <c r="G199" s="4">
        <f t="shared" si="12"/>
        <v>486.41708699999998</v>
      </c>
      <c r="H199" s="3" t="s">
        <v>130</v>
      </c>
      <c r="I199" s="119"/>
      <c r="J199" s="120"/>
      <c r="M199" s="64">
        <f>((3*3)+(1.2*1.6)+(1.5*2.2)+(1.5*0.75)+(0.3*2.93)+(1.2*2.93)+(2.7*1.8)+(1.4*1)+(1.2*1.4)+(1.8*1.2)+(2.1*0.45))*10.764</f>
        <v>331.36973999999998</v>
      </c>
      <c r="N199">
        <f>(24.16+5.02+0.75*(1.5))</f>
        <v>30.305</v>
      </c>
    </row>
    <row r="200" spans="1:16" ht="15" customHeight="1" x14ac:dyDescent="0.35">
      <c r="A200" s="125"/>
      <c r="B200" s="4">
        <v>6</v>
      </c>
      <c r="C200" s="4">
        <v>506</v>
      </c>
      <c r="D200" s="3" t="s">
        <v>79</v>
      </c>
      <c r="E200" s="64">
        <f>((3*3)+(1.2*1.6)+(1.5*2.2)+(1.5*0.75)+(0.3*2.93)+(1.5*2.93)+(2.7*1.8)+(1.4*1)+(1.2*1.4)+(1.8*1.2)+(2.1*0.45))*10.764</f>
        <v>340.83129599999995</v>
      </c>
      <c r="F200" s="4">
        <v>0</v>
      </c>
      <c r="G200" s="4">
        <f t="shared" si="12"/>
        <v>494.20537919999992</v>
      </c>
      <c r="H200" s="3" t="s">
        <v>130</v>
      </c>
      <c r="I200" s="119"/>
      <c r="J200" s="120"/>
      <c r="M200" s="64">
        <f>((3*3)+(1.2*1.6)+(1.5*2.2)+(1.5*0.75)+(0.3*2.93)+(1.5*2.93)+(2.7*1.8)+(1.4*1)+(1.2*1.4)+(1.8*1.2)+(2.1*0.45))*10.764</f>
        <v>340.83129599999995</v>
      </c>
    </row>
    <row r="201" spans="1:16" ht="15" customHeight="1" x14ac:dyDescent="0.35">
      <c r="A201" s="125"/>
      <c r="B201" s="2">
        <v>7</v>
      </c>
      <c r="C201" s="4">
        <v>507</v>
      </c>
      <c r="D201" s="3" t="s">
        <v>79</v>
      </c>
      <c r="E201" s="64">
        <f>((3*3)+(1.2*1.45)+(1.5*2.2)+(1.5*0.75)+(0.3*2.93)+(1.5*2.93)+(2.7*1.8)+(1.4*1)+(1.2*1.4)+(1.8*1.2))*10.764</f>
        <v>328.72179599999998</v>
      </c>
      <c r="F201" s="4">
        <v>0</v>
      </c>
      <c r="G201" s="4">
        <f t="shared" si="12"/>
        <v>476.64660419999996</v>
      </c>
      <c r="H201" s="3" t="s">
        <v>130</v>
      </c>
      <c r="I201" s="119"/>
      <c r="J201" s="120"/>
      <c r="M201" s="64">
        <f>((3*3)+(1.2*1.45)+(1.5*2.2)+(1.5*0.75)+(0.3*2.93)+(1.5*2.93)+(2.7*1.8)+(1.4*1)+(1.2*1.4)+(1.8*1.2))*10.764</f>
        <v>328.72179599999998</v>
      </c>
    </row>
    <row r="202" spans="1:16" s="22" customFormat="1" ht="15" customHeight="1" x14ac:dyDescent="0.35">
      <c r="A202" s="125"/>
      <c r="B202" s="2">
        <v>8</v>
      </c>
      <c r="C202" s="4">
        <v>508</v>
      </c>
      <c r="D202" s="3" t="s">
        <v>79</v>
      </c>
      <c r="E202" s="64">
        <f>((3*3)+(1.2*1.45)+(1.5*2.2)+(1.5*0.75)+(0.3*2.93)+(1.5*2.93)+(2.7*1.8)+(1.4*1)+(1.2*1.4)+(1.8*1.2))*10.764</f>
        <v>328.72179599999998</v>
      </c>
      <c r="F202" s="4">
        <v>0</v>
      </c>
      <c r="G202" s="4">
        <f t="shared" si="12"/>
        <v>476.64660419999996</v>
      </c>
      <c r="H202" s="3" t="s">
        <v>130</v>
      </c>
      <c r="I202" s="119"/>
      <c r="J202" s="120"/>
      <c r="M202" s="64">
        <f>((3*3)+(1.2*1.45)+(1.5*2.2)+(1.5*0.75)+(0.3*2.93)+(1.5*2.93)+(2.7*1.8)+(1.4*1)+(1.2*1.4)+(1.8*1.2))*10.764</f>
        <v>328.72179599999998</v>
      </c>
    </row>
    <row r="203" spans="1:16" s="25" customFormat="1" ht="15.75" customHeight="1" x14ac:dyDescent="0.35">
      <c r="A203" s="125"/>
      <c r="B203" s="2">
        <v>9</v>
      </c>
      <c r="C203" s="4">
        <v>509</v>
      </c>
      <c r="D203" s="4" t="s">
        <v>79</v>
      </c>
      <c r="E203" s="62">
        <f>(25.1+4.94+0.75*1.5)*(10.764)</f>
        <v>335.46006</v>
      </c>
      <c r="F203" s="4">
        <v>0</v>
      </c>
      <c r="G203" s="4">
        <f t="shared" si="12"/>
        <v>486.41708699999998</v>
      </c>
      <c r="H203" s="4" t="s">
        <v>130</v>
      </c>
      <c r="I203" s="119"/>
      <c r="J203" s="120"/>
      <c r="K203" s="25">
        <f>10*4</f>
        <v>40</v>
      </c>
      <c r="M203" s="64">
        <f>((3*3)+(2.4*0.45)+(1.2*1.6)+(1.5*2.2)+(1.5*0.75)+(0.3*2.93)+(1.2*2.93)+(2.7*1.8)+(1.4*1)+(1.2*1.4)+(1.8*1.2))*10.764</f>
        <v>332.82287999999994</v>
      </c>
    </row>
    <row r="204" spans="1:16" ht="15.75" customHeight="1" x14ac:dyDescent="0.35">
      <c r="A204" s="126"/>
      <c r="B204" s="2">
        <v>10</v>
      </c>
      <c r="C204" s="4">
        <v>510</v>
      </c>
      <c r="D204" s="3" t="s">
        <v>79</v>
      </c>
      <c r="E204" s="62">
        <f>(25.54+5.02+0.75*(1.5))*(10.764)</f>
        <v>341.05733999999995</v>
      </c>
      <c r="F204" s="4">
        <v>0</v>
      </c>
      <c r="G204" s="4">
        <f t="shared" si="12"/>
        <v>494.53314299999994</v>
      </c>
      <c r="H204" s="3" t="s">
        <v>130</v>
      </c>
      <c r="I204" s="121"/>
      <c r="J204" s="122"/>
      <c r="M204" s="64">
        <f>((3*3)+(1.6*1.2)+(1.5*2.2)+(0.75*1.5)+(0.3*3)+(1.5*3)+(2.7*1.8)+(1*1.4)+(1.2*1.4)+(1.2*1.8))*10.764</f>
        <v>332.01557999999994</v>
      </c>
    </row>
    <row r="205" spans="1:16" x14ac:dyDescent="0.35">
      <c r="A205" s="105" t="s">
        <v>80</v>
      </c>
      <c r="B205" s="106"/>
      <c r="C205" s="106"/>
      <c r="D205" s="106"/>
      <c r="E205" s="106"/>
      <c r="F205" s="106"/>
      <c r="G205" s="106"/>
      <c r="H205" s="106"/>
      <c r="I205" s="106"/>
      <c r="J205" s="107"/>
    </row>
    <row r="206" spans="1:16" x14ac:dyDescent="0.35">
      <c r="A206" s="95" t="s">
        <v>74</v>
      </c>
      <c r="B206" s="95"/>
      <c r="C206" s="95"/>
      <c r="D206" s="95"/>
      <c r="E206" s="95"/>
      <c r="F206" s="95"/>
      <c r="G206" s="95"/>
      <c r="H206" s="95"/>
      <c r="I206" s="95"/>
      <c r="J206" s="95"/>
    </row>
    <row r="207" spans="1:16" x14ac:dyDescent="0.35">
      <c r="A207" s="104"/>
      <c r="B207" s="7">
        <v>1</v>
      </c>
      <c r="C207" s="7">
        <v>1</v>
      </c>
      <c r="D207" s="7" t="s">
        <v>75</v>
      </c>
      <c r="E207" s="7">
        <f>((3*3)+(2*1.65)+(0.75*2)+(1*1.4)+(1.2*1)+(1.3*3.1)+(0.9*1.4))*10.764</f>
        <v>233.47116000000003</v>
      </c>
      <c r="F207" s="4">
        <v>0</v>
      </c>
      <c r="G207" s="4">
        <f t="shared" ref="G207:G224" si="14">E207*1.45+F207</f>
        <v>338.53318200000001</v>
      </c>
      <c r="H207" s="3" t="s">
        <v>130</v>
      </c>
      <c r="I207" s="117" t="str">
        <f>A206</f>
        <v>Ground Floor Plan</v>
      </c>
      <c r="J207" s="118"/>
    </row>
    <row r="208" spans="1:16" x14ac:dyDescent="0.35">
      <c r="A208" s="104"/>
      <c r="B208" s="7">
        <v>2</v>
      </c>
      <c r="C208" s="7">
        <v>2</v>
      </c>
      <c r="D208" s="7" t="s">
        <v>75</v>
      </c>
      <c r="E208" s="7">
        <f>((3*3)+(2*1.65)+(0.75*2)+(1*1.4)+(1.2*1)+(1.3*3.1)+(0.9*1.4))*10.764</f>
        <v>233.47116000000003</v>
      </c>
      <c r="F208" s="4">
        <v>0</v>
      </c>
      <c r="G208" s="4">
        <f t="shared" si="14"/>
        <v>338.53318200000001</v>
      </c>
      <c r="H208" s="3" t="s">
        <v>130</v>
      </c>
      <c r="I208" s="119"/>
      <c r="J208" s="120"/>
    </row>
    <row r="209" spans="1:11" x14ac:dyDescent="0.35">
      <c r="A209" s="104"/>
      <c r="B209" s="7">
        <v>3</v>
      </c>
      <c r="C209" s="7">
        <v>3</v>
      </c>
      <c r="D209" s="7" t="s">
        <v>75</v>
      </c>
      <c r="E209" s="7">
        <f>((3*3)+(2*1.65)+(0.75*2)+(1*1.4)+(1.2*1)+(1.3*3.1)+(0.9*1.4))*10.764</f>
        <v>233.47116000000003</v>
      </c>
      <c r="F209" s="4">
        <v>0</v>
      </c>
      <c r="G209" s="4">
        <f t="shared" si="14"/>
        <v>338.53318200000001</v>
      </c>
      <c r="H209" s="3" t="s">
        <v>130</v>
      </c>
      <c r="I209" s="119"/>
      <c r="J209" s="120"/>
    </row>
    <row r="210" spans="1:11" x14ac:dyDescent="0.35">
      <c r="A210" s="104"/>
      <c r="B210" s="7">
        <v>4</v>
      </c>
      <c r="C210" s="7">
        <v>4</v>
      </c>
      <c r="D210" s="7" t="s">
        <v>75</v>
      </c>
      <c r="E210" s="7">
        <f>((3*3)+(2*1.65)+(0.75*2)+(1*1.4)+(1.2*1)+(1.3*3.1)+(0.9*1.4))*10.764</f>
        <v>233.47116000000003</v>
      </c>
      <c r="F210" s="4">
        <v>0</v>
      </c>
      <c r="G210" s="4">
        <f t="shared" si="14"/>
        <v>338.53318200000001</v>
      </c>
      <c r="H210" s="3" t="s">
        <v>130</v>
      </c>
      <c r="I210" s="119"/>
      <c r="J210" s="120"/>
    </row>
    <row r="211" spans="1:11" x14ac:dyDescent="0.35">
      <c r="A211" s="104"/>
      <c r="B211" s="7">
        <v>5</v>
      </c>
      <c r="C211" s="7">
        <v>5</v>
      </c>
      <c r="D211" s="7" t="s">
        <v>75</v>
      </c>
      <c r="E211" s="7">
        <f t="shared" ref="E211:E218" si="15">((3*3)+(2*1.65)+(0.75*2)+(1*1.4)+(1.4*0.9)+(1.2*1)+(1.3*3.3))*10.764</f>
        <v>236.26979999999998</v>
      </c>
      <c r="F211" s="4">
        <v>0</v>
      </c>
      <c r="G211" s="4">
        <f t="shared" si="14"/>
        <v>342.59120999999993</v>
      </c>
      <c r="H211" s="3" t="s">
        <v>130</v>
      </c>
      <c r="I211" s="119"/>
      <c r="J211" s="120"/>
    </row>
    <row r="212" spans="1:11" x14ac:dyDescent="0.35">
      <c r="A212" s="104"/>
      <c r="B212" s="7">
        <v>6</v>
      </c>
      <c r="C212" s="7">
        <v>6</v>
      </c>
      <c r="D212" s="7" t="s">
        <v>75</v>
      </c>
      <c r="E212" s="7">
        <f t="shared" si="15"/>
        <v>236.26979999999998</v>
      </c>
      <c r="F212" s="4">
        <v>0</v>
      </c>
      <c r="G212" s="4">
        <f t="shared" si="14"/>
        <v>342.59120999999993</v>
      </c>
      <c r="H212" s="3" t="s">
        <v>130</v>
      </c>
      <c r="I212" s="119"/>
      <c r="J212" s="120"/>
    </row>
    <row r="213" spans="1:11" x14ac:dyDescent="0.35">
      <c r="A213" s="104"/>
      <c r="B213" s="7">
        <v>7</v>
      </c>
      <c r="C213" s="7">
        <v>7</v>
      </c>
      <c r="D213" s="7" t="s">
        <v>75</v>
      </c>
      <c r="E213" s="7">
        <f t="shared" si="15"/>
        <v>236.26979999999998</v>
      </c>
      <c r="F213" s="4">
        <v>0</v>
      </c>
      <c r="G213" s="4">
        <f t="shared" si="14"/>
        <v>342.59120999999993</v>
      </c>
      <c r="H213" s="3" t="s">
        <v>130</v>
      </c>
      <c r="I213" s="119"/>
      <c r="J213" s="120"/>
    </row>
    <row r="214" spans="1:11" x14ac:dyDescent="0.35">
      <c r="A214" s="104"/>
      <c r="B214" s="7">
        <v>8</v>
      </c>
      <c r="C214" s="7">
        <v>8</v>
      </c>
      <c r="D214" s="7" t="s">
        <v>75</v>
      </c>
      <c r="E214" s="7">
        <f t="shared" si="15"/>
        <v>236.26979999999998</v>
      </c>
      <c r="F214" s="4">
        <v>0</v>
      </c>
      <c r="G214" s="4">
        <f t="shared" si="14"/>
        <v>342.59120999999993</v>
      </c>
      <c r="H214" s="3" t="s">
        <v>130</v>
      </c>
      <c r="I214" s="119"/>
      <c r="J214" s="120"/>
    </row>
    <row r="215" spans="1:11" x14ac:dyDescent="0.35">
      <c r="A215" s="104"/>
      <c r="B215" s="7">
        <v>9</v>
      </c>
      <c r="C215" s="7">
        <v>9</v>
      </c>
      <c r="D215" s="7" t="s">
        <v>75</v>
      </c>
      <c r="E215" s="7">
        <f t="shared" si="15"/>
        <v>236.26979999999998</v>
      </c>
      <c r="F215" s="4">
        <v>0</v>
      </c>
      <c r="G215" s="4">
        <f t="shared" si="14"/>
        <v>342.59120999999993</v>
      </c>
      <c r="H215" s="3" t="s">
        <v>130</v>
      </c>
      <c r="I215" s="119"/>
      <c r="J215" s="120"/>
    </row>
    <row r="216" spans="1:11" x14ac:dyDescent="0.35">
      <c r="A216" s="104"/>
      <c r="B216" s="7">
        <v>10</v>
      </c>
      <c r="C216" s="7">
        <v>10</v>
      </c>
      <c r="D216" s="7" t="s">
        <v>75</v>
      </c>
      <c r="E216" s="7">
        <f t="shared" si="15"/>
        <v>236.26979999999998</v>
      </c>
      <c r="F216" s="4">
        <v>0</v>
      </c>
      <c r="G216" s="4">
        <f t="shared" si="14"/>
        <v>342.59120999999993</v>
      </c>
      <c r="H216" s="3" t="s">
        <v>130</v>
      </c>
      <c r="I216" s="119"/>
      <c r="J216" s="120"/>
    </row>
    <row r="217" spans="1:11" x14ac:dyDescent="0.35">
      <c r="A217" s="104"/>
      <c r="B217" s="7">
        <v>11</v>
      </c>
      <c r="C217" s="7">
        <v>11</v>
      </c>
      <c r="D217" s="7" t="s">
        <v>75</v>
      </c>
      <c r="E217" s="7">
        <f t="shared" si="15"/>
        <v>236.26979999999998</v>
      </c>
      <c r="F217" s="4">
        <v>0</v>
      </c>
      <c r="G217" s="4">
        <f t="shared" si="14"/>
        <v>342.59120999999993</v>
      </c>
      <c r="H217" s="3" t="s">
        <v>130</v>
      </c>
      <c r="I217" s="119"/>
      <c r="J217" s="120"/>
    </row>
    <row r="218" spans="1:11" x14ac:dyDescent="0.35">
      <c r="A218" s="104"/>
      <c r="B218" s="7">
        <v>12</v>
      </c>
      <c r="C218" s="7">
        <v>12</v>
      </c>
      <c r="D218" s="7" t="s">
        <v>75</v>
      </c>
      <c r="E218" s="7">
        <f t="shared" si="15"/>
        <v>236.26979999999998</v>
      </c>
      <c r="F218" s="4">
        <v>0</v>
      </c>
      <c r="G218" s="4">
        <f t="shared" si="14"/>
        <v>342.59120999999993</v>
      </c>
      <c r="H218" s="4" t="s">
        <v>130</v>
      </c>
      <c r="I218" s="119"/>
      <c r="J218" s="120"/>
    </row>
    <row r="219" spans="1:11" x14ac:dyDescent="0.35">
      <c r="A219" s="104"/>
      <c r="B219" s="7">
        <v>13</v>
      </c>
      <c r="C219" s="7">
        <v>13</v>
      </c>
      <c r="D219" s="7" t="s">
        <v>75</v>
      </c>
      <c r="E219" s="7">
        <f>((3*3)+(2*1.65)+(0.75*2)+(1*1.4)+(1.4*0.9)+(1.2*1)+(1.3*2.95))*10.764</f>
        <v>231.37217999999999</v>
      </c>
      <c r="F219" s="4">
        <v>0</v>
      </c>
      <c r="G219" s="4">
        <f t="shared" si="14"/>
        <v>335.48966099999996</v>
      </c>
      <c r="H219" s="3" t="s">
        <v>130</v>
      </c>
      <c r="I219" s="119"/>
      <c r="J219" s="120"/>
    </row>
    <row r="220" spans="1:11" x14ac:dyDescent="0.35">
      <c r="A220" s="104"/>
      <c r="B220" s="7">
        <v>14</v>
      </c>
      <c r="C220" s="7">
        <v>14</v>
      </c>
      <c r="D220" s="7" t="s">
        <v>75</v>
      </c>
      <c r="E220" s="7">
        <f>((3*3)+(2*1.65)+(0.75*2)+(1*1.4)+(1.4*0.9)+(1.2*1)+(1.3*2.95))*10.764</f>
        <v>231.37217999999999</v>
      </c>
      <c r="F220" s="4">
        <v>0</v>
      </c>
      <c r="G220" s="4">
        <f t="shared" si="14"/>
        <v>335.48966099999996</v>
      </c>
      <c r="H220" s="3" t="s">
        <v>130</v>
      </c>
      <c r="I220" s="119"/>
      <c r="J220" s="120"/>
    </row>
    <row r="221" spans="1:11" x14ac:dyDescent="0.35">
      <c r="A221" s="104"/>
      <c r="B221" s="7">
        <v>15</v>
      </c>
      <c r="C221" s="7">
        <v>15</v>
      </c>
      <c r="D221" s="7" t="s">
        <v>75</v>
      </c>
      <c r="E221" s="7">
        <f>((3*3)+(2*1.65)+(0.75*2)+(1*1.4)+(1.4*0.9)+(1.2*1)+(1.3*3.1))*10.764</f>
        <v>233.47116</v>
      </c>
      <c r="F221" s="4">
        <v>0</v>
      </c>
      <c r="G221" s="4">
        <f t="shared" si="14"/>
        <v>338.53318200000001</v>
      </c>
      <c r="H221" s="3" t="s">
        <v>130</v>
      </c>
      <c r="I221" s="119"/>
      <c r="J221" s="120"/>
    </row>
    <row r="222" spans="1:11" x14ac:dyDescent="0.35">
      <c r="A222" s="104"/>
      <c r="B222" s="7">
        <v>16</v>
      </c>
      <c r="C222" s="7">
        <v>16</v>
      </c>
      <c r="D222" s="7" t="s">
        <v>75</v>
      </c>
      <c r="E222" s="7">
        <f>((3*3)+(2*1.65)+(0.75*2)+(1*1.4)+(1.4*0.9)+(1.2*1)+(1.3*3.1))*10.764</f>
        <v>233.47116</v>
      </c>
      <c r="F222" s="4">
        <v>0</v>
      </c>
      <c r="G222" s="4">
        <f t="shared" si="14"/>
        <v>338.53318200000001</v>
      </c>
      <c r="H222" s="3" t="s">
        <v>130</v>
      </c>
      <c r="I222" s="119"/>
      <c r="J222" s="120"/>
    </row>
    <row r="223" spans="1:11" x14ac:dyDescent="0.35">
      <c r="A223" s="104"/>
      <c r="B223" s="7">
        <v>17</v>
      </c>
      <c r="C223" s="7">
        <v>17</v>
      </c>
      <c r="D223" s="7" t="s">
        <v>75</v>
      </c>
      <c r="E223" s="7">
        <f>((3*3)+(2*1.65)+(0.75*2)+(1*1.4)+(1.4*0.9)+(1.2*1)+(1.3*3.1))*10.764</f>
        <v>233.47116</v>
      </c>
      <c r="F223" s="4">
        <v>0</v>
      </c>
      <c r="G223" s="4">
        <f t="shared" si="14"/>
        <v>338.53318200000001</v>
      </c>
      <c r="H223" s="3" t="s">
        <v>130</v>
      </c>
      <c r="I223" s="119"/>
      <c r="J223" s="120"/>
    </row>
    <row r="224" spans="1:11" x14ac:dyDescent="0.35">
      <c r="A224" s="104"/>
      <c r="B224" s="7">
        <v>18</v>
      </c>
      <c r="C224" s="7">
        <v>18</v>
      </c>
      <c r="D224" s="7" t="s">
        <v>75</v>
      </c>
      <c r="E224" s="7">
        <f>((3*3)+(2*1.65)+(0.75*2)+(1*1.4)+(1.4*0.9)+(1.2*1)+(1.3*3.1))*10.764</f>
        <v>233.47116</v>
      </c>
      <c r="F224" s="4">
        <v>0</v>
      </c>
      <c r="G224" s="4">
        <f t="shared" si="14"/>
        <v>338.53318200000001</v>
      </c>
      <c r="H224" s="3" t="s">
        <v>130</v>
      </c>
      <c r="I224" s="121"/>
      <c r="J224" s="122"/>
      <c r="K224">
        <v>18</v>
      </c>
    </row>
    <row r="225" spans="1:10" x14ac:dyDescent="0.35">
      <c r="A225" s="95" t="s">
        <v>83</v>
      </c>
      <c r="B225" s="95"/>
      <c r="C225" s="95"/>
      <c r="D225" s="95"/>
      <c r="E225" s="95"/>
      <c r="F225" s="95"/>
      <c r="G225" s="95"/>
      <c r="H225" s="95"/>
      <c r="I225" s="95"/>
      <c r="J225" s="95"/>
    </row>
    <row r="226" spans="1:10" x14ac:dyDescent="0.35">
      <c r="A226" s="104"/>
      <c r="B226" s="7">
        <v>1</v>
      </c>
      <c r="C226" s="7" t="s">
        <v>84</v>
      </c>
      <c r="D226" s="7" t="s">
        <v>75</v>
      </c>
      <c r="E226" s="7">
        <f>((3*3)+(2*1.65)+(0.75*2)+(1*1.4)+(1.2*1)+(1.3*3.1)+(0.9*1.4))*10.764</f>
        <v>233.47116000000003</v>
      </c>
      <c r="F226" s="4">
        <v>0</v>
      </c>
      <c r="G226" s="4">
        <f t="shared" ref="G226:G243" si="16">E226*1.45+F226</f>
        <v>338.53318200000001</v>
      </c>
      <c r="H226" s="3" t="s">
        <v>130</v>
      </c>
      <c r="I226" s="117" t="str">
        <f>A225</f>
        <v>Typical 1st To 4th Floor Plan</v>
      </c>
      <c r="J226" s="118"/>
    </row>
    <row r="227" spans="1:10" x14ac:dyDescent="0.35">
      <c r="A227" s="104"/>
      <c r="B227" s="7">
        <v>2</v>
      </c>
      <c r="C227" s="7" t="s">
        <v>85</v>
      </c>
      <c r="D227" s="7" t="s">
        <v>75</v>
      </c>
      <c r="E227" s="7">
        <f>((3*3)+(2*1.65)+(0.75*2)+(1*1.4)+(1.2*1)+(1.3*3.1)+(0.9*1.4))*10.764</f>
        <v>233.47116000000003</v>
      </c>
      <c r="F227" s="4">
        <v>0</v>
      </c>
      <c r="G227" s="4">
        <f t="shared" si="16"/>
        <v>338.53318200000001</v>
      </c>
      <c r="H227" s="3" t="s">
        <v>130</v>
      </c>
      <c r="I227" s="119"/>
      <c r="J227" s="120"/>
    </row>
    <row r="228" spans="1:10" x14ac:dyDescent="0.35">
      <c r="A228" s="104"/>
      <c r="B228" s="7">
        <v>3</v>
      </c>
      <c r="C228" s="7" t="s">
        <v>86</v>
      </c>
      <c r="D228" s="7" t="s">
        <v>75</v>
      </c>
      <c r="E228" s="7">
        <f>((3*3)+(2*1.65)+(0.75*2)+(1*1.4)+(1.2*1)+(1.3*3.1)+(0.9*1.4))*10.764</f>
        <v>233.47116000000003</v>
      </c>
      <c r="F228" s="4">
        <v>0</v>
      </c>
      <c r="G228" s="4">
        <f t="shared" si="16"/>
        <v>338.53318200000001</v>
      </c>
      <c r="H228" s="3" t="s">
        <v>130</v>
      </c>
      <c r="I228" s="119"/>
      <c r="J228" s="120"/>
    </row>
    <row r="229" spans="1:10" x14ac:dyDescent="0.35">
      <c r="A229" s="104"/>
      <c r="B229" s="7">
        <v>4</v>
      </c>
      <c r="C229" s="7" t="s">
        <v>87</v>
      </c>
      <c r="D229" s="7" t="s">
        <v>75</v>
      </c>
      <c r="E229" s="7">
        <f>((3*3)+(2*1.65)+(0.75*2)+(1*1.4)+(1.2*1)+(1.3*3.1)+(0.9*1.4))*10.764</f>
        <v>233.47116000000003</v>
      </c>
      <c r="F229" s="4">
        <v>0</v>
      </c>
      <c r="G229" s="4">
        <f t="shared" si="16"/>
        <v>338.53318200000001</v>
      </c>
      <c r="H229" s="3" t="s">
        <v>130</v>
      </c>
      <c r="I229" s="119"/>
      <c r="J229" s="120"/>
    </row>
    <row r="230" spans="1:10" x14ac:dyDescent="0.35">
      <c r="A230" s="104"/>
      <c r="B230" s="7">
        <v>5</v>
      </c>
      <c r="C230" s="7" t="s">
        <v>88</v>
      </c>
      <c r="D230" s="7" t="s">
        <v>75</v>
      </c>
      <c r="E230" s="7">
        <f t="shared" ref="E230:E237" si="17">((3*3)+(2*1.65)+(0.75*2)+(1*1.4)+(1.4*0.9)+(1.2*1)+(1.3*3.3))*10.764</f>
        <v>236.26979999999998</v>
      </c>
      <c r="F230" s="4">
        <v>0</v>
      </c>
      <c r="G230" s="4">
        <f t="shared" si="16"/>
        <v>342.59120999999993</v>
      </c>
      <c r="H230" s="3" t="s">
        <v>130</v>
      </c>
      <c r="I230" s="119"/>
      <c r="J230" s="120"/>
    </row>
    <row r="231" spans="1:10" x14ac:dyDescent="0.35">
      <c r="A231" s="104"/>
      <c r="B231" s="7">
        <v>6</v>
      </c>
      <c r="C231" s="7" t="s">
        <v>89</v>
      </c>
      <c r="D231" s="7" t="s">
        <v>75</v>
      </c>
      <c r="E231" s="7">
        <f t="shared" si="17"/>
        <v>236.26979999999998</v>
      </c>
      <c r="F231" s="4">
        <v>0</v>
      </c>
      <c r="G231" s="4">
        <f t="shared" si="16"/>
        <v>342.59120999999993</v>
      </c>
      <c r="H231" s="3" t="s">
        <v>130</v>
      </c>
      <c r="I231" s="119"/>
      <c r="J231" s="120"/>
    </row>
    <row r="232" spans="1:10" x14ac:dyDescent="0.35">
      <c r="A232" s="104"/>
      <c r="B232" s="7">
        <v>7</v>
      </c>
      <c r="C232" s="7" t="s">
        <v>90</v>
      </c>
      <c r="D232" s="7" t="s">
        <v>75</v>
      </c>
      <c r="E232" s="7">
        <f t="shared" si="17"/>
        <v>236.26979999999998</v>
      </c>
      <c r="F232" s="4">
        <v>0</v>
      </c>
      <c r="G232" s="4">
        <f t="shared" si="16"/>
        <v>342.59120999999993</v>
      </c>
      <c r="H232" s="3" t="s">
        <v>130</v>
      </c>
      <c r="I232" s="119"/>
      <c r="J232" s="120"/>
    </row>
    <row r="233" spans="1:10" x14ac:dyDescent="0.35">
      <c r="A233" s="104"/>
      <c r="B233" s="7">
        <v>8</v>
      </c>
      <c r="C233" s="7" t="s">
        <v>91</v>
      </c>
      <c r="D233" s="7" t="s">
        <v>75</v>
      </c>
      <c r="E233" s="7">
        <f t="shared" si="17"/>
        <v>236.26979999999998</v>
      </c>
      <c r="F233" s="4">
        <v>0</v>
      </c>
      <c r="G233" s="4">
        <f t="shared" si="16"/>
        <v>342.59120999999993</v>
      </c>
      <c r="H233" s="3" t="s">
        <v>130</v>
      </c>
      <c r="I233" s="119"/>
      <c r="J233" s="120"/>
    </row>
    <row r="234" spans="1:10" x14ac:dyDescent="0.35">
      <c r="A234" s="104"/>
      <c r="B234" s="7">
        <v>9</v>
      </c>
      <c r="C234" s="7" t="s">
        <v>92</v>
      </c>
      <c r="D234" s="7" t="s">
        <v>75</v>
      </c>
      <c r="E234" s="7">
        <f t="shared" si="17"/>
        <v>236.26979999999998</v>
      </c>
      <c r="F234" s="4">
        <v>0</v>
      </c>
      <c r="G234" s="4">
        <f t="shared" si="16"/>
        <v>342.59120999999993</v>
      </c>
      <c r="H234" s="4" t="s">
        <v>130</v>
      </c>
      <c r="I234" s="119"/>
      <c r="J234" s="120"/>
    </row>
    <row r="235" spans="1:10" x14ac:dyDescent="0.35">
      <c r="A235" s="104"/>
      <c r="B235" s="7">
        <v>10</v>
      </c>
      <c r="C235" s="7" t="s">
        <v>93</v>
      </c>
      <c r="D235" s="7" t="s">
        <v>75</v>
      </c>
      <c r="E235" s="7">
        <f t="shared" si="17"/>
        <v>236.26979999999998</v>
      </c>
      <c r="F235" s="4">
        <v>0</v>
      </c>
      <c r="G235" s="4">
        <f t="shared" si="16"/>
        <v>342.59120999999993</v>
      </c>
      <c r="H235" s="3" t="s">
        <v>130</v>
      </c>
      <c r="I235" s="119"/>
      <c r="J235" s="120"/>
    </row>
    <row r="236" spans="1:10" x14ac:dyDescent="0.35">
      <c r="A236" s="104"/>
      <c r="B236" s="7">
        <v>11</v>
      </c>
      <c r="C236" s="7" t="s">
        <v>94</v>
      </c>
      <c r="D236" s="7" t="s">
        <v>75</v>
      </c>
      <c r="E236" s="7">
        <f t="shared" si="17"/>
        <v>236.26979999999998</v>
      </c>
      <c r="F236" s="4">
        <v>0</v>
      </c>
      <c r="G236" s="4">
        <f t="shared" si="16"/>
        <v>342.59120999999993</v>
      </c>
      <c r="H236" s="3" t="s">
        <v>130</v>
      </c>
      <c r="I236" s="119"/>
      <c r="J236" s="120"/>
    </row>
    <row r="237" spans="1:10" x14ac:dyDescent="0.35">
      <c r="A237" s="104"/>
      <c r="B237" s="7">
        <v>12</v>
      </c>
      <c r="C237" s="7" t="s">
        <v>95</v>
      </c>
      <c r="D237" s="7" t="s">
        <v>75</v>
      </c>
      <c r="E237" s="7">
        <f t="shared" si="17"/>
        <v>236.26979999999998</v>
      </c>
      <c r="F237" s="4">
        <v>0</v>
      </c>
      <c r="G237" s="4">
        <f t="shared" si="16"/>
        <v>342.59120999999993</v>
      </c>
      <c r="H237" s="3" t="s">
        <v>130</v>
      </c>
      <c r="I237" s="119"/>
      <c r="J237" s="120"/>
    </row>
    <row r="238" spans="1:10" x14ac:dyDescent="0.35">
      <c r="A238" s="104"/>
      <c r="B238" s="7">
        <v>13</v>
      </c>
      <c r="C238" s="7" t="s">
        <v>96</v>
      </c>
      <c r="D238" s="7" t="s">
        <v>75</v>
      </c>
      <c r="E238" s="7">
        <f>((3*3)+(2*1.65)+(0.75*2)+(1*1.4)+(1.4*0.9)+(1.2*1)+(1.3*2.95))*10.764</f>
        <v>231.37217999999999</v>
      </c>
      <c r="F238" s="4">
        <v>0</v>
      </c>
      <c r="G238" s="4">
        <f t="shared" si="16"/>
        <v>335.48966099999996</v>
      </c>
      <c r="H238" s="3" t="s">
        <v>130</v>
      </c>
      <c r="I238" s="119"/>
      <c r="J238" s="120"/>
    </row>
    <row r="239" spans="1:10" x14ac:dyDescent="0.35">
      <c r="A239" s="104"/>
      <c r="B239" s="7">
        <v>14</v>
      </c>
      <c r="C239" s="7" t="s">
        <v>97</v>
      </c>
      <c r="D239" s="7" t="s">
        <v>75</v>
      </c>
      <c r="E239" s="7">
        <f>((3*3)+(2*1.65)+(0.75*2)+(1*1.4)+(1.4*0.9)+(1.2*1)+(1.3*2.95))*10.764</f>
        <v>231.37217999999999</v>
      </c>
      <c r="F239" s="4">
        <v>0</v>
      </c>
      <c r="G239" s="4">
        <f t="shared" si="16"/>
        <v>335.48966099999996</v>
      </c>
      <c r="H239" s="3" t="s">
        <v>130</v>
      </c>
      <c r="I239" s="119"/>
      <c r="J239" s="120"/>
    </row>
    <row r="240" spans="1:10" x14ac:dyDescent="0.35">
      <c r="A240" s="104"/>
      <c r="B240" s="7">
        <v>15</v>
      </c>
      <c r="C240" s="7" t="s">
        <v>98</v>
      </c>
      <c r="D240" s="7" t="s">
        <v>75</v>
      </c>
      <c r="E240" s="7">
        <f>((3*3)+(2*1.65)+(0.75*2)+(1*1.4)+(1.4*0.9)+(1.2*1)+(1.3*3.1))*10.764</f>
        <v>233.47116</v>
      </c>
      <c r="F240" s="4">
        <v>0</v>
      </c>
      <c r="G240" s="4">
        <f t="shared" si="16"/>
        <v>338.53318200000001</v>
      </c>
      <c r="H240" s="3" t="s">
        <v>130</v>
      </c>
      <c r="I240" s="119"/>
      <c r="J240" s="120"/>
    </row>
    <row r="241" spans="1:15" x14ac:dyDescent="0.35">
      <c r="A241" s="104"/>
      <c r="B241" s="7">
        <v>16</v>
      </c>
      <c r="C241" s="7" t="s">
        <v>99</v>
      </c>
      <c r="D241" s="7" t="s">
        <v>75</v>
      </c>
      <c r="E241" s="7">
        <f>((3*3)+(2*1.65)+(0.75*2)+(1*1.4)+(1.4*0.9)+(1.2*1)+(1.3*3.1))*10.764</f>
        <v>233.47116</v>
      </c>
      <c r="F241" s="4">
        <v>0</v>
      </c>
      <c r="G241" s="4">
        <f t="shared" si="16"/>
        <v>338.53318200000001</v>
      </c>
      <c r="H241" s="3" t="s">
        <v>130</v>
      </c>
      <c r="I241" s="119"/>
      <c r="J241" s="120"/>
    </row>
    <row r="242" spans="1:15" x14ac:dyDescent="0.35">
      <c r="A242" s="104"/>
      <c r="B242" s="7">
        <v>17</v>
      </c>
      <c r="C242" s="7" t="s">
        <v>100</v>
      </c>
      <c r="D242" s="7" t="s">
        <v>75</v>
      </c>
      <c r="E242" s="7">
        <f>((3*3)+(2*1.65)+(0.75*2)+(1*1.4)+(1.4*0.9)+(1.2*1)+(1.3*3.1))*10.764</f>
        <v>233.47116</v>
      </c>
      <c r="F242" s="4">
        <v>0</v>
      </c>
      <c r="G242" s="4">
        <f t="shared" si="16"/>
        <v>338.53318200000001</v>
      </c>
      <c r="H242" s="3" t="s">
        <v>130</v>
      </c>
      <c r="I242" s="119"/>
      <c r="J242" s="120"/>
    </row>
    <row r="243" spans="1:15" x14ac:dyDescent="0.35">
      <c r="A243" s="104"/>
      <c r="B243" s="7">
        <v>18</v>
      </c>
      <c r="C243" s="7" t="s">
        <v>101</v>
      </c>
      <c r="D243" s="7" t="s">
        <v>75</v>
      </c>
      <c r="E243" s="7">
        <f>((3*3)+(2*1.65)+(0.75*2)+(1*1.4)+(1.4*0.9)+(1.2*1)+(1.3*3.1))*10.764</f>
        <v>233.47116</v>
      </c>
      <c r="F243" s="4">
        <v>0</v>
      </c>
      <c r="G243" s="4">
        <f t="shared" si="16"/>
        <v>338.53318200000001</v>
      </c>
      <c r="H243" s="3" t="s">
        <v>130</v>
      </c>
      <c r="I243" s="121"/>
      <c r="J243" s="122"/>
      <c r="K243">
        <f>18*4</f>
        <v>72</v>
      </c>
    </row>
    <row r="244" spans="1:15" x14ac:dyDescent="0.35">
      <c r="A244" s="123" t="s">
        <v>284</v>
      </c>
      <c r="B244" s="123"/>
      <c r="C244" s="123"/>
      <c r="D244" s="123"/>
      <c r="E244" s="123"/>
      <c r="F244" s="123"/>
      <c r="G244" s="123"/>
      <c r="H244" s="123"/>
      <c r="I244" s="123"/>
      <c r="J244" s="123"/>
    </row>
    <row r="245" spans="1:15" x14ac:dyDescent="0.35">
      <c r="A245" s="104"/>
      <c r="B245" s="7">
        <v>1</v>
      </c>
      <c r="C245" s="7">
        <v>501</v>
      </c>
      <c r="D245" s="7" t="s">
        <v>75</v>
      </c>
      <c r="E245" s="7">
        <f>((3*3)+(2*1.65)+(0.75*2)+(1*1.4)+(1.2*1)+(1.3*3.1)+(0.9*1.4))*10.764</f>
        <v>233.47116000000003</v>
      </c>
      <c r="F245" s="4">
        <v>0</v>
      </c>
      <c r="G245" s="4">
        <f t="shared" ref="G245:G262" si="18">E245*1.45+F245</f>
        <v>338.53318200000001</v>
      </c>
      <c r="H245" s="3" t="s">
        <v>130</v>
      </c>
      <c r="I245" s="117" t="str">
        <f>A244</f>
        <v>5th Floor Plan</v>
      </c>
      <c r="J245" s="118"/>
    </row>
    <row r="246" spans="1:15" x14ac:dyDescent="0.35">
      <c r="A246" s="104"/>
      <c r="B246" s="7">
        <v>2</v>
      </c>
      <c r="C246" s="7">
        <v>502</v>
      </c>
      <c r="D246" s="7" t="s">
        <v>75</v>
      </c>
      <c r="E246" s="7">
        <f>((3*3)+(2*1.65)+(0.75*2)+(1*1.4)+(1.2*1)+(1.3*3.1)+(0.9*1.4))*10.764</f>
        <v>233.47116000000003</v>
      </c>
      <c r="F246" s="4">
        <v>0</v>
      </c>
      <c r="G246" s="4">
        <f t="shared" si="18"/>
        <v>338.53318200000001</v>
      </c>
      <c r="H246" s="3" t="s">
        <v>130</v>
      </c>
      <c r="I246" s="119"/>
      <c r="J246" s="120"/>
    </row>
    <row r="247" spans="1:15" x14ac:dyDescent="0.35">
      <c r="A247" s="104"/>
      <c r="B247" s="7">
        <v>3</v>
      </c>
      <c r="C247" s="7">
        <v>503</v>
      </c>
      <c r="D247" s="7" t="s">
        <v>75</v>
      </c>
      <c r="E247" s="7">
        <f>((3*3)+(2*1.65)+(0.75*2)+(1*1.4)+(1.2*1)+(1.3*3.1)+(0.9*1.4))*10.764</f>
        <v>233.47116000000003</v>
      </c>
      <c r="F247" s="4">
        <v>0</v>
      </c>
      <c r="G247" s="4">
        <f t="shared" si="18"/>
        <v>338.53318200000001</v>
      </c>
      <c r="H247" s="3" t="s">
        <v>130</v>
      </c>
      <c r="I247" s="119"/>
      <c r="J247" s="120"/>
    </row>
    <row r="248" spans="1:15" x14ac:dyDescent="0.35">
      <c r="A248" s="104"/>
      <c r="B248" s="7">
        <v>4</v>
      </c>
      <c r="C248" s="7">
        <v>504</v>
      </c>
      <c r="D248" s="7" t="s">
        <v>75</v>
      </c>
      <c r="E248" s="7">
        <f>((3*3)+(2*1.65)+(0.75*2)+(1*1.4)+(1.2*1)+(1.3*3.1)+(0.9*1.4))*10.764</f>
        <v>233.47116000000003</v>
      </c>
      <c r="F248" s="4">
        <v>0</v>
      </c>
      <c r="G248" s="4">
        <f t="shared" si="18"/>
        <v>338.53318200000001</v>
      </c>
      <c r="H248" s="3" t="s">
        <v>130</v>
      </c>
      <c r="I248" s="119"/>
      <c r="J248" s="120"/>
    </row>
    <row r="249" spans="1:15" x14ac:dyDescent="0.35">
      <c r="A249" s="104"/>
      <c r="B249" s="7">
        <v>5</v>
      </c>
      <c r="C249" s="7">
        <v>505</v>
      </c>
      <c r="D249" s="7" t="s">
        <v>75</v>
      </c>
      <c r="E249" s="7">
        <f t="shared" ref="E249:E256" si="19">((3*3)+(2*1.65)+(0.75*2)+(1*1.4)+(1.4*0.9)+(1.2*1)+(1.3*3.3))*10.764</f>
        <v>236.26979999999998</v>
      </c>
      <c r="F249" s="4">
        <v>0</v>
      </c>
      <c r="G249" s="4">
        <f t="shared" si="18"/>
        <v>342.59120999999993</v>
      </c>
      <c r="H249" s="3" t="s">
        <v>130</v>
      </c>
      <c r="I249" s="119"/>
      <c r="J249" s="120"/>
    </row>
    <row r="250" spans="1:15" x14ac:dyDescent="0.35">
      <c r="A250" s="104"/>
      <c r="B250" s="7">
        <v>6</v>
      </c>
      <c r="C250" s="7">
        <v>506</v>
      </c>
      <c r="D250" s="7" t="s">
        <v>75</v>
      </c>
      <c r="E250" s="7">
        <f t="shared" si="19"/>
        <v>236.26979999999998</v>
      </c>
      <c r="F250" s="4">
        <v>0</v>
      </c>
      <c r="G250" s="4">
        <f t="shared" si="18"/>
        <v>342.59120999999993</v>
      </c>
      <c r="H250" s="3" t="s">
        <v>130</v>
      </c>
      <c r="I250" s="119"/>
      <c r="J250" s="120"/>
    </row>
    <row r="251" spans="1:15" x14ac:dyDescent="0.35">
      <c r="A251" s="104"/>
      <c r="B251" s="7">
        <v>7</v>
      </c>
      <c r="C251" s="7">
        <v>507</v>
      </c>
      <c r="D251" s="7" t="s">
        <v>75</v>
      </c>
      <c r="E251" s="7">
        <f t="shared" si="19"/>
        <v>236.26979999999998</v>
      </c>
      <c r="F251" s="4">
        <v>0</v>
      </c>
      <c r="G251" s="4">
        <f t="shared" si="18"/>
        <v>342.59120999999993</v>
      </c>
      <c r="H251" s="3" t="s">
        <v>130</v>
      </c>
      <c r="I251" s="119"/>
      <c r="J251" s="120"/>
    </row>
    <row r="252" spans="1:15" x14ac:dyDescent="0.35">
      <c r="A252" s="104"/>
      <c r="B252" s="7">
        <v>8</v>
      </c>
      <c r="C252" s="7">
        <v>508</v>
      </c>
      <c r="D252" s="7" t="s">
        <v>75</v>
      </c>
      <c r="E252" s="7">
        <f>((3*3)+(2*1.65)+(0.75*2)+(1*1.4)+(1.4*0.9)+(1.2*1)+(1.3*3.3))*10.764</f>
        <v>236.26979999999998</v>
      </c>
      <c r="F252" s="4">
        <v>0</v>
      </c>
      <c r="G252" s="4">
        <f t="shared" si="18"/>
        <v>342.59120999999993</v>
      </c>
      <c r="H252" s="3" t="s">
        <v>130</v>
      </c>
      <c r="I252" s="119"/>
      <c r="J252" s="120"/>
      <c r="M252">
        <f>((3*3)+(2*1.65)+(0.75*2)+(1*1.4)+(1.4*0.9)+(1.2*1)+(1.3*3.3))</f>
        <v>21.95</v>
      </c>
      <c r="N252">
        <f>3*3+2*1.65+1.1*1.4+1.2*1+1*0.7+1.3*3.3+0.75*2</f>
        <v>21.529999999999998</v>
      </c>
      <c r="O252">
        <f>16.29+4.4</f>
        <v>20.689999999999998</v>
      </c>
    </row>
    <row r="253" spans="1:15" x14ac:dyDescent="0.35">
      <c r="A253" s="104"/>
      <c r="B253" s="7">
        <v>9</v>
      </c>
      <c r="C253" s="7">
        <v>509</v>
      </c>
      <c r="D253" s="7" t="s">
        <v>75</v>
      </c>
      <c r="E253" s="7">
        <f t="shared" si="19"/>
        <v>236.26979999999998</v>
      </c>
      <c r="F253" s="4">
        <v>0</v>
      </c>
      <c r="G253" s="4">
        <f t="shared" si="18"/>
        <v>342.59120999999993</v>
      </c>
      <c r="H253" s="4" t="s">
        <v>130</v>
      </c>
      <c r="I253" s="119"/>
      <c r="J253" s="120"/>
    </row>
    <row r="254" spans="1:15" x14ac:dyDescent="0.35">
      <c r="A254" s="104"/>
      <c r="B254" s="7">
        <v>10</v>
      </c>
      <c r="C254" s="7">
        <v>510</v>
      </c>
      <c r="D254" s="7" t="s">
        <v>75</v>
      </c>
      <c r="E254" s="7">
        <f t="shared" si="19"/>
        <v>236.26979999999998</v>
      </c>
      <c r="F254" s="4">
        <v>0</v>
      </c>
      <c r="G254" s="4">
        <f t="shared" si="18"/>
        <v>342.59120999999993</v>
      </c>
      <c r="H254" s="3" t="s">
        <v>130</v>
      </c>
      <c r="I254" s="119"/>
      <c r="J254" s="120"/>
    </row>
    <row r="255" spans="1:15" x14ac:dyDescent="0.35">
      <c r="A255" s="104"/>
      <c r="B255" s="7">
        <v>11</v>
      </c>
      <c r="C255" s="7">
        <v>511</v>
      </c>
      <c r="D255" s="7" t="s">
        <v>75</v>
      </c>
      <c r="E255" s="7">
        <f t="shared" si="19"/>
        <v>236.26979999999998</v>
      </c>
      <c r="F255" s="4">
        <v>0</v>
      </c>
      <c r="G255" s="4">
        <f t="shared" si="18"/>
        <v>342.59120999999993</v>
      </c>
      <c r="H255" s="3" t="s">
        <v>130</v>
      </c>
      <c r="I255" s="119"/>
      <c r="J255" s="120"/>
    </row>
    <row r="256" spans="1:15" x14ac:dyDescent="0.35">
      <c r="A256" s="104"/>
      <c r="B256" s="7">
        <v>12</v>
      </c>
      <c r="C256" s="7">
        <v>512</v>
      </c>
      <c r="D256" s="7" t="s">
        <v>75</v>
      </c>
      <c r="E256" s="7">
        <f t="shared" si="19"/>
        <v>236.26979999999998</v>
      </c>
      <c r="F256" s="4">
        <v>0</v>
      </c>
      <c r="G256" s="4">
        <f t="shared" si="18"/>
        <v>342.59120999999993</v>
      </c>
      <c r="H256" s="3" t="s">
        <v>130</v>
      </c>
      <c r="I256" s="119"/>
      <c r="J256" s="120"/>
    </row>
    <row r="257" spans="1:12" x14ac:dyDescent="0.35">
      <c r="A257" s="104"/>
      <c r="B257" s="7">
        <v>13</v>
      </c>
      <c r="C257" s="7">
        <v>513</v>
      </c>
      <c r="D257" s="7" t="s">
        <v>75</v>
      </c>
      <c r="E257" s="7">
        <f>((3*3)+(2*1.65)+(0.75*2)+(1*1.4)+(1.4*0.9)+(1.2*1)+(1.3*2.95))*10.764</f>
        <v>231.37217999999999</v>
      </c>
      <c r="F257" s="4">
        <v>0</v>
      </c>
      <c r="G257" s="4">
        <f t="shared" si="18"/>
        <v>335.48966099999996</v>
      </c>
      <c r="H257" s="3" t="s">
        <v>130</v>
      </c>
      <c r="I257" s="119"/>
      <c r="J257" s="120"/>
    </row>
    <row r="258" spans="1:12" x14ac:dyDescent="0.35">
      <c r="A258" s="104"/>
      <c r="B258" s="7">
        <v>14</v>
      </c>
      <c r="C258" s="7">
        <v>514</v>
      </c>
      <c r="D258" s="7" t="s">
        <v>75</v>
      </c>
      <c r="E258" s="7">
        <f>((3*3)+(2*1.65)+(0.75*2)+(1*1.4)+(1.4*0.9)+(1.2*1)+(1.3*2.95))*10.764</f>
        <v>231.37217999999999</v>
      </c>
      <c r="F258" s="4">
        <v>0</v>
      </c>
      <c r="G258" s="4">
        <f t="shared" si="18"/>
        <v>335.48966099999996</v>
      </c>
      <c r="H258" s="3" t="s">
        <v>130</v>
      </c>
      <c r="I258" s="119"/>
      <c r="J258" s="120"/>
    </row>
    <row r="259" spans="1:12" x14ac:dyDescent="0.35">
      <c r="A259" s="104"/>
      <c r="B259" s="7">
        <v>15</v>
      </c>
      <c r="C259" s="7">
        <v>515</v>
      </c>
      <c r="D259" s="7" t="s">
        <v>75</v>
      </c>
      <c r="E259" s="7">
        <f>((3*3)+(2*1.65)+(0.75*2)+(1*1.4)+(1.4*0.9)+(1.2*1)+(1.3*3.1))*10.764</f>
        <v>233.47116</v>
      </c>
      <c r="F259" s="4">
        <v>0</v>
      </c>
      <c r="G259" s="4">
        <f t="shared" si="18"/>
        <v>338.53318200000001</v>
      </c>
      <c r="H259" s="3" t="s">
        <v>130</v>
      </c>
      <c r="I259" s="119"/>
      <c r="J259" s="120"/>
    </row>
    <row r="260" spans="1:12" x14ac:dyDescent="0.35">
      <c r="A260" s="104"/>
      <c r="B260" s="7">
        <v>16</v>
      </c>
      <c r="C260" s="7">
        <v>516</v>
      </c>
      <c r="D260" s="7" t="s">
        <v>75</v>
      </c>
      <c r="E260" s="7">
        <f>((3*3)+(2*1.65)+(0.75*2)+(1*1.4)+(1.4*0.9)+(1.2*1)+(1.3*3.1))*10.764</f>
        <v>233.47116</v>
      </c>
      <c r="F260" s="4">
        <v>0</v>
      </c>
      <c r="G260" s="4">
        <f t="shared" si="18"/>
        <v>338.53318200000001</v>
      </c>
      <c r="H260" s="3" t="s">
        <v>130</v>
      </c>
      <c r="I260" s="119"/>
      <c r="J260" s="120"/>
    </row>
    <row r="261" spans="1:12" x14ac:dyDescent="0.35">
      <c r="A261" s="104"/>
      <c r="B261" s="7">
        <v>17</v>
      </c>
      <c r="C261" s="7">
        <v>517</v>
      </c>
      <c r="D261" s="7" t="s">
        <v>75</v>
      </c>
      <c r="E261" s="7">
        <f>((3*3)+(2*1.65)+(0.75*2)+(1*1.4)+(1.4*0.9)+(1.2*1)+(1.3*3.1))*10.764</f>
        <v>233.47116</v>
      </c>
      <c r="F261" s="4">
        <v>0</v>
      </c>
      <c r="G261" s="4">
        <f t="shared" si="18"/>
        <v>338.53318200000001</v>
      </c>
      <c r="H261" s="3" t="s">
        <v>130</v>
      </c>
      <c r="I261" s="119"/>
      <c r="J261" s="120"/>
    </row>
    <row r="262" spans="1:12" x14ac:dyDescent="0.35">
      <c r="A262" s="104"/>
      <c r="B262" s="7">
        <v>18</v>
      </c>
      <c r="C262" s="7">
        <v>518</v>
      </c>
      <c r="D262" s="7" t="s">
        <v>75</v>
      </c>
      <c r="E262" s="7">
        <f>((3*3)+(2*1.65)+(0.75*2)+(1*1.4)+(1.4*0.9)+(1.2*1)+(1.3*3.1))*10.764</f>
        <v>233.47116</v>
      </c>
      <c r="F262" s="4">
        <v>0</v>
      </c>
      <c r="G262" s="4">
        <f t="shared" si="18"/>
        <v>338.53318200000001</v>
      </c>
      <c r="H262" s="3" t="s">
        <v>130</v>
      </c>
      <c r="I262" s="121"/>
      <c r="J262" s="122"/>
      <c r="K262">
        <f>18*4</f>
        <v>72</v>
      </c>
    </row>
    <row r="263" spans="1:12" x14ac:dyDescent="0.35">
      <c r="A263" s="105" t="s">
        <v>181</v>
      </c>
      <c r="B263" s="106"/>
      <c r="C263" s="106"/>
      <c r="D263" s="106"/>
      <c r="E263" s="106"/>
      <c r="F263" s="106"/>
      <c r="G263" s="106"/>
      <c r="H263" s="106"/>
      <c r="I263" s="106"/>
      <c r="J263" s="107"/>
    </row>
    <row r="264" spans="1:12" x14ac:dyDescent="0.35">
      <c r="A264" s="123" t="s">
        <v>175</v>
      </c>
      <c r="B264" s="123"/>
      <c r="C264" s="123"/>
      <c r="D264" s="123"/>
      <c r="E264" s="123"/>
      <c r="F264" s="123"/>
      <c r="G264" s="123"/>
      <c r="H264" s="123"/>
      <c r="I264" s="123"/>
      <c r="J264" s="123"/>
      <c r="L264" s="61">
        <f>10.764</f>
        <v>10.763999999999999</v>
      </c>
    </row>
    <row r="265" spans="1:12" s="10" customFormat="1" ht="15.75" customHeight="1" x14ac:dyDescent="0.35">
      <c r="A265" s="124"/>
      <c r="B265" s="7">
        <v>1</v>
      </c>
      <c r="C265" s="7">
        <v>1</v>
      </c>
      <c r="D265" s="7" t="s">
        <v>176</v>
      </c>
      <c r="E265" s="7">
        <f>8.1*10.764</f>
        <v>87.188399999999987</v>
      </c>
      <c r="F265" s="61">
        <f>(4.05)*(10.764)</f>
        <v>43.594199999999994</v>
      </c>
      <c r="G265" s="4">
        <f>E265*1.55+F265</f>
        <v>178.73621999999997</v>
      </c>
      <c r="H265" s="4" t="s">
        <v>130</v>
      </c>
      <c r="I265" s="117" t="s">
        <v>177</v>
      </c>
      <c r="J265" s="118"/>
    </row>
    <row r="266" spans="1:12" s="10" customFormat="1" x14ac:dyDescent="0.35">
      <c r="A266" s="125"/>
      <c r="B266" s="7">
        <v>2</v>
      </c>
      <c r="C266" s="7">
        <v>2</v>
      </c>
      <c r="D266" s="7" t="s">
        <v>176</v>
      </c>
      <c r="E266" s="7">
        <f>16.97*10.764</f>
        <v>182.66507999999999</v>
      </c>
      <c r="F266" s="61">
        <f>(4.72)*(10.764)</f>
        <v>50.806079999999994</v>
      </c>
      <c r="G266" s="4">
        <f t="shared" ref="G266:G276" si="20">E266*1.55+F266</f>
        <v>333.93695400000001</v>
      </c>
      <c r="H266" s="4" t="s">
        <v>130</v>
      </c>
      <c r="I266" s="119"/>
      <c r="J266" s="120"/>
    </row>
    <row r="267" spans="1:12" s="10" customFormat="1" x14ac:dyDescent="0.35">
      <c r="A267" s="125"/>
      <c r="B267" s="7">
        <v>3</v>
      </c>
      <c r="C267" s="7">
        <v>3</v>
      </c>
      <c r="D267" s="7" t="s">
        <v>176</v>
      </c>
      <c r="E267" s="7">
        <f>19.74*10.764</f>
        <v>212.48135999999997</v>
      </c>
      <c r="F267" s="61">
        <f>(7.76)*(10.764)</f>
        <v>83.528639999999996</v>
      </c>
      <c r="G267" s="4">
        <f t="shared" si="20"/>
        <v>412.87474799999995</v>
      </c>
      <c r="H267" s="4" t="s">
        <v>130</v>
      </c>
      <c r="I267" s="119"/>
      <c r="J267" s="120"/>
    </row>
    <row r="268" spans="1:12" x14ac:dyDescent="0.35">
      <c r="A268" s="125"/>
      <c r="B268" s="27">
        <v>4</v>
      </c>
      <c r="C268" s="27">
        <v>4</v>
      </c>
      <c r="D268" s="27" t="s">
        <v>176</v>
      </c>
      <c r="E268" s="27">
        <f>8.1*10.764</f>
        <v>87.188399999999987</v>
      </c>
      <c r="F268" s="61">
        <f>(4.05)*(10.764)</f>
        <v>43.594199999999994</v>
      </c>
      <c r="G268" s="4">
        <f t="shared" si="20"/>
        <v>178.73621999999997</v>
      </c>
      <c r="H268" s="3" t="s">
        <v>130</v>
      </c>
      <c r="I268" s="119"/>
      <c r="J268" s="120"/>
    </row>
    <row r="269" spans="1:12" x14ac:dyDescent="0.35">
      <c r="A269" s="125"/>
      <c r="B269" s="7">
        <v>5</v>
      </c>
      <c r="C269" s="7">
        <v>5</v>
      </c>
      <c r="D269" s="7" t="s">
        <v>176</v>
      </c>
      <c r="E269" s="7">
        <f>8.1*10.764</f>
        <v>87.188399999999987</v>
      </c>
      <c r="F269" s="61">
        <f>(4.05)*(10.764)</f>
        <v>43.594199999999994</v>
      </c>
      <c r="G269" s="4">
        <f t="shared" si="20"/>
        <v>178.73621999999997</v>
      </c>
      <c r="H269" s="4" t="s">
        <v>130</v>
      </c>
      <c r="I269" s="119"/>
      <c r="J269" s="120"/>
    </row>
    <row r="270" spans="1:12" x14ac:dyDescent="0.35">
      <c r="A270" s="125"/>
      <c r="B270" s="7">
        <v>6</v>
      </c>
      <c r="C270" s="7">
        <v>6</v>
      </c>
      <c r="D270" s="7" t="s">
        <v>176</v>
      </c>
      <c r="E270" s="7">
        <f>19.74*10.764</f>
        <v>212.48135999999997</v>
      </c>
      <c r="F270" s="61">
        <f>(7.76)*(10.764)</f>
        <v>83.528639999999996</v>
      </c>
      <c r="G270" s="4">
        <f t="shared" si="20"/>
        <v>412.87474799999995</v>
      </c>
      <c r="H270" s="3" t="s">
        <v>130</v>
      </c>
      <c r="I270" s="119"/>
      <c r="J270" s="120"/>
    </row>
    <row r="271" spans="1:12" x14ac:dyDescent="0.35">
      <c r="A271" s="125"/>
      <c r="B271" s="7">
        <v>7</v>
      </c>
      <c r="C271" s="7">
        <v>7</v>
      </c>
      <c r="D271" s="7" t="s">
        <v>176</v>
      </c>
      <c r="E271" s="7">
        <f>19.74*10.764</f>
        <v>212.48135999999997</v>
      </c>
      <c r="F271" s="61">
        <f>(7.76)*(10.764)</f>
        <v>83.528639999999996</v>
      </c>
      <c r="G271" s="4">
        <f t="shared" si="20"/>
        <v>412.87474799999995</v>
      </c>
      <c r="H271" s="3" t="s">
        <v>130</v>
      </c>
      <c r="I271" s="119"/>
      <c r="J271" s="120"/>
      <c r="L271">
        <f>G271/E271</f>
        <v>1.9431104356636273</v>
      </c>
    </row>
    <row r="272" spans="1:12" x14ac:dyDescent="0.35">
      <c r="A272" s="125"/>
      <c r="B272" s="7">
        <v>8</v>
      </c>
      <c r="C272" s="7">
        <v>8</v>
      </c>
      <c r="D272" s="7" t="s">
        <v>176</v>
      </c>
      <c r="E272" s="7">
        <f>8.1*10.764</f>
        <v>87.188399999999987</v>
      </c>
      <c r="F272" s="61">
        <f>(4.05)*(10.764)</f>
        <v>43.594199999999994</v>
      </c>
      <c r="G272" s="4">
        <f t="shared" si="20"/>
        <v>178.73621999999997</v>
      </c>
      <c r="H272" s="3" t="s">
        <v>130</v>
      </c>
      <c r="I272" s="119"/>
      <c r="J272" s="120"/>
    </row>
    <row r="273" spans="1:12" x14ac:dyDescent="0.35">
      <c r="A273" s="125"/>
      <c r="B273" s="7">
        <v>9</v>
      </c>
      <c r="C273" s="7">
        <v>9</v>
      </c>
      <c r="D273" s="7" t="s">
        <v>176</v>
      </c>
      <c r="E273" s="7">
        <f>8.1*10.764</f>
        <v>87.188399999999987</v>
      </c>
      <c r="F273" s="61">
        <f>(4.05)*(10.764)</f>
        <v>43.594199999999994</v>
      </c>
      <c r="G273" s="4">
        <f t="shared" si="20"/>
        <v>178.73621999999997</v>
      </c>
      <c r="H273" s="3" t="s">
        <v>130</v>
      </c>
      <c r="I273" s="119"/>
      <c r="J273" s="120"/>
    </row>
    <row r="274" spans="1:12" x14ac:dyDescent="0.35">
      <c r="A274" s="125"/>
      <c r="B274" s="7">
        <v>10</v>
      </c>
      <c r="C274" s="7">
        <v>10</v>
      </c>
      <c r="D274" s="7" t="s">
        <v>176</v>
      </c>
      <c r="E274" s="7">
        <f>19.74*10.764</f>
        <v>212.48135999999997</v>
      </c>
      <c r="F274" s="61">
        <f>(7.76)*(10.764)</f>
        <v>83.528639999999996</v>
      </c>
      <c r="G274" s="4">
        <f t="shared" si="20"/>
        <v>412.87474799999995</v>
      </c>
      <c r="H274" s="3" t="s">
        <v>130</v>
      </c>
      <c r="I274" s="119"/>
      <c r="J274" s="120"/>
    </row>
    <row r="275" spans="1:12" x14ac:dyDescent="0.35">
      <c r="A275" s="125"/>
      <c r="B275" s="7">
        <v>11</v>
      </c>
      <c r="C275" s="7">
        <v>11</v>
      </c>
      <c r="D275" s="7" t="s">
        <v>176</v>
      </c>
      <c r="E275" s="7">
        <f>16.97*10.764</f>
        <v>182.66507999999999</v>
      </c>
      <c r="F275" s="61">
        <f>(4.72)*(10.764)</f>
        <v>50.806079999999994</v>
      </c>
      <c r="G275" s="4">
        <f t="shared" si="20"/>
        <v>333.93695400000001</v>
      </c>
      <c r="H275" s="3" t="s">
        <v>130</v>
      </c>
      <c r="I275" s="119"/>
      <c r="J275" s="120"/>
    </row>
    <row r="276" spans="1:12" x14ac:dyDescent="0.35">
      <c r="A276" s="126"/>
      <c r="B276" s="7">
        <v>12</v>
      </c>
      <c r="C276" s="7">
        <v>12</v>
      </c>
      <c r="D276" s="7" t="s">
        <v>176</v>
      </c>
      <c r="E276" s="7">
        <f>8.1*10.764</f>
        <v>87.188399999999987</v>
      </c>
      <c r="F276" s="61">
        <f>(4.05)*(10.764)</f>
        <v>43.594199999999994</v>
      </c>
      <c r="G276" s="4">
        <f t="shared" si="20"/>
        <v>178.73621999999997</v>
      </c>
      <c r="H276" s="3" t="s">
        <v>130</v>
      </c>
      <c r="I276" s="119"/>
      <c r="J276" s="120"/>
    </row>
    <row r="277" spans="1:12" ht="15" x14ac:dyDescent="0.35">
      <c r="A277" s="57"/>
      <c r="B277" s="7">
        <v>1</v>
      </c>
      <c r="C277" s="7">
        <v>1</v>
      </c>
      <c r="D277" s="7" t="s">
        <v>179</v>
      </c>
      <c r="E277" s="7">
        <f>(24.53+6.03+1.5*0.75)*10.764</f>
        <v>341.05734000000001</v>
      </c>
      <c r="F277" s="7">
        <v>0</v>
      </c>
      <c r="G277" s="4">
        <f t="shared" ref="G277:G282" si="21">E277*1.45+F277</f>
        <v>494.533143</v>
      </c>
      <c r="H277" s="3" t="s">
        <v>130</v>
      </c>
      <c r="I277" s="119"/>
      <c r="J277" s="120"/>
      <c r="L277" s="59"/>
    </row>
    <row r="278" spans="1:12" ht="15" x14ac:dyDescent="0.35">
      <c r="A278" s="57"/>
      <c r="B278" s="7">
        <v>2</v>
      </c>
      <c r="C278" s="7">
        <v>2</v>
      </c>
      <c r="D278" s="7" t="s">
        <v>179</v>
      </c>
      <c r="E278" s="7">
        <f>(23.86+6.03)*10.764</f>
        <v>321.73595999999998</v>
      </c>
      <c r="F278" s="7">
        <v>0</v>
      </c>
      <c r="G278" s="4">
        <f t="shared" si="21"/>
        <v>466.51714199999998</v>
      </c>
      <c r="H278" s="3" t="s">
        <v>130</v>
      </c>
      <c r="I278" s="119"/>
      <c r="J278" s="120"/>
    </row>
    <row r="279" spans="1:12" ht="15" x14ac:dyDescent="0.35">
      <c r="A279" s="57"/>
      <c r="B279" s="7">
        <v>3</v>
      </c>
      <c r="C279" s="7">
        <v>3</v>
      </c>
      <c r="D279" s="7" t="s">
        <v>179</v>
      </c>
      <c r="E279" s="7">
        <f>(23.86+6.03+1.5*0.75)*10.764</f>
        <v>333.84546</v>
      </c>
      <c r="F279" s="7">
        <v>0</v>
      </c>
      <c r="G279" s="4">
        <f t="shared" si="21"/>
        <v>484.075917</v>
      </c>
      <c r="H279" s="3" t="s">
        <v>130</v>
      </c>
      <c r="I279" s="119"/>
      <c r="J279" s="120"/>
    </row>
    <row r="280" spans="1:12" ht="15" x14ac:dyDescent="0.35">
      <c r="A280" s="57"/>
      <c r="B280" s="7">
        <v>4</v>
      </c>
      <c r="C280" s="7">
        <v>4</v>
      </c>
      <c r="D280" s="7" t="s">
        <v>179</v>
      </c>
      <c r="E280" s="7">
        <f>(24.53+6.03+1.5*0.75)*10.764</f>
        <v>341.05734000000001</v>
      </c>
      <c r="F280" s="7">
        <v>0</v>
      </c>
      <c r="G280" s="4">
        <f t="shared" si="21"/>
        <v>494.533143</v>
      </c>
      <c r="H280" s="3" t="s">
        <v>130</v>
      </c>
      <c r="I280" s="119"/>
      <c r="J280" s="120"/>
    </row>
    <row r="281" spans="1:12" ht="15" x14ac:dyDescent="0.35">
      <c r="A281" s="57"/>
      <c r="B281" s="7">
        <v>5</v>
      </c>
      <c r="C281" s="7">
        <v>5</v>
      </c>
      <c r="D281" s="7" t="s">
        <v>179</v>
      </c>
      <c r="E281" s="7">
        <f>(24.53+6.03+1.5*0.75)*10.764</f>
        <v>341.05734000000001</v>
      </c>
      <c r="F281" s="7">
        <v>0</v>
      </c>
      <c r="G281" s="4">
        <f t="shared" si="21"/>
        <v>494.533143</v>
      </c>
      <c r="H281" s="3" t="s">
        <v>130</v>
      </c>
      <c r="I281" s="119"/>
      <c r="J281" s="120"/>
    </row>
    <row r="282" spans="1:12" ht="15" x14ac:dyDescent="0.35">
      <c r="A282" s="57"/>
      <c r="B282" s="7">
        <v>6</v>
      </c>
      <c r="C282" s="7">
        <v>6</v>
      </c>
      <c r="D282" s="7" t="s">
        <v>179</v>
      </c>
      <c r="E282" s="7">
        <f>(24.53+6.03+1.5*0.75)*10.764</f>
        <v>341.05734000000001</v>
      </c>
      <c r="F282" s="7">
        <v>0</v>
      </c>
      <c r="G282" s="4">
        <f t="shared" si="21"/>
        <v>494.533143</v>
      </c>
      <c r="H282" s="3" t="s">
        <v>130</v>
      </c>
      <c r="I282" s="121"/>
      <c r="J282" s="122"/>
    </row>
    <row r="283" spans="1:12" x14ac:dyDescent="0.35">
      <c r="A283" s="95" t="s">
        <v>178</v>
      </c>
      <c r="B283" s="95"/>
      <c r="C283" s="95"/>
      <c r="D283" s="95"/>
      <c r="E283" s="95"/>
      <c r="F283" s="95"/>
      <c r="G283" s="95"/>
      <c r="H283" s="95"/>
      <c r="I283" s="95"/>
      <c r="J283" s="95"/>
    </row>
    <row r="284" spans="1:12" x14ac:dyDescent="0.35">
      <c r="A284" s="124"/>
      <c r="B284" s="7">
        <v>1</v>
      </c>
      <c r="C284" s="7">
        <v>101</v>
      </c>
      <c r="D284" s="7" t="s">
        <v>179</v>
      </c>
      <c r="E284" s="7">
        <f>(23.86+6.03)*10.764</f>
        <v>321.73595999999998</v>
      </c>
      <c r="F284" s="7">
        <v>0</v>
      </c>
      <c r="G284" s="4">
        <f t="shared" ref="G284:G295" si="22">E284*1.45+F284</f>
        <v>466.51714199999998</v>
      </c>
      <c r="H284" s="3" t="s">
        <v>130</v>
      </c>
      <c r="I284" s="117" t="str">
        <f>A283</f>
        <v xml:space="preserve">1st Floor </v>
      </c>
      <c r="J284" s="118"/>
    </row>
    <row r="285" spans="1:12" x14ac:dyDescent="0.35">
      <c r="A285" s="125"/>
      <c r="B285" s="7">
        <v>2</v>
      </c>
      <c r="C285" s="7">
        <v>102</v>
      </c>
      <c r="D285" s="7" t="s">
        <v>179</v>
      </c>
      <c r="E285" s="7">
        <f>(23.86+6.03)*10.764</f>
        <v>321.73595999999998</v>
      </c>
      <c r="F285" s="7">
        <f>(2.3*1.65)*10.764</f>
        <v>40.849379999999989</v>
      </c>
      <c r="G285" s="4">
        <f t="shared" si="22"/>
        <v>507.36652199999997</v>
      </c>
      <c r="H285" s="3" t="s">
        <v>130</v>
      </c>
      <c r="I285" s="119"/>
      <c r="J285" s="120"/>
    </row>
    <row r="286" spans="1:12" x14ac:dyDescent="0.35">
      <c r="A286" s="125"/>
      <c r="B286" s="7">
        <v>3</v>
      </c>
      <c r="C286" s="7">
        <v>103</v>
      </c>
      <c r="D286" s="7" t="s">
        <v>179</v>
      </c>
      <c r="E286" s="7">
        <f>(23.86+6.03)*10.764</f>
        <v>321.73595999999998</v>
      </c>
      <c r="F286" s="7">
        <f>(2.3*1.65)*10.764</f>
        <v>40.849379999999989</v>
      </c>
      <c r="G286" s="4">
        <f t="shared" si="22"/>
        <v>507.36652199999997</v>
      </c>
      <c r="H286" s="3" t="s">
        <v>130</v>
      </c>
      <c r="I286" s="119"/>
      <c r="J286" s="120"/>
    </row>
    <row r="287" spans="1:12" x14ac:dyDescent="0.35">
      <c r="A287" s="125"/>
      <c r="B287" s="7">
        <v>4</v>
      </c>
      <c r="C287" s="7">
        <v>104</v>
      </c>
      <c r="D287" s="7" t="s">
        <v>179</v>
      </c>
      <c r="E287" s="7">
        <f>(23.86+6.03)*10.764</f>
        <v>321.73595999999998</v>
      </c>
      <c r="F287" s="7">
        <f>(2.3*1.65)*10.764</f>
        <v>40.849379999999989</v>
      </c>
      <c r="G287" s="4">
        <f t="shared" si="22"/>
        <v>507.36652199999997</v>
      </c>
      <c r="H287" s="4" t="s">
        <v>130</v>
      </c>
      <c r="I287" s="119"/>
      <c r="J287" s="120"/>
    </row>
    <row r="288" spans="1:12" x14ac:dyDescent="0.35">
      <c r="A288" s="125"/>
      <c r="B288" s="7">
        <v>5</v>
      </c>
      <c r="C288" s="7">
        <v>105</v>
      </c>
      <c r="D288" s="7" t="s">
        <v>179</v>
      </c>
      <c r="E288" s="7">
        <f>(24.53+6.03)*10.764</f>
        <v>328.94783999999999</v>
      </c>
      <c r="F288" s="7">
        <f>(2.3*1.65)*10.764</f>
        <v>40.849379999999989</v>
      </c>
      <c r="G288" s="4">
        <f t="shared" si="22"/>
        <v>517.82374799999991</v>
      </c>
      <c r="H288" s="4" t="s">
        <v>130</v>
      </c>
      <c r="I288" s="119"/>
      <c r="J288" s="120"/>
    </row>
    <row r="289" spans="1:11" x14ac:dyDescent="0.35">
      <c r="A289" s="125"/>
      <c r="B289" s="7">
        <v>6</v>
      </c>
      <c r="C289" s="7">
        <v>106</v>
      </c>
      <c r="D289" s="7" t="s">
        <v>179</v>
      </c>
      <c r="E289" s="7">
        <f t="shared" ref="E289:E295" si="23">(24.53+6.03)*10.764</f>
        <v>328.94783999999999</v>
      </c>
      <c r="F289" s="7">
        <f>3.8*10.764</f>
        <v>40.903199999999998</v>
      </c>
      <c r="G289" s="4">
        <f t="shared" si="22"/>
        <v>517.877568</v>
      </c>
      <c r="H289" s="3" t="s">
        <v>130</v>
      </c>
      <c r="I289" s="119"/>
      <c r="J289" s="120"/>
    </row>
    <row r="290" spans="1:11" x14ac:dyDescent="0.35">
      <c r="A290" s="125"/>
      <c r="B290" s="7">
        <v>7</v>
      </c>
      <c r="C290" s="7">
        <v>107</v>
      </c>
      <c r="D290" s="7" t="s">
        <v>179</v>
      </c>
      <c r="E290" s="7">
        <f t="shared" si="23"/>
        <v>328.94783999999999</v>
      </c>
      <c r="F290" s="7">
        <v>0</v>
      </c>
      <c r="G290" s="4">
        <f t="shared" si="22"/>
        <v>476.97436799999997</v>
      </c>
      <c r="H290" s="3" t="s">
        <v>130</v>
      </c>
      <c r="I290" s="119"/>
      <c r="J290" s="120"/>
    </row>
    <row r="291" spans="1:11" x14ac:dyDescent="0.35">
      <c r="A291" s="125"/>
      <c r="B291" s="7">
        <v>8</v>
      </c>
      <c r="C291" s="7">
        <v>108</v>
      </c>
      <c r="D291" s="7" t="s">
        <v>179</v>
      </c>
      <c r="E291" s="7">
        <f t="shared" si="23"/>
        <v>328.94783999999999</v>
      </c>
      <c r="F291" s="7">
        <v>0</v>
      </c>
      <c r="G291" s="4">
        <f t="shared" si="22"/>
        <v>476.97436799999997</v>
      </c>
      <c r="H291" s="3" t="s">
        <v>130</v>
      </c>
      <c r="I291" s="119"/>
      <c r="J291" s="120"/>
    </row>
    <row r="292" spans="1:11" x14ac:dyDescent="0.35">
      <c r="A292" s="125"/>
      <c r="B292" s="7">
        <v>9</v>
      </c>
      <c r="C292" s="7">
        <v>109</v>
      </c>
      <c r="D292" s="7" t="s">
        <v>179</v>
      </c>
      <c r="E292" s="7">
        <f t="shared" si="23"/>
        <v>328.94783999999999</v>
      </c>
      <c r="F292" s="7">
        <v>0</v>
      </c>
      <c r="G292" s="4">
        <f t="shared" si="22"/>
        <v>476.97436799999997</v>
      </c>
      <c r="H292" s="3" t="s">
        <v>130</v>
      </c>
      <c r="I292" s="119"/>
      <c r="J292" s="120"/>
    </row>
    <row r="293" spans="1:11" x14ac:dyDescent="0.35">
      <c r="A293" s="125"/>
      <c r="B293" s="7">
        <v>10</v>
      </c>
      <c r="C293" s="7">
        <v>110</v>
      </c>
      <c r="D293" s="7" t="s">
        <v>179</v>
      </c>
      <c r="E293" s="7">
        <f t="shared" si="23"/>
        <v>328.94783999999999</v>
      </c>
      <c r="F293" s="7">
        <v>0</v>
      </c>
      <c r="G293" s="4">
        <f t="shared" si="22"/>
        <v>476.97436799999997</v>
      </c>
      <c r="H293" s="3" t="s">
        <v>130</v>
      </c>
      <c r="I293" s="119"/>
      <c r="J293" s="120"/>
    </row>
    <row r="294" spans="1:11" x14ac:dyDescent="0.35">
      <c r="A294" s="125"/>
      <c r="B294" s="7">
        <v>11</v>
      </c>
      <c r="C294" s="7">
        <v>111</v>
      </c>
      <c r="D294" s="7" t="s">
        <v>179</v>
      </c>
      <c r="E294" s="7">
        <f t="shared" si="23"/>
        <v>328.94783999999999</v>
      </c>
      <c r="F294" s="7">
        <v>0</v>
      </c>
      <c r="G294" s="4">
        <f t="shared" si="22"/>
        <v>476.97436799999997</v>
      </c>
      <c r="H294" s="3" t="s">
        <v>130</v>
      </c>
      <c r="I294" s="119"/>
      <c r="J294" s="120"/>
    </row>
    <row r="295" spans="1:11" x14ac:dyDescent="0.35">
      <c r="A295" s="126"/>
      <c r="B295" s="7">
        <v>12</v>
      </c>
      <c r="C295" s="7">
        <v>112</v>
      </c>
      <c r="D295" s="7" t="s">
        <v>179</v>
      </c>
      <c r="E295" s="7">
        <f t="shared" si="23"/>
        <v>328.94783999999999</v>
      </c>
      <c r="F295" s="7">
        <v>0</v>
      </c>
      <c r="G295" s="4">
        <f t="shared" si="22"/>
        <v>476.97436799999997</v>
      </c>
      <c r="H295" s="3" t="s">
        <v>130</v>
      </c>
      <c r="I295" s="121"/>
      <c r="J295" s="122"/>
      <c r="K295">
        <v>12</v>
      </c>
    </row>
    <row r="296" spans="1:11" x14ac:dyDescent="0.35">
      <c r="A296" s="95" t="s">
        <v>180</v>
      </c>
      <c r="B296" s="95"/>
      <c r="C296" s="95"/>
      <c r="D296" s="95"/>
      <c r="E296" s="95"/>
      <c r="F296" s="95"/>
      <c r="G296" s="95"/>
      <c r="H296" s="95"/>
      <c r="I296" s="95"/>
      <c r="J296" s="95"/>
    </row>
    <row r="297" spans="1:11" x14ac:dyDescent="0.35">
      <c r="A297" s="124"/>
      <c r="B297" s="7">
        <v>1</v>
      </c>
      <c r="C297" s="7">
        <v>201</v>
      </c>
      <c r="D297" s="7" t="s">
        <v>179</v>
      </c>
      <c r="E297" s="7">
        <f>(23.86+6.03+1.5*0.75)*10.764</f>
        <v>333.84546</v>
      </c>
      <c r="F297" s="7">
        <v>0</v>
      </c>
      <c r="G297" s="4">
        <f t="shared" ref="G297:G334" si="24">E297*1.45+F297</f>
        <v>484.075917</v>
      </c>
      <c r="H297" s="3" t="s">
        <v>130</v>
      </c>
      <c r="I297" s="117" t="str">
        <f>A296</f>
        <v xml:space="preserve">2nd Floor </v>
      </c>
      <c r="J297" s="118"/>
    </row>
    <row r="298" spans="1:11" x14ac:dyDescent="0.35">
      <c r="A298" s="125"/>
      <c r="B298" s="7">
        <v>2</v>
      </c>
      <c r="C298" s="7">
        <v>202</v>
      </c>
      <c r="D298" s="7" t="s">
        <v>179</v>
      </c>
      <c r="E298" s="7">
        <f>(23.86+6.03+1.5*0.75)*10.764</f>
        <v>333.84546</v>
      </c>
      <c r="F298" s="7">
        <v>0</v>
      </c>
      <c r="G298" s="4">
        <f t="shared" si="24"/>
        <v>484.075917</v>
      </c>
      <c r="H298" s="3" t="s">
        <v>130</v>
      </c>
      <c r="I298" s="119"/>
      <c r="J298" s="120"/>
    </row>
    <row r="299" spans="1:11" x14ac:dyDescent="0.35">
      <c r="A299" s="125"/>
      <c r="B299" s="7">
        <v>3</v>
      </c>
      <c r="C299" s="7">
        <v>203</v>
      </c>
      <c r="D299" s="7" t="s">
        <v>179</v>
      </c>
      <c r="E299" s="7">
        <f>(23.86+6.03+1.5*0.75)*10.764</f>
        <v>333.84546</v>
      </c>
      <c r="F299" s="7">
        <v>0</v>
      </c>
      <c r="G299" s="4">
        <f t="shared" si="24"/>
        <v>484.075917</v>
      </c>
      <c r="H299" s="3" t="s">
        <v>130</v>
      </c>
      <c r="I299" s="119"/>
      <c r="J299" s="120"/>
    </row>
    <row r="300" spans="1:11" x14ac:dyDescent="0.35">
      <c r="A300" s="125"/>
      <c r="B300" s="7">
        <v>4</v>
      </c>
      <c r="C300" s="7">
        <v>204</v>
      </c>
      <c r="D300" s="7" t="s">
        <v>179</v>
      </c>
      <c r="E300" s="7">
        <f>(23.86+6.03+1.5*0.75)*10.764</f>
        <v>333.84546</v>
      </c>
      <c r="F300" s="7">
        <v>0</v>
      </c>
      <c r="G300" s="4">
        <f t="shared" si="24"/>
        <v>484.075917</v>
      </c>
      <c r="H300" s="3" t="s">
        <v>130</v>
      </c>
      <c r="I300" s="119"/>
      <c r="J300" s="120"/>
    </row>
    <row r="301" spans="1:11" x14ac:dyDescent="0.35">
      <c r="A301" s="125"/>
      <c r="B301" s="7">
        <v>5</v>
      </c>
      <c r="C301" s="7">
        <v>205</v>
      </c>
      <c r="D301" s="7" t="s">
        <v>179</v>
      </c>
      <c r="E301" s="7">
        <f>(24.53+6.03+1.5*0.75)*10.764</f>
        <v>341.05734000000001</v>
      </c>
      <c r="F301" s="7">
        <v>0</v>
      </c>
      <c r="G301" s="4">
        <f t="shared" si="24"/>
        <v>494.533143</v>
      </c>
      <c r="H301" s="3" t="s">
        <v>130</v>
      </c>
      <c r="I301" s="119"/>
      <c r="J301" s="120"/>
    </row>
    <row r="302" spans="1:11" x14ac:dyDescent="0.35">
      <c r="A302" s="125"/>
      <c r="B302" s="7">
        <v>6</v>
      </c>
      <c r="C302" s="7">
        <v>206</v>
      </c>
      <c r="D302" s="7" t="s">
        <v>179</v>
      </c>
      <c r="E302" s="7">
        <f>(24.53+6.03+1.5*0.75)*10.764</f>
        <v>341.05734000000001</v>
      </c>
      <c r="F302" s="7">
        <v>0</v>
      </c>
      <c r="G302" s="4">
        <f t="shared" si="24"/>
        <v>494.533143</v>
      </c>
      <c r="H302" s="3" t="s">
        <v>130</v>
      </c>
      <c r="I302" s="119"/>
      <c r="J302" s="120"/>
    </row>
    <row r="303" spans="1:11" x14ac:dyDescent="0.35">
      <c r="A303" s="125"/>
      <c r="B303" s="7">
        <v>7</v>
      </c>
      <c r="C303" s="7">
        <v>207</v>
      </c>
      <c r="D303" s="7" t="s">
        <v>179</v>
      </c>
      <c r="E303" s="7">
        <f>(24.53+6.03+1.5*0.75)*10.764</f>
        <v>341.05734000000001</v>
      </c>
      <c r="F303" s="7">
        <v>0</v>
      </c>
      <c r="G303" s="4">
        <f t="shared" si="24"/>
        <v>494.533143</v>
      </c>
      <c r="H303" s="3" t="s">
        <v>130</v>
      </c>
      <c r="I303" s="119"/>
      <c r="J303" s="120"/>
    </row>
    <row r="304" spans="1:11" x14ac:dyDescent="0.35">
      <c r="A304" s="125"/>
      <c r="B304" s="7">
        <v>8</v>
      </c>
      <c r="C304" s="7">
        <v>208</v>
      </c>
      <c r="D304" s="7" t="s">
        <v>179</v>
      </c>
      <c r="E304" s="7">
        <f>(23.86+6.03+1.5*0.75)*10.764</f>
        <v>333.84546</v>
      </c>
      <c r="F304" s="7">
        <v>0</v>
      </c>
      <c r="G304" s="4">
        <f t="shared" si="24"/>
        <v>484.075917</v>
      </c>
      <c r="H304" s="3" t="s">
        <v>130</v>
      </c>
      <c r="I304" s="119"/>
      <c r="J304" s="120"/>
    </row>
    <row r="305" spans="1:14" x14ac:dyDescent="0.35">
      <c r="A305" s="125"/>
      <c r="B305" s="7">
        <v>9</v>
      </c>
      <c r="C305" s="7">
        <v>209</v>
      </c>
      <c r="D305" s="7" t="s">
        <v>179</v>
      </c>
      <c r="E305" s="7">
        <f>(23.86+6.03+1.5*0.75)*10.764</f>
        <v>333.84546</v>
      </c>
      <c r="F305" s="7">
        <v>0</v>
      </c>
      <c r="G305" s="4">
        <f t="shared" si="24"/>
        <v>484.075917</v>
      </c>
      <c r="H305" s="3" t="s">
        <v>130</v>
      </c>
      <c r="I305" s="119"/>
      <c r="J305" s="120"/>
      <c r="N305" s="58"/>
    </row>
    <row r="306" spans="1:14" x14ac:dyDescent="0.35">
      <c r="A306" s="125"/>
      <c r="B306" s="7">
        <v>10</v>
      </c>
      <c r="C306" s="7">
        <v>210</v>
      </c>
      <c r="D306" s="7" t="s">
        <v>179</v>
      </c>
      <c r="E306" s="7">
        <f>(24.53+6.03+1.5*0.75)*10.764</f>
        <v>341.05734000000001</v>
      </c>
      <c r="F306" s="7">
        <v>0</v>
      </c>
      <c r="G306" s="4">
        <f t="shared" si="24"/>
        <v>494.533143</v>
      </c>
      <c r="H306" s="3" t="s">
        <v>130</v>
      </c>
      <c r="I306" s="119"/>
      <c r="J306" s="120"/>
    </row>
    <row r="307" spans="1:14" x14ac:dyDescent="0.35">
      <c r="A307" s="125"/>
      <c r="B307" s="7">
        <v>11</v>
      </c>
      <c r="C307" s="7">
        <v>211</v>
      </c>
      <c r="D307" s="7" t="s">
        <v>179</v>
      </c>
      <c r="E307" s="7">
        <f>(24.53+6.03+1.5*0.75)*10.764</f>
        <v>341.05734000000001</v>
      </c>
      <c r="F307" s="7">
        <v>0</v>
      </c>
      <c r="G307" s="4">
        <f t="shared" si="24"/>
        <v>494.533143</v>
      </c>
      <c r="H307" s="3" t="s">
        <v>130</v>
      </c>
      <c r="I307" s="119"/>
      <c r="J307" s="120"/>
      <c r="K307">
        <v>12</v>
      </c>
    </row>
    <row r="308" spans="1:14" x14ac:dyDescent="0.35">
      <c r="A308" s="126"/>
      <c r="B308" s="7">
        <v>12</v>
      </c>
      <c r="C308" s="7">
        <v>212</v>
      </c>
      <c r="D308" s="7" t="s">
        <v>179</v>
      </c>
      <c r="E308" s="7">
        <f>(24.53+6.03+1.5*0.75)*10.764</f>
        <v>341.05734000000001</v>
      </c>
      <c r="F308" s="7">
        <v>0</v>
      </c>
      <c r="G308" s="4">
        <f t="shared" si="24"/>
        <v>494.533143</v>
      </c>
      <c r="H308" s="3" t="s">
        <v>130</v>
      </c>
      <c r="I308" s="121"/>
      <c r="J308" s="122"/>
    </row>
    <row r="309" spans="1:14" x14ac:dyDescent="0.35">
      <c r="A309" s="103" t="s">
        <v>224</v>
      </c>
      <c r="B309" s="103"/>
      <c r="C309" s="103"/>
      <c r="D309" s="103"/>
      <c r="E309" s="103"/>
      <c r="F309" s="103"/>
      <c r="G309" s="103"/>
      <c r="H309" s="103"/>
      <c r="I309" s="103"/>
      <c r="J309" s="103"/>
    </row>
    <row r="310" spans="1:14" ht="15" customHeight="1" x14ac:dyDescent="0.35">
      <c r="A310" s="124"/>
      <c r="B310" s="7">
        <v>1</v>
      </c>
      <c r="C310" s="7">
        <v>301</v>
      </c>
      <c r="D310" s="7" t="s">
        <v>179</v>
      </c>
      <c r="E310" s="7">
        <f>(23.86+6.03+1.5*0.75)*10.764</f>
        <v>333.84546</v>
      </c>
      <c r="F310" s="7">
        <v>0</v>
      </c>
      <c r="G310" s="4">
        <f t="shared" si="24"/>
        <v>484.075917</v>
      </c>
      <c r="H310" s="4" t="s">
        <v>130</v>
      </c>
      <c r="I310" s="117" t="s">
        <v>224</v>
      </c>
      <c r="J310" s="118"/>
    </row>
    <row r="311" spans="1:14" ht="15" customHeight="1" x14ac:dyDescent="0.35">
      <c r="A311" s="125"/>
      <c r="B311" s="7">
        <v>2</v>
      </c>
      <c r="C311" s="7">
        <v>302</v>
      </c>
      <c r="D311" s="7" t="s">
        <v>179</v>
      </c>
      <c r="E311" s="7">
        <f>(23.86+6.03+1.5*0.75)*10.764</f>
        <v>333.84546</v>
      </c>
      <c r="F311" s="7">
        <v>0</v>
      </c>
      <c r="G311" s="4">
        <f t="shared" si="24"/>
        <v>484.075917</v>
      </c>
      <c r="H311" s="3" t="s">
        <v>130</v>
      </c>
      <c r="I311" s="119"/>
      <c r="J311" s="120"/>
    </row>
    <row r="312" spans="1:14" s="22" customFormat="1" ht="15" customHeight="1" x14ac:dyDescent="0.35">
      <c r="A312" s="125"/>
      <c r="B312" s="7">
        <v>3</v>
      </c>
      <c r="C312" s="7">
        <v>303</v>
      </c>
      <c r="D312" s="7" t="s">
        <v>179</v>
      </c>
      <c r="E312" s="7">
        <f>(23.86+6.03+1.5*0.75)*10.764</f>
        <v>333.84546</v>
      </c>
      <c r="F312" s="7">
        <v>0</v>
      </c>
      <c r="G312" s="4">
        <f t="shared" si="24"/>
        <v>484.075917</v>
      </c>
      <c r="H312" s="3" t="s">
        <v>130</v>
      </c>
      <c r="I312" s="119"/>
      <c r="J312" s="120"/>
    </row>
    <row r="313" spans="1:14" s="25" customFormat="1" ht="15" customHeight="1" x14ac:dyDescent="0.35">
      <c r="A313" s="125"/>
      <c r="B313" s="7">
        <v>4</v>
      </c>
      <c r="C313" s="7">
        <v>304</v>
      </c>
      <c r="D313" s="7" t="s">
        <v>179</v>
      </c>
      <c r="E313" s="7">
        <f>(23.86+6.03+1.5*0.75)*10.764</f>
        <v>333.84546</v>
      </c>
      <c r="F313" s="7">
        <v>0</v>
      </c>
      <c r="G313" s="4">
        <f t="shared" si="24"/>
        <v>484.075917</v>
      </c>
      <c r="H313" s="4" t="s">
        <v>130</v>
      </c>
      <c r="I313" s="119"/>
      <c r="J313" s="120"/>
    </row>
    <row r="314" spans="1:14" ht="15" customHeight="1" x14ac:dyDescent="0.35">
      <c r="A314" s="125"/>
      <c r="B314" s="7">
        <v>5</v>
      </c>
      <c r="C314" s="7">
        <v>305</v>
      </c>
      <c r="D314" s="7" t="s">
        <v>179</v>
      </c>
      <c r="E314" s="7">
        <f>(24.53+6.03+1.5*0.75)*10.764</f>
        <v>341.05734000000001</v>
      </c>
      <c r="F314" s="7">
        <v>0</v>
      </c>
      <c r="G314" s="4">
        <f t="shared" si="24"/>
        <v>494.533143</v>
      </c>
      <c r="H314" s="3" t="s">
        <v>130</v>
      </c>
      <c r="I314" s="119"/>
      <c r="J314" s="120"/>
    </row>
    <row r="315" spans="1:14" ht="15" customHeight="1" x14ac:dyDescent="0.35">
      <c r="A315" s="125"/>
      <c r="B315" s="7">
        <v>6</v>
      </c>
      <c r="C315" s="7">
        <v>306</v>
      </c>
      <c r="D315" s="7" t="s">
        <v>179</v>
      </c>
      <c r="E315" s="7">
        <f>(24.53+6.03+1.5*0.75)*10.764</f>
        <v>341.05734000000001</v>
      </c>
      <c r="F315" s="7">
        <v>0</v>
      </c>
      <c r="G315" s="4">
        <f t="shared" si="24"/>
        <v>494.533143</v>
      </c>
      <c r="H315" s="3" t="s">
        <v>130</v>
      </c>
      <c r="I315" s="119"/>
      <c r="J315" s="120"/>
    </row>
    <row r="316" spans="1:14" ht="15" customHeight="1" x14ac:dyDescent="0.35">
      <c r="A316" s="125"/>
      <c r="B316" s="7">
        <v>7</v>
      </c>
      <c r="C316" s="7">
        <v>307</v>
      </c>
      <c r="D316" s="7" t="s">
        <v>179</v>
      </c>
      <c r="E316" s="7">
        <f>(24.53+6.03+1.5*0.75)*10.764</f>
        <v>341.05734000000001</v>
      </c>
      <c r="F316" s="7">
        <v>0</v>
      </c>
      <c r="G316" s="4">
        <f t="shared" si="24"/>
        <v>494.533143</v>
      </c>
      <c r="H316" s="4" t="s">
        <v>130</v>
      </c>
      <c r="I316" s="119"/>
      <c r="J316" s="120"/>
    </row>
    <row r="317" spans="1:14" ht="15" customHeight="1" x14ac:dyDescent="0.35">
      <c r="A317" s="125"/>
      <c r="B317" s="7">
        <v>8</v>
      </c>
      <c r="C317" s="7">
        <v>308</v>
      </c>
      <c r="D317" s="7" t="s">
        <v>179</v>
      </c>
      <c r="E317" s="7">
        <f>(23.86+6.03+1.5*0.75)*10.764</f>
        <v>333.84546</v>
      </c>
      <c r="F317" s="7">
        <v>0</v>
      </c>
      <c r="G317" s="4">
        <f t="shared" si="24"/>
        <v>484.075917</v>
      </c>
      <c r="H317" s="3" t="s">
        <v>130</v>
      </c>
      <c r="I317" s="119"/>
      <c r="J317" s="120"/>
      <c r="N317" s="58"/>
    </row>
    <row r="318" spans="1:14" s="22" customFormat="1" ht="15" customHeight="1" x14ac:dyDescent="0.35">
      <c r="A318" s="125"/>
      <c r="B318" s="7">
        <v>9</v>
      </c>
      <c r="C318" s="7">
        <v>309</v>
      </c>
      <c r="D318" s="7" t="s">
        <v>179</v>
      </c>
      <c r="E318" s="7">
        <f>(23.86+6.03+1.5*0.75)*10.764</f>
        <v>333.84546</v>
      </c>
      <c r="F318" s="7">
        <v>0</v>
      </c>
      <c r="G318" s="4">
        <f t="shared" si="24"/>
        <v>484.075917</v>
      </c>
      <c r="H318" s="3" t="s">
        <v>130</v>
      </c>
      <c r="I318" s="119"/>
      <c r="J318" s="120"/>
      <c r="M318"/>
      <c r="N318"/>
    </row>
    <row r="319" spans="1:14" s="25" customFormat="1" ht="15" customHeight="1" x14ac:dyDescent="0.35">
      <c r="A319" s="125"/>
      <c r="B319" s="7">
        <v>10</v>
      </c>
      <c r="C319" s="7">
        <v>310</v>
      </c>
      <c r="D319" s="7" t="s">
        <v>179</v>
      </c>
      <c r="E319" s="7">
        <f>(24.53+6.03+1.5*0.75)*10.764</f>
        <v>341.05734000000001</v>
      </c>
      <c r="F319" s="7">
        <v>0</v>
      </c>
      <c r="G319" s="4">
        <f t="shared" si="24"/>
        <v>494.533143</v>
      </c>
      <c r="H319" s="4" t="s">
        <v>130</v>
      </c>
      <c r="I319" s="119"/>
      <c r="J319" s="120"/>
      <c r="M319"/>
      <c r="N319"/>
    </row>
    <row r="320" spans="1:14" ht="15" customHeight="1" x14ac:dyDescent="0.35">
      <c r="A320" s="125"/>
      <c r="B320" s="7">
        <v>11</v>
      </c>
      <c r="C320" s="7">
        <v>311</v>
      </c>
      <c r="D320" s="7" t="s">
        <v>179</v>
      </c>
      <c r="E320" s="7">
        <f>(24.53+6.03+1.5*0.75)*10.764</f>
        <v>341.05734000000001</v>
      </c>
      <c r="F320" s="7">
        <v>0</v>
      </c>
      <c r="G320" s="4">
        <f t="shared" si="24"/>
        <v>494.533143</v>
      </c>
      <c r="H320" s="3" t="s">
        <v>130</v>
      </c>
      <c r="I320" s="119"/>
      <c r="J320" s="120"/>
    </row>
    <row r="321" spans="1:16" ht="15.75" customHeight="1" thickBot="1" x14ac:dyDescent="0.4">
      <c r="A321" s="200"/>
      <c r="B321" s="7">
        <v>12</v>
      </c>
      <c r="C321" s="7">
        <v>312</v>
      </c>
      <c r="D321" s="7" t="s">
        <v>179</v>
      </c>
      <c r="E321" s="7">
        <f>(24.53+6.03+1.5*0.75)*10.764</f>
        <v>341.05734000000001</v>
      </c>
      <c r="F321" s="7">
        <v>0</v>
      </c>
      <c r="G321" s="4">
        <f t="shared" si="24"/>
        <v>494.533143</v>
      </c>
      <c r="H321" s="3" t="s">
        <v>130</v>
      </c>
      <c r="I321" s="201"/>
      <c r="J321" s="202"/>
    </row>
    <row r="322" spans="1:16" x14ac:dyDescent="0.35">
      <c r="A322" s="103" t="s">
        <v>282</v>
      </c>
      <c r="B322" s="103"/>
      <c r="C322" s="103"/>
      <c r="D322" s="103"/>
      <c r="E322" s="103"/>
      <c r="F322" s="103"/>
      <c r="G322" s="103"/>
      <c r="H322" s="103"/>
      <c r="I322" s="103"/>
      <c r="J322" s="103"/>
    </row>
    <row r="323" spans="1:16" ht="15" customHeight="1" x14ac:dyDescent="0.35">
      <c r="A323" s="124"/>
      <c r="B323" s="7">
        <v>1</v>
      </c>
      <c r="C323" s="7">
        <v>301</v>
      </c>
      <c r="D323" s="7" t="s">
        <v>179</v>
      </c>
      <c r="E323" s="7">
        <f>(23.86+6.03+1.5*0.75)*10.764</f>
        <v>333.84546</v>
      </c>
      <c r="F323" s="7">
        <v>0</v>
      </c>
      <c r="G323" s="4">
        <f t="shared" si="24"/>
        <v>484.075917</v>
      </c>
      <c r="H323" s="4" t="s">
        <v>130</v>
      </c>
      <c r="I323" s="117" t="str">
        <f>A322</f>
        <v>4th &amp; 5th Floor</v>
      </c>
      <c r="J323" s="118"/>
    </row>
    <row r="324" spans="1:16" ht="15" customHeight="1" x14ac:dyDescent="0.35">
      <c r="A324" s="125"/>
      <c r="B324" s="7">
        <v>2</v>
      </c>
      <c r="C324" s="7">
        <v>302</v>
      </c>
      <c r="D324" s="7" t="s">
        <v>179</v>
      </c>
      <c r="E324" s="7">
        <f>(23.86+6.03+1.5*0.75)*10.764</f>
        <v>333.84546</v>
      </c>
      <c r="F324" s="7">
        <v>0</v>
      </c>
      <c r="G324" s="4">
        <f t="shared" si="24"/>
        <v>484.075917</v>
      </c>
      <c r="H324" s="3" t="s">
        <v>130</v>
      </c>
      <c r="I324" s="119"/>
      <c r="J324" s="120"/>
    </row>
    <row r="325" spans="1:16" s="22" customFormat="1" ht="15" customHeight="1" x14ac:dyDescent="0.35">
      <c r="A325" s="125"/>
      <c r="B325" s="7">
        <v>3</v>
      </c>
      <c r="C325" s="7">
        <v>303</v>
      </c>
      <c r="D325" s="7" t="s">
        <v>179</v>
      </c>
      <c r="E325" s="7">
        <f>(23.86+6.03+1.5*0.75)*10.764</f>
        <v>333.84546</v>
      </c>
      <c r="F325" s="7">
        <v>0</v>
      </c>
      <c r="G325" s="4">
        <f t="shared" si="24"/>
        <v>484.075917</v>
      </c>
      <c r="H325" s="3" t="s">
        <v>130</v>
      </c>
      <c r="I325" s="119"/>
      <c r="J325" s="120"/>
    </row>
    <row r="326" spans="1:16" s="25" customFormat="1" ht="15" customHeight="1" x14ac:dyDescent="0.35">
      <c r="A326" s="125"/>
      <c r="B326" s="7">
        <v>4</v>
      </c>
      <c r="C326" s="7">
        <v>304</v>
      </c>
      <c r="D326" s="7" t="s">
        <v>179</v>
      </c>
      <c r="E326" s="7">
        <f>(23.86+6.03+1.5*0.75)*10.764</f>
        <v>333.84546</v>
      </c>
      <c r="F326" s="7">
        <v>0</v>
      </c>
      <c r="G326" s="4">
        <f t="shared" si="24"/>
        <v>484.075917</v>
      </c>
      <c r="H326" s="4" t="s">
        <v>130</v>
      </c>
      <c r="I326" s="119"/>
      <c r="J326" s="120"/>
    </row>
    <row r="327" spans="1:16" ht="15" customHeight="1" x14ac:dyDescent="0.35">
      <c r="A327" s="125"/>
      <c r="B327" s="7">
        <v>5</v>
      </c>
      <c r="C327" s="7">
        <v>305</v>
      </c>
      <c r="D327" s="7" t="s">
        <v>179</v>
      </c>
      <c r="E327" s="7">
        <f>(24.53+6.03+1.5*0.75)*10.764</f>
        <v>341.05734000000001</v>
      </c>
      <c r="F327" s="7">
        <v>0</v>
      </c>
      <c r="G327" s="4">
        <f t="shared" si="24"/>
        <v>494.533143</v>
      </c>
      <c r="H327" s="3" t="s">
        <v>130</v>
      </c>
      <c r="I327" s="119"/>
      <c r="J327" s="120"/>
      <c r="M327">
        <f>3.2*3+1.5*2.2+2.7*1.8+1.1*1.4+1.2*1.4+1.9*1.2+1.5*2.93+1.2*1.75</f>
        <v>29.755000000000003</v>
      </c>
    </row>
    <row r="328" spans="1:16" ht="15" customHeight="1" x14ac:dyDescent="0.35">
      <c r="A328" s="125"/>
      <c r="B328" s="7">
        <v>6</v>
      </c>
      <c r="C328" s="7">
        <v>306</v>
      </c>
      <c r="D328" s="7" t="s">
        <v>179</v>
      </c>
      <c r="E328" s="7">
        <f>(24.53+6.03+1.5*0.75)*10.764</f>
        <v>341.05734000000001</v>
      </c>
      <c r="F328" s="7">
        <v>0</v>
      </c>
      <c r="G328" s="4">
        <f t="shared" si="24"/>
        <v>494.533143</v>
      </c>
      <c r="H328" s="3" t="s">
        <v>130</v>
      </c>
      <c r="I328" s="119"/>
      <c r="J328" s="120"/>
    </row>
    <row r="329" spans="1:16" ht="15" customHeight="1" x14ac:dyDescent="0.35">
      <c r="A329" s="125"/>
      <c r="B329" s="7">
        <v>7</v>
      </c>
      <c r="C329" s="7">
        <v>307</v>
      </c>
      <c r="D329" s="7" t="s">
        <v>179</v>
      </c>
      <c r="E329" s="7">
        <f>(24.53+6.03+1.5*0.75)*10.764</f>
        <v>341.05734000000001</v>
      </c>
      <c r="F329" s="7">
        <v>0</v>
      </c>
      <c r="G329" s="4">
        <f t="shared" si="24"/>
        <v>494.533143</v>
      </c>
      <c r="H329" s="4" t="s">
        <v>130</v>
      </c>
      <c r="I329" s="119"/>
      <c r="J329" s="120"/>
    </row>
    <row r="330" spans="1:16" ht="15" customHeight="1" x14ac:dyDescent="0.35">
      <c r="A330" s="125"/>
      <c r="B330" s="7">
        <v>8</v>
      </c>
      <c r="C330" s="7">
        <v>308</v>
      </c>
      <c r="D330" s="7" t="s">
        <v>179</v>
      </c>
      <c r="E330" s="7">
        <f>(23.86+6.03+1.5*0.75)*10.764</f>
        <v>333.84546</v>
      </c>
      <c r="F330" s="7">
        <v>0</v>
      </c>
      <c r="G330" s="4">
        <f t="shared" si="24"/>
        <v>484.075917</v>
      </c>
      <c r="H330" s="3" t="s">
        <v>130</v>
      </c>
      <c r="I330" s="119"/>
      <c r="J330" s="120"/>
      <c r="M330">
        <f>3.2*3+1.5*2.2+2.7*1.8+1.1*1.4+1.2*1.4+1.9*1.2+1.5*2.93+1.2*1.75</f>
        <v>29.755000000000003</v>
      </c>
      <c r="N330" s="58">
        <f>0.75*1.5</f>
        <v>1.125</v>
      </c>
      <c r="O330" s="58">
        <f>M330+N330</f>
        <v>30.880000000000003</v>
      </c>
      <c r="P330">
        <f>O330*10.764</f>
        <v>332.39231999999998</v>
      </c>
    </row>
    <row r="331" spans="1:16" s="22" customFormat="1" ht="15" customHeight="1" x14ac:dyDescent="0.35">
      <c r="A331" s="125"/>
      <c r="B331" s="7">
        <v>9</v>
      </c>
      <c r="C331" s="7">
        <v>309</v>
      </c>
      <c r="D331" s="7" t="s">
        <v>179</v>
      </c>
      <c r="E331" s="7">
        <f>(23.86+6.03+1.5*0.75)*10.764</f>
        <v>333.84546</v>
      </c>
      <c r="F331" s="7">
        <v>0</v>
      </c>
      <c r="G331" s="4">
        <f t="shared" si="24"/>
        <v>484.075917</v>
      </c>
      <c r="H331" s="3" t="s">
        <v>130</v>
      </c>
      <c r="I331" s="119"/>
      <c r="J331" s="120"/>
      <c r="M331">
        <f>3.2*3+1.5*2.2+2.7*1.8+1.1*1.4+1.2*1.4+1.9*1.2+1.5*3+1.2*1.65</f>
        <v>29.740000000000002</v>
      </c>
      <c r="N331"/>
    </row>
    <row r="332" spans="1:16" s="25" customFormat="1" ht="15" customHeight="1" x14ac:dyDescent="0.35">
      <c r="A332" s="125"/>
      <c r="B332" s="7">
        <v>10</v>
      </c>
      <c r="C332" s="7">
        <v>310</v>
      </c>
      <c r="D332" s="7" t="s">
        <v>179</v>
      </c>
      <c r="E332" s="7">
        <f>(24.53+6.03+1.5*0.75)*10.764</f>
        <v>341.05734000000001</v>
      </c>
      <c r="F332" s="7">
        <v>0</v>
      </c>
      <c r="G332" s="4">
        <f t="shared" si="24"/>
        <v>494.533143</v>
      </c>
      <c r="H332" s="4" t="s">
        <v>130</v>
      </c>
      <c r="I332" s="119"/>
      <c r="J332" s="120"/>
      <c r="M332"/>
      <c r="N332"/>
    </row>
    <row r="333" spans="1:16" ht="15" customHeight="1" x14ac:dyDescent="0.35">
      <c r="A333" s="125"/>
      <c r="B333" s="7">
        <v>11</v>
      </c>
      <c r="C333" s="7">
        <v>311</v>
      </c>
      <c r="D333" s="7" t="s">
        <v>179</v>
      </c>
      <c r="E333" s="7">
        <f>(24.53+6.03+1.5*0.75)*10.764</f>
        <v>341.05734000000001</v>
      </c>
      <c r="F333" s="7">
        <v>0</v>
      </c>
      <c r="G333" s="4">
        <f t="shared" si="24"/>
        <v>494.533143</v>
      </c>
      <c r="H333" s="3" t="s">
        <v>130</v>
      </c>
      <c r="I333" s="119"/>
      <c r="J333" s="120"/>
      <c r="M333">
        <f>3.2*3+1.5*2.2+2.7*1.8+1*1.4+1.2*1.4+2*1.2+0.45*2.1</f>
        <v>24.184999999999999</v>
      </c>
      <c r="N333">
        <f>1.5*3+0.75*1.5</f>
        <v>5.625</v>
      </c>
      <c r="O333">
        <f>M333+N333</f>
        <v>29.81</v>
      </c>
      <c r="P333">
        <f>O333*10.764</f>
        <v>320.87483999999995</v>
      </c>
    </row>
    <row r="334" spans="1:16" ht="15.75" customHeight="1" thickBot="1" x14ac:dyDescent="0.4">
      <c r="A334" s="200"/>
      <c r="B334" s="7">
        <v>12</v>
      </c>
      <c r="C334" s="7">
        <v>312</v>
      </c>
      <c r="D334" s="7" t="s">
        <v>179</v>
      </c>
      <c r="E334" s="7">
        <f>(24.53+6.03+1.5*0.75)*10.764</f>
        <v>341.05734000000001</v>
      </c>
      <c r="F334" s="7">
        <v>0</v>
      </c>
      <c r="G334" s="4">
        <f t="shared" si="24"/>
        <v>494.533143</v>
      </c>
      <c r="H334" s="3" t="s">
        <v>130</v>
      </c>
      <c r="I334" s="201"/>
      <c r="J334" s="202"/>
    </row>
    <row r="335" spans="1:16" ht="15.5" x14ac:dyDescent="0.35">
      <c r="A335" s="149" t="s">
        <v>236</v>
      </c>
      <c r="B335" s="150"/>
      <c r="C335" s="151" t="s">
        <v>274</v>
      </c>
      <c r="D335" s="152"/>
      <c r="E335" s="152"/>
      <c r="F335" s="152"/>
      <c r="G335" s="152"/>
      <c r="H335" s="152"/>
      <c r="I335" s="152"/>
      <c r="J335" s="153"/>
      <c r="K335" s="42" t="str">
        <f ca="1">(IF(F339&gt;99%,"All work completed. Please provide OC.",IF(F339&gt;89.8%,"Plinth, RCC, Brick, Plaster, Flooring, Painting work Completed. Finishing work is in process.",IF(F339&lt;94%,(IF(C339=0,"Work not yet Started.",IF(D339=25%,"Piling work in process",IF(D339=50%,"Excavation work in process",IF(D339=100%,"Excavation work Completed. ","0")))&amp;(IF(C340=0%,"",IF(C340=L341,"Footing work is process",IF(C340=L342,"Footing work Completed",IF(C340=L343,"1st Basement Completed",IF(C340=L344,"1st &amp; 2nd Basement Completed",IF(C340=L345,"1st to 3rd Basement Completed",IF(C340=L346,"1st to 4th Basement Completed",IF(C340=L347,"Plinth work is process",IF(C340=L348,"Plinth work completed","0")))))))))))&amp;(IF(C341=(D336+G336+I336),", RCC Slab",IF(C341&gt;0,", RCC upto "&amp;C341&amp;" Slab",""))&amp;(IF(C342=I336,", Brickwork",IF(C342&gt;0,", Brickwork upto "&amp;C342&amp;" Floor",""))&amp;(IF(C343=I336,", Internal Plaster",IF(C343&gt;0,", Internal Plaster upto "&amp;C343&amp;" Floor",""))&amp;(IF(C344=I336,", External Plaster",IF(C344&gt;0,", External Plaster upto "&amp;C344&amp;" Floor",""))&amp;(IF(C345=I336,", Flooring",IF(C345&gt;0,", Flooring upto "&amp;C345&amp;" Floor",""))&amp;(IF(C346=I336,", Painting",IF(C346&gt;0,", Painting upto "&amp;C346&amp;" Floor",""))&amp;(IF(C347&gt;0,", Finishing upto "&amp;C347&amp;" Floor","")&amp;(IF(C341&gt;0.5," Completed",""))))))))))))))</f>
        <v>All work completed. Please provide OC.</v>
      </c>
      <c r="L335" s="43"/>
    </row>
    <row r="336" spans="1:16" ht="15.5" x14ac:dyDescent="0.35">
      <c r="A336" s="72" t="s">
        <v>237</v>
      </c>
      <c r="B336" s="73">
        <v>0</v>
      </c>
      <c r="C336" s="73" t="s">
        <v>238</v>
      </c>
      <c r="D336" s="73">
        <v>1</v>
      </c>
      <c r="E336" s="154" t="s">
        <v>239</v>
      </c>
      <c r="F336" s="155"/>
      <c r="G336" s="73">
        <v>0</v>
      </c>
      <c r="H336" s="73" t="s">
        <v>240</v>
      </c>
      <c r="I336" s="154">
        <f ca="1">--TRIM(RIGHT(SUBSTITUTE(LEFT(C335,_xlfn.AGGREGATE(16,6,FIND({0,1,2,3,4,5,6,7,8,9},C335,ROW(INDIRECT("1:"&amp;LEN(C335)))),1))," ",REPT(" ",LEN(C335))),LEN(C335)))</f>
        <v>5</v>
      </c>
      <c r="J336" s="156"/>
      <c r="K336" s="44"/>
      <c r="L336" s="45"/>
    </row>
    <row r="337" spans="1:12" ht="15.5" x14ac:dyDescent="0.35">
      <c r="A337" s="157" t="s">
        <v>241</v>
      </c>
      <c r="B337" s="158"/>
      <c r="C337" s="159" t="str">
        <f ca="1">K335</f>
        <v>All work completed. Please provide OC.</v>
      </c>
      <c r="D337" s="160"/>
      <c r="E337" s="160"/>
      <c r="F337" s="160"/>
      <c r="G337" s="160"/>
      <c r="H337" s="160"/>
      <c r="I337" s="160"/>
      <c r="J337" s="161"/>
      <c r="K337" s="44" t="s">
        <v>242</v>
      </c>
      <c r="L337" s="45"/>
    </row>
    <row r="338" spans="1:12" ht="15.5" x14ac:dyDescent="0.35">
      <c r="A338" s="162" t="s">
        <v>41</v>
      </c>
      <c r="B338" s="163"/>
      <c r="C338" s="71" t="s">
        <v>243</v>
      </c>
      <c r="D338" s="129" t="s">
        <v>244</v>
      </c>
      <c r="E338" s="129"/>
      <c r="F338" s="129" t="s">
        <v>245</v>
      </c>
      <c r="G338" s="129"/>
      <c r="H338" s="129" t="s">
        <v>246</v>
      </c>
      <c r="I338" s="129"/>
      <c r="J338" s="164"/>
      <c r="K338" s="46" t="s">
        <v>247</v>
      </c>
      <c r="L338" s="47">
        <f ca="1">I336*25%</f>
        <v>1.25</v>
      </c>
    </row>
    <row r="339" spans="1:12" ht="15.5" x14ac:dyDescent="0.35">
      <c r="A339" s="129" t="s">
        <v>248</v>
      </c>
      <c r="B339" s="129"/>
      <c r="C339" s="53">
        <f ca="1">L340</f>
        <v>5</v>
      </c>
      <c r="D339" s="132">
        <f ca="1">((100/I336)*C339)/100</f>
        <v>1</v>
      </c>
      <c r="E339" s="132"/>
      <c r="F339" s="132">
        <f ca="1">(((C340/I336*10)+(40/(D336+G336+I336)*C341)+(7.5/(I336)*C342)+(7.5/(I336)*C343)+(10/I336*C344)+(10/I336*C345)+(5/I336*C346)+(5/I336*C347)+(5/I336*C348))/100)</f>
        <v>1</v>
      </c>
      <c r="G339" s="132"/>
      <c r="H339" s="132">
        <f ca="1">((((C339/I336)*20)+((C340/I336)*25)+(30/(I336+G336+D336)*C341)+(5/I336*C342)+(5/I336*C343)+(5/I336*C344)+(5/I336*C345)+(0/I336*C346)+(0/I336*C347)+(5/I336*C348))/100)</f>
        <v>1</v>
      </c>
      <c r="I339" s="132"/>
      <c r="J339" s="132"/>
      <c r="K339" s="46" t="s">
        <v>249</v>
      </c>
      <c r="L339" s="48">
        <f ca="1">I336*50%</f>
        <v>2.5</v>
      </c>
    </row>
    <row r="340" spans="1:12" ht="15.5" x14ac:dyDescent="0.35">
      <c r="A340" s="129" t="s">
        <v>42</v>
      </c>
      <c r="B340" s="129"/>
      <c r="C340" s="54">
        <f ca="1">L348</f>
        <v>5</v>
      </c>
      <c r="D340" s="132">
        <f ca="1">((100/I336)*C340)/100</f>
        <v>1</v>
      </c>
      <c r="E340" s="132"/>
      <c r="F340" s="132"/>
      <c r="G340" s="132"/>
      <c r="H340" s="132"/>
      <c r="I340" s="132"/>
      <c r="J340" s="132"/>
      <c r="K340" s="46" t="s">
        <v>250</v>
      </c>
      <c r="L340" s="48">
        <f ca="1">I336</f>
        <v>5</v>
      </c>
    </row>
    <row r="341" spans="1:12" ht="15.5" x14ac:dyDescent="0.35">
      <c r="A341" s="144" t="s">
        <v>43</v>
      </c>
      <c r="B341" s="144"/>
      <c r="C341" s="54">
        <f ca="1">D336+I336</f>
        <v>6</v>
      </c>
      <c r="D341" s="132">
        <f ca="1">((100/(D336+G336+I336))*C341)/100</f>
        <v>1</v>
      </c>
      <c r="E341" s="132"/>
      <c r="F341" s="132"/>
      <c r="G341" s="132"/>
      <c r="H341" s="132"/>
      <c r="I341" s="132"/>
      <c r="J341" s="132"/>
      <c r="K341" s="46" t="s">
        <v>251</v>
      </c>
      <c r="L341" s="49">
        <f ca="1">(IF(B336&gt;1,(I336/(B336+2)),I336/4))</f>
        <v>1.25</v>
      </c>
    </row>
    <row r="342" spans="1:12" ht="15.5" x14ac:dyDescent="0.35">
      <c r="A342" s="129" t="s">
        <v>252</v>
      </c>
      <c r="B342" s="129" t="s">
        <v>253</v>
      </c>
      <c r="C342" s="53">
        <v>5</v>
      </c>
      <c r="D342" s="132">
        <f ca="1">((100/I336)*C342)/100</f>
        <v>1</v>
      </c>
      <c r="E342" s="132"/>
      <c r="F342" s="132"/>
      <c r="G342" s="132"/>
      <c r="H342" s="132"/>
      <c r="I342" s="132"/>
      <c r="J342" s="132"/>
      <c r="K342" s="46" t="s">
        <v>254</v>
      </c>
      <c r="L342" s="49">
        <f ca="1">(IF(B336&gt;1,(I336/(B336+2)+L341),I336/4+L341))</f>
        <v>2.5</v>
      </c>
    </row>
    <row r="343" spans="1:12" ht="15.5" x14ac:dyDescent="0.35">
      <c r="A343" s="129" t="s">
        <v>255</v>
      </c>
      <c r="B343" s="129" t="s">
        <v>253</v>
      </c>
      <c r="C343" s="53">
        <v>5</v>
      </c>
      <c r="D343" s="132">
        <f ca="1">((100/I336)*C343)/100</f>
        <v>1</v>
      </c>
      <c r="E343" s="132"/>
      <c r="F343" s="132"/>
      <c r="G343" s="132"/>
      <c r="H343" s="132"/>
      <c r="I343" s="132"/>
      <c r="J343" s="132"/>
      <c r="K343" s="46" t="s">
        <v>256</v>
      </c>
      <c r="L343" s="49">
        <f>(IF(B336&gt;1,(I336/(B336+2)+L342),0))</f>
        <v>0</v>
      </c>
    </row>
    <row r="344" spans="1:12" ht="15.5" x14ac:dyDescent="0.35">
      <c r="A344" s="144" t="s">
        <v>257</v>
      </c>
      <c r="B344" s="144" t="s">
        <v>258</v>
      </c>
      <c r="C344" s="53">
        <v>5</v>
      </c>
      <c r="D344" s="132">
        <f ca="1">((100/(I336))*C344)/100</f>
        <v>1</v>
      </c>
      <c r="E344" s="132"/>
      <c r="F344" s="132"/>
      <c r="G344" s="132"/>
      <c r="H344" s="132"/>
      <c r="I344" s="132"/>
      <c r="J344" s="132"/>
      <c r="K344" s="46" t="s">
        <v>259</v>
      </c>
      <c r="L344" s="49">
        <f>(IF(B336&gt;2,(I336/(B336+2)+L343),0))</f>
        <v>0</v>
      </c>
    </row>
    <row r="345" spans="1:12" ht="15.5" x14ac:dyDescent="0.35">
      <c r="A345" s="129" t="s">
        <v>260</v>
      </c>
      <c r="B345" s="129" t="s">
        <v>260</v>
      </c>
      <c r="C345" s="53">
        <v>5</v>
      </c>
      <c r="D345" s="132">
        <f ca="1">((100/I336)*C345)/100</f>
        <v>1</v>
      </c>
      <c r="E345" s="132"/>
      <c r="F345" s="132"/>
      <c r="G345" s="132"/>
      <c r="H345" s="132"/>
      <c r="I345" s="132"/>
      <c r="J345" s="132"/>
      <c r="K345" s="46" t="s">
        <v>261</v>
      </c>
      <c r="L345" s="50">
        <f>(IF(B336&gt;3,(I336/(B336+2)+L344),0))</f>
        <v>0</v>
      </c>
    </row>
    <row r="346" spans="1:12" ht="15.5" x14ac:dyDescent="0.35">
      <c r="A346" s="129" t="s">
        <v>262</v>
      </c>
      <c r="B346" s="129"/>
      <c r="C346" s="53">
        <v>5</v>
      </c>
      <c r="D346" s="132">
        <f ca="1">((100/I336)*C346)/100</f>
        <v>1</v>
      </c>
      <c r="E346" s="132"/>
      <c r="F346" s="132"/>
      <c r="G346" s="132"/>
      <c r="H346" s="132"/>
      <c r="I346" s="132"/>
      <c r="J346" s="132"/>
      <c r="K346" s="46" t="s">
        <v>263</v>
      </c>
      <c r="L346" s="49">
        <f>(IF(B336&gt;4,(I336/(B336+2)+L345),0))</f>
        <v>0</v>
      </c>
    </row>
    <row r="347" spans="1:12" ht="15.5" x14ac:dyDescent="0.35">
      <c r="A347" s="129" t="s">
        <v>264</v>
      </c>
      <c r="B347" s="129" t="s">
        <v>264</v>
      </c>
      <c r="C347" s="53">
        <v>5</v>
      </c>
      <c r="D347" s="132">
        <f ca="1">((100/(I336))*C347)/100</f>
        <v>1</v>
      </c>
      <c r="E347" s="132"/>
      <c r="F347" s="132"/>
      <c r="G347" s="132"/>
      <c r="H347" s="132"/>
      <c r="I347" s="132"/>
      <c r="J347" s="132"/>
      <c r="K347" s="46" t="s">
        <v>265</v>
      </c>
      <c r="L347" s="49">
        <f ca="1">(IF(B336=1,(I336/(B336+3)+L342),IF(B336=0,(I336/4+L342),IF(B336&gt;1,0))))</f>
        <v>3.75</v>
      </c>
    </row>
    <row r="348" spans="1:12" ht="16" thickBot="1" x14ac:dyDescent="0.4">
      <c r="A348" s="129" t="s">
        <v>266</v>
      </c>
      <c r="B348" s="129"/>
      <c r="C348" s="53">
        <v>5</v>
      </c>
      <c r="D348" s="132">
        <f ca="1">((100/(I336))*C348)/100</f>
        <v>1</v>
      </c>
      <c r="E348" s="132"/>
      <c r="F348" s="132"/>
      <c r="G348" s="132"/>
      <c r="H348" s="132"/>
      <c r="I348" s="132"/>
      <c r="J348" s="132"/>
      <c r="K348" s="51" t="s">
        <v>267</v>
      </c>
      <c r="L348" s="52">
        <f ca="1">(IF(B336&gt;1.5,(I336/(B336+2)+L342+MAX(0,L343-L342)+MAX(0,L344-L343)+MAX(0,L345-L344)+MAX(0,L346-L345)+MAX(0,L347-L346)),IF(B336=1,(I336/(B336+3)+L347),IF(B336=0,I336/4+L347))))</f>
        <v>5</v>
      </c>
    </row>
    <row r="349" spans="1:12" ht="15.5" x14ac:dyDescent="0.35">
      <c r="A349" s="227" t="s">
        <v>236</v>
      </c>
      <c r="B349" s="227"/>
      <c r="C349" s="228" t="s">
        <v>277</v>
      </c>
      <c r="D349" s="228"/>
      <c r="E349" s="228"/>
      <c r="F349" s="228"/>
      <c r="G349" s="228"/>
      <c r="H349" s="228"/>
      <c r="I349" s="228"/>
      <c r="J349" s="228"/>
      <c r="K349" s="42" t="str">
        <f ca="1">(IF(F353&gt;99%,"All work completed. Please provide OC.",IF(F353&gt;89.8%,"Plinth, RCC, Brick, Plaster, Flooring, Painting work Completed. Finishing work is in process.",IF(F353&lt;94%,(IF(C353=0,"Work not yet Started.",IF(D353=25%,"Piling work in process",IF(D353=50%,"Excavation work in process",IF(D353=100%,"Excavation work Completed. ","0")))&amp;(IF(C354=0%,"",IF(C354=L355,"Footing work is process",IF(C354=L356,"Footing work Completed",IF(C354=L357,"1st Basement Completed",IF(C354=L358,"1st &amp; 2nd Basement Completed",IF(C354=L359,"1st to 3rd Basement Completed",IF(C354=L360,"1st to 4th Basement Completed",IF(C354=L361,"Plinth work is process",IF(C354=L362,"Plinth work completed","0")))))))))))&amp;(IF(C355=(D350+G350+I350),", RCC Slab",IF(C355&gt;0,", RCC upto "&amp;C355&amp;" Slab",""))&amp;(IF(C356=I350,", Brickwork",IF(C356&gt;0,", Brickwork upto "&amp;C356&amp;" Floor",""))&amp;(IF(C357=I350,", Internal Plaster",IF(C357&gt;0,", Internal Plaster upto "&amp;C357&amp;" Floor",""))&amp;(IF(C358=I350,", External Plaster",IF(C358&gt;0,", External Plaster upto "&amp;C358&amp;" Floor",""))&amp;(IF(C359=I350,", Flooring",IF(C359&gt;0,", Flooring upto "&amp;C359&amp;" Floor",""))&amp;(IF(C360=I350,", Painting",IF(C360&gt;0,", Painting upto "&amp;C360&amp;" Floor",""))&amp;(IF(C361&gt;0,", Finishing upto "&amp;C361&amp;" Floor","")&amp;(IF(C355&gt;0.5," Completed",""))))))))))))))</f>
        <v>Excavation work Completed. Plinth work completed, RCC upto 5 Slab, Brickwork upto 4 Floor, Internal Plaster upto 4 Floor, External Plaster upto 4 Floor, Flooring upto 4 Floor, Painting upto 2 Floor Completed</v>
      </c>
      <c r="L349" s="43"/>
    </row>
    <row r="350" spans="1:12" ht="15.5" x14ac:dyDescent="0.35">
      <c r="A350" s="75" t="s">
        <v>237</v>
      </c>
      <c r="B350" s="75">
        <v>0</v>
      </c>
      <c r="C350" s="75" t="s">
        <v>238</v>
      </c>
      <c r="D350" s="75">
        <v>1</v>
      </c>
      <c r="E350" s="144" t="s">
        <v>239</v>
      </c>
      <c r="F350" s="144"/>
      <c r="G350" s="75">
        <v>0</v>
      </c>
      <c r="H350" s="75" t="s">
        <v>240</v>
      </c>
      <c r="I350" s="144">
        <f ca="1">--TRIM(RIGHT(SUBSTITUTE(LEFT(C349,_xlfn.AGGREGATE(16,6,FIND({0,1,2,3,4,5,6,7,8,9},C349,ROW(INDIRECT("1:"&amp;LEN(C349)))),1))," ",REPT(" ",LEN(C349))),LEN(C349)))</f>
        <v>5</v>
      </c>
      <c r="J350" s="144"/>
      <c r="K350" s="44"/>
      <c r="L350" s="45"/>
    </row>
    <row r="351" spans="1:12" ht="51" customHeight="1" x14ac:dyDescent="0.35">
      <c r="A351" s="158" t="s">
        <v>241</v>
      </c>
      <c r="B351" s="158"/>
      <c r="C351" s="228" t="str">
        <f ca="1">K349</f>
        <v>Excavation work Completed. Plinth work completed, RCC upto 5 Slab, Brickwork upto 4 Floor, Internal Plaster upto 4 Floor, External Plaster upto 4 Floor, Flooring upto 4 Floor, Painting upto 2 Floor Completed</v>
      </c>
      <c r="D351" s="228"/>
      <c r="E351" s="228"/>
      <c r="F351" s="228"/>
      <c r="G351" s="228"/>
      <c r="H351" s="228"/>
      <c r="I351" s="228"/>
      <c r="J351" s="228"/>
      <c r="K351" s="44" t="s">
        <v>242</v>
      </c>
      <c r="L351" s="45"/>
    </row>
    <row r="352" spans="1:12" ht="15.5" x14ac:dyDescent="0.35">
      <c r="A352" s="129" t="s">
        <v>41</v>
      </c>
      <c r="B352" s="129"/>
      <c r="C352" s="74" t="s">
        <v>243</v>
      </c>
      <c r="D352" s="129" t="s">
        <v>244</v>
      </c>
      <c r="E352" s="129"/>
      <c r="F352" s="129" t="s">
        <v>245</v>
      </c>
      <c r="G352" s="129"/>
      <c r="H352" s="129" t="s">
        <v>246</v>
      </c>
      <c r="I352" s="129"/>
      <c r="J352" s="129"/>
      <c r="K352" s="46" t="s">
        <v>247</v>
      </c>
      <c r="L352" s="47">
        <f ca="1">I350*25%</f>
        <v>1.25</v>
      </c>
    </row>
    <row r="353" spans="1:12" ht="15.5" x14ac:dyDescent="0.35">
      <c r="A353" s="128" t="s">
        <v>248</v>
      </c>
      <c r="B353" s="129"/>
      <c r="C353" s="53">
        <f ca="1">L354</f>
        <v>5</v>
      </c>
      <c r="D353" s="130">
        <f ca="1">((100/I350)*C353)/100</f>
        <v>1</v>
      </c>
      <c r="E353" s="131"/>
      <c r="F353" s="132">
        <f ca="1">(((C354/I350*10)+(40/(D350+G350+I350)*C355)+(7.5/(I350)*C356)+(7.5/(I350)*C357)+(10/I350*C358)+(10/I350*C359)+(5/I350*C360)+(5/I350*C361)+(5/I350*C362))/100)</f>
        <v>0.73333333333333339</v>
      </c>
      <c r="G353" s="132"/>
      <c r="H353" s="134">
        <f ca="1">((((C353/I350)*20)+((C354/I350)*25)+(30/(I350+G350+D350)*C355)+(5/I350*C356)+(5/I350*C357)+(5/I350*C358)+(5/I350*C359)+(0/I350*C360)+(0/I350*C361)+(5/I350*C362))/100)</f>
        <v>0.86</v>
      </c>
      <c r="I353" s="135"/>
      <c r="J353" s="136"/>
      <c r="K353" s="46" t="s">
        <v>249</v>
      </c>
      <c r="L353" s="48">
        <f ca="1">I350*50%</f>
        <v>2.5</v>
      </c>
    </row>
    <row r="354" spans="1:12" ht="15.5" x14ac:dyDescent="0.35">
      <c r="A354" s="128" t="s">
        <v>42</v>
      </c>
      <c r="B354" s="129"/>
      <c r="C354" s="54">
        <f ca="1">L362</f>
        <v>5</v>
      </c>
      <c r="D354" s="130">
        <f ca="1">((100/I350)*C354)/100</f>
        <v>1</v>
      </c>
      <c r="E354" s="131"/>
      <c r="F354" s="132"/>
      <c r="G354" s="132"/>
      <c r="H354" s="137"/>
      <c r="I354" s="138"/>
      <c r="J354" s="139"/>
      <c r="K354" s="46" t="s">
        <v>250</v>
      </c>
      <c r="L354" s="48">
        <f ca="1">I350</f>
        <v>5</v>
      </c>
    </row>
    <row r="355" spans="1:12" ht="15.5" x14ac:dyDescent="0.35">
      <c r="A355" s="128" t="s">
        <v>272</v>
      </c>
      <c r="B355" s="129"/>
      <c r="C355" s="54">
        <v>5</v>
      </c>
      <c r="D355" s="130">
        <f ca="1">((100/(D350+G350+I350))*C355)/100</f>
        <v>0.83333333333333348</v>
      </c>
      <c r="E355" s="131"/>
      <c r="F355" s="132"/>
      <c r="G355" s="132"/>
      <c r="H355" s="137"/>
      <c r="I355" s="138"/>
      <c r="J355" s="139"/>
      <c r="K355" s="46" t="s">
        <v>251</v>
      </c>
      <c r="L355" s="49">
        <f ca="1">(IF(B350&gt;1,(I350/(B350+2)),I350/4))</f>
        <v>1.25</v>
      </c>
    </row>
    <row r="356" spans="1:12" ht="15.5" x14ac:dyDescent="0.35">
      <c r="A356" s="128" t="s">
        <v>252</v>
      </c>
      <c r="B356" s="129" t="s">
        <v>253</v>
      </c>
      <c r="C356" s="53">
        <v>4</v>
      </c>
      <c r="D356" s="130">
        <f ca="1">((100/I350)*C356)/100</f>
        <v>0.8</v>
      </c>
      <c r="E356" s="131"/>
      <c r="F356" s="132"/>
      <c r="G356" s="132"/>
      <c r="H356" s="137"/>
      <c r="I356" s="138"/>
      <c r="J356" s="139"/>
      <c r="K356" s="46" t="s">
        <v>254</v>
      </c>
      <c r="L356" s="49">
        <f ca="1">(IF(B350&gt;1,(I350/(B350+2)+L355),I350/4+L355))</f>
        <v>2.5</v>
      </c>
    </row>
    <row r="357" spans="1:12" ht="15.5" x14ac:dyDescent="0.35">
      <c r="A357" s="128" t="s">
        <v>255</v>
      </c>
      <c r="B357" s="129" t="s">
        <v>253</v>
      </c>
      <c r="C357" s="53">
        <v>4</v>
      </c>
      <c r="D357" s="130">
        <f ca="1">((100/I350)*C357)/100</f>
        <v>0.8</v>
      </c>
      <c r="E357" s="131"/>
      <c r="F357" s="132"/>
      <c r="G357" s="132"/>
      <c r="H357" s="137"/>
      <c r="I357" s="138"/>
      <c r="J357" s="139"/>
      <c r="K357" s="46" t="s">
        <v>256</v>
      </c>
      <c r="L357" s="49">
        <f>(IF(B350&gt;1,(I350/(B350+2)+L356),0))</f>
        <v>0</v>
      </c>
    </row>
    <row r="358" spans="1:12" ht="15.5" x14ac:dyDescent="0.35">
      <c r="A358" s="143" t="s">
        <v>257</v>
      </c>
      <c r="B358" s="144" t="s">
        <v>258</v>
      </c>
      <c r="C358" s="53">
        <v>4</v>
      </c>
      <c r="D358" s="130">
        <f ca="1">((100/(I350))*C358)/100</f>
        <v>0.8</v>
      </c>
      <c r="E358" s="131"/>
      <c r="F358" s="132"/>
      <c r="G358" s="132"/>
      <c r="H358" s="137"/>
      <c r="I358" s="138"/>
      <c r="J358" s="139"/>
      <c r="K358" s="46" t="s">
        <v>259</v>
      </c>
      <c r="L358" s="49">
        <f>(IF(B350&gt;2,(I350/(B350+2)+L357),0))</f>
        <v>0</v>
      </c>
    </row>
    <row r="359" spans="1:12" ht="15.5" x14ac:dyDescent="0.35">
      <c r="A359" s="128" t="s">
        <v>260</v>
      </c>
      <c r="B359" s="129" t="s">
        <v>260</v>
      </c>
      <c r="C359" s="53">
        <v>4</v>
      </c>
      <c r="D359" s="130">
        <f ca="1">((100/I350)*C359)/100</f>
        <v>0.8</v>
      </c>
      <c r="E359" s="131"/>
      <c r="F359" s="132"/>
      <c r="G359" s="132"/>
      <c r="H359" s="137"/>
      <c r="I359" s="138"/>
      <c r="J359" s="139"/>
      <c r="K359" s="46" t="s">
        <v>261</v>
      </c>
      <c r="L359" s="50">
        <f>(IF(B350&gt;3,(I350/(B350+2)+L358),0))</f>
        <v>0</v>
      </c>
    </row>
    <row r="360" spans="1:12" ht="15.5" x14ac:dyDescent="0.35">
      <c r="A360" s="128" t="s">
        <v>262</v>
      </c>
      <c r="B360" s="129"/>
      <c r="C360" s="53">
        <v>2</v>
      </c>
      <c r="D360" s="130">
        <f ca="1">((100/I350)*C360)/100</f>
        <v>0.4</v>
      </c>
      <c r="E360" s="131"/>
      <c r="F360" s="132"/>
      <c r="G360" s="132"/>
      <c r="H360" s="137"/>
      <c r="I360" s="138"/>
      <c r="J360" s="139"/>
      <c r="K360" s="46" t="s">
        <v>263</v>
      </c>
      <c r="L360" s="49">
        <f>(IF(B350&gt;4,(I350/(B350+2)+L359),0))</f>
        <v>0</v>
      </c>
    </row>
    <row r="361" spans="1:12" ht="15.5" x14ac:dyDescent="0.35">
      <c r="A361" s="128" t="s">
        <v>264</v>
      </c>
      <c r="B361" s="129" t="s">
        <v>264</v>
      </c>
      <c r="C361" s="53">
        <v>0</v>
      </c>
      <c r="D361" s="130">
        <f ca="1">((100/(I350))*C361)/100</f>
        <v>0</v>
      </c>
      <c r="E361" s="131"/>
      <c r="F361" s="132"/>
      <c r="G361" s="132"/>
      <c r="H361" s="137"/>
      <c r="I361" s="138"/>
      <c r="J361" s="139"/>
      <c r="K361" s="46" t="s">
        <v>265</v>
      </c>
      <c r="L361" s="49">
        <f ca="1">(IF(B350=1,(I350/(B350+3)+L356),IF(B350=0,(I350/4+L356),IF(B350&gt;1,0))))</f>
        <v>3.75</v>
      </c>
    </row>
    <row r="362" spans="1:12" ht="16" thickBot="1" x14ac:dyDescent="0.4">
      <c r="A362" s="145" t="s">
        <v>266</v>
      </c>
      <c r="B362" s="146"/>
      <c r="C362" s="55">
        <v>0</v>
      </c>
      <c r="D362" s="147">
        <f ca="1">((100/(I350))*C362)/100</f>
        <v>0</v>
      </c>
      <c r="E362" s="148"/>
      <c r="F362" s="133"/>
      <c r="G362" s="133"/>
      <c r="H362" s="140"/>
      <c r="I362" s="141"/>
      <c r="J362" s="142"/>
      <c r="K362" s="51" t="s">
        <v>267</v>
      </c>
      <c r="L362" s="52">
        <f ca="1">(IF(B350&gt;1.5,(I350/(B350+2)+L356+MAX(0,L357-L356)+MAX(0,L358-L357)+MAX(0,L359-L358)+MAX(0,L360-L359)+MAX(0,L361-L360)),IF(B350=1,(I350/(B350+3)+L361),IF(B350=0,I350/4+L361))))</f>
        <v>5</v>
      </c>
    </row>
    <row r="363" spans="1:12" ht="15.5" x14ac:dyDescent="0.35">
      <c r="A363" s="149" t="s">
        <v>236</v>
      </c>
      <c r="B363" s="150"/>
      <c r="C363" s="151" t="s">
        <v>278</v>
      </c>
      <c r="D363" s="152"/>
      <c r="E363" s="152"/>
      <c r="F363" s="152"/>
      <c r="G363" s="152"/>
      <c r="H363" s="152"/>
      <c r="I363" s="152"/>
      <c r="J363" s="153"/>
      <c r="K363" s="42" t="str">
        <f ca="1">(IF(F367&gt;99%,"All work completed. Please provide OC.",IF(F367&gt;89.8%,"Plinth, RCC, Brick, Plaster, Flooring, Painting work Completed. Finishing work is in process.",IF(F367&lt;94%,(IF(C367=0,"Work not yet Started.",IF(D367=25%,"Piling work in process",IF(D367=50%,"Excavation work in process",IF(D367=100%,"Excavation work Completed. ","0")))&amp;(IF(C368=0%,"",IF(C368=L369,"Footing work is process",IF(C368=L370,"Footing work Completed",IF(C368=L371,"1st Basement Completed",IF(C368=L372,"1st &amp; 2nd Basement Completed",IF(C368=L373,"1st to 3rd Basement Completed",IF(C368=L374,"1st to 4th Basement Completed",IF(C368=L375,"Plinth work is process",IF(C368=L376,"Plinth work completed","0")))))))))))&amp;(IF(C369=(D364+G364+I364),", RCC Slab",IF(C369&gt;0,", RCC upto "&amp;C369&amp;" Slab",""))&amp;(IF(C370=I364,", Brickwork",IF(C370&gt;0,", Brickwork upto "&amp;C370&amp;" Floor",""))&amp;(IF(C371=I364,", Internal Plaster",IF(C371&gt;0,", Internal Plaster upto "&amp;C371&amp;" Floor",""))&amp;(IF(C372=I364,", External Plaster",IF(C372&gt;0,", External Plaster upto "&amp;C372&amp;" Floor",""))&amp;(IF(C373=I364,", Flooring",IF(C373&gt;0,", Flooring upto "&amp;C373&amp;" Floor",""))&amp;(IF(C374=I364,", Painting",IF(C374&gt;0,", Painting upto "&amp;C374&amp;" Floor",""))&amp;(IF(C375&gt;0,", Finishing upto "&amp;C375&amp;" Floor","")&amp;(IF(C369&gt;0.5," Completed",""))))))))))))))</f>
        <v>Excavation work Completed. Plinth work completed, RCC Slab, Brickwork upto 4.5 Floor, Internal Plaster upto 4 Floor, External Plaster upto 4 Floor, Flooring upto 4 Floor, Painting upto 2 Floor Completed</v>
      </c>
      <c r="L363" s="43"/>
    </row>
    <row r="364" spans="1:12" ht="15.5" x14ac:dyDescent="0.35">
      <c r="A364" s="72" t="s">
        <v>237</v>
      </c>
      <c r="B364" s="73">
        <v>0</v>
      </c>
      <c r="C364" s="73" t="s">
        <v>238</v>
      </c>
      <c r="D364" s="73">
        <v>1</v>
      </c>
      <c r="E364" s="154" t="s">
        <v>239</v>
      </c>
      <c r="F364" s="155"/>
      <c r="G364" s="73">
        <v>0</v>
      </c>
      <c r="H364" s="73" t="s">
        <v>240</v>
      </c>
      <c r="I364" s="154">
        <f ca="1">--TRIM(RIGHT(SUBSTITUTE(LEFT(C363,_xlfn.AGGREGATE(16,6,FIND({0,1,2,3,4,5,6,7,8,9},C363,ROW(INDIRECT("1:"&amp;LEN(C363)))),1))," ",REPT(" ",LEN(C363))),LEN(C363)))</f>
        <v>5</v>
      </c>
      <c r="J364" s="156"/>
      <c r="K364" s="44"/>
      <c r="L364" s="45"/>
    </row>
    <row r="365" spans="1:12" ht="48.75" customHeight="1" x14ac:dyDescent="0.35">
      <c r="A365" s="157" t="s">
        <v>241</v>
      </c>
      <c r="B365" s="158"/>
      <c r="C365" s="159" t="str">
        <f ca="1">K363</f>
        <v>Excavation work Completed. Plinth work completed, RCC Slab, Brickwork upto 4.5 Floor, Internal Plaster upto 4 Floor, External Plaster upto 4 Floor, Flooring upto 4 Floor, Painting upto 2 Floor Completed</v>
      </c>
      <c r="D365" s="160"/>
      <c r="E365" s="160"/>
      <c r="F365" s="160"/>
      <c r="G365" s="160"/>
      <c r="H365" s="160"/>
      <c r="I365" s="160"/>
      <c r="J365" s="161"/>
      <c r="K365" s="44" t="s">
        <v>242</v>
      </c>
      <c r="L365" s="45"/>
    </row>
    <row r="366" spans="1:12" ht="15.5" x14ac:dyDescent="0.35">
      <c r="A366" s="162" t="s">
        <v>41</v>
      </c>
      <c r="B366" s="163"/>
      <c r="C366" s="71" t="s">
        <v>243</v>
      </c>
      <c r="D366" s="129" t="s">
        <v>244</v>
      </c>
      <c r="E366" s="129"/>
      <c r="F366" s="129" t="s">
        <v>245</v>
      </c>
      <c r="G366" s="129"/>
      <c r="H366" s="129" t="s">
        <v>246</v>
      </c>
      <c r="I366" s="129"/>
      <c r="J366" s="164"/>
      <c r="K366" s="46" t="s">
        <v>247</v>
      </c>
      <c r="L366" s="47">
        <f ca="1">I364*25%</f>
        <v>1.25</v>
      </c>
    </row>
    <row r="367" spans="1:12" ht="15.5" x14ac:dyDescent="0.35">
      <c r="A367" s="128" t="s">
        <v>248</v>
      </c>
      <c r="B367" s="129"/>
      <c r="C367" s="53">
        <f ca="1">L368</f>
        <v>5</v>
      </c>
      <c r="D367" s="130">
        <f ca="1">((100/I364)*C367)/100</f>
        <v>1</v>
      </c>
      <c r="E367" s="131"/>
      <c r="F367" s="132">
        <f ca="1">(((C368/I364*10)+(40/(D364+G364+I364)*C369)+(7.5/(I364)*C370)+(7.5/(I364)*C371)+(10/I364*C372)+(10/I364*C373)+(5/I364*C374)+(5/I364*C375)+(5/I364*C376))/100)</f>
        <v>0.8075</v>
      </c>
      <c r="G367" s="132"/>
      <c r="H367" s="134">
        <f ca="1">((((C367/I364)*20)+((C368/I364)*25)+(30/(I364+G364+D364)*C369)+(5/I364*C370)+(5/I364*C371)+(5/I364*C372)+(5/I364*C373)+(0/I364*C374)+(0/I364*C375)+(5/I364*C376))/100)</f>
        <v>0.91500000000000004</v>
      </c>
      <c r="I367" s="135"/>
      <c r="J367" s="136"/>
      <c r="K367" s="46" t="s">
        <v>249</v>
      </c>
      <c r="L367" s="48">
        <f ca="1">I364*50%</f>
        <v>2.5</v>
      </c>
    </row>
    <row r="368" spans="1:12" ht="15.5" x14ac:dyDescent="0.35">
      <c r="A368" s="128" t="s">
        <v>42</v>
      </c>
      <c r="B368" s="129"/>
      <c r="C368" s="54">
        <f ca="1">L376</f>
        <v>5</v>
      </c>
      <c r="D368" s="130">
        <f ca="1">((100/I364)*C368)/100</f>
        <v>1</v>
      </c>
      <c r="E368" s="131"/>
      <c r="F368" s="132"/>
      <c r="G368" s="132"/>
      <c r="H368" s="137"/>
      <c r="I368" s="138"/>
      <c r="J368" s="139"/>
      <c r="K368" s="46" t="s">
        <v>250</v>
      </c>
      <c r="L368" s="48">
        <f ca="1">I364</f>
        <v>5</v>
      </c>
    </row>
    <row r="369" spans="1:12" ht="15.5" x14ac:dyDescent="0.35">
      <c r="A369" s="128" t="s">
        <v>272</v>
      </c>
      <c r="B369" s="129"/>
      <c r="C369" s="54">
        <v>6</v>
      </c>
      <c r="D369" s="130">
        <f ca="1">((100/(D364+G364+I364))*C369)/100</f>
        <v>1</v>
      </c>
      <c r="E369" s="131"/>
      <c r="F369" s="132"/>
      <c r="G369" s="132"/>
      <c r="H369" s="137"/>
      <c r="I369" s="138"/>
      <c r="J369" s="139"/>
      <c r="K369" s="46" t="s">
        <v>251</v>
      </c>
      <c r="L369" s="49">
        <f ca="1">(IF(B364&gt;1,(I364/(B364+2)),I364/4))</f>
        <v>1.25</v>
      </c>
    </row>
    <row r="370" spans="1:12" ht="15.5" x14ac:dyDescent="0.35">
      <c r="A370" s="128" t="s">
        <v>252</v>
      </c>
      <c r="B370" s="129" t="s">
        <v>253</v>
      </c>
      <c r="C370" s="53">
        <v>4.5</v>
      </c>
      <c r="D370" s="130">
        <f ca="1">((100/I364)*C370)/100</f>
        <v>0.9</v>
      </c>
      <c r="E370" s="131"/>
      <c r="F370" s="132"/>
      <c r="G370" s="132"/>
      <c r="H370" s="137"/>
      <c r="I370" s="138"/>
      <c r="J370" s="139"/>
      <c r="K370" s="46" t="s">
        <v>254</v>
      </c>
      <c r="L370" s="49">
        <f ca="1">(IF(B364&gt;1,(I364/(B364+2)+L369),I364/4+L369))</f>
        <v>2.5</v>
      </c>
    </row>
    <row r="371" spans="1:12" ht="15.5" x14ac:dyDescent="0.35">
      <c r="A371" s="128" t="s">
        <v>255</v>
      </c>
      <c r="B371" s="129" t="s">
        <v>253</v>
      </c>
      <c r="C371" s="53">
        <v>4</v>
      </c>
      <c r="D371" s="130">
        <f ca="1">((100/I364)*C371)/100</f>
        <v>0.8</v>
      </c>
      <c r="E371" s="131"/>
      <c r="F371" s="132"/>
      <c r="G371" s="132"/>
      <c r="H371" s="137"/>
      <c r="I371" s="138"/>
      <c r="J371" s="139"/>
      <c r="K371" s="46" t="s">
        <v>256</v>
      </c>
      <c r="L371" s="49">
        <f>(IF(B364&gt;1,(I364/(B364+2)+L370),0))</f>
        <v>0</v>
      </c>
    </row>
    <row r="372" spans="1:12" ht="15.5" x14ac:dyDescent="0.35">
      <c r="A372" s="143" t="s">
        <v>257</v>
      </c>
      <c r="B372" s="144" t="s">
        <v>258</v>
      </c>
      <c r="C372" s="53">
        <v>4</v>
      </c>
      <c r="D372" s="130">
        <f ca="1">((100/(I364))*C372)/100</f>
        <v>0.8</v>
      </c>
      <c r="E372" s="131"/>
      <c r="F372" s="132"/>
      <c r="G372" s="132"/>
      <c r="H372" s="137"/>
      <c r="I372" s="138"/>
      <c r="J372" s="139"/>
      <c r="K372" s="46" t="s">
        <v>259</v>
      </c>
      <c r="L372" s="49">
        <f>(IF(B364&gt;2,(I364/(B364+2)+L371),0))</f>
        <v>0</v>
      </c>
    </row>
    <row r="373" spans="1:12" ht="15.5" x14ac:dyDescent="0.35">
      <c r="A373" s="128" t="s">
        <v>260</v>
      </c>
      <c r="B373" s="129" t="s">
        <v>260</v>
      </c>
      <c r="C373" s="53">
        <v>4</v>
      </c>
      <c r="D373" s="130">
        <f ca="1">((100/I364)*C373)/100</f>
        <v>0.8</v>
      </c>
      <c r="E373" s="131"/>
      <c r="F373" s="132"/>
      <c r="G373" s="132"/>
      <c r="H373" s="137"/>
      <c r="I373" s="138"/>
      <c r="J373" s="139"/>
      <c r="K373" s="46" t="s">
        <v>261</v>
      </c>
      <c r="L373" s="50">
        <f>(IF(B364&gt;3,(I364/(B364+2)+L372),0))</f>
        <v>0</v>
      </c>
    </row>
    <row r="374" spans="1:12" ht="15.5" x14ac:dyDescent="0.35">
      <c r="A374" s="128" t="s">
        <v>262</v>
      </c>
      <c r="B374" s="129"/>
      <c r="C374" s="53">
        <v>2</v>
      </c>
      <c r="D374" s="130">
        <f ca="1">((100/I364)*C374)/100</f>
        <v>0.4</v>
      </c>
      <c r="E374" s="131"/>
      <c r="F374" s="132"/>
      <c r="G374" s="132"/>
      <c r="H374" s="137"/>
      <c r="I374" s="138"/>
      <c r="J374" s="139"/>
      <c r="K374" s="46" t="s">
        <v>263</v>
      </c>
      <c r="L374" s="49">
        <f>(IF(B364&gt;4,(I364/(B364+2)+L373),0))</f>
        <v>0</v>
      </c>
    </row>
    <row r="375" spans="1:12" ht="15.5" x14ac:dyDescent="0.35">
      <c r="A375" s="128" t="s">
        <v>264</v>
      </c>
      <c r="B375" s="129" t="s">
        <v>264</v>
      </c>
      <c r="C375" s="53">
        <v>0</v>
      </c>
      <c r="D375" s="130">
        <f ca="1">((100/(I364))*C375)/100</f>
        <v>0</v>
      </c>
      <c r="E375" s="131"/>
      <c r="F375" s="132"/>
      <c r="G375" s="132"/>
      <c r="H375" s="137"/>
      <c r="I375" s="138"/>
      <c r="J375" s="139"/>
      <c r="K375" s="46" t="s">
        <v>265</v>
      </c>
      <c r="L375" s="49">
        <f ca="1">(IF(B364=1,(I364/(B364+3)+L370),IF(B364=0,(I364/4+L370),IF(B364&gt;1,0))))</f>
        <v>3.75</v>
      </c>
    </row>
    <row r="376" spans="1:12" ht="17.25" customHeight="1" thickBot="1" x14ac:dyDescent="0.4">
      <c r="A376" s="145" t="s">
        <v>266</v>
      </c>
      <c r="B376" s="146"/>
      <c r="C376" s="55">
        <v>0</v>
      </c>
      <c r="D376" s="147">
        <f ca="1">((100/(I364))*C376)/100</f>
        <v>0</v>
      </c>
      <c r="E376" s="148"/>
      <c r="F376" s="133"/>
      <c r="G376" s="133"/>
      <c r="H376" s="140"/>
      <c r="I376" s="141"/>
      <c r="J376" s="142"/>
      <c r="K376" s="51" t="s">
        <v>267</v>
      </c>
      <c r="L376" s="52">
        <f ca="1">(IF(B364&gt;1.5,(I364/(B364+2)+L370+MAX(0,L371-L370)+MAX(0,L372-L371)+MAX(0,L373-L372)+MAX(0,L374-L373)+MAX(0,L375-L374)),IF(B364=1,(I364/(B364+3)+L375),IF(B364=0,I364/4+L375))))</f>
        <v>5</v>
      </c>
    </row>
    <row r="377" spans="1:12" ht="15.5" x14ac:dyDescent="0.35">
      <c r="A377" s="149" t="s">
        <v>236</v>
      </c>
      <c r="B377" s="150"/>
      <c r="C377" s="151" t="s">
        <v>273</v>
      </c>
      <c r="D377" s="152"/>
      <c r="E377" s="152"/>
      <c r="F377" s="152"/>
      <c r="G377" s="152"/>
      <c r="H377" s="152"/>
      <c r="I377" s="152"/>
      <c r="J377" s="153"/>
      <c r="K377" s="42" t="str">
        <f ca="1">(IF(F381&gt;99%,"All work completed. Please provide OC.",IF(F381&gt;89.8%,"Plinth, RCC, Brick, Plaster, Flooring, Painting work Completed. Finishing work is in process.",IF(F381&lt;94%,(IF(C381=0,"Work not yet Started.",IF(D381=25%,"Piling work in process",IF(D381=50%,"Excavation work in process",IF(D381=100%,"Excavation work Completed. ","0")))&amp;(IF(C382=0%,"",IF(C382=L383,"Footing work is process",IF(C382=L384,"Footing work Completed",IF(C382=L385,"1st Basement Completed",IF(C382=L386,"1st &amp; 2nd Basement Completed",IF(C382=L387,"1st to 3rd Basement Completed",IF(C382=L388,"1st to 4th Basement Completed",IF(C382=L389,"Plinth work is process",IF(C382=L390,"Plinth work completed","0")))))))))))&amp;(IF(C383=(D378+G378+I378),", RCC Slab",IF(C383&gt;0,", RCC upto "&amp;C383&amp;" Slab",""))&amp;(IF(C384=I378,", Brickwork",IF(C384&gt;0,", Brickwork upto "&amp;C384&amp;" Floor",""))&amp;(IF(C385=I378,", Internal Plaster",IF(C385&gt;0,", Internal Plaster upto "&amp;C385&amp;" Floor",""))&amp;(IF(C386=I378,", External Plaster",IF(C386&gt;0,", External Plaster upto "&amp;C386&amp;" Floor",""))&amp;(IF(C387=I378,", Flooring",IF(C387&gt;0,", Flooring upto "&amp;C387&amp;" Floor",""))&amp;(IF(C388=I378,", Painting",IF(C388&gt;0,", Painting upto "&amp;C388&amp;" Floor",""))&amp;(IF(C389&gt;0,", Finishing upto "&amp;C389&amp;" Floor","")&amp;(IF(C383&gt;0.5," Completed",""))))))))))))))</f>
        <v>Plinth, RCC, Brick, Plaster, Flooring, Painting work Completed. Finishing work is in process.</v>
      </c>
      <c r="L377" s="43"/>
    </row>
    <row r="378" spans="1:12" ht="15.5" x14ac:dyDescent="0.35">
      <c r="A378" s="72" t="s">
        <v>237</v>
      </c>
      <c r="B378" s="73">
        <v>0</v>
      </c>
      <c r="C378" s="73" t="s">
        <v>238</v>
      </c>
      <c r="D378" s="73">
        <v>1</v>
      </c>
      <c r="E378" s="154" t="s">
        <v>239</v>
      </c>
      <c r="F378" s="155"/>
      <c r="G378" s="73">
        <v>0</v>
      </c>
      <c r="H378" s="73" t="s">
        <v>240</v>
      </c>
      <c r="I378" s="154">
        <f ca="1">--TRIM(RIGHT(SUBSTITUTE(LEFT(C377,_xlfn.AGGREGATE(16,6,FIND({0,1,2,3,4,5,6,7,8,9},C377,ROW(INDIRECT("1:"&amp;LEN(C377)))),1))," ",REPT(" ",LEN(C377))),LEN(C377)))</f>
        <v>5</v>
      </c>
      <c r="J378" s="156"/>
      <c r="K378" s="44"/>
      <c r="L378" s="45"/>
    </row>
    <row r="379" spans="1:12" ht="33.75" customHeight="1" x14ac:dyDescent="0.35">
      <c r="A379" s="157" t="s">
        <v>241</v>
      </c>
      <c r="B379" s="158"/>
      <c r="C379" s="159" t="str">
        <f ca="1">K377</f>
        <v>Plinth, RCC, Brick, Plaster, Flooring, Painting work Completed. Finishing work is in process.</v>
      </c>
      <c r="D379" s="160"/>
      <c r="E379" s="160"/>
      <c r="F379" s="160"/>
      <c r="G379" s="160"/>
      <c r="H379" s="160"/>
      <c r="I379" s="160"/>
      <c r="J379" s="161"/>
      <c r="K379" s="44" t="s">
        <v>242</v>
      </c>
      <c r="L379" s="45"/>
    </row>
    <row r="380" spans="1:12" ht="15.5" x14ac:dyDescent="0.35">
      <c r="A380" s="162" t="s">
        <v>41</v>
      </c>
      <c r="B380" s="163"/>
      <c r="C380" s="71" t="s">
        <v>243</v>
      </c>
      <c r="D380" s="129" t="s">
        <v>244</v>
      </c>
      <c r="E380" s="129"/>
      <c r="F380" s="129" t="s">
        <v>245</v>
      </c>
      <c r="G380" s="129"/>
      <c r="H380" s="129" t="s">
        <v>246</v>
      </c>
      <c r="I380" s="129"/>
      <c r="J380" s="164"/>
      <c r="K380" s="46" t="s">
        <v>247</v>
      </c>
      <c r="L380" s="47">
        <f ca="1">I378*25%</f>
        <v>1.25</v>
      </c>
    </row>
    <row r="381" spans="1:12" ht="15.5" x14ac:dyDescent="0.35">
      <c r="A381" s="128" t="s">
        <v>248</v>
      </c>
      <c r="B381" s="129"/>
      <c r="C381" s="53">
        <f ca="1">L382</f>
        <v>5</v>
      </c>
      <c r="D381" s="130">
        <f ca="1">((100/I378)*C381)/100</f>
        <v>1</v>
      </c>
      <c r="E381" s="131"/>
      <c r="F381" s="132">
        <f ca="1">(((C382/I378*10)+(40/(D378+G378+I378)*C383)+(7.5/(I378)*C384)+(7.5/(I378)*C385)+(10/I378*C386)+(10/I378*C387)+(5/I378*C388)+(5/I378*C389)+(5/I378*C390))/100)</f>
        <v>0.9</v>
      </c>
      <c r="G381" s="132"/>
      <c r="H381" s="134">
        <f ca="1">((((C381/I378)*20)+((C382/I378)*25)+(30/(I378+G378+D378)*C383)+(5/I378*C384)+(5/I378*C385)+(5/I378*C386)+(5/I378*C387)+(0/I378*C388)+(0/I378*C389)+(5/I378*C390))/100)</f>
        <v>0.95</v>
      </c>
      <c r="I381" s="135"/>
      <c r="J381" s="136"/>
      <c r="K381" s="46" t="s">
        <v>249</v>
      </c>
      <c r="L381" s="48">
        <f ca="1">I378*50%</f>
        <v>2.5</v>
      </c>
    </row>
    <row r="382" spans="1:12" ht="15.5" x14ac:dyDescent="0.35">
      <c r="A382" s="128" t="s">
        <v>42</v>
      </c>
      <c r="B382" s="129"/>
      <c r="C382" s="54">
        <f ca="1">L390</f>
        <v>5</v>
      </c>
      <c r="D382" s="130">
        <f ca="1">((100/I378)*C382)/100</f>
        <v>1</v>
      </c>
      <c r="E382" s="131"/>
      <c r="F382" s="132"/>
      <c r="G382" s="132"/>
      <c r="H382" s="137"/>
      <c r="I382" s="138"/>
      <c r="J382" s="139"/>
      <c r="K382" s="46" t="s">
        <v>250</v>
      </c>
      <c r="L382" s="48">
        <f ca="1">I378</f>
        <v>5</v>
      </c>
    </row>
    <row r="383" spans="1:12" ht="15.5" x14ac:dyDescent="0.35">
      <c r="A383" s="128" t="s">
        <v>272</v>
      </c>
      <c r="B383" s="129"/>
      <c r="C383" s="54">
        <v>6</v>
      </c>
      <c r="D383" s="130">
        <f ca="1">((100/(D378+G378+I378))*C383)/100</f>
        <v>1</v>
      </c>
      <c r="E383" s="131"/>
      <c r="F383" s="132"/>
      <c r="G383" s="132"/>
      <c r="H383" s="137"/>
      <c r="I383" s="138"/>
      <c r="J383" s="139"/>
      <c r="K383" s="46" t="s">
        <v>251</v>
      </c>
      <c r="L383" s="49">
        <f ca="1">(IF(B378&gt;1,(I378/(B378+2)),I378/4))</f>
        <v>1.25</v>
      </c>
    </row>
    <row r="384" spans="1:12" ht="15.5" x14ac:dyDescent="0.35">
      <c r="A384" s="128" t="s">
        <v>252</v>
      </c>
      <c r="B384" s="129" t="s">
        <v>253</v>
      </c>
      <c r="C384" s="53">
        <v>5</v>
      </c>
      <c r="D384" s="130">
        <f ca="1">((100/I378)*C384)/100</f>
        <v>1</v>
      </c>
      <c r="E384" s="131"/>
      <c r="F384" s="132"/>
      <c r="G384" s="132"/>
      <c r="H384" s="137"/>
      <c r="I384" s="138"/>
      <c r="J384" s="139"/>
      <c r="K384" s="46" t="s">
        <v>254</v>
      </c>
      <c r="L384" s="49">
        <f ca="1">(IF(B378&gt;1,(I378/(B378+2)+L383),I378/4+L383))</f>
        <v>2.5</v>
      </c>
    </row>
    <row r="385" spans="1:12" ht="15.5" x14ac:dyDescent="0.35">
      <c r="A385" s="128" t="s">
        <v>255</v>
      </c>
      <c r="B385" s="129" t="s">
        <v>253</v>
      </c>
      <c r="C385" s="53">
        <v>5</v>
      </c>
      <c r="D385" s="130">
        <f ca="1">((100/I378)*C385)/100</f>
        <v>1</v>
      </c>
      <c r="E385" s="131"/>
      <c r="F385" s="132"/>
      <c r="G385" s="132"/>
      <c r="H385" s="137"/>
      <c r="I385" s="138"/>
      <c r="J385" s="139"/>
      <c r="K385" s="46" t="s">
        <v>256</v>
      </c>
      <c r="L385" s="49">
        <f>(IF(B378&gt;1,(I378/(B378+2)+L384),0))</f>
        <v>0</v>
      </c>
    </row>
    <row r="386" spans="1:12" ht="15.5" x14ac:dyDescent="0.35">
      <c r="A386" s="143" t="s">
        <v>257</v>
      </c>
      <c r="B386" s="144" t="s">
        <v>258</v>
      </c>
      <c r="C386" s="53">
        <v>5</v>
      </c>
      <c r="D386" s="130">
        <f ca="1">((100/(I378))*C386)/100</f>
        <v>1</v>
      </c>
      <c r="E386" s="131"/>
      <c r="F386" s="132"/>
      <c r="G386" s="132"/>
      <c r="H386" s="137"/>
      <c r="I386" s="138"/>
      <c r="J386" s="139"/>
      <c r="K386" s="46" t="s">
        <v>259</v>
      </c>
      <c r="L386" s="49">
        <f>(IF(B378&gt;2,(I378/(B378+2)+L385),0))</f>
        <v>0</v>
      </c>
    </row>
    <row r="387" spans="1:12" ht="15.5" x14ac:dyDescent="0.35">
      <c r="A387" s="128" t="s">
        <v>260</v>
      </c>
      <c r="B387" s="129" t="s">
        <v>260</v>
      </c>
      <c r="C387" s="53">
        <v>5</v>
      </c>
      <c r="D387" s="130">
        <f ca="1">((100/I378)*C387)/100</f>
        <v>1</v>
      </c>
      <c r="E387" s="131"/>
      <c r="F387" s="132"/>
      <c r="G387" s="132"/>
      <c r="H387" s="137"/>
      <c r="I387" s="138"/>
      <c r="J387" s="139"/>
      <c r="K387" s="46" t="s">
        <v>261</v>
      </c>
      <c r="L387" s="50">
        <f>(IF(B378&gt;3,(I378/(B378+2)+L386),0))</f>
        <v>0</v>
      </c>
    </row>
    <row r="388" spans="1:12" ht="15.5" x14ac:dyDescent="0.35">
      <c r="A388" s="128" t="s">
        <v>262</v>
      </c>
      <c r="B388" s="129"/>
      <c r="C388" s="53">
        <v>5</v>
      </c>
      <c r="D388" s="130">
        <f ca="1">((100/I378)*C388)/100</f>
        <v>1</v>
      </c>
      <c r="E388" s="131"/>
      <c r="F388" s="132"/>
      <c r="G388" s="132"/>
      <c r="H388" s="137"/>
      <c r="I388" s="138"/>
      <c r="J388" s="139"/>
      <c r="K388" s="46" t="s">
        <v>263</v>
      </c>
      <c r="L388" s="49">
        <f>(IF(B378&gt;4,(I378/(B378+2)+L387),0))</f>
        <v>0</v>
      </c>
    </row>
    <row r="389" spans="1:12" ht="15.5" x14ac:dyDescent="0.35">
      <c r="A389" s="128" t="s">
        <v>264</v>
      </c>
      <c r="B389" s="129" t="s">
        <v>264</v>
      </c>
      <c r="C389" s="53">
        <v>0</v>
      </c>
      <c r="D389" s="130">
        <f ca="1">((100/(I378))*C389)/100</f>
        <v>0</v>
      </c>
      <c r="E389" s="131"/>
      <c r="F389" s="132"/>
      <c r="G389" s="132"/>
      <c r="H389" s="137"/>
      <c r="I389" s="138"/>
      <c r="J389" s="139"/>
      <c r="K389" s="46" t="s">
        <v>265</v>
      </c>
      <c r="L389" s="49">
        <f ca="1">(IF(B378=1,(I378/(B378+3)+L384),IF(B378=0,(I378/4+L384),IF(B378&gt;1,0))))</f>
        <v>3.75</v>
      </c>
    </row>
    <row r="390" spans="1:12" ht="16" thickBot="1" x14ac:dyDescent="0.4">
      <c r="A390" s="145" t="s">
        <v>266</v>
      </c>
      <c r="B390" s="146"/>
      <c r="C390" s="55">
        <v>0</v>
      </c>
      <c r="D390" s="147">
        <f ca="1">((100/(I378))*C390)/100</f>
        <v>0</v>
      </c>
      <c r="E390" s="148"/>
      <c r="F390" s="133"/>
      <c r="G390" s="133"/>
      <c r="H390" s="140"/>
      <c r="I390" s="141"/>
      <c r="J390" s="142"/>
      <c r="K390" s="51" t="s">
        <v>267</v>
      </c>
      <c r="L390" s="52">
        <f ca="1">(IF(B378&gt;1.5,(I378/(B378+2)+L384+MAX(0,L385-L384)+MAX(0,L386-L385)+MAX(0,L387-L386)+MAX(0,L388-L387)+MAX(0,L389-L388)),IF(B378=1,(I378/(B378+3)+L389),IF(B378=0,I378/4+L389))))</f>
        <v>5</v>
      </c>
    </row>
    <row r="391" spans="1:12" ht="15.5" x14ac:dyDescent="0.35">
      <c r="A391" s="149" t="s">
        <v>236</v>
      </c>
      <c r="B391" s="150"/>
      <c r="C391" s="151" t="s">
        <v>268</v>
      </c>
      <c r="D391" s="152"/>
      <c r="E391" s="152"/>
      <c r="F391" s="152"/>
      <c r="G391" s="152"/>
      <c r="H391" s="152"/>
      <c r="I391" s="152"/>
      <c r="J391" s="153"/>
      <c r="K391" s="42" t="str">
        <f ca="1">(IF(F395&gt;99%,"All work completed. Please provide OC.",IF(F395&gt;89.8%,"Plinth, RCC, Brick, Plaster, Flooring, Painting work Completed. Finishing work is in process.",IF(F395&lt;94%,(IF(C395=0,"Work not yet Started.",IF(D395=25%,"Piling work in process",IF(D395=50%,"Excavation work in process",IF(D395=100%,"Excavation work Completed. ","0")))&amp;(IF(C396=0%,"",IF(C396=L397,"Footing work is process",IF(C396=L398,"Footing work Completed",IF(C396=L399,"1st Basement Completed",IF(C396=L400,"1st &amp; 2nd Basement Completed",IF(C396=L401,"1st to 3rd Basement Completed",IF(C396=L402,"1st to 4th Basement Completed",IF(C396=L403,"Plinth work is process",IF(C396=L404,"Plinth work completed","0")))))))))))&amp;(IF(C397=(D392+G392+I392),", RCC Slab",IF(C397&gt;0,", RCC upto "&amp;C397&amp;" Slab",""))&amp;(IF(C398=I392,", Brickwork",IF(C398&gt;0,", Brickwork upto "&amp;C398&amp;" Floor",""))&amp;(IF(C399=I392,", Internal Plaster",IF(C399&gt;0,", Internal Plaster upto "&amp;C399&amp;" Floor",""))&amp;(IF(C400=I392,", External Plaster",IF(C400&gt;0,", External Plaster upto "&amp;C400&amp;" Floor",""))&amp;(IF(C401=I392,", Flooring",IF(C401&gt;0,", Flooring upto "&amp;C401&amp;" Floor",""))&amp;(IF(C402=I392,", Painting",IF(C402&gt;0,", Painting upto "&amp;C402&amp;" Floor",""))&amp;(IF(C403&gt;0,", Finishing upto "&amp;C403&amp;" Floor","")&amp;(IF(C397&gt;0.5," Completed",""))))))))))))))</f>
        <v>Excavation work Completed. Plinth work completed, RCC upto 3 Slab, Brickwork upto 1 Floor Completed</v>
      </c>
      <c r="L391" s="43"/>
    </row>
    <row r="392" spans="1:12" ht="15.5" x14ac:dyDescent="0.35">
      <c r="A392" s="72" t="s">
        <v>237</v>
      </c>
      <c r="B392" s="73">
        <v>0</v>
      </c>
      <c r="C392" s="73" t="s">
        <v>238</v>
      </c>
      <c r="D392" s="73">
        <v>1</v>
      </c>
      <c r="E392" s="154" t="s">
        <v>239</v>
      </c>
      <c r="F392" s="155"/>
      <c r="G392" s="73">
        <v>0</v>
      </c>
      <c r="H392" s="73" t="s">
        <v>240</v>
      </c>
      <c r="I392" s="154">
        <f ca="1">--TRIM(RIGHT(SUBSTITUTE(LEFT(C391,_xlfn.AGGREGATE(16,6,FIND({0,1,2,3,4,5,6,7,8,9},C391,ROW(INDIRECT("1:"&amp;LEN(C391)))),1))," ",REPT(" ",LEN(C391))),LEN(C391)))</f>
        <v>5</v>
      </c>
      <c r="J392" s="156"/>
      <c r="K392" s="44"/>
      <c r="L392" s="45"/>
    </row>
    <row r="393" spans="1:12" ht="33" customHeight="1" x14ac:dyDescent="0.35">
      <c r="A393" s="157" t="s">
        <v>241</v>
      </c>
      <c r="B393" s="158"/>
      <c r="C393" s="159" t="str">
        <f ca="1">K391</f>
        <v>Excavation work Completed. Plinth work completed, RCC upto 3 Slab, Brickwork upto 1 Floor Completed</v>
      </c>
      <c r="D393" s="160"/>
      <c r="E393" s="160"/>
      <c r="F393" s="160"/>
      <c r="G393" s="160"/>
      <c r="H393" s="160"/>
      <c r="I393" s="160"/>
      <c r="J393" s="161"/>
      <c r="K393" s="44" t="s">
        <v>242</v>
      </c>
      <c r="L393" s="45"/>
    </row>
    <row r="394" spans="1:12" ht="15.5" x14ac:dyDescent="0.35">
      <c r="A394" s="162" t="s">
        <v>41</v>
      </c>
      <c r="B394" s="163"/>
      <c r="C394" s="71" t="s">
        <v>243</v>
      </c>
      <c r="D394" s="129" t="s">
        <v>244</v>
      </c>
      <c r="E394" s="129"/>
      <c r="F394" s="129" t="s">
        <v>245</v>
      </c>
      <c r="G394" s="129"/>
      <c r="H394" s="129" t="s">
        <v>246</v>
      </c>
      <c r="I394" s="129"/>
      <c r="J394" s="164"/>
      <c r="K394" s="46" t="s">
        <v>247</v>
      </c>
      <c r="L394" s="47">
        <f ca="1">I392*25%</f>
        <v>1.25</v>
      </c>
    </row>
    <row r="395" spans="1:12" ht="15.5" x14ac:dyDescent="0.35">
      <c r="A395" s="128" t="s">
        <v>248</v>
      </c>
      <c r="B395" s="129"/>
      <c r="C395" s="53">
        <f ca="1">L396</f>
        <v>5</v>
      </c>
      <c r="D395" s="130">
        <f ca="1">((100/I392)*C395)/100</f>
        <v>1</v>
      </c>
      <c r="E395" s="131"/>
      <c r="F395" s="132">
        <f ca="1">(((C396/I392*10)+(40/(D392+G392+I392)*C397)+(7.5/(I392)*C398)+(7.5/(I392)*C399)+(10/I392*C400)+(10/I392*C401)+(5/I392*C402)+(5/I392*C403)+(5/I392*C404))/100)</f>
        <v>0.315</v>
      </c>
      <c r="G395" s="132"/>
      <c r="H395" s="134">
        <f ca="1">((((C395/I392)*20)+((C396/I392)*25)+(30/(I392+G392+D392)*C397)+(5/I392*C398)+(5/I392*C399)+(5/I392*C400)+(5/I392*C401)+(0/I392*C402)+(0/I392*C403)+(5/I392*C404))/100)</f>
        <v>0.61</v>
      </c>
      <c r="I395" s="135"/>
      <c r="J395" s="136"/>
      <c r="K395" s="46" t="s">
        <v>249</v>
      </c>
      <c r="L395" s="48">
        <f ca="1">I392*50%</f>
        <v>2.5</v>
      </c>
    </row>
    <row r="396" spans="1:12" ht="15.5" x14ac:dyDescent="0.35">
      <c r="A396" s="128" t="s">
        <v>42</v>
      </c>
      <c r="B396" s="129"/>
      <c r="C396" s="54">
        <f ca="1">L404</f>
        <v>5</v>
      </c>
      <c r="D396" s="130">
        <f ca="1">((100/I392)*C396)/100</f>
        <v>1</v>
      </c>
      <c r="E396" s="131"/>
      <c r="F396" s="132"/>
      <c r="G396" s="132"/>
      <c r="H396" s="137"/>
      <c r="I396" s="138"/>
      <c r="J396" s="139"/>
      <c r="K396" s="46" t="s">
        <v>250</v>
      </c>
      <c r="L396" s="48">
        <f ca="1">I392</f>
        <v>5</v>
      </c>
    </row>
    <row r="397" spans="1:12" ht="15.5" x14ac:dyDescent="0.35">
      <c r="A397" s="128" t="s">
        <v>272</v>
      </c>
      <c r="B397" s="129"/>
      <c r="C397" s="54">
        <v>3</v>
      </c>
      <c r="D397" s="130">
        <f ca="1">((100/(D392+G392+I392))*C397)/100</f>
        <v>0.5</v>
      </c>
      <c r="E397" s="131"/>
      <c r="F397" s="132"/>
      <c r="G397" s="132"/>
      <c r="H397" s="137"/>
      <c r="I397" s="138"/>
      <c r="J397" s="139"/>
      <c r="K397" s="46" t="s">
        <v>251</v>
      </c>
      <c r="L397" s="49">
        <f ca="1">(IF(B392&gt;1,(I392/(B392+2)),I392/4))</f>
        <v>1.25</v>
      </c>
    </row>
    <row r="398" spans="1:12" ht="15.5" x14ac:dyDescent="0.35">
      <c r="A398" s="128" t="s">
        <v>252</v>
      </c>
      <c r="B398" s="129" t="s">
        <v>253</v>
      </c>
      <c r="C398" s="53">
        <v>1</v>
      </c>
      <c r="D398" s="130">
        <f ca="1">((100/I392)*C398)/100</f>
        <v>0.2</v>
      </c>
      <c r="E398" s="131"/>
      <c r="F398" s="132"/>
      <c r="G398" s="132"/>
      <c r="H398" s="137"/>
      <c r="I398" s="138"/>
      <c r="J398" s="139"/>
      <c r="K398" s="46" t="s">
        <v>254</v>
      </c>
      <c r="L398" s="49">
        <f ca="1">(IF(B392&gt;1,(I392/(B392+2)+L397),I392/4+L397))</f>
        <v>2.5</v>
      </c>
    </row>
    <row r="399" spans="1:12" ht="15.5" x14ac:dyDescent="0.35">
      <c r="A399" s="128" t="s">
        <v>255</v>
      </c>
      <c r="B399" s="129" t="s">
        <v>253</v>
      </c>
      <c r="C399" s="53">
        <v>0</v>
      </c>
      <c r="D399" s="130">
        <f ca="1">((100/I392)*C399)/100</f>
        <v>0</v>
      </c>
      <c r="E399" s="131"/>
      <c r="F399" s="132"/>
      <c r="G399" s="132"/>
      <c r="H399" s="137"/>
      <c r="I399" s="138"/>
      <c r="J399" s="139"/>
      <c r="K399" s="46" t="s">
        <v>256</v>
      </c>
      <c r="L399" s="49">
        <f>(IF(B392&gt;1,(I392/(B392+2)+L398),0))</f>
        <v>0</v>
      </c>
    </row>
    <row r="400" spans="1:12" ht="15.5" x14ac:dyDescent="0.35">
      <c r="A400" s="143" t="s">
        <v>257</v>
      </c>
      <c r="B400" s="144" t="s">
        <v>258</v>
      </c>
      <c r="C400" s="53">
        <v>0</v>
      </c>
      <c r="D400" s="130">
        <f ca="1">((100/(I392))*C400)/100</f>
        <v>0</v>
      </c>
      <c r="E400" s="131"/>
      <c r="F400" s="132"/>
      <c r="G400" s="132"/>
      <c r="H400" s="137"/>
      <c r="I400" s="138"/>
      <c r="J400" s="139"/>
      <c r="K400" s="46" t="s">
        <v>259</v>
      </c>
      <c r="L400" s="49">
        <f>(IF(B392&gt;2,(I392/(B392+2)+L399),0))</f>
        <v>0</v>
      </c>
    </row>
    <row r="401" spans="1:12" ht="15.5" x14ac:dyDescent="0.35">
      <c r="A401" s="128" t="s">
        <v>260</v>
      </c>
      <c r="B401" s="129" t="s">
        <v>260</v>
      </c>
      <c r="C401" s="53">
        <v>0</v>
      </c>
      <c r="D401" s="130">
        <f ca="1">((100/I392)*C401)/100</f>
        <v>0</v>
      </c>
      <c r="E401" s="131"/>
      <c r="F401" s="132"/>
      <c r="G401" s="132"/>
      <c r="H401" s="137"/>
      <c r="I401" s="138"/>
      <c r="J401" s="139"/>
      <c r="K401" s="46" t="s">
        <v>261</v>
      </c>
      <c r="L401" s="50">
        <f>(IF(B392&gt;3,(I392/(B392+2)+L400),0))</f>
        <v>0</v>
      </c>
    </row>
    <row r="402" spans="1:12" ht="15.5" x14ac:dyDescent="0.35">
      <c r="A402" s="128" t="s">
        <v>262</v>
      </c>
      <c r="B402" s="129"/>
      <c r="C402" s="53">
        <v>0</v>
      </c>
      <c r="D402" s="130">
        <f ca="1">((100/I392)*C402)/100</f>
        <v>0</v>
      </c>
      <c r="E402" s="131"/>
      <c r="F402" s="132"/>
      <c r="G402" s="132"/>
      <c r="H402" s="137"/>
      <c r="I402" s="138"/>
      <c r="J402" s="139"/>
      <c r="K402" s="46" t="s">
        <v>263</v>
      </c>
      <c r="L402" s="49">
        <f>(IF(B392&gt;4,(I392/(B392+2)+L401),0))</f>
        <v>0</v>
      </c>
    </row>
    <row r="403" spans="1:12" ht="15.5" x14ac:dyDescent="0.35">
      <c r="A403" s="128" t="s">
        <v>264</v>
      </c>
      <c r="B403" s="129" t="s">
        <v>264</v>
      </c>
      <c r="C403" s="53">
        <v>0</v>
      </c>
      <c r="D403" s="130">
        <f ca="1">((100/(I392))*C403)/100</f>
        <v>0</v>
      </c>
      <c r="E403" s="131"/>
      <c r="F403" s="132"/>
      <c r="G403" s="132"/>
      <c r="H403" s="137"/>
      <c r="I403" s="138"/>
      <c r="J403" s="139"/>
      <c r="K403" s="46" t="s">
        <v>265</v>
      </c>
      <c r="L403" s="49">
        <f ca="1">(IF(B392=1,(I392/(B392+3)+L398),IF(B392=0,(I392/4+L398),IF(B392&gt;1,0))))</f>
        <v>3.75</v>
      </c>
    </row>
    <row r="404" spans="1:12" ht="16" thickBot="1" x14ac:dyDescent="0.4">
      <c r="A404" s="145" t="s">
        <v>266</v>
      </c>
      <c r="B404" s="146"/>
      <c r="C404" s="55">
        <v>0</v>
      </c>
      <c r="D404" s="147">
        <f ca="1">((100/(I392))*C404)/100</f>
        <v>0</v>
      </c>
      <c r="E404" s="148"/>
      <c r="F404" s="133"/>
      <c r="G404" s="133"/>
      <c r="H404" s="140"/>
      <c r="I404" s="141"/>
      <c r="J404" s="142"/>
      <c r="K404" s="51" t="s">
        <v>267</v>
      </c>
      <c r="L404" s="52">
        <f ca="1">(IF(B392&gt;1.5,(I392/(B392+2)+L398+MAX(0,L399-L398)+MAX(0,L400-L399)+MAX(0,L401-L400)+MAX(0,L402-L401)+MAX(0,L403-L402)),IF(B392=1,(I392/(B392+3)+L403),IF(B392=0,I392/4+L403))))</f>
        <v>5</v>
      </c>
    </row>
    <row r="405" spans="1:12" ht="157.5" customHeight="1" x14ac:dyDescent="0.35">
      <c r="A405" s="214" t="s">
        <v>333</v>
      </c>
      <c r="B405" s="215"/>
      <c r="C405" s="215"/>
      <c r="D405" s="215"/>
      <c r="E405" s="215"/>
      <c r="F405" s="215"/>
      <c r="G405" s="215"/>
      <c r="H405" s="215"/>
      <c r="I405" s="215"/>
      <c r="J405" s="216"/>
    </row>
    <row r="406" spans="1:12" s="20" customFormat="1" x14ac:dyDescent="0.35">
      <c r="A406" s="65" t="s">
        <v>308</v>
      </c>
      <c r="B406" s="95" t="s">
        <v>309</v>
      </c>
      <c r="C406" s="95"/>
      <c r="D406" s="95"/>
      <c r="E406" s="95"/>
      <c r="F406" s="95" t="s">
        <v>310</v>
      </c>
      <c r="G406" s="95"/>
      <c r="H406" s="95"/>
      <c r="I406" s="95"/>
      <c r="J406" s="95"/>
    </row>
    <row r="407" spans="1:12" x14ac:dyDescent="0.35">
      <c r="A407" s="2">
        <v>1</v>
      </c>
      <c r="B407" s="193" t="s">
        <v>311</v>
      </c>
      <c r="C407" s="96"/>
      <c r="D407" s="96"/>
      <c r="E407" s="96"/>
      <c r="F407" s="193" t="s">
        <v>315</v>
      </c>
      <c r="G407" s="96"/>
      <c r="H407" s="96"/>
      <c r="I407" s="96"/>
      <c r="J407" s="96"/>
    </row>
    <row r="408" spans="1:12" x14ac:dyDescent="0.35">
      <c r="A408" s="2">
        <v>2</v>
      </c>
      <c r="B408" s="193" t="s">
        <v>312</v>
      </c>
      <c r="C408" s="96"/>
      <c r="D408" s="96"/>
      <c r="E408" s="96"/>
      <c r="F408" s="193" t="s">
        <v>317</v>
      </c>
      <c r="G408" s="96"/>
      <c r="H408" s="96"/>
      <c r="I408" s="96"/>
      <c r="J408" s="96"/>
    </row>
    <row r="409" spans="1:12" x14ac:dyDescent="0.35">
      <c r="A409" s="2">
        <v>3</v>
      </c>
      <c r="B409" s="193" t="s">
        <v>313</v>
      </c>
      <c r="C409" s="96"/>
      <c r="D409" s="96"/>
      <c r="E409" s="96"/>
      <c r="F409" s="193" t="s">
        <v>318</v>
      </c>
      <c r="G409" s="96"/>
      <c r="H409" s="96"/>
      <c r="I409" s="96"/>
      <c r="J409" s="96"/>
    </row>
    <row r="410" spans="1:12" x14ac:dyDescent="0.35">
      <c r="A410" s="2">
        <v>4</v>
      </c>
      <c r="B410" s="193" t="s">
        <v>314</v>
      </c>
      <c r="C410" s="96"/>
      <c r="D410" s="96"/>
      <c r="E410" s="96"/>
      <c r="F410" s="193" t="s">
        <v>316</v>
      </c>
      <c r="G410" s="96"/>
      <c r="H410" s="96"/>
      <c r="I410" s="96"/>
      <c r="J410" s="96"/>
    </row>
    <row r="411" spans="1:12" x14ac:dyDescent="0.35">
      <c r="A411" s="211" t="s">
        <v>31</v>
      </c>
      <c r="B411" s="212"/>
      <c r="C411" s="212"/>
      <c r="D411" s="212"/>
      <c r="E411" s="212"/>
      <c r="F411" s="212"/>
      <c r="G411" s="212"/>
      <c r="H411" s="212"/>
      <c r="I411" s="212"/>
      <c r="J411" s="213"/>
    </row>
    <row r="412" spans="1:12" x14ac:dyDescent="0.35">
      <c r="A412" s="177" t="s">
        <v>40</v>
      </c>
      <c r="B412" s="178"/>
      <c r="C412" s="178"/>
      <c r="D412" s="178"/>
      <c r="E412" s="178"/>
      <c r="F412" s="178"/>
      <c r="G412" s="178"/>
      <c r="H412" s="178"/>
      <c r="I412" s="178"/>
      <c r="J412" s="179"/>
    </row>
    <row r="413" spans="1:12" x14ac:dyDescent="0.35">
      <c r="A413" s="217" t="s">
        <v>33</v>
      </c>
      <c r="B413" s="212"/>
      <c r="C413" s="212"/>
      <c r="D413" s="212"/>
      <c r="E413" s="212"/>
      <c r="F413" s="212"/>
      <c r="G413" s="212"/>
      <c r="H413" s="212"/>
      <c r="I413" s="212"/>
      <c r="J413" s="213"/>
    </row>
    <row r="414" spans="1:12" x14ac:dyDescent="0.35">
      <c r="A414" s="205" t="s">
        <v>45</v>
      </c>
      <c r="B414" s="80"/>
      <c r="C414" s="80"/>
      <c r="D414" s="80"/>
      <c r="E414" s="80"/>
      <c r="F414" s="80"/>
      <c r="G414" s="80"/>
      <c r="H414" s="80"/>
      <c r="I414" s="80"/>
      <c r="J414" s="81"/>
    </row>
    <row r="415" spans="1:12" ht="15" customHeight="1" x14ac:dyDescent="0.35">
      <c r="A415" s="187" t="s">
        <v>104</v>
      </c>
      <c r="B415" s="190"/>
      <c r="C415" s="190"/>
      <c r="D415" s="190"/>
      <c r="E415" s="190"/>
      <c r="F415" s="190"/>
      <c r="G415" s="190"/>
      <c r="H415" s="190"/>
      <c r="I415" s="190"/>
      <c r="J415" s="191"/>
    </row>
    <row r="416" spans="1:12" x14ac:dyDescent="0.35">
      <c r="A416" s="205" t="s">
        <v>46</v>
      </c>
      <c r="B416" s="80"/>
      <c r="C416" s="80"/>
      <c r="D416" s="80"/>
      <c r="E416" s="80"/>
      <c r="F416" s="80"/>
      <c r="G416" s="80"/>
      <c r="H416" s="80"/>
      <c r="I416" s="80"/>
      <c r="J416" s="81"/>
    </row>
    <row r="417" spans="1:10" x14ac:dyDescent="0.35">
      <c r="A417" s="205" t="s">
        <v>47</v>
      </c>
      <c r="B417" s="80"/>
      <c r="C417" s="80"/>
      <c r="D417" s="80"/>
      <c r="E417" s="80"/>
      <c r="F417" s="80"/>
      <c r="G417" s="80"/>
      <c r="H417" s="80"/>
      <c r="I417" s="80"/>
      <c r="J417" s="81"/>
    </row>
    <row r="418" spans="1:10" hidden="1" x14ac:dyDescent="0.35">
      <c r="A418" s="187" t="s">
        <v>48</v>
      </c>
      <c r="B418" s="190"/>
      <c r="C418" s="190"/>
      <c r="D418" s="190"/>
      <c r="E418" s="190"/>
      <c r="F418" s="190"/>
      <c r="G418" s="190"/>
      <c r="H418" s="190"/>
      <c r="I418" s="190"/>
      <c r="J418" s="191"/>
    </row>
    <row r="419" spans="1:10" ht="15" customHeight="1" x14ac:dyDescent="0.35">
      <c r="A419" s="204" t="s">
        <v>32</v>
      </c>
      <c r="B419" s="204"/>
      <c r="C419" s="204"/>
      <c r="D419" s="204"/>
      <c r="E419" s="204"/>
      <c r="F419" s="204"/>
      <c r="G419" s="204"/>
      <c r="H419" s="204"/>
      <c r="I419" s="204"/>
      <c r="J419" s="204"/>
    </row>
    <row r="420" spans="1:10" x14ac:dyDescent="0.35">
      <c r="A420" s="204"/>
      <c r="B420" s="204"/>
      <c r="C420" s="204"/>
      <c r="D420" s="204"/>
      <c r="E420" s="204"/>
      <c r="F420" s="204"/>
      <c r="G420" s="204"/>
      <c r="H420" s="204"/>
      <c r="I420" s="204"/>
      <c r="J420" s="204"/>
    </row>
    <row r="421" spans="1:10" x14ac:dyDescent="0.35">
      <c r="A421" s="204"/>
      <c r="B421" s="204"/>
      <c r="C421" s="204"/>
      <c r="D421" s="204"/>
      <c r="E421" s="204"/>
      <c r="F421" s="204"/>
      <c r="G421" s="204"/>
      <c r="H421" s="204"/>
      <c r="I421" s="204"/>
      <c r="J421" s="204"/>
    </row>
    <row r="422" spans="1:10" s="14" customFormat="1" ht="14" x14ac:dyDescent="0.3">
      <c r="A422" s="14" t="s">
        <v>145</v>
      </c>
      <c r="F422" s="14" t="str">
        <f>F8</f>
        <v>Udaan Aria</v>
      </c>
    </row>
    <row r="441" spans="5:6" x14ac:dyDescent="0.35">
      <c r="E441" s="210"/>
      <c r="F441" s="210"/>
    </row>
    <row r="460" spans="5:6" x14ac:dyDescent="0.35">
      <c r="E460" s="210"/>
      <c r="F460" s="210"/>
    </row>
    <row r="467" spans="1:1" x14ac:dyDescent="0.35">
      <c r="A467" s="20" t="s">
        <v>322</v>
      </c>
    </row>
    <row r="510" spans="1:1" x14ac:dyDescent="0.35">
      <c r="A510" s="20" t="s">
        <v>128</v>
      </c>
    </row>
  </sheetData>
  <mergeCells count="405">
    <mergeCell ref="A363:B363"/>
    <mergeCell ref="C363:J363"/>
    <mergeCell ref="E364:F364"/>
    <mergeCell ref="I364:J364"/>
    <mergeCell ref="A365:B365"/>
    <mergeCell ref="C365:J365"/>
    <mergeCell ref="A366:B366"/>
    <mergeCell ref="D366:E366"/>
    <mergeCell ref="F366:G366"/>
    <mergeCell ref="H366:J366"/>
    <mergeCell ref="D367:E367"/>
    <mergeCell ref="F367:G376"/>
    <mergeCell ref="H367:J376"/>
    <mergeCell ref="A368:B368"/>
    <mergeCell ref="D368:E368"/>
    <mergeCell ref="A369:B369"/>
    <mergeCell ref="D369:E369"/>
    <mergeCell ref="A370:B370"/>
    <mergeCell ref="D370:E370"/>
    <mergeCell ref="A371:B371"/>
    <mergeCell ref="D371:E371"/>
    <mergeCell ref="A372:B372"/>
    <mergeCell ref="D372:E372"/>
    <mergeCell ref="A373:B373"/>
    <mergeCell ref="D373:E373"/>
    <mergeCell ref="A374:B374"/>
    <mergeCell ref="D374:E374"/>
    <mergeCell ref="A375:B375"/>
    <mergeCell ref="D375:E375"/>
    <mergeCell ref="A376:B376"/>
    <mergeCell ref="D376:E376"/>
    <mergeCell ref="F37:J37"/>
    <mergeCell ref="A87:J87"/>
    <mergeCell ref="I85:J85"/>
    <mergeCell ref="A100:J100"/>
    <mergeCell ref="A71:F71"/>
    <mergeCell ref="G71:J71"/>
    <mergeCell ref="G70:J70"/>
    <mergeCell ref="A86:J86"/>
    <mergeCell ref="A67:F67"/>
    <mergeCell ref="G67:J67"/>
    <mergeCell ref="A46:B46"/>
    <mergeCell ref="C46:F46"/>
    <mergeCell ref="A68:F68"/>
    <mergeCell ref="A70:F70"/>
    <mergeCell ref="G49:J49"/>
    <mergeCell ref="F38:J38"/>
    <mergeCell ref="H44:J44"/>
    <mergeCell ref="C44:F44"/>
    <mergeCell ref="A44:B44"/>
    <mergeCell ref="A47:B47"/>
    <mergeCell ref="C47:F47"/>
    <mergeCell ref="A53:C53"/>
    <mergeCell ref="E460:F460"/>
    <mergeCell ref="A411:J411"/>
    <mergeCell ref="A405:J405"/>
    <mergeCell ref="A419:J421"/>
    <mergeCell ref="A413:J413"/>
    <mergeCell ref="A415:J415"/>
    <mergeCell ref="A416:J416"/>
    <mergeCell ref="A417:J417"/>
    <mergeCell ref="A412:J412"/>
    <mergeCell ref="A418:J418"/>
    <mergeCell ref="A414:J414"/>
    <mergeCell ref="B406:E406"/>
    <mergeCell ref="F406:J406"/>
    <mergeCell ref="B407:E407"/>
    <mergeCell ref="F407:J407"/>
    <mergeCell ref="B408:E408"/>
    <mergeCell ref="F408:J408"/>
    <mergeCell ref="B409:E409"/>
    <mergeCell ref="F409:J409"/>
    <mergeCell ref="B410:E410"/>
    <mergeCell ref="F410:J410"/>
    <mergeCell ref="E441:F441"/>
    <mergeCell ref="I142:J150"/>
    <mergeCell ref="D53:J53"/>
    <mergeCell ref="A114:A125"/>
    <mergeCell ref="A171:J171"/>
    <mergeCell ref="A139:J139"/>
    <mergeCell ref="I114:J125"/>
    <mergeCell ref="A72:J72"/>
    <mergeCell ref="A84:J84"/>
    <mergeCell ref="A101:A112"/>
    <mergeCell ref="G68:J68"/>
    <mergeCell ref="A55:E55"/>
    <mergeCell ref="F55:J55"/>
    <mergeCell ref="E78:G78"/>
    <mergeCell ref="H78:J78"/>
    <mergeCell ref="A79:B79"/>
    <mergeCell ref="C79:D79"/>
    <mergeCell ref="E79:G79"/>
    <mergeCell ref="H79:J79"/>
    <mergeCell ref="A80:B80"/>
    <mergeCell ref="C80:D80"/>
    <mergeCell ref="E80:G80"/>
    <mergeCell ref="H80:J80"/>
    <mergeCell ref="A140:J140"/>
    <mergeCell ref="I101:J112"/>
    <mergeCell ref="A345:B345"/>
    <mergeCell ref="D345:E345"/>
    <mergeCell ref="A346:B346"/>
    <mergeCell ref="D346:E346"/>
    <mergeCell ref="A339:B339"/>
    <mergeCell ref="D339:E339"/>
    <mergeCell ref="D340:E340"/>
    <mergeCell ref="A341:B341"/>
    <mergeCell ref="C337:J337"/>
    <mergeCell ref="A338:B338"/>
    <mergeCell ref="D338:E338"/>
    <mergeCell ref="F338:G338"/>
    <mergeCell ref="A343:B343"/>
    <mergeCell ref="D343:E343"/>
    <mergeCell ref="D344:E344"/>
    <mergeCell ref="A344:B344"/>
    <mergeCell ref="A310:A321"/>
    <mergeCell ref="I310:J321"/>
    <mergeCell ref="I265:J282"/>
    <mergeCell ref="A322:J322"/>
    <mergeCell ref="A323:A334"/>
    <mergeCell ref="I323:J334"/>
    <mergeCell ref="I184:J193"/>
    <mergeCell ref="A113:J113"/>
    <mergeCell ref="A1:J1"/>
    <mergeCell ref="A49:E49"/>
    <mergeCell ref="A50:E50"/>
    <mergeCell ref="F50:J50"/>
    <mergeCell ref="H46:J46"/>
    <mergeCell ref="A41:J41"/>
    <mergeCell ref="A39:E39"/>
    <mergeCell ref="F39:J39"/>
    <mergeCell ref="A40:E40"/>
    <mergeCell ref="F40:J40"/>
    <mergeCell ref="A42:B42"/>
    <mergeCell ref="C42:F42"/>
    <mergeCell ref="H42:J42"/>
    <mergeCell ref="A37:E37"/>
    <mergeCell ref="A38:E38"/>
    <mergeCell ref="A33:J34"/>
    <mergeCell ref="A35:E35"/>
    <mergeCell ref="A22:J22"/>
    <mergeCell ref="A24:J24"/>
    <mergeCell ref="C26:J26"/>
    <mergeCell ref="A17:E17"/>
    <mergeCell ref="A23:J23"/>
    <mergeCell ref="G25:H25"/>
    <mergeCell ref="A21:E21"/>
    <mergeCell ref="A347:B347"/>
    <mergeCell ref="D347:E347"/>
    <mergeCell ref="A335:B335"/>
    <mergeCell ref="C335:J335"/>
    <mergeCell ref="E336:F336"/>
    <mergeCell ref="I336:J336"/>
    <mergeCell ref="A337:B337"/>
    <mergeCell ref="F339:G348"/>
    <mergeCell ref="H339:J348"/>
    <mergeCell ref="A340:B340"/>
    <mergeCell ref="A348:B348"/>
    <mergeCell ref="D348:E348"/>
    <mergeCell ref="D341:E341"/>
    <mergeCell ref="A342:B342"/>
    <mergeCell ref="D342:E342"/>
    <mergeCell ref="H338:J338"/>
    <mergeCell ref="F21:J21"/>
    <mergeCell ref="A183:J183"/>
    <mergeCell ref="F35:J35"/>
    <mergeCell ref="A36:E36"/>
    <mergeCell ref="F36:J36"/>
    <mergeCell ref="I27:J27"/>
    <mergeCell ref="A28:J28"/>
    <mergeCell ref="A29:J29"/>
    <mergeCell ref="A32:J32"/>
    <mergeCell ref="A27:B27"/>
    <mergeCell ref="C27:D27"/>
    <mergeCell ref="E27:F27"/>
    <mergeCell ref="G27:H27"/>
    <mergeCell ref="A30:B30"/>
    <mergeCell ref="A43:B43"/>
    <mergeCell ref="C43:F43"/>
    <mergeCell ref="H43:J43"/>
    <mergeCell ref="A126:J126"/>
    <mergeCell ref="A127:A138"/>
    <mergeCell ref="I127:J138"/>
    <mergeCell ref="E83:G83"/>
    <mergeCell ref="H83:J83"/>
    <mergeCell ref="A78:B78"/>
    <mergeCell ref="C78:D78"/>
    <mergeCell ref="F18:J19"/>
    <mergeCell ref="A12:J12"/>
    <mergeCell ref="I14:J14"/>
    <mergeCell ref="A13:J13"/>
    <mergeCell ref="A15:E15"/>
    <mergeCell ref="F15:J15"/>
    <mergeCell ref="A16:E16"/>
    <mergeCell ref="F16:J16"/>
    <mergeCell ref="F20:J20"/>
    <mergeCell ref="A14:H14"/>
    <mergeCell ref="A20:E20"/>
    <mergeCell ref="F17:J17"/>
    <mergeCell ref="A18:E19"/>
    <mergeCell ref="A2:J2"/>
    <mergeCell ref="A3:E3"/>
    <mergeCell ref="F3:J3"/>
    <mergeCell ref="A4:E4"/>
    <mergeCell ref="F4:J4"/>
    <mergeCell ref="F5:J5"/>
    <mergeCell ref="A8:E8"/>
    <mergeCell ref="A11:E11"/>
    <mergeCell ref="F8:J8"/>
    <mergeCell ref="A5:E5"/>
    <mergeCell ref="A7:E7"/>
    <mergeCell ref="F7:J7"/>
    <mergeCell ref="F11:J11"/>
    <mergeCell ref="A6:E6"/>
    <mergeCell ref="F6:J6"/>
    <mergeCell ref="A10:E10"/>
    <mergeCell ref="F10:J10"/>
    <mergeCell ref="A9:E9"/>
    <mergeCell ref="F9:J9"/>
    <mergeCell ref="I25:J25"/>
    <mergeCell ref="A26:B26"/>
    <mergeCell ref="A25:B25"/>
    <mergeCell ref="C25:D25"/>
    <mergeCell ref="E25:F25"/>
    <mergeCell ref="A265:A276"/>
    <mergeCell ref="A184:A193"/>
    <mergeCell ref="A142:A150"/>
    <mergeCell ref="A88:A99"/>
    <mergeCell ref="A225:J225"/>
    <mergeCell ref="I207:J224"/>
    <mergeCell ref="A264:J264"/>
    <mergeCell ref="A51:J51"/>
    <mergeCell ref="A52:E52"/>
    <mergeCell ref="F52:J52"/>
    <mergeCell ref="A54:J54"/>
    <mergeCell ref="A263:J263"/>
    <mergeCell ref="A152:A160"/>
    <mergeCell ref="A172:J172"/>
    <mergeCell ref="A59:J64"/>
    <mergeCell ref="I88:J99"/>
    <mergeCell ref="I152:J160"/>
    <mergeCell ref="A141:J141"/>
    <mergeCell ref="A151:J151"/>
    <mergeCell ref="A352:B352"/>
    <mergeCell ref="D352:E352"/>
    <mergeCell ref="H352:J352"/>
    <mergeCell ref="F352:G352"/>
    <mergeCell ref="A356:B356"/>
    <mergeCell ref="D356:E356"/>
    <mergeCell ref="A357:B357"/>
    <mergeCell ref="D357:E357"/>
    <mergeCell ref="A358:B358"/>
    <mergeCell ref="A353:B353"/>
    <mergeCell ref="D353:E353"/>
    <mergeCell ref="F353:G362"/>
    <mergeCell ref="H353:J362"/>
    <mergeCell ref="A354:B354"/>
    <mergeCell ref="D354:E354"/>
    <mergeCell ref="A355:B355"/>
    <mergeCell ref="D355:E355"/>
    <mergeCell ref="A361:B361"/>
    <mergeCell ref="D361:E361"/>
    <mergeCell ref="A391:B391"/>
    <mergeCell ref="C391:J391"/>
    <mergeCell ref="E392:F392"/>
    <mergeCell ref="I392:J392"/>
    <mergeCell ref="A393:B393"/>
    <mergeCell ref="C393:J393"/>
    <mergeCell ref="A394:B394"/>
    <mergeCell ref="D394:E394"/>
    <mergeCell ref="H394:J394"/>
    <mergeCell ref="F394:G394"/>
    <mergeCell ref="H395:J404"/>
    <mergeCell ref="A396:B396"/>
    <mergeCell ref="A397:B397"/>
    <mergeCell ref="D397:E397"/>
    <mergeCell ref="A398:B398"/>
    <mergeCell ref="D398:E398"/>
    <mergeCell ref="A399:B399"/>
    <mergeCell ref="A403:B403"/>
    <mergeCell ref="D403:E403"/>
    <mergeCell ref="A404:B404"/>
    <mergeCell ref="D404:E404"/>
    <mergeCell ref="D396:E396"/>
    <mergeCell ref="D401:E401"/>
    <mergeCell ref="D399:E399"/>
    <mergeCell ref="A400:B400"/>
    <mergeCell ref="D400:E400"/>
    <mergeCell ref="A401:B401"/>
    <mergeCell ref="D395:E395"/>
    <mergeCell ref="F395:G404"/>
    <mergeCell ref="A402:B402"/>
    <mergeCell ref="D402:E402"/>
    <mergeCell ref="A395:B395"/>
    <mergeCell ref="A349:B349"/>
    <mergeCell ref="C349:J349"/>
    <mergeCell ref="E350:F350"/>
    <mergeCell ref="I350:J350"/>
    <mergeCell ref="A351:B351"/>
    <mergeCell ref="C351:J351"/>
    <mergeCell ref="A379:B379"/>
    <mergeCell ref="C379:J379"/>
    <mergeCell ref="A380:B380"/>
    <mergeCell ref="D380:E380"/>
    <mergeCell ref="F380:G380"/>
    <mergeCell ref="H380:J380"/>
    <mergeCell ref="A377:B377"/>
    <mergeCell ref="C377:J377"/>
    <mergeCell ref="E378:F378"/>
    <mergeCell ref="I378:J378"/>
    <mergeCell ref="A362:B362"/>
    <mergeCell ref="D362:E362"/>
    <mergeCell ref="D358:E358"/>
    <mergeCell ref="A359:B359"/>
    <mergeCell ref="D359:E359"/>
    <mergeCell ref="A360:B360"/>
    <mergeCell ref="D360:E360"/>
    <mergeCell ref="A367:B367"/>
    <mergeCell ref="A381:B381"/>
    <mergeCell ref="D381:E381"/>
    <mergeCell ref="F381:G390"/>
    <mergeCell ref="H381:J390"/>
    <mergeCell ref="A382:B382"/>
    <mergeCell ref="D382:E382"/>
    <mergeCell ref="A384:B384"/>
    <mergeCell ref="A383:B383"/>
    <mergeCell ref="D383:E383"/>
    <mergeCell ref="D384:E384"/>
    <mergeCell ref="A385:B385"/>
    <mergeCell ref="D385:E385"/>
    <mergeCell ref="A386:B386"/>
    <mergeCell ref="D386:E386"/>
    <mergeCell ref="A387:B387"/>
    <mergeCell ref="D387:E387"/>
    <mergeCell ref="A388:B388"/>
    <mergeCell ref="D388:E388"/>
    <mergeCell ref="A390:B390"/>
    <mergeCell ref="D390:E390"/>
    <mergeCell ref="A389:B389"/>
    <mergeCell ref="D389:E389"/>
    <mergeCell ref="I284:J295"/>
    <mergeCell ref="A296:J296"/>
    <mergeCell ref="I297:J308"/>
    <mergeCell ref="A161:J161"/>
    <mergeCell ref="A162:A170"/>
    <mergeCell ref="I162:J170"/>
    <mergeCell ref="A194:J194"/>
    <mergeCell ref="A195:A204"/>
    <mergeCell ref="I195:J204"/>
    <mergeCell ref="A244:J244"/>
    <mergeCell ref="A245:A262"/>
    <mergeCell ref="I245:J262"/>
    <mergeCell ref="I173:J182"/>
    <mergeCell ref="A173:A182"/>
    <mergeCell ref="I226:J243"/>
    <mergeCell ref="A297:A308"/>
    <mergeCell ref="A284:A295"/>
    <mergeCell ref="A309:J309"/>
    <mergeCell ref="A283:J283"/>
    <mergeCell ref="A226:A243"/>
    <mergeCell ref="A205:J205"/>
    <mergeCell ref="A206:J206"/>
    <mergeCell ref="A207:A224"/>
    <mergeCell ref="A45:B45"/>
    <mergeCell ref="C45:F45"/>
    <mergeCell ref="H45:J45"/>
    <mergeCell ref="A48:B48"/>
    <mergeCell ref="C48:F48"/>
    <mergeCell ref="H48:J48"/>
    <mergeCell ref="A73:J73"/>
    <mergeCell ref="A74:B74"/>
    <mergeCell ref="C74:D74"/>
    <mergeCell ref="E74:G74"/>
    <mergeCell ref="H74:J74"/>
    <mergeCell ref="A56:J56"/>
    <mergeCell ref="A66:F66"/>
    <mergeCell ref="G66:J66"/>
    <mergeCell ref="A57:J57"/>
    <mergeCell ref="A58:J58"/>
    <mergeCell ref="A83:B83"/>
    <mergeCell ref="C83:D83"/>
    <mergeCell ref="A31:B31"/>
    <mergeCell ref="C31:J31"/>
    <mergeCell ref="C30:J30"/>
    <mergeCell ref="A81:B81"/>
    <mergeCell ref="C81:D81"/>
    <mergeCell ref="E81:G81"/>
    <mergeCell ref="H81:J81"/>
    <mergeCell ref="A82:B82"/>
    <mergeCell ref="C82:D82"/>
    <mergeCell ref="E82:G82"/>
    <mergeCell ref="H82:J82"/>
    <mergeCell ref="A75:B75"/>
    <mergeCell ref="C75:D75"/>
    <mergeCell ref="E75:G75"/>
    <mergeCell ref="H75:J75"/>
    <mergeCell ref="A76:J76"/>
    <mergeCell ref="A77:B77"/>
    <mergeCell ref="C77:D77"/>
    <mergeCell ref="E77:G77"/>
    <mergeCell ref="H77:J77"/>
    <mergeCell ref="H47:J47"/>
    <mergeCell ref="A65:J65"/>
    <mergeCell ref="A69:F69"/>
    <mergeCell ref="G69:J69"/>
  </mergeCells>
  <phoneticPr fontId="0" type="noConversion"/>
  <hyperlinks>
    <hyperlink ref="C31" r:id="rId1"/>
  </hyperlinks>
  <pageMargins left="0.35433070866141736" right="0.35433070866141736" top="0.78740157480314965" bottom="0.78740157480314965" header="0.19685039370078741" footer="0.19685039370078741"/>
  <pageSetup paperSize="9" scale="93" fitToHeight="0" orientation="portrait" r:id="rId2"/>
  <headerFooter>
    <oddHeader>&amp;C&amp;G</oddHeader>
    <oddFooter>&amp;L&amp;"Times New Roman,Bold"Ref No: &amp;F&amp;C&amp;G&amp;R                          &amp;P</oddFooter>
  </headerFooter>
  <rowBreaks count="5" manualBreakCount="5">
    <brk id="72" max="16383" man="1"/>
    <brk id="348" max="16383" man="1"/>
    <brk id="421" max="16383" man="1"/>
    <brk id="466" max="16383" man="1"/>
    <brk id="509" max="16383" man="1"/>
  </rowBreaks>
  <ignoredErrors>
    <ignoredError sqref="C88:C99" numberStoredAsText="1"/>
  </ignoredError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Q10" sqref="Q10"/>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zoomScale="85" zoomScaleNormal="85" workbookViewId="0">
      <selection activeCell="E21" sqref="E21"/>
    </sheetView>
  </sheetViews>
  <sheetFormatPr defaultRowHeight="14.5" x14ac:dyDescent="0.3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x14ac:dyDescent="0.35">
      <c r="A2" t="s">
        <v>107</v>
      </c>
      <c r="B2" s="9" t="s">
        <v>108</v>
      </c>
      <c r="C2" s="9">
        <v>5</v>
      </c>
    </row>
    <row r="3" spans="1:15" x14ac:dyDescent="0.35">
      <c r="B3" t="s">
        <v>109</v>
      </c>
      <c r="C3" t="s">
        <v>110</v>
      </c>
    </row>
    <row r="4" spans="1:15" x14ac:dyDescent="0.35">
      <c r="A4" t="s">
        <v>111</v>
      </c>
      <c r="B4" s="10">
        <v>10</v>
      </c>
      <c r="C4" s="10">
        <v>10</v>
      </c>
      <c r="E4">
        <f>(100/B4)*C4</f>
        <v>100</v>
      </c>
    </row>
    <row r="5" spans="1:15" x14ac:dyDescent="0.35">
      <c r="A5" t="s">
        <v>112</v>
      </c>
      <c r="B5" t="s">
        <v>113</v>
      </c>
      <c r="C5" t="s">
        <v>114</v>
      </c>
      <c r="E5">
        <f>(100/B6)*C6</f>
        <v>100</v>
      </c>
      <c r="I5" s="10" t="s">
        <v>115</v>
      </c>
      <c r="J5" s="10" t="s">
        <v>116</v>
      </c>
      <c r="K5" s="10" t="s">
        <v>117</v>
      </c>
      <c r="L5" s="10" t="s">
        <v>44</v>
      </c>
      <c r="M5" s="10" t="s">
        <v>102</v>
      </c>
      <c r="N5" s="10" t="s">
        <v>118</v>
      </c>
      <c r="O5" s="10" t="s">
        <v>103</v>
      </c>
    </row>
    <row r="6" spans="1:15" x14ac:dyDescent="0.35">
      <c r="B6" s="10">
        <f>C2+1</f>
        <v>6</v>
      </c>
      <c r="C6" s="10">
        <v>6</v>
      </c>
      <c r="E6">
        <f>(100/B8)*C8</f>
        <v>100</v>
      </c>
      <c r="F6" s="11" t="s">
        <v>119</v>
      </c>
      <c r="I6" s="11">
        <f>C4</f>
        <v>10</v>
      </c>
      <c r="J6" s="11">
        <f>40/B6*C6</f>
        <v>40</v>
      </c>
      <c r="K6" s="11">
        <f>15/B8*C8</f>
        <v>15</v>
      </c>
      <c r="L6" s="11">
        <f>10/B10*C10</f>
        <v>10</v>
      </c>
      <c r="M6" s="11">
        <f>10/B12*C12</f>
        <v>10</v>
      </c>
      <c r="N6" s="11">
        <f>5/B14*C14</f>
        <v>4</v>
      </c>
      <c r="O6" s="11">
        <f>5/B16*C16</f>
        <v>1.5</v>
      </c>
    </row>
    <row r="7" spans="1:15" x14ac:dyDescent="0.35">
      <c r="A7" t="s">
        <v>120</v>
      </c>
      <c r="B7" t="s">
        <v>121</v>
      </c>
      <c r="C7" t="s">
        <v>122</v>
      </c>
      <c r="E7">
        <f>(100/B10)*C10</f>
        <v>100</v>
      </c>
      <c r="F7" s="10" t="s">
        <v>123</v>
      </c>
      <c r="G7" s="10"/>
      <c r="H7" s="10"/>
      <c r="I7" s="10">
        <f>I6+20</f>
        <v>30</v>
      </c>
      <c r="J7" s="10">
        <f>30/B6*C6</f>
        <v>30</v>
      </c>
      <c r="K7" s="10">
        <f>15/B8*C8</f>
        <v>15</v>
      </c>
      <c r="L7" s="10">
        <f>10/B10*C10</f>
        <v>10</v>
      </c>
      <c r="M7" s="10">
        <f>5/B12*C12</f>
        <v>5</v>
      </c>
      <c r="N7" s="10">
        <f>5/B14*C14</f>
        <v>4</v>
      </c>
      <c r="O7" s="10">
        <f>5/B16*C16</f>
        <v>1.5</v>
      </c>
    </row>
    <row r="8" spans="1:15" x14ac:dyDescent="0.35">
      <c r="B8" s="10">
        <f>C2</f>
        <v>5</v>
      </c>
      <c r="C8" s="10">
        <v>5</v>
      </c>
      <c r="E8">
        <f>(100/B12)*C12</f>
        <v>100</v>
      </c>
    </row>
    <row r="9" spans="1:15" x14ac:dyDescent="0.35">
      <c r="A9" t="s">
        <v>124</v>
      </c>
      <c r="B9" t="s">
        <v>121</v>
      </c>
      <c r="C9" t="s">
        <v>122</v>
      </c>
      <c r="E9">
        <f>(100/B14)*C14</f>
        <v>80</v>
      </c>
    </row>
    <row r="10" spans="1:15" x14ac:dyDescent="0.35">
      <c r="B10" s="10">
        <f>C2</f>
        <v>5</v>
      </c>
      <c r="C10" s="10">
        <v>5</v>
      </c>
      <c r="E10">
        <f>(100/B16)*C16</f>
        <v>30</v>
      </c>
    </row>
    <row r="11" spans="1:15" x14ac:dyDescent="0.35">
      <c r="A11" t="s">
        <v>102</v>
      </c>
      <c r="B11" t="s">
        <v>121</v>
      </c>
      <c r="C11" t="s">
        <v>122</v>
      </c>
    </row>
    <row r="12" spans="1:15" x14ac:dyDescent="0.35">
      <c r="B12" s="10">
        <f>C2</f>
        <v>5</v>
      </c>
      <c r="C12" s="10">
        <v>5</v>
      </c>
      <c r="F12" s="10"/>
      <c r="G12" s="10" t="s">
        <v>119</v>
      </c>
      <c r="H12" s="10" t="s">
        <v>125</v>
      </c>
      <c r="L12" t="s">
        <v>126</v>
      </c>
    </row>
    <row r="13" spans="1:15" ht="31.5" customHeight="1" x14ac:dyDescent="0.35">
      <c r="A13" s="12" t="s">
        <v>118</v>
      </c>
      <c r="B13" t="s">
        <v>121</v>
      </c>
      <c r="C13" t="s">
        <v>122</v>
      </c>
      <c r="F13" s="10" t="s">
        <v>42</v>
      </c>
      <c r="G13" s="10">
        <f>I6</f>
        <v>10</v>
      </c>
      <c r="H13" s="10">
        <f>I7</f>
        <v>30</v>
      </c>
      <c r="L13" t="s">
        <v>126</v>
      </c>
    </row>
    <row r="14" spans="1:15" x14ac:dyDescent="0.35">
      <c r="B14" s="10">
        <f>C2</f>
        <v>5</v>
      </c>
      <c r="C14" s="10">
        <v>4</v>
      </c>
      <c r="F14" s="10" t="s">
        <v>43</v>
      </c>
      <c r="G14" s="10">
        <f>J6</f>
        <v>40</v>
      </c>
      <c r="H14" s="10">
        <f>J7</f>
        <v>30</v>
      </c>
    </row>
    <row r="15" spans="1:15" x14ac:dyDescent="0.35">
      <c r="A15" t="s">
        <v>103</v>
      </c>
      <c r="B15" t="s">
        <v>121</v>
      </c>
      <c r="C15" t="s">
        <v>122</v>
      </c>
      <c r="F15" s="10" t="s">
        <v>117</v>
      </c>
      <c r="G15" s="10">
        <f>K6</f>
        <v>15</v>
      </c>
      <c r="H15" s="10">
        <f>K7</f>
        <v>15</v>
      </c>
    </row>
    <row r="16" spans="1:15" x14ac:dyDescent="0.35">
      <c r="B16" s="10">
        <f>C2</f>
        <v>5</v>
      </c>
      <c r="C16" s="10">
        <v>1.5</v>
      </c>
      <c r="F16" s="10" t="s">
        <v>44</v>
      </c>
      <c r="G16" s="10">
        <f>L6</f>
        <v>10</v>
      </c>
      <c r="H16" s="10">
        <f>L7</f>
        <v>10</v>
      </c>
    </row>
    <row r="17" spans="6:8" x14ac:dyDescent="0.35">
      <c r="F17" s="10" t="s">
        <v>102</v>
      </c>
      <c r="G17" s="10">
        <f>M6</f>
        <v>10</v>
      </c>
      <c r="H17" s="10">
        <f>M7</f>
        <v>5</v>
      </c>
    </row>
    <row r="18" spans="6:8" ht="29.25" customHeight="1" x14ac:dyDescent="0.35">
      <c r="F18" s="13" t="s">
        <v>118</v>
      </c>
      <c r="G18" s="10">
        <f>N6</f>
        <v>4</v>
      </c>
      <c r="H18" s="10">
        <f>N7</f>
        <v>4</v>
      </c>
    </row>
    <row r="19" spans="6:8" x14ac:dyDescent="0.35">
      <c r="F19" s="10" t="s">
        <v>103</v>
      </c>
      <c r="G19" s="10">
        <f>O6</f>
        <v>1.5</v>
      </c>
      <c r="H19" s="10">
        <f>O7</f>
        <v>1.5</v>
      </c>
    </row>
    <row r="20" spans="6:8" x14ac:dyDescent="0.35">
      <c r="F20" s="10" t="s">
        <v>127</v>
      </c>
      <c r="G20" s="10">
        <f>G13+G14+G15+G16+G17+G18+G19</f>
        <v>90.5</v>
      </c>
      <c r="H20" s="10">
        <f>H13+H14+H15+H16+H17+H18+H19</f>
        <v>95.5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E18" sqref="E18"/>
    </sheetView>
  </sheetViews>
  <sheetFormatPr defaultRowHeight="14.5" x14ac:dyDescent="0.3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x14ac:dyDescent="0.35">
      <c r="A2" t="s">
        <v>107</v>
      </c>
      <c r="B2" s="9" t="s">
        <v>108</v>
      </c>
      <c r="C2" s="9">
        <v>5</v>
      </c>
    </row>
    <row r="3" spans="1:15" x14ac:dyDescent="0.35">
      <c r="B3" t="s">
        <v>109</v>
      </c>
      <c r="C3" t="s">
        <v>110</v>
      </c>
    </row>
    <row r="4" spans="1:15" x14ac:dyDescent="0.35">
      <c r="A4" t="s">
        <v>111</v>
      </c>
      <c r="B4" s="10">
        <v>10</v>
      </c>
      <c r="C4" s="10">
        <v>10</v>
      </c>
      <c r="E4">
        <f>(100/B4)*C4</f>
        <v>100</v>
      </c>
    </row>
    <row r="5" spans="1:15" x14ac:dyDescent="0.35">
      <c r="A5" t="s">
        <v>112</v>
      </c>
      <c r="B5" t="s">
        <v>113</v>
      </c>
      <c r="C5" t="s">
        <v>114</v>
      </c>
      <c r="E5">
        <f>(100/B6)*C6</f>
        <v>83.333333333333343</v>
      </c>
      <c r="I5" s="10" t="s">
        <v>115</v>
      </c>
      <c r="J5" s="10" t="s">
        <v>116</v>
      </c>
      <c r="K5" s="10" t="s">
        <v>117</v>
      </c>
      <c r="L5" s="10" t="s">
        <v>44</v>
      </c>
      <c r="M5" s="10" t="s">
        <v>102</v>
      </c>
      <c r="N5" s="10" t="s">
        <v>118</v>
      </c>
      <c r="O5" s="10" t="s">
        <v>103</v>
      </c>
    </row>
    <row r="6" spans="1:15" x14ac:dyDescent="0.35">
      <c r="B6" s="10">
        <f>C2+1</f>
        <v>6</v>
      </c>
      <c r="C6" s="10">
        <v>5</v>
      </c>
      <c r="E6">
        <f>(100/B8)*C8</f>
        <v>80</v>
      </c>
      <c r="F6" s="11" t="s">
        <v>119</v>
      </c>
      <c r="I6" s="11">
        <f>C4</f>
        <v>10</v>
      </c>
      <c r="J6" s="11">
        <f>40/B6*C6</f>
        <v>33.333333333333336</v>
      </c>
      <c r="K6" s="11">
        <f>15/B8*C8</f>
        <v>12</v>
      </c>
      <c r="L6" s="11">
        <f>10/B10*C10</f>
        <v>8</v>
      </c>
      <c r="M6" s="11">
        <f>10/B12*C12</f>
        <v>8</v>
      </c>
      <c r="N6" s="11">
        <f>5/B14*C14</f>
        <v>4</v>
      </c>
      <c r="O6" s="11">
        <f>5/B16*C16</f>
        <v>1</v>
      </c>
    </row>
    <row r="7" spans="1:15" x14ac:dyDescent="0.35">
      <c r="A7" t="s">
        <v>120</v>
      </c>
      <c r="B7" t="s">
        <v>121</v>
      </c>
      <c r="C7" t="s">
        <v>122</v>
      </c>
      <c r="E7">
        <f>(100/B10)*C10</f>
        <v>80</v>
      </c>
      <c r="F7" s="10" t="s">
        <v>123</v>
      </c>
      <c r="G7" s="10"/>
      <c r="H7" s="10"/>
      <c r="I7" s="10">
        <f>I6+20</f>
        <v>30</v>
      </c>
      <c r="J7" s="10">
        <f>30/B6*C6</f>
        <v>25</v>
      </c>
      <c r="K7" s="10">
        <f>15/B8*C8</f>
        <v>12</v>
      </c>
      <c r="L7" s="10">
        <f>10/B10*C10</f>
        <v>8</v>
      </c>
      <c r="M7" s="10">
        <f>5/B12*C12</f>
        <v>4</v>
      </c>
      <c r="N7" s="10">
        <f>5/B14*C14</f>
        <v>4</v>
      </c>
      <c r="O7" s="10">
        <f>5/B16*C16</f>
        <v>1</v>
      </c>
    </row>
    <row r="8" spans="1:15" x14ac:dyDescent="0.35">
      <c r="B8" s="10">
        <f>C2</f>
        <v>5</v>
      </c>
      <c r="C8" s="10">
        <v>4</v>
      </c>
      <c r="E8">
        <f>(100/B12)*C12</f>
        <v>80</v>
      </c>
    </row>
    <row r="9" spans="1:15" x14ac:dyDescent="0.35">
      <c r="A9" t="s">
        <v>124</v>
      </c>
      <c r="B9" t="s">
        <v>121</v>
      </c>
      <c r="C9" t="s">
        <v>122</v>
      </c>
      <c r="E9">
        <f>(100/B14)*C14</f>
        <v>80</v>
      </c>
    </row>
    <row r="10" spans="1:15" x14ac:dyDescent="0.35">
      <c r="B10" s="10">
        <f>C2</f>
        <v>5</v>
      </c>
      <c r="C10" s="10">
        <v>4</v>
      </c>
      <c r="E10">
        <f>(100/B16)*C16</f>
        <v>20</v>
      </c>
    </row>
    <row r="11" spans="1:15" x14ac:dyDescent="0.35">
      <c r="A11" t="s">
        <v>102</v>
      </c>
      <c r="B11" t="s">
        <v>121</v>
      </c>
      <c r="C11" t="s">
        <v>122</v>
      </c>
    </row>
    <row r="12" spans="1:15" x14ac:dyDescent="0.35">
      <c r="B12" s="10">
        <f>C2</f>
        <v>5</v>
      </c>
      <c r="C12" s="10">
        <v>4</v>
      </c>
      <c r="F12" s="10"/>
      <c r="G12" s="10" t="s">
        <v>119</v>
      </c>
      <c r="H12" s="10" t="s">
        <v>125</v>
      </c>
      <c r="L12" t="s">
        <v>126</v>
      </c>
    </row>
    <row r="13" spans="1:15" ht="31.5" customHeight="1" x14ac:dyDescent="0.35">
      <c r="A13" s="12" t="s">
        <v>118</v>
      </c>
      <c r="B13" t="s">
        <v>121</v>
      </c>
      <c r="C13" t="s">
        <v>122</v>
      </c>
      <c r="F13" s="10" t="s">
        <v>42</v>
      </c>
      <c r="G13" s="10">
        <f>I6</f>
        <v>10</v>
      </c>
      <c r="H13" s="10">
        <f>I7</f>
        <v>30</v>
      </c>
      <c r="L13" t="s">
        <v>126</v>
      </c>
    </row>
    <row r="14" spans="1:15" x14ac:dyDescent="0.35">
      <c r="B14" s="10">
        <f>C2</f>
        <v>5</v>
      </c>
      <c r="C14" s="10">
        <v>4</v>
      </c>
      <c r="F14" s="10" t="s">
        <v>43</v>
      </c>
      <c r="G14" s="10">
        <f>J6</f>
        <v>33.333333333333336</v>
      </c>
      <c r="H14" s="10">
        <f>J7</f>
        <v>25</v>
      </c>
    </row>
    <row r="15" spans="1:15" x14ac:dyDescent="0.35">
      <c r="A15" t="s">
        <v>103</v>
      </c>
      <c r="B15" t="s">
        <v>121</v>
      </c>
      <c r="C15" t="s">
        <v>122</v>
      </c>
      <c r="F15" s="10" t="s">
        <v>117</v>
      </c>
      <c r="G15" s="10">
        <f>K6</f>
        <v>12</v>
      </c>
      <c r="H15" s="10">
        <f>K7</f>
        <v>12</v>
      </c>
    </row>
    <row r="16" spans="1:15" x14ac:dyDescent="0.35">
      <c r="B16" s="10">
        <f>C2</f>
        <v>5</v>
      </c>
      <c r="C16" s="10">
        <v>1</v>
      </c>
      <c r="F16" s="10" t="s">
        <v>44</v>
      </c>
      <c r="G16" s="10">
        <f>L6</f>
        <v>8</v>
      </c>
      <c r="H16" s="10">
        <f>L7</f>
        <v>8</v>
      </c>
    </row>
    <row r="17" spans="6:8" x14ac:dyDescent="0.35">
      <c r="F17" s="10" t="s">
        <v>102</v>
      </c>
      <c r="G17" s="10">
        <f>M6</f>
        <v>8</v>
      </c>
      <c r="H17" s="10">
        <f>M7</f>
        <v>4</v>
      </c>
    </row>
    <row r="18" spans="6:8" ht="29.25" customHeight="1" x14ac:dyDescent="0.35">
      <c r="F18" s="13" t="s">
        <v>118</v>
      </c>
      <c r="G18" s="10">
        <f>N6</f>
        <v>4</v>
      </c>
      <c r="H18" s="10">
        <f>N7</f>
        <v>4</v>
      </c>
    </row>
    <row r="19" spans="6:8" x14ac:dyDescent="0.35">
      <c r="F19" s="10" t="s">
        <v>103</v>
      </c>
      <c r="G19" s="10">
        <f>O6</f>
        <v>1</v>
      </c>
      <c r="H19" s="10">
        <f>O7</f>
        <v>1</v>
      </c>
    </row>
    <row r="20" spans="6:8" x14ac:dyDescent="0.35">
      <c r="F20" s="10" t="s">
        <v>127</v>
      </c>
      <c r="G20" s="10">
        <f>G13+G14+G15+G16+G17+G18+G19</f>
        <v>76.333333333333343</v>
      </c>
      <c r="H20" s="10">
        <f>H13+H14+H15+H16+H17+H18+H19</f>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E18" sqref="E18"/>
    </sheetView>
  </sheetViews>
  <sheetFormatPr defaultRowHeight="14.5" x14ac:dyDescent="0.3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x14ac:dyDescent="0.35">
      <c r="A2" t="s">
        <v>107</v>
      </c>
      <c r="B2" s="9" t="s">
        <v>108</v>
      </c>
      <c r="C2" s="9">
        <v>5</v>
      </c>
    </row>
    <row r="3" spans="1:15" x14ac:dyDescent="0.35">
      <c r="B3" t="s">
        <v>109</v>
      </c>
      <c r="C3" t="s">
        <v>110</v>
      </c>
    </row>
    <row r="4" spans="1:15" x14ac:dyDescent="0.35">
      <c r="A4" t="s">
        <v>111</v>
      </c>
      <c r="B4" s="10">
        <v>10</v>
      </c>
      <c r="C4" s="10">
        <v>10</v>
      </c>
      <c r="E4">
        <f>(100/B4)*C4</f>
        <v>100</v>
      </c>
    </row>
    <row r="5" spans="1:15" x14ac:dyDescent="0.35">
      <c r="A5" t="s">
        <v>112</v>
      </c>
      <c r="B5" t="s">
        <v>113</v>
      </c>
      <c r="C5" t="s">
        <v>114</v>
      </c>
      <c r="E5">
        <f>(100/B6)*C6</f>
        <v>83.333333333333343</v>
      </c>
      <c r="I5" s="10" t="s">
        <v>115</v>
      </c>
      <c r="J5" s="10" t="s">
        <v>116</v>
      </c>
      <c r="K5" s="10" t="s">
        <v>117</v>
      </c>
      <c r="L5" s="10" t="s">
        <v>44</v>
      </c>
      <c r="M5" s="10" t="s">
        <v>102</v>
      </c>
      <c r="N5" s="10" t="s">
        <v>118</v>
      </c>
      <c r="O5" s="10" t="s">
        <v>103</v>
      </c>
    </row>
    <row r="6" spans="1:15" x14ac:dyDescent="0.35">
      <c r="B6" s="10">
        <f>C2+1</f>
        <v>6</v>
      </c>
      <c r="C6" s="10">
        <v>5</v>
      </c>
      <c r="E6">
        <f>(100/B8)*C8</f>
        <v>80</v>
      </c>
      <c r="F6" s="11" t="s">
        <v>119</v>
      </c>
      <c r="I6" s="11">
        <f>C4</f>
        <v>10</v>
      </c>
      <c r="J6" s="11">
        <f>40/B6*C6</f>
        <v>33.333333333333336</v>
      </c>
      <c r="K6" s="11">
        <f>15/B8*C8</f>
        <v>12</v>
      </c>
      <c r="L6" s="11">
        <f>10/B10*C10</f>
        <v>8</v>
      </c>
      <c r="M6" s="11">
        <f>10/B12*C12</f>
        <v>8</v>
      </c>
      <c r="N6" s="11">
        <f>5/B14*C14</f>
        <v>4</v>
      </c>
      <c r="O6" s="11">
        <f>5/B16*C16</f>
        <v>1</v>
      </c>
    </row>
    <row r="7" spans="1:15" x14ac:dyDescent="0.35">
      <c r="A7" t="s">
        <v>120</v>
      </c>
      <c r="B7" t="s">
        <v>121</v>
      </c>
      <c r="C7" t="s">
        <v>122</v>
      </c>
      <c r="E7">
        <f>(100/B10)*C10</f>
        <v>80</v>
      </c>
      <c r="F7" s="10" t="s">
        <v>123</v>
      </c>
      <c r="G7" s="10"/>
      <c r="H7" s="10"/>
      <c r="I7" s="10">
        <f>I6+20</f>
        <v>30</v>
      </c>
      <c r="J7" s="10">
        <f>30/B6*C6</f>
        <v>25</v>
      </c>
      <c r="K7" s="10">
        <f>15/B8*C8</f>
        <v>12</v>
      </c>
      <c r="L7" s="10">
        <f>10/B10*C10</f>
        <v>8</v>
      </c>
      <c r="M7" s="10">
        <f>5/B12*C12</f>
        <v>4</v>
      </c>
      <c r="N7" s="10">
        <f>5/B14*C14</f>
        <v>4</v>
      </c>
      <c r="O7" s="10">
        <f>5/B16*C16</f>
        <v>1</v>
      </c>
    </row>
    <row r="8" spans="1:15" x14ac:dyDescent="0.35">
      <c r="B8" s="10">
        <f>C2</f>
        <v>5</v>
      </c>
      <c r="C8" s="10">
        <v>4</v>
      </c>
      <c r="E8">
        <f>(100/B12)*C12</f>
        <v>80</v>
      </c>
    </row>
    <row r="9" spans="1:15" x14ac:dyDescent="0.35">
      <c r="A9" t="s">
        <v>124</v>
      </c>
      <c r="B9" t="s">
        <v>121</v>
      </c>
      <c r="C9" t="s">
        <v>122</v>
      </c>
      <c r="E9">
        <f>(100/B14)*C14</f>
        <v>80</v>
      </c>
    </row>
    <row r="10" spans="1:15" x14ac:dyDescent="0.35">
      <c r="B10" s="10">
        <f>C2</f>
        <v>5</v>
      </c>
      <c r="C10" s="10">
        <v>4</v>
      </c>
      <c r="E10">
        <f>(100/B16)*C16</f>
        <v>20</v>
      </c>
    </row>
    <row r="11" spans="1:15" x14ac:dyDescent="0.35">
      <c r="A11" t="s">
        <v>102</v>
      </c>
      <c r="B11" t="s">
        <v>121</v>
      </c>
      <c r="C11" t="s">
        <v>122</v>
      </c>
    </row>
    <row r="12" spans="1:15" x14ac:dyDescent="0.35">
      <c r="B12" s="10">
        <f>C2</f>
        <v>5</v>
      </c>
      <c r="C12" s="10">
        <v>4</v>
      </c>
      <c r="F12" s="10"/>
      <c r="G12" s="10" t="s">
        <v>119</v>
      </c>
      <c r="H12" s="10" t="s">
        <v>125</v>
      </c>
      <c r="L12" t="s">
        <v>126</v>
      </c>
    </row>
    <row r="13" spans="1:15" ht="31.5" customHeight="1" x14ac:dyDescent="0.35">
      <c r="A13" s="12" t="s">
        <v>118</v>
      </c>
      <c r="B13" t="s">
        <v>121</v>
      </c>
      <c r="C13" t="s">
        <v>122</v>
      </c>
      <c r="F13" s="10" t="s">
        <v>42</v>
      </c>
      <c r="G13" s="10">
        <f>I6</f>
        <v>10</v>
      </c>
      <c r="H13" s="10">
        <f>I7</f>
        <v>30</v>
      </c>
      <c r="L13" t="s">
        <v>126</v>
      </c>
    </row>
    <row r="14" spans="1:15" x14ac:dyDescent="0.35">
      <c r="B14" s="10">
        <f>C2</f>
        <v>5</v>
      </c>
      <c r="C14" s="10">
        <v>4</v>
      </c>
      <c r="F14" s="10" t="s">
        <v>43</v>
      </c>
      <c r="G14" s="10">
        <f>J6</f>
        <v>33.333333333333336</v>
      </c>
      <c r="H14" s="10">
        <f>J7</f>
        <v>25</v>
      </c>
    </row>
    <row r="15" spans="1:15" x14ac:dyDescent="0.35">
      <c r="A15" t="s">
        <v>103</v>
      </c>
      <c r="B15" t="s">
        <v>121</v>
      </c>
      <c r="C15" t="s">
        <v>122</v>
      </c>
      <c r="F15" s="10" t="s">
        <v>117</v>
      </c>
      <c r="G15" s="10">
        <f>K6</f>
        <v>12</v>
      </c>
      <c r="H15" s="10">
        <f>K7</f>
        <v>12</v>
      </c>
    </row>
    <row r="16" spans="1:15" x14ac:dyDescent="0.35">
      <c r="B16" s="10">
        <f>C2</f>
        <v>5</v>
      </c>
      <c r="C16" s="10">
        <v>1</v>
      </c>
      <c r="F16" s="10" t="s">
        <v>44</v>
      </c>
      <c r="G16" s="10">
        <f>L6</f>
        <v>8</v>
      </c>
      <c r="H16" s="10">
        <f>L7</f>
        <v>8</v>
      </c>
    </row>
    <row r="17" spans="6:8" x14ac:dyDescent="0.35">
      <c r="F17" s="10" t="s">
        <v>102</v>
      </c>
      <c r="G17" s="10">
        <f>M6</f>
        <v>8</v>
      </c>
      <c r="H17" s="10">
        <f>M7</f>
        <v>4</v>
      </c>
    </row>
    <row r="18" spans="6:8" ht="29.25" customHeight="1" x14ac:dyDescent="0.35">
      <c r="F18" s="13" t="s">
        <v>118</v>
      </c>
      <c r="G18" s="10">
        <f>N6</f>
        <v>4</v>
      </c>
      <c r="H18" s="10">
        <f>N7</f>
        <v>4</v>
      </c>
    </row>
    <row r="19" spans="6:8" x14ac:dyDescent="0.35">
      <c r="F19" s="10" t="s">
        <v>103</v>
      </c>
      <c r="G19" s="10">
        <f>O6</f>
        <v>1</v>
      </c>
      <c r="H19" s="10">
        <f>O7</f>
        <v>1</v>
      </c>
    </row>
    <row r="20" spans="6:8" x14ac:dyDescent="0.35">
      <c r="F20" s="10" t="s">
        <v>127</v>
      </c>
      <c r="G20" s="10">
        <f>G13+G14+G15+G16+G17+G18+G19</f>
        <v>76.333333333333343</v>
      </c>
      <c r="H20" s="10">
        <f>H13+H14+H15+H16+H17+H18+H19</f>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E18" sqref="E18"/>
    </sheetView>
  </sheetViews>
  <sheetFormatPr defaultRowHeight="14.5" x14ac:dyDescent="0.3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x14ac:dyDescent="0.35">
      <c r="A2" t="s">
        <v>107</v>
      </c>
      <c r="B2" s="9" t="s">
        <v>108</v>
      </c>
      <c r="C2" s="9">
        <v>5</v>
      </c>
    </row>
    <row r="3" spans="1:15" x14ac:dyDescent="0.35">
      <c r="B3" t="s">
        <v>109</v>
      </c>
      <c r="C3" t="s">
        <v>110</v>
      </c>
    </row>
    <row r="4" spans="1:15" x14ac:dyDescent="0.35">
      <c r="A4" t="s">
        <v>111</v>
      </c>
      <c r="B4" s="10">
        <v>10</v>
      </c>
      <c r="C4" s="10">
        <v>10</v>
      </c>
      <c r="E4">
        <f>(100/B4)*C4</f>
        <v>100</v>
      </c>
    </row>
    <row r="5" spans="1:15" x14ac:dyDescent="0.35">
      <c r="A5" t="s">
        <v>112</v>
      </c>
      <c r="B5" t="s">
        <v>113</v>
      </c>
      <c r="C5" t="s">
        <v>114</v>
      </c>
      <c r="E5">
        <f>(100/B6)*C6</f>
        <v>83.333333333333343</v>
      </c>
      <c r="I5" s="10" t="s">
        <v>115</v>
      </c>
      <c r="J5" s="10" t="s">
        <v>116</v>
      </c>
      <c r="K5" s="10" t="s">
        <v>117</v>
      </c>
      <c r="L5" s="10" t="s">
        <v>44</v>
      </c>
      <c r="M5" s="10" t="s">
        <v>102</v>
      </c>
      <c r="N5" s="10" t="s">
        <v>118</v>
      </c>
      <c r="O5" s="10" t="s">
        <v>103</v>
      </c>
    </row>
    <row r="6" spans="1:15" x14ac:dyDescent="0.35">
      <c r="B6" s="10">
        <f>C2+1</f>
        <v>6</v>
      </c>
      <c r="C6" s="10">
        <v>5</v>
      </c>
      <c r="E6">
        <f>(100/B8)*C8</f>
        <v>80</v>
      </c>
      <c r="F6" s="11" t="s">
        <v>119</v>
      </c>
      <c r="I6" s="11">
        <f>C4</f>
        <v>10</v>
      </c>
      <c r="J6" s="11">
        <f>40/B6*C6</f>
        <v>33.333333333333336</v>
      </c>
      <c r="K6" s="11">
        <f>15/B8*C8</f>
        <v>12</v>
      </c>
      <c r="L6" s="11">
        <f>10/B10*C10</f>
        <v>8</v>
      </c>
      <c r="M6" s="11">
        <f>10/B12*C12</f>
        <v>8</v>
      </c>
      <c r="N6" s="11">
        <f>5/B14*C14</f>
        <v>4</v>
      </c>
      <c r="O6" s="11">
        <f>5/B16*C16</f>
        <v>1</v>
      </c>
    </row>
    <row r="7" spans="1:15" x14ac:dyDescent="0.35">
      <c r="A7" t="s">
        <v>120</v>
      </c>
      <c r="B7" t="s">
        <v>121</v>
      </c>
      <c r="C7" t="s">
        <v>122</v>
      </c>
      <c r="E7">
        <f>(100/B10)*C10</f>
        <v>80</v>
      </c>
      <c r="F7" s="10" t="s">
        <v>123</v>
      </c>
      <c r="G7" s="10"/>
      <c r="H7" s="10"/>
      <c r="I7" s="10">
        <f>I6+20</f>
        <v>30</v>
      </c>
      <c r="J7" s="10">
        <f>30/B6*C6</f>
        <v>25</v>
      </c>
      <c r="K7" s="10">
        <f>15/B8*C8</f>
        <v>12</v>
      </c>
      <c r="L7" s="10">
        <f>10/B10*C10</f>
        <v>8</v>
      </c>
      <c r="M7" s="10">
        <f>5/B12*C12</f>
        <v>4</v>
      </c>
      <c r="N7" s="10">
        <f>5/B14*C14</f>
        <v>4</v>
      </c>
      <c r="O7" s="10">
        <f>5/B16*C16</f>
        <v>1</v>
      </c>
    </row>
    <row r="8" spans="1:15" x14ac:dyDescent="0.35">
      <c r="B8" s="10">
        <f>C2</f>
        <v>5</v>
      </c>
      <c r="C8" s="10">
        <v>4</v>
      </c>
      <c r="E8">
        <f>(100/B12)*C12</f>
        <v>80</v>
      </c>
    </row>
    <row r="9" spans="1:15" x14ac:dyDescent="0.35">
      <c r="A9" t="s">
        <v>124</v>
      </c>
      <c r="B9" t="s">
        <v>121</v>
      </c>
      <c r="C9" t="s">
        <v>122</v>
      </c>
      <c r="E9">
        <f>(100/B14)*C14</f>
        <v>80</v>
      </c>
    </row>
    <row r="10" spans="1:15" x14ac:dyDescent="0.35">
      <c r="B10" s="10">
        <f>C2</f>
        <v>5</v>
      </c>
      <c r="C10" s="10">
        <v>4</v>
      </c>
      <c r="E10">
        <f>(100/B16)*C16</f>
        <v>20</v>
      </c>
    </row>
    <row r="11" spans="1:15" x14ac:dyDescent="0.35">
      <c r="A11" t="s">
        <v>102</v>
      </c>
      <c r="B11" t="s">
        <v>121</v>
      </c>
      <c r="C11" t="s">
        <v>122</v>
      </c>
    </row>
    <row r="12" spans="1:15" x14ac:dyDescent="0.35">
      <c r="B12" s="10">
        <f>C2</f>
        <v>5</v>
      </c>
      <c r="C12" s="10">
        <v>4</v>
      </c>
      <c r="F12" s="10"/>
      <c r="G12" s="10" t="s">
        <v>119</v>
      </c>
      <c r="H12" s="10" t="s">
        <v>125</v>
      </c>
      <c r="L12" t="s">
        <v>126</v>
      </c>
    </row>
    <row r="13" spans="1:15" ht="31.5" customHeight="1" x14ac:dyDescent="0.35">
      <c r="A13" s="12" t="s">
        <v>118</v>
      </c>
      <c r="B13" t="s">
        <v>121</v>
      </c>
      <c r="C13" t="s">
        <v>122</v>
      </c>
      <c r="F13" s="10" t="s">
        <v>42</v>
      </c>
      <c r="G13" s="10">
        <f>I6</f>
        <v>10</v>
      </c>
      <c r="H13" s="10">
        <f>I7</f>
        <v>30</v>
      </c>
      <c r="L13" t="s">
        <v>126</v>
      </c>
    </row>
    <row r="14" spans="1:15" x14ac:dyDescent="0.35">
      <c r="B14" s="10">
        <f>C2</f>
        <v>5</v>
      </c>
      <c r="C14" s="10">
        <v>4</v>
      </c>
      <c r="F14" s="10" t="s">
        <v>43</v>
      </c>
      <c r="G14" s="10">
        <f>J6</f>
        <v>33.333333333333336</v>
      </c>
      <c r="H14" s="10">
        <f>J7</f>
        <v>25</v>
      </c>
    </row>
    <row r="15" spans="1:15" x14ac:dyDescent="0.35">
      <c r="A15" t="s">
        <v>103</v>
      </c>
      <c r="B15" t="s">
        <v>121</v>
      </c>
      <c r="C15" t="s">
        <v>122</v>
      </c>
      <c r="F15" s="10" t="s">
        <v>117</v>
      </c>
      <c r="G15" s="10">
        <f>K6</f>
        <v>12</v>
      </c>
      <c r="H15" s="10">
        <f>K7</f>
        <v>12</v>
      </c>
    </row>
    <row r="16" spans="1:15" x14ac:dyDescent="0.35">
      <c r="B16" s="10">
        <f>C2</f>
        <v>5</v>
      </c>
      <c r="C16" s="10">
        <v>1</v>
      </c>
      <c r="F16" s="10" t="s">
        <v>44</v>
      </c>
      <c r="G16" s="10">
        <f>L6</f>
        <v>8</v>
      </c>
      <c r="H16" s="10">
        <f>L7</f>
        <v>8</v>
      </c>
    </row>
    <row r="17" spans="6:8" x14ac:dyDescent="0.35">
      <c r="F17" s="10" t="s">
        <v>102</v>
      </c>
      <c r="G17" s="10">
        <f>M6</f>
        <v>8</v>
      </c>
      <c r="H17" s="10">
        <f>M7</f>
        <v>4</v>
      </c>
    </row>
    <row r="18" spans="6:8" ht="29.25" customHeight="1" x14ac:dyDescent="0.35">
      <c r="F18" s="13" t="s">
        <v>118</v>
      </c>
      <c r="G18" s="10">
        <f>N6</f>
        <v>4</v>
      </c>
      <c r="H18" s="10">
        <f>N7</f>
        <v>4</v>
      </c>
    </row>
    <row r="19" spans="6:8" x14ac:dyDescent="0.35">
      <c r="F19" s="10" t="s">
        <v>103</v>
      </c>
      <c r="G19" s="10">
        <f>O6</f>
        <v>1</v>
      </c>
      <c r="H19" s="10">
        <f>O7</f>
        <v>1</v>
      </c>
    </row>
    <row r="20" spans="6:8" x14ac:dyDescent="0.35">
      <c r="F20" s="10" t="s">
        <v>127</v>
      </c>
      <c r="G20" s="10">
        <f>G13+G14+G15+G16+G17+G18+G19</f>
        <v>76.333333333333343</v>
      </c>
      <c r="H20" s="10">
        <f>H13+H14+H15+H16+H17+H18+H19</f>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E19" sqref="E19"/>
    </sheetView>
  </sheetViews>
  <sheetFormatPr defaultRowHeight="14.5" x14ac:dyDescent="0.3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x14ac:dyDescent="0.35">
      <c r="A2" t="s">
        <v>107</v>
      </c>
      <c r="B2" s="9" t="s">
        <v>108</v>
      </c>
      <c r="C2" s="9">
        <v>5</v>
      </c>
    </row>
    <row r="3" spans="1:15" x14ac:dyDescent="0.35">
      <c r="B3" t="s">
        <v>109</v>
      </c>
      <c r="C3" t="s">
        <v>110</v>
      </c>
    </row>
    <row r="4" spans="1:15" x14ac:dyDescent="0.35">
      <c r="A4" t="s">
        <v>111</v>
      </c>
      <c r="B4" s="10">
        <v>10</v>
      </c>
      <c r="C4" s="10">
        <v>10</v>
      </c>
      <c r="E4">
        <f>(100/B4)*C4</f>
        <v>100</v>
      </c>
    </row>
    <row r="5" spans="1:15" x14ac:dyDescent="0.35">
      <c r="A5" t="s">
        <v>112</v>
      </c>
      <c r="B5" t="s">
        <v>113</v>
      </c>
      <c r="C5" t="s">
        <v>114</v>
      </c>
      <c r="E5">
        <f>(100/B6)*C6</f>
        <v>33.333333333333336</v>
      </c>
      <c r="I5" s="10" t="s">
        <v>115</v>
      </c>
      <c r="J5" s="10" t="s">
        <v>116</v>
      </c>
      <c r="K5" s="10" t="s">
        <v>117</v>
      </c>
      <c r="L5" s="10" t="s">
        <v>44</v>
      </c>
      <c r="M5" s="10" t="s">
        <v>102</v>
      </c>
      <c r="N5" s="10" t="s">
        <v>118</v>
      </c>
      <c r="O5" s="10" t="s">
        <v>103</v>
      </c>
    </row>
    <row r="6" spans="1:15" x14ac:dyDescent="0.35">
      <c r="B6" s="10">
        <f>C2+1</f>
        <v>6</v>
      </c>
      <c r="C6" s="10">
        <v>2</v>
      </c>
      <c r="E6">
        <f>(100/B8)*C8</f>
        <v>0</v>
      </c>
      <c r="F6" s="11" t="s">
        <v>119</v>
      </c>
      <c r="I6" s="11">
        <f>C4</f>
        <v>10</v>
      </c>
      <c r="J6" s="11">
        <f>40/B6*C6</f>
        <v>13.333333333333334</v>
      </c>
      <c r="K6" s="11">
        <f>15/B8*C8</f>
        <v>0</v>
      </c>
      <c r="L6" s="11">
        <f>10/B10*C10</f>
        <v>0</v>
      </c>
      <c r="M6" s="11">
        <f>10/B12*C12</f>
        <v>0</v>
      </c>
      <c r="N6" s="11">
        <f>5/B14*C14</f>
        <v>0</v>
      </c>
      <c r="O6" s="11">
        <f>5/B16*C16</f>
        <v>0</v>
      </c>
    </row>
    <row r="7" spans="1:15" x14ac:dyDescent="0.35">
      <c r="A7" t="s">
        <v>120</v>
      </c>
      <c r="B7" t="s">
        <v>121</v>
      </c>
      <c r="C7" t="s">
        <v>122</v>
      </c>
      <c r="E7">
        <f>(100/B10)*C10</f>
        <v>0</v>
      </c>
      <c r="F7" s="10" t="s">
        <v>123</v>
      </c>
      <c r="G7" s="10"/>
      <c r="H7" s="10"/>
      <c r="I7" s="10">
        <f>I6+20</f>
        <v>30</v>
      </c>
      <c r="J7" s="10">
        <f>30/B6*C6</f>
        <v>10</v>
      </c>
      <c r="K7" s="10">
        <f>15/B8*C8</f>
        <v>0</v>
      </c>
      <c r="L7" s="10">
        <f>10/B10*C10</f>
        <v>0</v>
      </c>
      <c r="M7" s="10">
        <f>5/B12*C12</f>
        <v>0</v>
      </c>
      <c r="N7" s="10">
        <f>5/B14*C14</f>
        <v>0</v>
      </c>
      <c r="O7" s="10">
        <f>5/B16*C16</f>
        <v>0</v>
      </c>
    </row>
    <row r="8" spans="1:15" x14ac:dyDescent="0.35">
      <c r="B8" s="10">
        <f>C2</f>
        <v>5</v>
      </c>
      <c r="C8" s="10">
        <v>0</v>
      </c>
      <c r="E8">
        <f>(100/B12)*C12</f>
        <v>0</v>
      </c>
    </row>
    <row r="9" spans="1:15" x14ac:dyDescent="0.35">
      <c r="A9" t="s">
        <v>124</v>
      </c>
      <c r="B9" t="s">
        <v>121</v>
      </c>
      <c r="C9" t="s">
        <v>122</v>
      </c>
      <c r="E9">
        <f>(100/B14)*C14</f>
        <v>0</v>
      </c>
    </row>
    <row r="10" spans="1:15" x14ac:dyDescent="0.35">
      <c r="B10" s="10">
        <f>C2</f>
        <v>5</v>
      </c>
      <c r="C10" s="10">
        <v>0</v>
      </c>
      <c r="E10">
        <f>(100/B16)*C16</f>
        <v>0</v>
      </c>
    </row>
    <row r="11" spans="1:15" x14ac:dyDescent="0.35">
      <c r="A11" t="s">
        <v>102</v>
      </c>
      <c r="B11" t="s">
        <v>121</v>
      </c>
      <c r="C11" t="s">
        <v>122</v>
      </c>
    </row>
    <row r="12" spans="1:15" x14ac:dyDescent="0.35">
      <c r="B12" s="10">
        <f>C2</f>
        <v>5</v>
      </c>
      <c r="C12" s="10">
        <v>0</v>
      </c>
      <c r="F12" s="10"/>
      <c r="G12" s="10" t="s">
        <v>119</v>
      </c>
      <c r="H12" s="10" t="s">
        <v>125</v>
      </c>
      <c r="L12" t="s">
        <v>126</v>
      </c>
    </row>
    <row r="13" spans="1:15" ht="31.5" customHeight="1" x14ac:dyDescent="0.35">
      <c r="A13" s="12" t="s">
        <v>118</v>
      </c>
      <c r="B13" t="s">
        <v>121</v>
      </c>
      <c r="C13" t="s">
        <v>122</v>
      </c>
      <c r="F13" s="10" t="s">
        <v>42</v>
      </c>
      <c r="G13" s="10">
        <f>I6</f>
        <v>10</v>
      </c>
      <c r="H13" s="10">
        <f>I7</f>
        <v>30</v>
      </c>
      <c r="L13" t="s">
        <v>126</v>
      </c>
    </row>
    <row r="14" spans="1:15" x14ac:dyDescent="0.35">
      <c r="B14" s="10">
        <f>C2</f>
        <v>5</v>
      </c>
      <c r="C14" s="10">
        <v>0</v>
      </c>
      <c r="F14" s="10" t="s">
        <v>43</v>
      </c>
      <c r="G14" s="10">
        <f>J6</f>
        <v>13.333333333333334</v>
      </c>
      <c r="H14" s="10">
        <f>J7</f>
        <v>10</v>
      </c>
    </row>
    <row r="15" spans="1:15" x14ac:dyDescent="0.35">
      <c r="A15" t="s">
        <v>103</v>
      </c>
      <c r="B15" t="s">
        <v>121</v>
      </c>
      <c r="C15" t="s">
        <v>122</v>
      </c>
      <c r="F15" s="10" t="s">
        <v>117</v>
      </c>
      <c r="G15" s="10">
        <f>K6</f>
        <v>0</v>
      </c>
      <c r="H15" s="10">
        <f>K7</f>
        <v>0</v>
      </c>
    </row>
    <row r="16" spans="1:15" x14ac:dyDescent="0.35">
      <c r="B16" s="10">
        <f>C2</f>
        <v>5</v>
      </c>
      <c r="C16" s="10">
        <v>0</v>
      </c>
      <c r="F16" s="10" t="s">
        <v>44</v>
      </c>
      <c r="G16" s="10">
        <f>L6</f>
        <v>0</v>
      </c>
      <c r="H16" s="10">
        <f>L7</f>
        <v>0</v>
      </c>
    </row>
    <row r="17" spans="6:8" x14ac:dyDescent="0.35">
      <c r="F17" s="10" t="s">
        <v>102</v>
      </c>
      <c r="G17" s="10">
        <f>M6</f>
        <v>0</v>
      </c>
      <c r="H17" s="10">
        <f>M7</f>
        <v>0</v>
      </c>
    </row>
    <row r="18" spans="6:8" ht="29.25" customHeight="1" x14ac:dyDescent="0.35">
      <c r="F18" s="13" t="s">
        <v>118</v>
      </c>
      <c r="G18" s="10">
        <f>N6</f>
        <v>0</v>
      </c>
      <c r="H18" s="10">
        <f>N7</f>
        <v>0</v>
      </c>
    </row>
    <row r="19" spans="6:8" x14ac:dyDescent="0.35">
      <c r="F19" s="10" t="s">
        <v>103</v>
      </c>
      <c r="G19" s="10">
        <f>O6</f>
        <v>0</v>
      </c>
      <c r="H19" s="10">
        <f>O7</f>
        <v>0</v>
      </c>
    </row>
    <row r="20" spans="6:8" x14ac:dyDescent="0.35">
      <c r="F20" s="10" t="s">
        <v>127</v>
      </c>
      <c r="G20" s="10">
        <f>G13+G14+G15+G16+G17+G18+G19</f>
        <v>23.333333333333336</v>
      </c>
      <c r="H20" s="10">
        <f>H13+H14+H15+H16+H17+H18+H19</f>
        <v>40</v>
      </c>
    </row>
  </sheetData>
  <phoneticPr fontId="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I37" sqref="I37"/>
    </sheetView>
  </sheetViews>
  <sheetFormatPr defaultRowHeight="14.5" x14ac:dyDescent="0.35"/>
  <cols>
    <col min="2" max="2" width="12.36328125" customWidth="1"/>
  </cols>
  <sheetData>
    <row r="2" spans="1:12" x14ac:dyDescent="0.35">
      <c r="B2" s="21" t="s">
        <v>149</v>
      </c>
      <c r="C2" s="220"/>
      <c r="D2" s="220"/>
    </row>
    <row r="3" spans="1:12" x14ac:dyDescent="0.35">
      <c r="D3" s="22"/>
      <c r="E3" s="22"/>
      <c r="F3" s="22"/>
      <c r="G3" s="22"/>
      <c r="H3" s="22"/>
      <c r="I3" s="22"/>
    </row>
    <row r="4" spans="1:12" x14ac:dyDescent="0.35">
      <c r="A4" s="21" t="s">
        <v>150</v>
      </c>
      <c r="B4" s="23" t="s">
        <v>151</v>
      </c>
      <c r="C4" s="221" t="s">
        <v>152</v>
      </c>
      <c r="D4" s="221"/>
      <c r="E4" s="221"/>
      <c r="F4" s="24"/>
      <c r="G4" s="221" t="s">
        <v>153</v>
      </c>
      <c r="H4" s="221"/>
      <c r="I4" s="221"/>
      <c r="J4" s="221" t="s">
        <v>154</v>
      </c>
      <c r="K4" s="221"/>
      <c r="L4" s="221"/>
    </row>
    <row r="5" spans="1:12" x14ac:dyDescent="0.35">
      <c r="A5" s="21">
        <v>1</v>
      </c>
      <c r="B5" s="23"/>
      <c r="C5" s="23" t="s">
        <v>155</v>
      </c>
      <c r="D5" s="23" t="s">
        <v>156</v>
      </c>
      <c r="E5" s="23" t="s">
        <v>157</v>
      </c>
      <c r="F5" s="23"/>
      <c r="G5" s="23" t="s">
        <v>155</v>
      </c>
      <c r="H5" s="23" t="s">
        <v>156</v>
      </c>
      <c r="I5" s="23" t="s">
        <v>157</v>
      </c>
      <c r="J5" s="23" t="s">
        <v>155</v>
      </c>
      <c r="K5" s="23" t="s">
        <v>156</v>
      </c>
      <c r="L5" s="23" t="s">
        <v>157</v>
      </c>
    </row>
    <row r="6" spans="1:12" x14ac:dyDescent="0.35">
      <c r="B6" s="10" t="s">
        <v>158</v>
      </c>
      <c r="C6" s="10">
        <v>3.2</v>
      </c>
      <c r="D6" s="10">
        <v>3</v>
      </c>
      <c r="E6" s="10">
        <f>C6*D6</f>
        <v>9.6000000000000014</v>
      </c>
      <c r="F6" s="10" t="s">
        <v>159</v>
      </c>
      <c r="G6" s="10">
        <v>1.2</v>
      </c>
      <c r="H6" s="10">
        <v>1.65</v>
      </c>
      <c r="I6" s="10">
        <f>G6*H6</f>
        <v>1.9799999999999998</v>
      </c>
      <c r="J6" s="10"/>
      <c r="K6" s="10"/>
      <c r="L6" s="10">
        <f>J6*K6</f>
        <v>0</v>
      </c>
    </row>
    <row r="7" spans="1:12" x14ac:dyDescent="0.35">
      <c r="B7" s="10"/>
      <c r="C7" s="10"/>
      <c r="D7" s="10"/>
      <c r="E7" s="10">
        <f t="shared" ref="E7:E33" si="0">C7*D7</f>
        <v>0</v>
      </c>
      <c r="F7" s="10" t="s">
        <v>160</v>
      </c>
      <c r="G7" s="10"/>
      <c r="H7" s="10"/>
      <c r="I7" s="10">
        <f t="shared" ref="I7:I29" si="1">G7*H7</f>
        <v>0</v>
      </c>
      <c r="J7" s="10"/>
      <c r="K7" s="10"/>
      <c r="L7" s="10">
        <f t="shared" ref="L7:L29" si="2">J7*K7</f>
        <v>0</v>
      </c>
    </row>
    <row r="8" spans="1:12" x14ac:dyDescent="0.35">
      <c r="B8" s="10"/>
      <c r="C8" s="10"/>
      <c r="D8" s="10"/>
      <c r="E8" s="10">
        <f t="shared" si="0"/>
        <v>0</v>
      </c>
      <c r="F8" s="10"/>
      <c r="G8" s="10"/>
      <c r="H8" s="10"/>
      <c r="I8" s="10">
        <f t="shared" si="1"/>
        <v>0</v>
      </c>
      <c r="J8" s="10"/>
      <c r="K8" s="10"/>
      <c r="L8" s="10">
        <f t="shared" si="2"/>
        <v>0</v>
      </c>
    </row>
    <row r="9" spans="1:12" x14ac:dyDescent="0.35">
      <c r="B9" s="10" t="s">
        <v>161</v>
      </c>
      <c r="C9" s="10">
        <v>2.7</v>
      </c>
      <c r="D9" s="10">
        <v>1.8</v>
      </c>
      <c r="E9" s="10">
        <f t="shared" si="0"/>
        <v>4.8600000000000003</v>
      </c>
      <c r="F9" s="10" t="s">
        <v>159</v>
      </c>
      <c r="G9" s="10">
        <v>2.1</v>
      </c>
      <c r="H9" s="10">
        <v>0.45</v>
      </c>
      <c r="I9" s="10">
        <f t="shared" si="1"/>
        <v>0.94500000000000006</v>
      </c>
      <c r="J9" s="10"/>
      <c r="K9" s="10"/>
      <c r="L9" s="10">
        <f t="shared" si="2"/>
        <v>0</v>
      </c>
    </row>
    <row r="10" spans="1:12" x14ac:dyDescent="0.35">
      <c r="B10" s="10"/>
      <c r="C10" s="10"/>
      <c r="D10" s="10"/>
      <c r="E10" s="10">
        <f t="shared" si="0"/>
        <v>0</v>
      </c>
      <c r="F10" s="10" t="s">
        <v>160</v>
      </c>
      <c r="G10" s="10">
        <v>1.5</v>
      </c>
      <c r="H10" s="10">
        <v>3</v>
      </c>
      <c r="I10" s="10">
        <f t="shared" si="1"/>
        <v>4.5</v>
      </c>
      <c r="J10" s="10"/>
      <c r="K10" s="10"/>
      <c r="L10" s="10">
        <f t="shared" si="2"/>
        <v>0</v>
      </c>
    </row>
    <row r="11" spans="1:12" x14ac:dyDescent="0.35">
      <c r="B11" s="10"/>
      <c r="C11" s="10"/>
      <c r="D11" s="10"/>
      <c r="E11" s="10">
        <f t="shared" si="0"/>
        <v>0</v>
      </c>
      <c r="F11" s="10"/>
      <c r="G11" s="10"/>
      <c r="H11" s="10"/>
      <c r="I11" s="10">
        <f t="shared" si="1"/>
        <v>0</v>
      </c>
      <c r="J11" s="10"/>
      <c r="K11" s="10"/>
      <c r="L11" s="10">
        <f t="shared" si="2"/>
        <v>0</v>
      </c>
    </row>
    <row r="12" spans="1:12" x14ac:dyDescent="0.35">
      <c r="B12" s="10"/>
      <c r="C12" s="10"/>
      <c r="D12" s="10"/>
      <c r="E12" s="10">
        <f t="shared" si="0"/>
        <v>0</v>
      </c>
      <c r="F12" s="10"/>
      <c r="G12" s="10"/>
      <c r="H12" s="10"/>
      <c r="I12" s="10">
        <f t="shared" si="1"/>
        <v>0</v>
      </c>
      <c r="J12" s="10"/>
      <c r="K12" s="10"/>
      <c r="L12" s="10">
        <f t="shared" si="2"/>
        <v>0</v>
      </c>
    </row>
    <row r="13" spans="1:12" x14ac:dyDescent="0.35">
      <c r="B13" s="10" t="s">
        <v>162</v>
      </c>
      <c r="C13" s="10">
        <v>1.5</v>
      </c>
      <c r="D13" s="10">
        <v>2.2000000000000002</v>
      </c>
      <c r="E13" s="10">
        <f t="shared" si="0"/>
        <v>3.3000000000000003</v>
      </c>
      <c r="F13" s="10" t="s">
        <v>159</v>
      </c>
      <c r="G13" s="10"/>
      <c r="H13" s="10"/>
      <c r="I13" s="10">
        <f t="shared" si="1"/>
        <v>0</v>
      </c>
      <c r="J13" s="10"/>
      <c r="K13" s="10"/>
      <c r="L13" s="10">
        <f t="shared" si="2"/>
        <v>0</v>
      </c>
    </row>
    <row r="14" spans="1:12" x14ac:dyDescent="0.35">
      <c r="B14" s="10"/>
      <c r="C14" s="10"/>
      <c r="D14" s="10"/>
      <c r="E14" s="10">
        <f t="shared" si="0"/>
        <v>0</v>
      </c>
      <c r="F14" s="10" t="s">
        <v>160</v>
      </c>
      <c r="G14" s="10"/>
      <c r="H14" s="10"/>
      <c r="I14" s="10">
        <f t="shared" si="1"/>
        <v>0</v>
      </c>
      <c r="J14" s="10"/>
      <c r="K14" s="10"/>
      <c r="L14" s="10">
        <f t="shared" si="2"/>
        <v>0</v>
      </c>
    </row>
    <row r="15" spans="1:12" x14ac:dyDescent="0.35">
      <c r="B15" s="10"/>
      <c r="C15" s="10"/>
      <c r="D15" s="10"/>
      <c r="E15" s="10">
        <f t="shared" si="0"/>
        <v>0</v>
      </c>
      <c r="F15" s="10"/>
      <c r="G15" s="10"/>
      <c r="H15" s="10"/>
      <c r="I15" s="10">
        <f t="shared" si="1"/>
        <v>0</v>
      </c>
      <c r="J15" s="10"/>
      <c r="K15" s="10"/>
      <c r="L15" s="10">
        <f t="shared" si="2"/>
        <v>0</v>
      </c>
    </row>
    <row r="16" spans="1:12" x14ac:dyDescent="0.35">
      <c r="B16" s="10"/>
      <c r="C16" s="10"/>
      <c r="D16" s="10"/>
      <c r="E16" s="10">
        <f t="shared" si="0"/>
        <v>0</v>
      </c>
      <c r="F16" s="10"/>
      <c r="G16" s="10"/>
      <c r="H16" s="10"/>
      <c r="I16" s="10">
        <f t="shared" si="1"/>
        <v>0</v>
      </c>
      <c r="J16" s="10"/>
      <c r="K16" s="10"/>
      <c r="L16" s="10">
        <f t="shared" si="2"/>
        <v>0</v>
      </c>
    </row>
    <row r="17" spans="2:12" x14ac:dyDescent="0.35">
      <c r="B17" s="10" t="s">
        <v>163</v>
      </c>
      <c r="C17" s="10"/>
      <c r="D17" s="10"/>
      <c r="E17" s="10">
        <f t="shared" si="0"/>
        <v>0</v>
      </c>
      <c r="F17" s="10" t="s">
        <v>159</v>
      </c>
      <c r="G17" s="10"/>
      <c r="H17" s="10"/>
      <c r="I17" s="10">
        <f t="shared" si="1"/>
        <v>0</v>
      </c>
      <c r="J17" s="10"/>
      <c r="K17" s="10"/>
      <c r="L17" s="10">
        <f t="shared" si="2"/>
        <v>0</v>
      </c>
    </row>
    <row r="18" spans="2:12" x14ac:dyDescent="0.35">
      <c r="B18" s="10"/>
      <c r="C18" s="10"/>
      <c r="D18" s="10"/>
      <c r="E18" s="10">
        <f t="shared" si="0"/>
        <v>0</v>
      </c>
      <c r="F18" s="10" t="s">
        <v>160</v>
      </c>
      <c r="G18" s="10"/>
      <c r="H18" s="10"/>
      <c r="I18" s="10">
        <f t="shared" si="1"/>
        <v>0</v>
      </c>
      <c r="J18" s="10"/>
      <c r="K18" s="10"/>
      <c r="L18" s="10">
        <f t="shared" si="2"/>
        <v>0</v>
      </c>
    </row>
    <row r="19" spans="2:12" x14ac:dyDescent="0.35">
      <c r="B19" s="10"/>
      <c r="C19" s="10"/>
      <c r="D19" s="10"/>
      <c r="E19" s="10">
        <f t="shared" si="0"/>
        <v>0</v>
      </c>
      <c r="F19" s="10"/>
      <c r="G19" s="10"/>
      <c r="H19" s="10"/>
      <c r="I19" s="10">
        <f t="shared" si="1"/>
        <v>0</v>
      </c>
      <c r="J19" s="10"/>
      <c r="K19" s="10"/>
      <c r="L19" s="10">
        <f t="shared" si="2"/>
        <v>0</v>
      </c>
    </row>
    <row r="20" spans="2:12" x14ac:dyDescent="0.35">
      <c r="B20" s="10" t="s">
        <v>163</v>
      </c>
      <c r="C20" s="10"/>
      <c r="D20" s="10"/>
      <c r="E20" s="10">
        <f t="shared" si="0"/>
        <v>0</v>
      </c>
      <c r="F20" s="10" t="s">
        <v>159</v>
      </c>
      <c r="G20" s="10"/>
      <c r="H20" s="10"/>
      <c r="I20" s="10">
        <f t="shared" si="1"/>
        <v>0</v>
      </c>
      <c r="J20" s="10"/>
      <c r="K20" s="10"/>
      <c r="L20" s="10">
        <f t="shared" si="2"/>
        <v>0</v>
      </c>
    </row>
    <row r="21" spans="2:12" x14ac:dyDescent="0.35">
      <c r="B21" s="10"/>
      <c r="C21" s="10"/>
      <c r="D21" s="10"/>
      <c r="E21" s="10">
        <f t="shared" si="0"/>
        <v>0</v>
      </c>
      <c r="F21" s="10" t="s">
        <v>160</v>
      </c>
      <c r="G21" s="10"/>
      <c r="H21" s="10"/>
      <c r="I21" s="10">
        <f t="shared" si="1"/>
        <v>0</v>
      </c>
      <c r="J21" s="10"/>
      <c r="K21" s="10"/>
      <c r="L21" s="10">
        <f t="shared" si="2"/>
        <v>0</v>
      </c>
    </row>
    <row r="22" spans="2:12" x14ac:dyDescent="0.35">
      <c r="B22" s="10"/>
      <c r="C22" s="10"/>
      <c r="D22" s="10"/>
      <c r="E22" s="10">
        <f t="shared" si="0"/>
        <v>0</v>
      </c>
      <c r="F22" s="10"/>
      <c r="G22" s="10"/>
      <c r="H22" s="10"/>
      <c r="I22" s="10">
        <f t="shared" si="1"/>
        <v>0</v>
      </c>
      <c r="J22" s="10"/>
      <c r="K22" s="10"/>
      <c r="L22" s="10">
        <f t="shared" si="2"/>
        <v>0</v>
      </c>
    </row>
    <row r="23" spans="2:12" x14ac:dyDescent="0.35">
      <c r="B23" s="10" t="s">
        <v>164</v>
      </c>
      <c r="C23" s="10">
        <v>1.2</v>
      </c>
      <c r="D23" s="10">
        <v>1.4</v>
      </c>
      <c r="E23" s="10">
        <f t="shared" si="0"/>
        <v>1.68</v>
      </c>
      <c r="F23" s="10" t="s">
        <v>165</v>
      </c>
      <c r="G23" s="10"/>
      <c r="H23" s="10"/>
      <c r="I23" s="10">
        <f t="shared" si="1"/>
        <v>0</v>
      </c>
      <c r="J23" s="10"/>
      <c r="K23" s="10"/>
      <c r="L23" s="10">
        <f t="shared" si="2"/>
        <v>0</v>
      </c>
    </row>
    <row r="24" spans="2:12" x14ac:dyDescent="0.35">
      <c r="B24" s="10" t="s">
        <v>166</v>
      </c>
      <c r="C24" s="10">
        <v>1</v>
      </c>
      <c r="D24" s="10">
        <v>1.4</v>
      </c>
      <c r="E24" s="10">
        <f t="shared" si="0"/>
        <v>1.4</v>
      </c>
      <c r="F24" s="10" t="s">
        <v>165</v>
      </c>
      <c r="G24" s="10"/>
      <c r="H24" s="10"/>
      <c r="I24" s="10">
        <f t="shared" si="1"/>
        <v>0</v>
      </c>
      <c r="J24" s="10"/>
      <c r="K24" s="10"/>
      <c r="L24" s="10">
        <f t="shared" si="2"/>
        <v>0</v>
      </c>
    </row>
    <row r="25" spans="2:12" x14ac:dyDescent="0.35">
      <c r="B25" s="10" t="s">
        <v>167</v>
      </c>
      <c r="C25" s="10"/>
      <c r="D25" s="10"/>
      <c r="E25" s="10">
        <f t="shared" si="0"/>
        <v>0</v>
      </c>
      <c r="F25" s="10" t="s">
        <v>165</v>
      </c>
      <c r="G25" s="10"/>
      <c r="H25" s="10"/>
      <c r="I25" s="10">
        <f t="shared" si="1"/>
        <v>0</v>
      </c>
      <c r="J25" s="10"/>
      <c r="K25" s="10"/>
      <c r="L25" s="10">
        <f t="shared" si="2"/>
        <v>0</v>
      </c>
    </row>
    <row r="26" spans="2:12" x14ac:dyDescent="0.35">
      <c r="B26" s="10"/>
      <c r="C26" s="10"/>
      <c r="D26" s="10"/>
      <c r="E26" s="10">
        <f t="shared" si="0"/>
        <v>0</v>
      </c>
      <c r="F26" s="10"/>
      <c r="G26" s="10"/>
      <c r="H26" s="10"/>
      <c r="I26" s="10">
        <f t="shared" si="1"/>
        <v>0</v>
      </c>
      <c r="J26" s="10"/>
      <c r="K26" s="10"/>
      <c r="L26" s="10">
        <f t="shared" si="2"/>
        <v>0</v>
      </c>
    </row>
    <row r="27" spans="2:12" x14ac:dyDescent="0.35">
      <c r="B27" s="10" t="s">
        <v>168</v>
      </c>
      <c r="C27" s="10">
        <v>2.7</v>
      </c>
      <c r="D27" s="10">
        <v>1</v>
      </c>
      <c r="E27" s="10">
        <f t="shared" si="0"/>
        <v>2.7</v>
      </c>
      <c r="F27" s="10"/>
      <c r="G27" s="10"/>
      <c r="H27" s="10"/>
      <c r="I27" s="10">
        <f t="shared" si="1"/>
        <v>0</v>
      </c>
      <c r="J27" s="10"/>
      <c r="K27" s="10"/>
      <c r="L27" s="10">
        <f t="shared" si="2"/>
        <v>0</v>
      </c>
    </row>
    <row r="28" spans="2:12" x14ac:dyDescent="0.35">
      <c r="B28" s="10" t="s">
        <v>169</v>
      </c>
      <c r="C28" s="10">
        <v>1.4</v>
      </c>
      <c r="D28" s="10">
        <v>1.5</v>
      </c>
      <c r="E28" s="10">
        <f t="shared" si="0"/>
        <v>2.0999999999999996</v>
      </c>
      <c r="F28" s="10"/>
      <c r="G28" s="10"/>
      <c r="H28" s="10"/>
      <c r="I28" s="10">
        <f t="shared" si="1"/>
        <v>0</v>
      </c>
      <c r="J28" s="10"/>
      <c r="K28" s="10"/>
      <c r="L28" s="10">
        <f t="shared" si="2"/>
        <v>0</v>
      </c>
    </row>
    <row r="29" spans="2:12" x14ac:dyDescent="0.35">
      <c r="B29" s="10" t="s">
        <v>170</v>
      </c>
      <c r="C29" s="10"/>
      <c r="D29" s="10"/>
      <c r="E29" s="10">
        <f t="shared" si="0"/>
        <v>0</v>
      </c>
      <c r="F29" s="10"/>
      <c r="G29" s="10"/>
      <c r="H29" s="10"/>
      <c r="I29" s="10">
        <f t="shared" si="1"/>
        <v>0</v>
      </c>
      <c r="J29" s="10"/>
      <c r="K29" s="10"/>
      <c r="L29" s="10">
        <f t="shared" si="2"/>
        <v>0</v>
      </c>
    </row>
    <row r="30" spans="2:12" x14ac:dyDescent="0.35">
      <c r="B30" s="10" t="s">
        <v>171</v>
      </c>
      <c r="C30" s="10"/>
      <c r="D30" s="10"/>
      <c r="E30" s="10">
        <f t="shared" si="0"/>
        <v>0</v>
      </c>
      <c r="F30" s="10"/>
      <c r="G30" s="10"/>
      <c r="H30" s="10"/>
      <c r="I30" s="10">
        <f>G30*H30</f>
        <v>0</v>
      </c>
      <c r="J30" s="10"/>
      <c r="K30" s="10"/>
      <c r="L30" s="10">
        <f>J30*K30</f>
        <v>0</v>
      </c>
    </row>
    <row r="31" spans="2:12" x14ac:dyDescent="0.35">
      <c r="B31" s="10"/>
      <c r="C31" s="10"/>
      <c r="D31" s="10"/>
      <c r="E31" s="10">
        <f t="shared" si="0"/>
        <v>0</v>
      </c>
      <c r="F31" s="10"/>
      <c r="G31" s="10"/>
      <c r="H31" s="10"/>
      <c r="I31" s="10">
        <f>G31*H31</f>
        <v>0</v>
      </c>
      <c r="J31" s="10"/>
      <c r="K31" s="10"/>
      <c r="L31" s="10">
        <f>J31*K31</f>
        <v>0</v>
      </c>
    </row>
    <row r="32" spans="2:12" x14ac:dyDescent="0.35">
      <c r="B32" s="10"/>
      <c r="C32" s="10"/>
      <c r="D32" s="10"/>
      <c r="E32" s="10">
        <f t="shared" si="0"/>
        <v>0</v>
      </c>
      <c r="F32" s="10"/>
      <c r="G32" s="10"/>
      <c r="H32" s="10"/>
      <c r="I32" s="10">
        <f>G32*H32</f>
        <v>0</v>
      </c>
      <c r="J32" s="10"/>
      <c r="K32" s="10"/>
      <c r="L32" s="10">
        <f>J32*K32</f>
        <v>0</v>
      </c>
    </row>
    <row r="33" spans="2:12" x14ac:dyDescent="0.35">
      <c r="B33" s="10"/>
      <c r="C33" s="10"/>
      <c r="D33" s="10"/>
      <c r="E33" s="10">
        <f t="shared" si="0"/>
        <v>0</v>
      </c>
      <c r="F33" s="10"/>
      <c r="G33" s="10"/>
      <c r="H33" s="10"/>
      <c r="I33" s="10">
        <f>G33*H33</f>
        <v>0</v>
      </c>
      <c r="J33" s="10"/>
      <c r="K33" s="10"/>
      <c r="L33" s="10">
        <f>J33*K33</f>
        <v>0</v>
      </c>
    </row>
    <row r="34" spans="2:12" x14ac:dyDescent="0.35">
      <c r="B34" s="10" t="s">
        <v>172</v>
      </c>
      <c r="C34" s="10"/>
      <c r="D34" s="10">
        <f>E34*10.764</f>
        <v>275.98895999999996</v>
      </c>
      <c r="E34" s="10">
        <f>SUM(E6:E33)</f>
        <v>25.64</v>
      </c>
      <c r="F34" s="10"/>
      <c r="G34" s="10"/>
      <c r="H34" s="10">
        <f>I34*10.764</f>
        <v>79.922699999999992</v>
      </c>
      <c r="I34" s="10">
        <f>SUM(I6:I33)</f>
        <v>7.4249999999999998</v>
      </c>
      <c r="J34" s="10"/>
      <c r="K34" s="10">
        <f>L34*10.764</f>
        <v>0</v>
      </c>
      <c r="L34" s="10">
        <f>SUM(L6:L33)</f>
        <v>0</v>
      </c>
    </row>
    <row r="36" spans="2:12" x14ac:dyDescent="0.35">
      <c r="D36">
        <f>D34+H34</f>
        <v>355.91165999999998</v>
      </c>
      <c r="E36">
        <f>E34+I34</f>
        <v>33.064999999999998</v>
      </c>
    </row>
  </sheetData>
  <mergeCells count="4">
    <mergeCell ref="C2:D2"/>
    <mergeCell ref="C4:E4"/>
    <mergeCell ref="G4:I4"/>
    <mergeCell ref="J4:L4"/>
  </mergeCells>
  <phoneticPr fontId="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K6" sqref="K6"/>
    </sheetView>
  </sheetViews>
  <sheetFormatPr defaultRowHeight="14.5" x14ac:dyDescent="0.35"/>
  <cols>
    <col min="2" max="2" width="28.54296875" customWidth="1"/>
    <col min="3" max="3" width="43.90625" customWidth="1"/>
    <col min="8" max="8" width="21.54296875" customWidth="1"/>
  </cols>
  <sheetData>
    <row r="1" spans="1:9" x14ac:dyDescent="0.35">
      <c r="A1" s="31"/>
      <c r="B1" s="31"/>
      <c r="C1" s="31"/>
      <c r="D1" s="31"/>
      <c r="E1" s="31"/>
      <c r="F1" s="31"/>
      <c r="G1" s="31"/>
      <c r="H1" s="31"/>
      <c r="I1" s="30"/>
    </row>
    <row r="2" spans="1:9" x14ac:dyDescent="0.35">
      <c r="A2" s="32"/>
      <c r="B2" s="32"/>
      <c r="C2" s="32"/>
      <c r="D2" s="32"/>
      <c r="E2" s="32"/>
      <c r="F2" s="32"/>
      <c r="G2" s="32"/>
      <c r="H2" s="32"/>
      <c r="I2" s="30"/>
    </row>
    <row r="3" spans="1:9" x14ac:dyDescent="0.35">
      <c r="A3" s="32"/>
      <c r="B3" s="222" t="s">
        <v>226</v>
      </c>
      <c r="C3" s="222"/>
      <c r="D3" s="222"/>
      <c r="E3" s="222"/>
      <c r="F3" s="222"/>
      <c r="G3" s="222"/>
      <c r="H3" s="222"/>
      <c r="I3" s="30"/>
    </row>
    <row r="4" spans="1:9" ht="29" x14ac:dyDescent="0.35">
      <c r="A4" s="32"/>
      <c r="B4" s="33" t="s">
        <v>227</v>
      </c>
      <c r="C4" s="33" t="s">
        <v>228</v>
      </c>
      <c r="D4" s="33" t="s">
        <v>150</v>
      </c>
      <c r="E4" s="33" t="s">
        <v>229</v>
      </c>
      <c r="F4" s="33" t="s">
        <v>230</v>
      </c>
      <c r="G4" s="33" t="s">
        <v>231</v>
      </c>
      <c r="H4" s="33" t="s">
        <v>232</v>
      </c>
      <c r="I4" s="30"/>
    </row>
    <row r="5" spans="1:9" x14ac:dyDescent="0.35">
      <c r="A5" s="32"/>
      <c r="B5" s="35" t="s">
        <v>235</v>
      </c>
      <c r="C5" s="41" t="s">
        <v>132</v>
      </c>
      <c r="D5" s="35" t="s">
        <v>179</v>
      </c>
      <c r="E5" s="35">
        <v>0</v>
      </c>
      <c r="F5" s="36">
        <v>542</v>
      </c>
      <c r="G5" s="36">
        <f>H5/F5</f>
        <v>3529.5202952029522</v>
      </c>
      <c r="H5" s="37">
        <v>1913000</v>
      </c>
      <c r="I5" s="30"/>
    </row>
    <row r="6" spans="1:9" x14ac:dyDescent="0.35">
      <c r="A6" s="32"/>
      <c r="B6" s="35" t="s">
        <v>235</v>
      </c>
      <c r="C6" s="41" t="s">
        <v>132</v>
      </c>
      <c r="D6" s="35" t="s">
        <v>179</v>
      </c>
      <c r="E6" s="35">
        <v>0</v>
      </c>
      <c r="F6" s="36">
        <v>719</v>
      </c>
      <c r="G6" s="36">
        <f>H6/F6</f>
        <v>3529.9026425591101</v>
      </c>
      <c r="H6" s="37">
        <v>2538000</v>
      </c>
      <c r="I6" s="30"/>
    </row>
    <row r="7" spans="1:9" x14ac:dyDescent="0.35">
      <c r="A7" s="32"/>
      <c r="B7" s="35" t="s">
        <v>235</v>
      </c>
      <c r="C7" s="41" t="s">
        <v>132</v>
      </c>
      <c r="D7" s="35" t="s">
        <v>174</v>
      </c>
      <c r="E7" s="35">
        <v>0</v>
      </c>
      <c r="F7" s="36">
        <v>390</v>
      </c>
      <c r="G7" s="36">
        <f>H7/F7</f>
        <v>3528.2051282051284</v>
      </c>
      <c r="H7" s="37">
        <v>1376000</v>
      </c>
      <c r="I7" s="30"/>
    </row>
    <row r="8" spans="1:9" x14ac:dyDescent="0.35">
      <c r="A8" s="32"/>
      <c r="B8" s="35" t="s">
        <v>235</v>
      </c>
      <c r="C8" s="41" t="s">
        <v>132</v>
      </c>
      <c r="D8" s="35" t="s">
        <v>174</v>
      </c>
      <c r="E8" s="35">
        <v>0</v>
      </c>
      <c r="F8" s="36">
        <v>453</v>
      </c>
      <c r="G8" s="36">
        <f>H8/F8</f>
        <v>3529.8013245033112</v>
      </c>
      <c r="H8" s="37">
        <v>1599000</v>
      </c>
      <c r="I8" s="30"/>
    </row>
    <row r="9" spans="1:9" x14ac:dyDescent="0.35">
      <c r="A9" s="32"/>
      <c r="B9" s="38" t="s">
        <v>233</v>
      </c>
      <c r="C9" s="35"/>
      <c r="D9" s="35"/>
      <c r="E9" s="35"/>
      <c r="F9" s="35"/>
      <c r="G9" s="39">
        <f>AVERAGE(G5:G8)</f>
        <v>3529.3573476176252</v>
      </c>
      <c r="H9" s="35"/>
      <c r="I9" s="30"/>
    </row>
    <row r="10" spans="1:9" x14ac:dyDescent="0.35">
      <c r="A10" s="31"/>
      <c r="B10" s="38" t="s">
        <v>234</v>
      </c>
      <c r="C10" s="35"/>
      <c r="D10" s="35"/>
      <c r="E10" s="35"/>
      <c r="F10" s="40"/>
      <c r="G10" s="38">
        <v>3500</v>
      </c>
      <c r="H10" s="38"/>
      <c r="I10" s="34"/>
    </row>
    <row r="11" spans="1:9" x14ac:dyDescent="0.35">
      <c r="A11" s="30"/>
      <c r="B11" s="31"/>
      <c r="C11" s="31"/>
      <c r="D11" s="31"/>
      <c r="E11" s="31"/>
      <c r="F11" s="30"/>
      <c r="G11" s="30"/>
      <c r="H11" s="30"/>
      <c r="I11" s="30"/>
    </row>
    <row r="12" spans="1:9" x14ac:dyDescent="0.35">
      <c r="A12" s="30"/>
      <c r="B12" s="31"/>
      <c r="C12" s="31"/>
      <c r="D12" s="31"/>
      <c r="E12" s="31"/>
      <c r="F12" s="30"/>
      <c r="G12" s="30"/>
      <c r="H12" s="30"/>
      <c r="I12" s="30"/>
    </row>
    <row r="13" spans="1:9" x14ac:dyDescent="0.35">
      <c r="A13" s="30"/>
      <c r="B13" s="31"/>
      <c r="C13" s="31"/>
      <c r="D13" s="31"/>
      <c r="E13" s="31"/>
      <c r="F13" s="30"/>
      <c r="G13" s="30"/>
      <c r="H13" s="30"/>
      <c r="I13" s="30"/>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NOte</vt:lpstr>
      <vt:lpstr>1</vt:lpstr>
      <vt:lpstr>2A</vt:lpstr>
      <vt:lpstr>2B</vt:lpstr>
      <vt:lpstr>3</vt:lpstr>
      <vt:lpstr>4</vt:lpstr>
      <vt:lpstr>Sheet3</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2025-07-17T12:54:20Z</cp:lastPrinted>
  <dcterms:created xsi:type="dcterms:W3CDTF">2013-11-23T05:32:33Z</dcterms:created>
  <dcterms:modified xsi:type="dcterms:W3CDTF">2025-07-17T12:55:04Z</dcterms:modified>
</cp:coreProperties>
</file>