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F136" i="1" s="1"/>
  <c r="D135" i="1"/>
  <c r="F135" i="1" s="1"/>
  <c r="D134" i="1"/>
  <c r="F134" i="1" s="1"/>
  <c r="D133" i="1"/>
  <c r="D132" i="1"/>
  <c r="F132" i="1" s="1"/>
  <c r="D131" i="1"/>
  <c r="D130" i="1"/>
  <c r="F130" i="1" s="1"/>
  <c r="D128" i="1"/>
  <c r="D127" i="1"/>
  <c r="D126" i="1"/>
  <c r="D125" i="1"/>
  <c r="D124" i="1"/>
  <c r="D123" i="1"/>
  <c r="D122" i="1"/>
  <c r="D120" i="1"/>
  <c r="D119" i="1"/>
  <c r="D118" i="1"/>
  <c r="D117" i="1"/>
  <c r="D116" i="1"/>
  <c r="D115" i="1"/>
  <c r="D114" i="1"/>
  <c r="I114" i="1"/>
  <c r="J114" i="1"/>
  <c r="A131" i="1"/>
  <c r="A132" i="1" s="1"/>
  <c r="A133" i="1" s="1"/>
  <c r="A134" i="1" s="1"/>
  <c r="A135" i="1" s="1"/>
  <c r="A136" i="1" s="1"/>
  <c r="G130" i="1"/>
  <c r="D108" i="1"/>
  <c r="D106" i="1"/>
  <c r="D105" i="1"/>
  <c r="I105" i="1"/>
  <c r="C98" i="1" l="1"/>
  <c r="E98" i="1"/>
  <c r="F133" i="1"/>
  <c r="F131" i="1"/>
  <c r="L127" i="1" l="1"/>
  <c r="E118" i="1"/>
  <c r="E116" i="1"/>
  <c r="L125" i="1"/>
  <c r="L126" i="1"/>
  <c r="F124" i="1"/>
  <c r="L128" i="1"/>
  <c r="F123" i="1"/>
  <c r="M123" i="1" s="1"/>
  <c r="L122" i="1"/>
  <c r="L119" i="1"/>
  <c r="L118" i="1"/>
  <c r="L117" i="1"/>
  <c r="L116" i="1"/>
  <c r="L115" i="1"/>
  <c r="L114" i="1"/>
  <c r="F127" i="1"/>
  <c r="F125" i="1"/>
  <c r="A123" i="1"/>
  <c r="A124" i="1" s="1"/>
  <c r="A125" i="1" s="1"/>
  <c r="A126" i="1" s="1"/>
  <c r="A127" i="1" s="1"/>
  <c r="A128" i="1" s="1"/>
  <c r="G122" i="1"/>
  <c r="F122" i="1"/>
  <c r="M122" i="1" s="1"/>
  <c r="I117" i="1"/>
  <c r="I115" i="1"/>
  <c r="F119" i="1"/>
  <c r="D109" i="1"/>
  <c r="F109" i="1" s="1"/>
  <c r="D107" i="1"/>
  <c r="I109" i="1"/>
  <c r="I107" i="1"/>
  <c r="I43" i="1"/>
  <c r="C95" i="1" l="1"/>
  <c r="C99" i="1" s="1"/>
  <c r="F120" i="1"/>
  <c r="L123" i="1"/>
  <c r="E95" i="1"/>
  <c r="E99" i="1" s="1"/>
  <c r="F126" i="1"/>
  <c r="F128" i="1"/>
  <c r="L113" i="1"/>
  <c r="L124" i="1"/>
  <c r="D59" i="1"/>
  <c r="E29" i="1"/>
  <c r="B139" i="1"/>
  <c r="C65" i="1"/>
  <c r="B66" i="1" s="1"/>
  <c r="E24" i="1"/>
  <c r="E26" i="1" l="1"/>
  <c r="C14" i="1"/>
  <c r="E42" i="1" l="1"/>
  <c r="E43" i="1" s="1"/>
  <c r="F92" i="1" l="1"/>
  <c r="F106" i="1" l="1"/>
  <c r="F107" i="1"/>
  <c r="F108" i="1"/>
  <c r="F105" i="1"/>
  <c r="G95" i="1" l="1"/>
  <c r="F118" i="1"/>
  <c r="F117" i="1"/>
  <c r="F115" i="1"/>
  <c r="F114" i="1"/>
  <c r="F116" i="1"/>
  <c r="G98" i="1" l="1"/>
  <c r="G99" i="1" s="1"/>
  <c r="B14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2" i="1"/>
  <c r="G114" i="1"/>
  <c r="A115" i="1"/>
  <c r="A116" i="1" s="1"/>
  <c r="A117" i="1" s="1"/>
  <c r="A118" i="1" s="1"/>
  <c r="A119" i="1" s="1"/>
  <c r="A120" i="1" s="1"/>
  <c r="A106" i="1"/>
  <c r="A107" i="1" s="1"/>
  <c r="A108" i="1" s="1"/>
  <c r="A109" i="1" s="1"/>
  <c r="G105" i="1"/>
  <c r="D54" i="1"/>
  <c r="G49" i="1"/>
  <c r="C49" i="1"/>
  <c r="E7" i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<sst xmlns="http://schemas.openxmlformats.org/spreadsheetml/2006/main" count="290" uniqueCount="221">
  <si>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</si>
  <si>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</si>
  <si>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</si>
  <si>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</si>
  <si>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</si>
  <si>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</si>
  <si>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</si>
  <si>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</si>
  <si>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</si>
  <si>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</si>
  <si>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</si>
  <si>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</si>
  <si>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</si>
  <si>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</si>
  <si>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</si>
  <si>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</si>
  <si>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</si>
  <si>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</si>
  <si>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</si>
  <si>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</si>
  <si>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</si>
  <si>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</si>
  <si>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</si>
  <si>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</si>
  <si>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</si>
  <si>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</si>
  <si>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</si>
  <si>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</si>
  <si>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</si>
  <si>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</si>
  <si>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</si>
  <si>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</si>
  <si>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</si>
  <si>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</si>
  <si>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</si>
  <si>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</si>
  <si>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</si>
  <si>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</si>
  <si>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</si>
  <si>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</si>
  <si>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</si>
  <si>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</si>
  <si>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</si>
  <si>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</si>
  <si>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</si>
  <si>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</si>
  <si>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</si>
  <si>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</si>
  <si>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</si>
  <si>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</si>
  <si>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</si>
  <si>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</si>
  <si>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</si>
  <si>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</si>
  <si>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</si>
  <si>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</si>
  <si>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</si>
  <si>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</si>
  <si>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</si>
  <si>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</si>
  <si>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</si>
  <si>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</si>
  <si>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</si>
  <si>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</si>
  <si>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</si>
  <si>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</si>
  <si>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</si>
  <si>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</si>
  <si>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</si>
  <si>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</si>
  <si>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</si>
  <si>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</si>
  <si>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</si>
  <si>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</si>
  <si>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</si>
  <si>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</si>
  <si>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</si>
  <si>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</si>
  <si>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</si>
  <si>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</si>
  <si>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</si>
  <si>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</si>
  <si>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</si>
  <si>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</si>
  <si>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</si>
  <si>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</si>
  <si>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</si>
  <si>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</si>
  <si>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</si>
  <si>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</si>
  <si>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</si>
  <si>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</si>
  <si>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</si>
  <si>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</si>
  <si>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</si>
  <si>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</si>
  <si>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</si>
  <si>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</si>
  <si>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</si>
  <si>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</si>
  <si>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</si>
  <si>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</si>
  <si>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</si>
  <si>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</si>
  <si>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</si>
  <si>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</si>
  <si>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</si>
  <si>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</si>
  <si>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</si>
  <si>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</si>
  <si>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</si>
  <si>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</si>
  <si>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</si>
  <si>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</si>
  <si>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</si>
  <si>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</si>
  <si>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</si>
  <si>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</si>
  <si>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</si>
  <si>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</si>
  <si>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</si>
  <si>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</si>
  <si>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</si>
  <si>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</si>
  <si>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</si>
  <si>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</si>
  <si>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</si>
  <si>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</si>
  <si>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</si>
  <si>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</si>
  <si>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</si>
  <si>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</si>
  <si>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</si>
  <si>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</si>
  <si>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</si>
  <si>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</si>
  <si>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</si>
  <si>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</si>
  <si>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</si>
  <si>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</si>
  <si>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</si>
  <si>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</si>
  <si>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</si>
  <si>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</si>
  <si>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</si>
  <si>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</si>
  <si>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</si>
  <si>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</si>
  <si>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</si>
  <si>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</si>
  <si>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</si>
  <si>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</si>
  <si>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</si>
  <si>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</si>
  <si>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</si>
  <si>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</si>
  <si>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</si>
  <si>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</si>
  <si>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</si>
  <si>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</si>
  <si>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</si>
  <si>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</si>
  <si>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</si>
  <si>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</si>
  <si>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</si>
  <si>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</si>
  <si>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</si>
  <si>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</si>
  <si>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</si>
  <si>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</si>
  <si>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</si>
  <si>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</si>
  <si>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</si>
  <si>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</si>
  <si>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</si>
  <si>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</si>
  <si>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</si>
  <si>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</si>
  <si>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</si>
  <si>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Shree Ekdant Enterprises</t>
  </si>
  <si>
    <t>Vastu Anand</t>
  </si>
  <si>
    <t>Mr.Rajaram Jadhav - 9594411495</t>
  </si>
  <si>
    <t>01Building</t>
  </si>
  <si>
    <t>P51700030525</t>
  </si>
  <si>
    <t>209/9/1/6/6, 209/9/1/7/7</t>
  </si>
  <si>
    <t>Thane</t>
  </si>
  <si>
    <t>Shahapur</t>
  </si>
  <si>
    <t>Vasind</t>
  </si>
  <si>
    <t>https://goo.gl/maps/fer9jLwj9FUiAGaGA</t>
  </si>
  <si>
    <t>19.414269, 73.262520</t>
  </si>
  <si>
    <t>Janvi Lawns</t>
  </si>
  <si>
    <t>Dahagaon Road</t>
  </si>
  <si>
    <t>Open Plot</t>
  </si>
  <si>
    <t>Open Plot/Dahagaon Road</t>
  </si>
  <si>
    <t>1.3 KM from Vasind Railway Station</t>
  </si>
  <si>
    <t>Nagar Rachna Aani Mulya Nirdharan Vibhag</t>
  </si>
  <si>
    <t>As per RERA - 30/06/2025</t>
  </si>
  <si>
    <t>Attractive entrance lobby, Branded lift with power backup, Sheet roofing for common terrace of building etc</t>
  </si>
  <si>
    <t>Gr/St + 1st to 5th Floor</t>
  </si>
  <si>
    <t>Flats</t>
  </si>
  <si>
    <t>Shop</t>
  </si>
  <si>
    <t>Ground/Stilt Floor For Commercial &amp; Parking</t>
  </si>
  <si>
    <t>We considered Gross carpet area = Net carpet + Enclose balcony + Chajja Area.</t>
  </si>
  <si>
    <t>1RK</t>
  </si>
  <si>
    <t>1BHK</t>
  </si>
  <si>
    <t>1st Floor For Residential</t>
  </si>
  <si>
    <t>2nd, 3rd &amp; 4th Floor For Residential</t>
  </si>
  <si>
    <t>Chajja taken as per sale plan</t>
  </si>
  <si>
    <t>Gut No</t>
  </si>
  <si>
    <t>BS/RKKN/BP/Mauje-Vasind/Tal-Shahapur/SSThane/1391</t>
  </si>
  <si>
    <t>5th Floor For Residential</t>
  </si>
  <si>
    <t>Flats - 35, Shops - 05</t>
  </si>
  <si>
    <t xml:space="preserve">We have updated revised approved floor plan (on 08/08/2023).
</t>
  </si>
  <si>
    <t>G + 1st to 5th Floor</t>
  </si>
  <si>
    <t>Mhasul/K-1/T-11/S.B.P/Vasind/Tal-Shahapur/S.No.20/2022</t>
  </si>
  <si>
    <t>Mr. Darshan Jangade 7774808250</t>
  </si>
  <si>
    <t>Mangesh Bapardekar</t>
  </si>
  <si>
    <t>Pranita Mhatre</t>
  </si>
  <si>
    <t xml:space="preserve">As per RERA, completion period of Vastu Anand is expired on 30/06/2025 but still project is under construction
</t>
  </si>
  <si>
    <t>As checked on RERA portal on date14/07/2025, we have observed that above project "  Vastu Anand  " is kept under abeyance. 
Please check from your end.</t>
  </si>
  <si>
    <t>Finishing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</si>
</sst>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10.jpg"/><Relationship Id="rId18" Type="http://schemas.openxmlformats.org/officeDocument/2006/relationships/image" Target="../media/image15.jpeg"/><Relationship Id="rId26" Type="http://schemas.openxmlformats.org/officeDocument/2006/relationships/image" Target="../media/image23.jpeg"/><Relationship Id="rId3" Type="http://schemas.openxmlformats.org/officeDocument/2006/relationships/image" Target="../media/image3.png"/><Relationship Id="rId21" Type="http://schemas.openxmlformats.org/officeDocument/2006/relationships/image" Target="../media/image18.jpeg"/><Relationship Id="rId7" Type="http://schemas.openxmlformats.org/officeDocument/2006/relationships/image" Target="../media/image5.png"/><Relationship Id="rId12" Type="http://schemas.openxmlformats.org/officeDocument/2006/relationships/image" Target="../media/image9.jp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image" Target="../media/image2.png"/><Relationship Id="rId16" Type="http://schemas.openxmlformats.org/officeDocument/2006/relationships/image" Target="../media/image13.jpg"/><Relationship Id="rId20" Type="http://schemas.openxmlformats.org/officeDocument/2006/relationships/image" Target="../media/image17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8.jpg"/><Relationship Id="rId24" Type="http://schemas.openxmlformats.org/officeDocument/2006/relationships/image" Target="../media/image21.jpeg"/><Relationship Id="rId5" Type="http://schemas.openxmlformats.org/officeDocument/2006/relationships/image" Target="../media/image4.png"/><Relationship Id="rId15" Type="http://schemas.openxmlformats.org/officeDocument/2006/relationships/image" Target="../media/image12.jpg"/><Relationship Id="rId23" Type="http://schemas.openxmlformats.org/officeDocument/2006/relationships/image" Target="../media/image20.jpeg"/><Relationship Id="rId10" Type="http://schemas.openxmlformats.org/officeDocument/2006/relationships/image" Target="../media/image7.jpg"/><Relationship Id="rId19" Type="http://schemas.openxmlformats.org/officeDocument/2006/relationships/image" Target="../media/image16.jpeg"/><Relationship Id="rId4" Type="http://schemas.microsoft.com/office/2007/relationships/hdphoto" Target="../media/hdphoto1.wdp"/><Relationship Id="rId9" Type="http://schemas.openxmlformats.org/officeDocument/2006/relationships/image" Target="../media/image6.jp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242</xdr:row>
      <xdr:rowOff>1</xdr:rowOff>
    </xdr:from>
    <xdr:to>
      <xdr:col>6</xdr:col>
      <xdr:colOff>499069</xdr:colOff>
      <xdr:row>256</xdr:row>
      <xdr:rowOff>91774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00" y="61947137"/>
          <a:ext cx="426577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381000</xdr:colOff>
      <xdr:row>257</xdr:row>
      <xdr:rowOff>49113</xdr:rowOff>
    </xdr:from>
    <xdr:to>
      <xdr:col>6</xdr:col>
      <xdr:colOff>493294</xdr:colOff>
      <xdr:row>271</xdr:row>
      <xdr:rowOff>140885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000" y="64983636"/>
          <a:ext cx="425999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805296</xdr:colOff>
      <xdr:row>263</xdr:row>
      <xdr:rowOff>77932</xdr:rowOff>
    </xdr:from>
    <xdr:to>
      <xdr:col>4</xdr:col>
      <xdr:colOff>95250</xdr:colOff>
      <xdr:row>265</xdr:row>
      <xdr:rowOff>77932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354692">
          <a:off x="3212523" y="66207409"/>
          <a:ext cx="233795" cy="39831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8099</xdr:colOff>
      <xdr:row>220</xdr:row>
      <xdr:rowOff>14605</xdr:rowOff>
    </xdr:from>
    <xdr:to>
      <xdr:col>6</xdr:col>
      <xdr:colOff>294924</xdr:colOff>
      <xdr:row>234</xdr:row>
      <xdr:rowOff>106377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-65"/>
        <a:stretch/>
      </xdr:blipFill>
      <xdr:spPr>
        <a:xfrm>
          <a:off x="1566735" y="46306105"/>
          <a:ext cx="363789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204</xdr:row>
      <xdr:rowOff>199158</xdr:rowOff>
    </xdr:from>
    <xdr:to>
      <xdr:col>3</xdr:col>
      <xdr:colOff>603031</xdr:colOff>
      <xdr:row>219</xdr:row>
      <xdr:rowOff>91772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43304113"/>
          <a:ext cx="224825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763050</xdr:colOff>
      <xdr:row>204</xdr:row>
      <xdr:rowOff>199158</xdr:rowOff>
    </xdr:from>
    <xdr:to>
      <xdr:col>7</xdr:col>
      <xdr:colOff>160399</xdr:colOff>
      <xdr:row>219</xdr:row>
      <xdr:rowOff>91772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70277" y="43304113"/>
          <a:ext cx="267914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528658</xdr:colOff>
      <xdr:row>222</xdr:row>
      <xdr:rowOff>5228</xdr:rowOff>
    </xdr:from>
    <xdr:to>
      <xdr:col>4</xdr:col>
      <xdr:colOff>268358</xdr:colOff>
      <xdr:row>225</xdr:row>
      <xdr:rowOff>109137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899927">
          <a:off x="2935885" y="46296728"/>
          <a:ext cx="683541" cy="70138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1734639</xdr:colOff>
      <xdr:row>155</xdr:row>
      <xdr:rowOff>10885</xdr:rowOff>
    </xdr:from>
    <xdr:to>
      <xdr:col>16</xdr:col>
      <xdr:colOff>597503</xdr:colOff>
      <xdr:row>193</xdr:row>
      <xdr:rowOff>120560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25A586B-4510-9BAA-4B53-DF088B32103E}"/>
            </a:ext>
          </a:extLst>
        </xdr:cNvPr>
        <xdr:cNvGrpSpPr/>
      </xdr:nvGrpSpPr>
      <xdr:grpSpPr>
        <a:xfrm>
          <a:off x="8222845" y="33527679"/>
          <a:ext cx="6012217" cy="7763293"/>
          <a:chOff x="363546" y="216693"/>
          <a:chExt cx="6146495" cy="763061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2A0C0B4-9853-3831-7829-249330EC5A2F}"/>
              </a:ext>
            </a:extLst>
          </xdr:cNvPr>
          <xdr:cNvGrpSpPr/>
        </xdr:nvGrpSpPr>
        <xdr:grpSpPr>
          <a:xfrm>
            <a:off x="363546" y="216693"/>
            <a:ext cx="6146495" cy="2880000"/>
            <a:chOff x="386406" y="216693"/>
            <a:chExt cx="6146495" cy="288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97EC094F-7ACC-08EC-4E8C-75F710242F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6406" y="21669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1AA87ADD-338F-5966-9108-C5B2AAD00C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95948" y="216693"/>
              <a:ext cx="3836953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D6BC26AD-FC61-A452-5A66-1D4E35691DCD}"/>
              </a:ext>
            </a:extLst>
          </xdr:cNvPr>
          <xdr:cNvGrpSpPr/>
        </xdr:nvGrpSpPr>
        <xdr:grpSpPr>
          <a:xfrm>
            <a:off x="438301" y="3312000"/>
            <a:ext cx="5996984" cy="2520000"/>
            <a:chOff x="340686" y="3312000"/>
            <a:chExt cx="5996984" cy="25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AF2E3CF-8182-FEE1-29D7-EE77A9C2D8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94029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74FE2CD0-2614-9C1D-024F-76CC53F4F2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0686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C4709CA1-06B1-350B-99B5-C754DBA0B8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9639" y="3312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E0F7E3D8-4E4B-1251-1489-B42450E62A67}"/>
              </a:ext>
            </a:extLst>
          </xdr:cNvPr>
          <xdr:cNvGrpSpPr/>
        </xdr:nvGrpSpPr>
        <xdr:grpSpPr>
          <a:xfrm>
            <a:off x="723839" y="6047307"/>
            <a:ext cx="5425908" cy="1800000"/>
            <a:chOff x="880123" y="6047307"/>
            <a:chExt cx="5425908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128BD84E-4B8D-6E9A-D47B-E6269AC085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80123" y="604730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CC3FAADF-BB56-69E6-4C76-1EE22919439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94029" y="604730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618B8DC1-219C-2B72-46C8-0D18F0D6FF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07935" y="6047307"/>
              <a:ext cx="239809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257735</xdr:colOff>
      <xdr:row>162</xdr:row>
      <xdr:rowOff>78441</xdr:rowOff>
    </xdr:from>
    <xdr:to>
      <xdr:col>7</xdr:col>
      <xdr:colOff>616323</xdr:colOff>
      <xdr:row>197</xdr:row>
      <xdr:rowOff>33619</xdr:rowOff>
    </xdr:to>
    <xdr:grpSp>
      <xdr:nvGrpSpPr>
        <xdr:cNvPr id="21" name="Group 20"/>
        <xdr:cNvGrpSpPr/>
      </xdr:nvGrpSpPr>
      <xdr:grpSpPr>
        <a:xfrm>
          <a:off x="257735" y="35007176"/>
          <a:ext cx="6017559" cy="7003678"/>
          <a:chOff x="827254" y="2099355"/>
          <a:chExt cx="4719812" cy="4935408"/>
        </a:xfrm>
      </xdr:grpSpPr>
      <xdr:pic>
        <xdr:nvPicPr>
          <xdr:cNvPr id="22" name="Picture 21" descr="https://vsjcllp.vsjadon.com/upload/insp-23973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7024" y="5954763"/>
            <a:ext cx="809157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973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211" y="209935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973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5941" y="4373519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973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7254" y="4373519"/>
            <a:ext cx="1078876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973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25248" y="5954763"/>
            <a:ext cx="809157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9738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8191" y="4373519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9738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1066" y="2099355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973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9892" y="5954763"/>
            <a:ext cx="1438857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9738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8148" y="4373519"/>
            <a:ext cx="1078876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9738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0255" y="5954763"/>
            <a:ext cx="809157" cy="10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er9jLwj9FUiAGaG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1"/>
  <sheetViews>
    <sheetView tabSelected="1" view="pageBreakPreview" topLeftCell="A136" zoomScale="85" zoomScaleNormal="100" zoomScaleSheetLayoutView="85" workbookViewId="0">
      <selection activeCell="K145" sqref="K14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28.5703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38" t="s">
        <v>173</v>
      </c>
      <c r="B1" s="138"/>
      <c r="C1" s="138"/>
      <c r="D1" s="138"/>
      <c r="E1" s="138"/>
      <c r="F1" s="138"/>
      <c r="G1" s="138"/>
      <c r="H1" s="138"/>
    </row>
    <row r="2" spans="1:8" ht="16.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</row>
    <row r="3" spans="1:8" x14ac:dyDescent="0.25">
      <c r="A3" s="139" t="s">
        <v>1</v>
      </c>
      <c r="B3" s="139"/>
      <c r="C3" s="139"/>
      <c r="D3" s="139"/>
      <c r="E3" s="139" t="str">
        <f ca="1">TEXT(TODAY(),"DD/MM/YYYY")</f>
        <v>14/07/2025</v>
      </c>
      <c r="F3" s="139"/>
      <c r="G3" s="139"/>
      <c r="H3" s="139"/>
    </row>
    <row r="4" spans="1:8" x14ac:dyDescent="0.25">
      <c r="A4" s="139" t="s">
        <v>2</v>
      </c>
      <c r="B4" s="139"/>
      <c r="C4" s="139"/>
      <c r="D4" s="139"/>
      <c r="E4" s="139" t="s">
        <v>178</v>
      </c>
      <c r="F4" s="139"/>
      <c r="G4" s="139"/>
      <c r="H4" s="139"/>
    </row>
    <row r="5" spans="1:8" x14ac:dyDescent="0.25">
      <c r="A5" s="139" t="s">
        <v>3</v>
      </c>
      <c r="B5" s="139"/>
      <c r="C5" s="139"/>
      <c r="D5" s="139"/>
      <c r="E5" s="143">
        <v>45850</v>
      </c>
      <c r="F5" s="139"/>
      <c r="G5" s="139"/>
      <c r="H5" s="139"/>
    </row>
    <row r="6" spans="1:8" ht="16.5" customHeight="1" x14ac:dyDescent="0.25">
      <c r="A6" s="139" t="s">
        <v>4</v>
      </c>
      <c r="B6" s="139"/>
      <c r="C6" s="139"/>
      <c r="D6" s="139"/>
      <c r="E6" s="139" t="s">
        <v>179</v>
      </c>
      <c r="F6" s="139"/>
      <c r="G6" s="139"/>
      <c r="H6" s="139"/>
    </row>
    <row r="7" spans="1:8" ht="15" customHeight="1" x14ac:dyDescent="0.25">
      <c r="A7" s="139" t="s">
        <v>5</v>
      </c>
      <c r="B7" s="139"/>
      <c r="C7" s="139"/>
      <c r="D7" s="139"/>
      <c r="E7" s="139" t="str">
        <f>E6</f>
        <v>Shree Ekdant Enterprises</v>
      </c>
      <c r="F7" s="139"/>
      <c r="G7" s="139"/>
      <c r="H7" s="139"/>
    </row>
    <row r="8" spans="1:8" x14ac:dyDescent="0.25">
      <c r="A8" s="139" t="s">
        <v>6</v>
      </c>
      <c r="B8" s="139"/>
      <c r="C8" s="139"/>
      <c r="D8" s="139"/>
      <c r="E8" s="140" t="s">
        <v>180</v>
      </c>
      <c r="F8" s="141"/>
      <c r="G8" s="141"/>
      <c r="H8" s="142"/>
    </row>
    <row r="9" spans="1:8" x14ac:dyDescent="0.25">
      <c r="A9" s="139" t="s">
        <v>176</v>
      </c>
      <c r="B9" s="139"/>
      <c r="C9" s="139"/>
      <c r="D9" s="139"/>
      <c r="E9" s="139" t="s">
        <v>181</v>
      </c>
      <c r="F9" s="139"/>
      <c r="G9" s="139"/>
      <c r="H9" s="139"/>
    </row>
    <row r="10" spans="1:8" x14ac:dyDescent="0.25">
      <c r="A10" s="139" t="s">
        <v>177</v>
      </c>
      <c r="B10" s="139"/>
      <c r="C10" s="139"/>
      <c r="D10" s="139"/>
      <c r="E10" s="139" t="s">
        <v>215</v>
      </c>
      <c r="F10" s="139"/>
      <c r="G10" s="139"/>
      <c r="H10" s="139"/>
    </row>
    <row r="11" spans="1:8" x14ac:dyDescent="0.25">
      <c r="A11" s="139" t="s">
        <v>7</v>
      </c>
      <c r="B11" s="139"/>
      <c r="C11" s="139"/>
      <c r="D11" s="139"/>
      <c r="E11" s="139" t="s">
        <v>182</v>
      </c>
      <c r="F11" s="139"/>
      <c r="G11" s="139"/>
      <c r="H11" s="139"/>
    </row>
    <row r="12" spans="1:8" ht="32.25" customHeight="1" x14ac:dyDescent="0.25">
      <c r="A12" s="78" t="s">
        <v>8</v>
      </c>
      <c r="B12" s="78"/>
      <c r="C12" s="78"/>
      <c r="D12" s="78"/>
      <c r="E12" s="137" t="s">
        <v>109</v>
      </c>
      <c r="F12" s="137"/>
      <c r="G12" s="137"/>
      <c r="H12" s="137"/>
    </row>
    <row r="13" spans="1:8" x14ac:dyDescent="0.25">
      <c r="A13" s="78" t="s">
        <v>9</v>
      </c>
      <c r="B13" s="78"/>
      <c r="C13" s="78"/>
      <c r="D13" s="78"/>
      <c r="E13" s="137" t="s">
        <v>183</v>
      </c>
      <c r="F13" s="139"/>
      <c r="G13" s="139"/>
      <c r="H13" s="139"/>
    </row>
    <row r="14" spans="1:8" ht="33.75" customHeight="1" x14ac:dyDescent="0.25">
      <c r="A14" s="135" t="s">
        <v>10</v>
      </c>
      <c r="B14" s="135"/>
      <c r="C14" s="13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Vastu Anand, Gut No.209/9/1/6/6, 209/9/1/7/7, near Janvi Lawns, Dahagaon Road, Vasind, Vasind, Vasind, Shahapur, Thane - 421601.</v>
      </c>
      <c r="D14" s="135"/>
      <c r="E14" s="135"/>
      <c r="F14" s="135"/>
      <c r="G14" s="135"/>
      <c r="H14" s="135"/>
    </row>
    <row r="15" spans="1:8" x14ac:dyDescent="0.25">
      <c r="A15" s="137" t="s">
        <v>208</v>
      </c>
      <c r="B15" s="137"/>
      <c r="C15" s="137" t="s">
        <v>184</v>
      </c>
      <c r="D15" s="137"/>
      <c r="E15" s="137"/>
      <c r="F15" s="137"/>
      <c r="G15" s="137"/>
      <c r="H15" s="137"/>
    </row>
    <row r="16" spans="1:8" ht="15.75" customHeight="1" x14ac:dyDescent="0.25">
      <c r="A16" s="137" t="s">
        <v>171</v>
      </c>
      <c r="B16" s="137"/>
      <c r="C16" s="137" t="s">
        <v>187</v>
      </c>
      <c r="D16" s="137"/>
      <c r="E16" s="137"/>
      <c r="F16" s="137"/>
      <c r="G16" s="137"/>
      <c r="H16" s="137"/>
    </row>
    <row r="17" spans="1:8" ht="15.75" customHeight="1" x14ac:dyDescent="0.25">
      <c r="A17" s="135" t="s">
        <v>11</v>
      </c>
      <c r="B17" s="135"/>
      <c r="C17" s="139" t="s">
        <v>191</v>
      </c>
      <c r="D17" s="139"/>
      <c r="E17" s="135" t="s">
        <v>75</v>
      </c>
      <c r="F17" s="135"/>
      <c r="G17" s="137" t="s">
        <v>187</v>
      </c>
      <c r="H17" s="137"/>
    </row>
    <row r="18" spans="1:8" x14ac:dyDescent="0.25">
      <c r="A18" s="78" t="s">
        <v>13</v>
      </c>
      <c r="B18" s="78"/>
      <c r="C18" s="137" t="s">
        <v>187</v>
      </c>
      <c r="D18" s="137"/>
      <c r="E18" s="135" t="s">
        <v>12</v>
      </c>
      <c r="F18" s="135"/>
      <c r="G18" s="144" t="s">
        <v>185</v>
      </c>
      <c r="H18" s="144"/>
    </row>
    <row r="19" spans="1:8" x14ac:dyDescent="0.25">
      <c r="A19" s="78" t="s">
        <v>76</v>
      </c>
      <c r="B19" s="78"/>
      <c r="C19" s="137" t="s">
        <v>186</v>
      </c>
      <c r="D19" s="137"/>
      <c r="E19" s="135" t="s">
        <v>14</v>
      </c>
      <c r="F19" s="135"/>
      <c r="G19" s="137">
        <v>421601</v>
      </c>
      <c r="H19" s="137"/>
    </row>
    <row r="20" spans="1:8" ht="32.25" customHeight="1" x14ac:dyDescent="0.25">
      <c r="A20" s="78" t="s">
        <v>129</v>
      </c>
      <c r="B20" s="78"/>
      <c r="C20" s="137" t="s">
        <v>190</v>
      </c>
      <c r="D20" s="137"/>
      <c r="E20" s="135" t="s">
        <v>15</v>
      </c>
      <c r="F20" s="135"/>
      <c r="G20" s="137" t="s">
        <v>194</v>
      </c>
      <c r="H20" s="137"/>
    </row>
    <row r="21" spans="1:8" ht="15" customHeight="1" x14ac:dyDescent="0.25">
      <c r="A21" s="135" t="s">
        <v>79</v>
      </c>
      <c r="B21" s="135"/>
      <c r="C21" s="135"/>
      <c r="D21" s="135"/>
      <c r="E21" s="139" t="s">
        <v>16</v>
      </c>
      <c r="F21" s="139"/>
      <c r="G21" s="139"/>
      <c r="H21" s="139"/>
    </row>
    <row r="22" spans="1:8" ht="18.75" customHeight="1" x14ac:dyDescent="0.25">
      <c r="A22" s="135"/>
      <c r="B22" s="135"/>
      <c r="C22" s="135"/>
      <c r="D22" s="135"/>
      <c r="E22" s="139"/>
      <c r="F22" s="139"/>
      <c r="G22" s="139"/>
      <c r="H22" s="139"/>
    </row>
    <row r="23" spans="1:8" ht="15" customHeight="1" x14ac:dyDescent="0.25">
      <c r="A23" s="135" t="s">
        <v>17</v>
      </c>
      <c r="B23" s="135"/>
      <c r="C23" s="135"/>
      <c r="D23" s="135"/>
      <c r="E23" s="137" t="s">
        <v>18</v>
      </c>
      <c r="F23" s="137"/>
      <c r="G23" s="137"/>
      <c r="H23" s="137"/>
    </row>
    <row r="24" spans="1:8" ht="15" customHeight="1" x14ac:dyDescent="0.25">
      <c r="A24" s="78" t="s">
        <v>19</v>
      </c>
      <c r="B24" s="78"/>
      <c r="C24" s="78"/>
      <c r="D24" s="78"/>
      <c r="E24" s="137" t="str">
        <f>IF(AND(G18="Mumbai"),"Upper Class","Middle Class")</f>
        <v>Middle Class</v>
      </c>
      <c r="F24" s="137"/>
      <c r="G24" s="137"/>
      <c r="H24" s="137"/>
    </row>
    <row r="25" spans="1:8" x14ac:dyDescent="0.25">
      <c r="A25" s="78" t="s">
        <v>20</v>
      </c>
      <c r="B25" s="78"/>
      <c r="C25" s="78"/>
      <c r="D25" s="78"/>
      <c r="E25" s="137" t="s">
        <v>21</v>
      </c>
      <c r="F25" s="137"/>
      <c r="G25" s="137"/>
      <c r="H25" s="137"/>
    </row>
    <row r="26" spans="1:8" ht="15.75" customHeight="1" x14ac:dyDescent="0.25">
      <c r="A26" s="78" t="s">
        <v>22</v>
      </c>
      <c r="B26" s="78"/>
      <c r="C26" s="78"/>
      <c r="D26" s="78"/>
      <c r="E26" s="137" t="str">
        <f>IF(AND(G18="Mumbai"),"Developed","Developing")</f>
        <v>Developing</v>
      </c>
      <c r="F26" s="137"/>
      <c r="G26" s="137"/>
      <c r="H26" s="137"/>
    </row>
    <row r="27" spans="1:8" x14ac:dyDescent="0.25">
      <c r="A27" s="78" t="s">
        <v>23</v>
      </c>
      <c r="B27" s="78"/>
      <c r="C27" s="78"/>
      <c r="D27" s="78"/>
      <c r="E27" s="137" t="s">
        <v>24</v>
      </c>
      <c r="F27" s="137"/>
      <c r="G27" s="137"/>
      <c r="H27" s="137"/>
    </row>
    <row r="28" spans="1:8" ht="15.75" customHeight="1" x14ac:dyDescent="0.25">
      <c r="A28" s="78" t="s">
        <v>84</v>
      </c>
      <c r="B28" s="78"/>
      <c r="C28" s="78"/>
      <c r="D28" s="78"/>
      <c r="E28" s="137" t="s">
        <v>85</v>
      </c>
      <c r="F28" s="137"/>
      <c r="G28" s="137"/>
      <c r="H28" s="137"/>
    </row>
    <row r="29" spans="1:8" ht="15" customHeight="1" x14ac:dyDescent="0.25">
      <c r="A29" s="78" t="s">
        <v>33</v>
      </c>
      <c r="B29" s="78"/>
      <c r="C29" s="78"/>
      <c r="D29" s="78"/>
      <c r="E29" s="13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7"/>
      <c r="G29" s="137"/>
      <c r="H29" s="137"/>
    </row>
    <row r="30" spans="1:8" ht="15.75" customHeight="1" x14ac:dyDescent="0.25">
      <c r="A30" s="78" t="s">
        <v>96</v>
      </c>
      <c r="B30" s="78"/>
      <c r="C30" s="78"/>
      <c r="D30" s="78"/>
      <c r="E30" s="137" t="s">
        <v>34</v>
      </c>
      <c r="F30" s="137"/>
      <c r="G30" s="137"/>
      <c r="H30" s="137"/>
    </row>
    <row r="31" spans="1:8" s="22" customFormat="1" x14ac:dyDescent="0.25">
      <c r="A31" s="148" t="s">
        <v>97</v>
      </c>
      <c r="B31" s="148"/>
      <c r="C31" s="145" t="s">
        <v>29</v>
      </c>
      <c r="D31" s="145"/>
      <c r="E31" s="145"/>
      <c r="F31" s="145" t="s">
        <v>31</v>
      </c>
      <c r="G31" s="145"/>
      <c r="H31" s="145"/>
    </row>
    <row r="32" spans="1:8" s="22" customFormat="1" x14ac:dyDescent="0.25">
      <c r="A32" s="147" t="s">
        <v>25</v>
      </c>
      <c r="B32" s="147" t="s">
        <v>30</v>
      </c>
      <c r="C32" s="146" t="s">
        <v>30</v>
      </c>
      <c r="D32" s="146"/>
      <c r="E32" s="146"/>
      <c r="F32" s="146" t="s">
        <v>192</v>
      </c>
      <c r="G32" s="146"/>
      <c r="H32" s="146"/>
    </row>
    <row r="33" spans="1:9" x14ac:dyDescent="0.25">
      <c r="A33" s="147" t="s">
        <v>26</v>
      </c>
      <c r="B33" s="147" t="s">
        <v>30</v>
      </c>
      <c r="C33" s="146" t="s">
        <v>30</v>
      </c>
      <c r="D33" s="146"/>
      <c r="E33" s="146"/>
      <c r="F33" s="146" t="s">
        <v>191</v>
      </c>
      <c r="G33" s="146"/>
      <c r="H33" s="146"/>
    </row>
    <row r="34" spans="1:9" s="22" customFormat="1" x14ac:dyDescent="0.25">
      <c r="A34" s="147" t="s">
        <v>28</v>
      </c>
      <c r="B34" s="147" t="s">
        <v>30</v>
      </c>
      <c r="C34" s="146" t="s">
        <v>30</v>
      </c>
      <c r="D34" s="146"/>
      <c r="E34" s="146"/>
      <c r="F34" s="146" t="s">
        <v>192</v>
      </c>
      <c r="G34" s="146"/>
      <c r="H34" s="146"/>
    </row>
    <row r="35" spans="1:9" x14ac:dyDescent="0.25">
      <c r="A35" s="147" t="s">
        <v>27</v>
      </c>
      <c r="B35" s="147" t="s">
        <v>30</v>
      </c>
      <c r="C35" s="146" t="s">
        <v>30</v>
      </c>
      <c r="D35" s="146"/>
      <c r="E35" s="146"/>
      <c r="F35" s="146" t="s">
        <v>193</v>
      </c>
      <c r="G35" s="146"/>
      <c r="H35" s="146"/>
    </row>
    <row r="36" spans="1:9" x14ac:dyDescent="0.25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9" ht="15.75" customHeight="1" x14ac:dyDescent="0.25">
      <c r="A37" s="78" t="s">
        <v>174</v>
      </c>
      <c r="B37" s="78"/>
      <c r="C37" s="149" t="s">
        <v>189</v>
      </c>
      <c r="D37" s="149"/>
      <c r="E37" s="149"/>
      <c r="F37" s="149"/>
      <c r="G37" s="149"/>
      <c r="H37" s="149"/>
    </row>
    <row r="38" spans="1:9" x14ac:dyDescent="0.25">
      <c r="A38" s="78" t="s">
        <v>170</v>
      </c>
      <c r="B38" s="78"/>
      <c r="C38" s="164" t="s">
        <v>188</v>
      </c>
      <c r="D38" s="137"/>
      <c r="E38" s="137"/>
      <c r="F38" s="137"/>
      <c r="G38" s="137"/>
      <c r="H38" s="137"/>
    </row>
    <row r="39" spans="1:9" x14ac:dyDescent="0.25">
      <c r="A39" s="149" t="s">
        <v>35</v>
      </c>
      <c r="B39" s="149"/>
      <c r="C39" s="149"/>
      <c r="D39" s="149"/>
      <c r="E39" s="149"/>
      <c r="F39" s="149"/>
      <c r="G39" s="149"/>
      <c r="H39" s="149"/>
    </row>
    <row r="40" spans="1:9" x14ac:dyDescent="0.25">
      <c r="A40" s="78" t="s">
        <v>36</v>
      </c>
      <c r="B40" s="78"/>
      <c r="C40" s="78"/>
      <c r="D40" s="78"/>
      <c r="E40" s="163">
        <v>815.5</v>
      </c>
      <c r="F40" s="163"/>
      <c r="G40" s="163"/>
      <c r="H40" s="163"/>
    </row>
    <row r="41" spans="1:9" x14ac:dyDescent="0.25">
      <c r="A41" s="78" t="s">
        <v>37</v>
      </c>
      <c r="B41" s="78"/>
      <c r="C41" s="78"/>
      <c r="D41" s="78"/>
      <c r="E41" s="161">
        <v>1.2</v>
      </c>
      <c r="F41" s="161"/>
      <c r="G41" s="161"/>
      <c r="H41" s="161"/>
    </row>
    <row r="42" spans="1:9" x14ac:dyDescent="0.25">
      <c r="A42" s="78" t="s">
        <v>38</v>
      </c>
      <c r="B42" s="78"/>
      <c r="C42" s="78"/>
      <c r="D42" s="78"/>
      <c r="E42" s="161">
        <f>E44/E40-E41</f>
        <v>0.19694665849172299</v>
      </c>
      <c r="F42" s="161"/>
      <c r="G42" s="161"/>
      <c r="H42" s="161"/>
    </row>
    <row r="43" spans="1:9" x14ac:dyDescent="0.25">
      <c r="A43" s="78" t="s">
        <v>39</v>
      </c>
      <c r="B43" s="78"/>
      <c r="C43" s="78"/>
      <c r="D43" s="78"/>
      <c r="E43" s="161">
        <f>E41+E42</f>
        <v>1.3969466584917229</v>
      </c>
      <c r="F43" s="161"/>
      <c r="G43" s="161"/>
      <c r="H43" s="161"/>
      <c r="I43" s="21">
        <f>815*1.2</f>
        <v>978</v>
      </c>
    </row>
    <row r="44" spans="1:9" x14ac:dyDescent="0.25">
      <c r="A44" s="78" t="s">
        <v>95</v>
      </c>
      <c r="B44" s="78"/>
      <c r="C44" s="78"/>
      <c r="D44" s="78"/>
      <c r="E44" s="162">
        <v>1139.21</v>
      </c>
      <c r="F44" s="162"/>
      <c r="G44" s="162"/>
      <c r="H44" s="162"/>
    </row>
    <row r="45" spans="1:9" x14ac:dyDescent="0.25">
      <c r="A45" s="139" t="s">
        <v>40</v>
      </c>
      <c r="B45" s="139"/>
      <c r="C45" s="139"/>
      <c r="D45" s="139"/>
      <c r="E45" s="139" t="s">
        <v>128</v>
      </c>
      <c r="F45" s="139"/>
      <c r="G45" s="139"/>
      <c r="H45" s="139"/>
    </row>
    <row r="46" spans="1:9" x14ac:dyDescent="0.25">
      <c r="A46" s="149" t="s">
        <v>41</v>
      </c>
      <c r="B46" s="149"/>
      <c r="C46" s="149"/>
      <c r="D46" s="149"/>
      <c r="E46" s="149"/>
      <c r="F46" s="149"/>
      <c r="G46" s="149"/>
      <c r="H46" s="149"/>
    </row>
    <row r="47" spans="1:9" ht="33.75" customHeight="1" x14ac:dyDescent="0.25">
      <c r="A47" s="102" t="s">
        <v>157</v>
      </c>
      <c r="B47" s="104"/>
      <c r="C47" s="140" t="s">
        <v>195</v>
      </c>
      <c r="D47" s="141"/>
      <c r="E47" s="141"/>
      <c r="F47" s="141"/>
      <c r="G47" s="141"/>
      <c r="H47" s="142"/>
    </row>
    <row r="48" spans="1:9" ht="34.5" customHeight="1" x14ac:dyDescent="0.25">
      <c r="A48" s="102" t="s">
        <v>42</v>
      </c>
      <c r="B48" s="104"/>
      <c r="C48" s="102" t="s">
        <v>209</v>
      </c>
      <c r="D48" s="103"/>
      <c r="E48" s="104"/>
      <c r="F48" s="18" t="s">
        <v>43</v>
      </c>
      <c r="G48" s="155">
        <v>44693</v>
      </c>
      <c r="H48" s="104"/>
    </row>
    <row r="49" spans="1:14" ht="33" customHeight="1" x14ac:dyDescent="0.25">
      <c r="A49" s="102" t="s">
        <v>44</v>
      </c>
      <c r="B49" s="104"/>
      <c r="C49" s="102" t="str">
        <f>C48</f>
        <v>BS/RKKN/BP/Mauje-Vasind/Tal-Shahapur/SSThane/1391</v>
      </c>
      <c r="D49" s="103"/>
      <c r="E49" s="104"/>
      <c r="F49" s="18" t="s">
        <v>43</v>
      </c>
      <c r="G49" s="155">
        <f>G48</f>
        <v>44693</v>
      </c>
      <c r="H49" s="156"/>
    </row>
    <row r="50" spans="1:14" s="23" customFormat="1" ht="31.5" customHeight="1" x14ac:dyDescent="0.25">
      <c r="A50" s="157" t="s">
        <v>161</v>
      </c>
      <c r="B50" s="158"/>
      <c r="C50" s="102" t="s">
        <v>214</v>
      </c>
      <c r="D50" s="103"/>
      <c r="E50" s="104"/>
      <c r="F50" s="18" t="s">
        <v>43</v>
      </c>
      <c r="G50" s="155">
        <v>44928</v>
      </c>
      <c r="H50" s="104"/>
    </row>
    <row r="51" spans="1:14" s="23" customFormat="1" x14ac:dyDescent="0.25">
      <c r="A51" s="159"/>
      <c r="B51" s="160"/>
      <c r="C51" s="115" t="s">
        <v>213</v>
      </c>
      <c r="D51" s="116"/>
      <c r="E51" s="116"/>
      <c r="F51" s="116"/>
      <c r="G51" s="116"/>
      <c r="H51" s="117"/>
    </row>
    <row r="52" spans="1:14" x14ac:dyDescent="0.25">
      <c r="A52" s="105" t="s">
        <v>45</v>
      </c>
      <c r="B52" s="106"/>
      <c r="C52" s="105" t="s">
        <v>110</v>
      </c>
      <c r="D52" s="107"/>
      <c r="E52" s="106"/>
      <c r="F52" s="46" t="s">
        <v>43</v>
      </c>
      <c r="G52" s="113" t="s">
        <v>30</v>
      </c>
      <c r="H52" s="114"/>
    </row>
    <row r="53" spans="1:14" x14ac:dyDescent="0.25">
      <c r="A53" s="108" t="s">
        <v>47</v>
      </c>
      <c r="B53" s="108"/>
      <c r="C53" s="108"/>
      <c r="D53" s="108"/>
      <c r="E53" s="108"/>
      <c r="F53" s="108"/>
      <c r="G53" s="108"/>
      <c r="H53" s="108"/>
    </row>
    <row r="54" spans="1:14" x14ac:dyDescent="0.25">
      <c r="A54" s="135" t="s">
        <v>94</v>
      </c>
      <c r="B54" s="135"/>
      <c r="C54" s="135"/>
      <c r="D54" s="78">
        <f>E44</f>
        <v>1139.21</v>
      </c>
      <c r="E54" s="78"/>
      <c r="F54" s="78"/>
      <c r="G54" s="78"/>
      <c r="H54" s="78"/>
    </row>
    <row r="55" spans="1:14" x14ac:dyDescent="0.25">
      <c r="A55" s="137" t="s">
        <v>48</v>
      </c>
      <c r="B55" s="139"/>
      <c r="C55" s="139"/>
      <c r="D55" s="139" t="s">
        <v>211</v>
      </c>
      <c r="E55" s="139"/>
      <c r="F55" s="139"/>
      <c r="G55" s="139"/>
      <c r="H55" s="139"/>
      <c r="I55" s="24"/>
    </row>
    <row r="56" spans="1:14" x14ac:dyDescent="0.25">
      <c r="A56" s="152" t="s">
        <v>49</v>
      </c>
      <c r="B56" s="153"/>
      <c r="C56" s="154"/>
      <c r="D56" s="150" t="s">
        <v>198</v>
      </c>
      <c r="E56" s="151"/>
      <c r="F56" s="151"/>
      <c r="G56" s="151"/>
      <c r="H56" s="151"/>
    </row>
    <row r="57" spans="1:14" ht="15.75" customHeight="1" x14ac:dyDescent="0.25">
      <c r="A57" s="152" t="s">
        <v>92</v>
      </c>
      <c r="B57" s="153"/>
      <c r="C57" s="153"/>
      <c r="D57" s="174" t="s">
        <v>198</v>
      </c>
      <c r="E57" s="175"/>
      <c r="F57" s="175"/>
      <c r="G57" s="175"/>
      <c r="H57" s="176"/>
    </row>
    <row r="58" spans="1:14" ht="15.75" customHeight="1" x14ac:dyDescent="0.25">
      <c r="A58" s="78" t="s">
        <v>46</v>
      </c>
      <c r="B58" s="78"/>
      <c r="C58" s="78"/>
      <c r="D58" s="66" t="s">
        <v>196</v>
      </c>
      <c r="E58" s="66"/>
      <c r="F58" s="66"/>
      <c r="G58" s="66"/>
      <c r="H58" s="66"/>
      <c r="J58" s="25"/>
      <c r="K58" s="24"/>
      <c r="N58" s="24"/>
    </row>
    <row r="59" spans="1:14" ht="15.75" customHeight="1" x14ac:dyDescent="0.25">
      <c r="A59" s="78" t="s">
        <v>90</v>
      </c>
      <c r="B59" s="78"/>
      <c r="C59" s="78"/>
      <c r="D59" s="179" t="str">
        <f>(IF(G52="NA","60 Years After Completion",IF(G52&lt;&gt;"NA",""&amp;60-ROUNDDOWN((E3-G52)/360,0)&amp;" Years"," ")))</f>
        <v>60 Years After Completion</v>
      </c>
      <c r="E59" s="179"/>
      <c r="F59" s="179"/>
      <c r="G59" s="179"/>
      <c r="H59" s="179"/>
      <c r="N59" s="24"/>
    </row>
    <row r="60" spans="1:14" ht="15.75" customHeight="1" x14ac:dyDescent="0.25">
      <c r="A60" s="78" t="s">
        <v>91</v>
      </c>
      <c r="B60" s="78"/>
      <c r="C60" s="78"/>
      <c r="D60" s="135" t="s">
        <v>24</v>
      </c>
      <c r="E60" s="135"/>
      <c r="F60" s="135"/>
      <c r="G60" s="135"/>
      <c r="H60" s="135"/>
      <c r="J60" s="26"/>
      <c r="K60" s="26"/>
    </row>
    <row r="61" spans="1:14" ht="31.5" customHeight="1" x14ac:dyDescent="0.25">
      <c r="A61" s="78" t="s">
        <v>77</v>
      </c>
      <c r="B61" s="78"/>
      <c r="C61" s="78"/>
      <c r="D61" s="137" t="s">
        <v>197</v>
      </c>
      <c r="E61" s="135"/>
      <c r="F61" s="135"/>
      <c r="G61" s="135"/>
      <c r="H61" s="135"/>
    </row>
    <row r="62" spans="1:14" x14ac:dyDescent="0.25">
      <c r="A62" s="135" t="s">
        <v>155</v>
      </c>
      <c r="B62" s="135"/>
      <c r="C62" s="135"/>
      <c r="D62" s="135" t="s">
        <v>30</v>
      </c>
      <c r="E62" s="135"/>
      <c r="F62" s="135"/>
      <c r="G62" s="135"/>
      <c r="H62" s="135"/>
      <c r="I62" s="27"/>
      <c r="J62" s="27"/>
      <c r="K62" s="27"/>
      <c r="L62" s="27"/>
      <c r="M62" s="27"/>
      <c r="N62" s="27"/>
    </row>
    <row r="63" spans="1:14" ht="15.75" customHeight="1" x14ac:dyDescent="0.25">
      <c r="A63" s="178" t="s">
        <v>89</v>
      </c>
      <c r="B63" s="178"/>
      <c r="C63" s="178"/>
      <c r="D63" s="150" t="str">
        <f ca="1">(IF(G69&gt;95%,"Nothing",IF(G69&gt;0%,"Cement, Aggregate, Steel, etc",IF(G69=0%,"Work not yet Started"))))</f>
        <v>Cement, Aggregate, Steel, etc</v>
      </c>
      <c r="E63" s="150"/>
      <c r="F63" s="150"/>
      <c r="G63" s="150"/>
      <c r="H63" s="150"/>
      <c r="J63" s="26"/>
    </row>
    <row r="64" spans="1:14" ht="33.75" customHeight="1" thickBot="1" x14ac:dyDescent="0.3">
      <c r="A64" s="177" t="s">
        <v>123</v>
      </c>
      <c r="B64" s="177"/>
      <c r="C64" s="177"/>
      <c r="D64" s="150" t="str">
        <f ca="1">(IF(D63="Nothing","Yes",IF(D63="Cement, Aggregate, Steel, etc","Under Construction",IF(D63="Work not yet Started","Work not yet Started"))))</f>
        <v>Under Construction</v>
      </c>
      <c r="E64" s="150"/>
      <c r="F64" s="150" t="str">
        <f ca="1">(IF(D63="Nothing","Yes",IF(D63="Cement, Aggregate, Steel, etc","Under Construction",IF(D63="Work not yet Started","Work not yet Started"))))</f>
        <v>Under Construction</v>
      </c>
      <c r="G64" s="150"/>
      <c r="H64" s="150"/>
    </row>
    <row r="65" spans="1:10" ht="15.75" customHeight="1" x14ac:dyDescent="0.25">
      <c r="A65" s="167" t="s">
        <v>147</v>
      </c>
      <c r="B65" s="168"/>
      <c r="C65" s="169" t="str">
        <f>D57</f>
        <v>Gr/St + 1st to 5th Floor</v>
      </c>
      <c r="D65" s="170"/>
      <c r="E65" s="170"/>
      <c r="F65" s="170"/>
      <c r="G65" s="170"/>
      <c r="H65" s="171"/>
      <c r="I65" s="5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4 Floor, Painting upto 4 Floor, Finishing upto 2 Floor Completed</v>
      </c>
      <c r="J65" s="5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4 Floor, Painting upto 4 Floor, Finishing upto 2 Floor</v>
      </c>
    </row>
    <row r="66" spans="1:10" x14ac:dyDescent="0.25">
      <c r="A66" s="16" t="s">
        <v>149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0</v>
      </c>
      <c r="G66" s="49" t="s">
        <v>83</v>
      </c>
      <c r="H66" s="17">
        <f ca="1">--TRIM(RIGHT(SUBSTITUTE(LEFT(C65,_xlfn.AGGREGATE(16,6,FIND({0,1,2,3,4,5,6,7,8,9},C65,ROW(INDIRECT("1:"&amp;LEN(C65)))),1))," ",REPT(" ",LEN(C65))),LEN(C65)))</f>
        <v>5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9.15" customHeight="1" x14ac:dyDescent="0.25">
      <c r="A67" s="165" t="s">
        <v>93</v>
      </c>
      <c r="B67" s="166"/>
      <c r="C67" s="172" t="str">
        <f ca="1">I65</f>
        <v>Excavation, Plinth, RCC Slab, Brickwork, Internal Plaster, External Plaster Completed, Flooring upto 4 Floor, Painting upto 4 Floor, Finishing upto 2 Floor Completed</v>
      </c>
      <c r="D67" s="172"/>
      <c r="E67" s="172"/>
      <c r="F67" s="172"/>
      <c r="G67" s="172"/>
      <c r="H67" s="173"/>
      <c r="I67" s="52" t="str">
        <f ca="1">IF(I66&lt;&gt;""," Completed","")</f>
        <v xml:space="preserve"> Completed</v>
      </c>
      <c r="J67" s="53" t="str">
        <f ca="1">IF(J65&lt;&gt;"","Completed","")</f>
        <v>Completed</v>
      </c>
    </row>
    <row r="68" spans="1:10" ht="15.75" customHeight="1" x14ac:dyDescent="0.25">
      <c r="A68" s="64" t="s">
        <v>50</v>
      </c>
      <c r="B68" s="65"/>
      <c r="C68" s="44" t="s">
        <v>146</v>
      </c>
      <c r="D68" s="44" t="s">
        <v>86</v>
      </c>
      <c r="E68" s="65" t="s">
        <v>88</v>
      </c>
      <c r="F68" s="65"/>
      <c r="G68" s="65" t="s">
        <v>87</v>
      </c>
      <c r="H68" s="180"/>
      <c r="I68" s="14" t="s">
        <v>148</v>
      </c>
      <c r="J68" s="28">
        <f ca="1">H66*25%</f>
        <v>1.25</v>
      </c>
    </row>
    <row r="69" spans="1:10" x14ac:dyDescent="0.25">
      <c r="A69" s="64" t="s">
        <v>135</v>
      </c>
      <c r="B69" s="65"/>
      <c r="C69" s="44">
        <f ca="1">J70</f>
        <v>5</v>
      </c>
      <c r="D69" s="19">
        <f ca="1">((100/H66)*C69)/100</f>
        <v>1</v>
      </c>
      <c r="E69" s="67">
        <f ca="1">(((C70/H66*10)+(40/(D66+F66+H66)*C71)+(7.5/(H66)*C72)+(7.5/(H66)*C73)+(10/H66*C74)+(10/H66*C75)+(5/H66*C76)+(5/H66*C77)+(5/H66*C78))/100)</f>
        <v>0.89</v>
      </c>
      <c r="F69" s="68"/>
      <c r="G69" s="67">
        <f ca="1">((((C69/H66)*20)+((C70/H66)*25)+(30/(H66+F66+D66)*C71)+(5/H66*C72)+(5/H66*C73)+(5/H66*C74)+(5/H66*C75)+(0/H66*C76)+(0/H66*C77)+(5/H66*C78))/100)</f>
        <v>0.94</v>
      </c>
      <c r="H69" s="120"/>
      <c r="I69" s="14" t="s">
        <v>104</v>
      </c>
      <c r="J69" s="29">
        <f ca="1">H66*50%</f>
        <v>2.5</v>
      </c>
    </row>
    <row r="70" spans="1:10" x14ac:dyDescent="0.25">
      <c r="A70" s="64" t="s">
        <v>51</v>
      </c>
      <c r="B70" s="65"/>
      <c r="C70" s="44">
        <f ca="1">J78</f>
        <v>5</v>
      </c>
      <c r="D70" s="19">
        <f ca="1">((100/H66)*C70)/100</f>
        <v>1</v>
      </c>
      <c r="E70" s="69"/>
      <c r="F70" s="70"/>
      <c r="G70" s="69"/>
      <c r="H70" s="121"/>
      <c r="I70" s="14" t="s">
        <v>105</v>
      </c>
      <c r="J70" s="29">
        <f ca="1">H66</f>
        <v>5</v>
      </c>
    </row>
    <row r="71" spans="1:10" ht="15.75" customHeight="1" x14ac:dyDescent="0.25">
      <c r="A71" s="64" t="s">
        <v>136</v>
      </c>
      <c r="B71" s="65"/>
      <c r="C71" s="44">
        <v>6</v>
      </c>
      <c r="D71" s="19">
        <f ca="1">((100/(D66+F66+H66))*C71)/100</f>
        <v>1</v>
      </c>
      <c r="E71" s="69"/>
      <c r="F71" s="70"/>
      <c r="G71" s="69"/>
      <c r="H71" s="121"/>
      <c r="I71" s="14" t="s">
        <v>106</v>
      </c>
      <c r="J71" s="30">
        <f ca="1">(IF(B66&gt;1,(H66/(B66+2)),H66/4))</f>
        <v>1.25</v>
      </c>
    </row>
    <row r="72" spans="1:10" ht="15.75" customHeight="1" x14ac:dyDescent="0.25">
      <c r="A72" s="64" t="s">
        <v>143</v>
      </c>
      <c r="B72" s="65" t="s">
        <v>137</v>
      </c>
      <c r="C72" s="44">
        <v>5</v>
      </c>
      <c r="D72" s="19">
        <f ca="1">((100/H66)*C72)/100</f>
        <v>1</v>
      </c>
      <c r="E72" s="69"/>
      <c r="F72" s="70"/>
      <c r="G72" s="69"/>
      <c r="H72" s="121"/>
      <c r="I72" s="14" t="s">
        <v>107</v>
      </c>
      <c r="J72" s="30">
        <f ca="1">(IF(B66&gt;1,(H66/(B66+2)+J71),H66/4+J71))</f>
        <v>2.5</v>
      </c>
    </row>
    <row r="73" spans="1:10" ht="15.75" customHeight="1" x14ac:dyDescent="0.25">
      <c r="A73" s="64" t="s">
        <v>144</v>
      </c>
      <c r="B73" s="65" t="s">
        <v>137</v>
      </c>
      <c r="C73" s="44">
        <v>5</v>
      </c>
      <c r="D73" s="19">
        <f ca="1">((100/H66)*C73)/100</f>
        <v>1</v>
      </c>
      <c r="E73" s="69"/>
      <c r="F73" s="70"/>
      <c r="G73" s="69"/>
      <c r="H73" s="121"/>
      <c r="I73" s="14" t="s">
        <v>153</v>
      </c>
      <c r="J73" s="30">
        <f>(IF(B66&gt;1,(H66/(B66+2)+J72),0))</f>
        <v>0</v>
      </c>
    </row>
    <row r="74" spans="1:10" ht="15" customHeight="1" x14ac:dyDescent="0.25">
      <c r="A74" s="64" t="s">
        <v>142</v>
      </c>
      <c r="B74" s="65" t="s">
        <v>139</v>
      </c>
      <c r="C74" s="44">
        <v>5</v>
      </c>
      <c r="D74" s="19">
        <f ca="1">((100/(H66))*C74)/100</f>
        <v>1</v>
      </c>
      <c r="E74" s="69"/>
      <c r="F74" s="70"/>
      <c r="G74" s="69"/>
      <c r="H74" s="121"/>
      <c r="I74" s="14" t="s">
        <v>150</v>
      </c>
      <c r="J74" s="30">
        <f>(IF(B66&gt;2,(H66/(B66+2)+J73),0))</f>
        <v>0</v>
      </c>
    </row>
    <row r="75" spans="1:10" ht="15.75" customHeight="1" x14ac:dyDescent="0.25">
      <c r="A75" s="64" t="s">
        <v>138</v>
      </c>
      <c r="B75" s="65" t="s">
        <v>138</v>
      </c>
      <c r="C75" s="44">
        <v>4</v>
      </c>
      <c r="D75" s="19">
        <f ca="1">((100/H66)*C75)/100</f>
        <v>0.8</v>
      </c>
      <c r="E75" s="69"/>
      <c r="F75" s="70"/>
      <c r="G75" s="69"/>
      <c r="H75" s="121"/>
      <c r="I75" s="14" t="s">
        <v>151</v>
      </c>
      <c r="J75" s="31">
        <f>(IF(B66&gt;3,(H66/(B66+2)+J74),0))</f>
        <v>0</v>
      </c>
    </row>
    <row r="76" spans="1:10" ht="15.75" customHeight="1" x14ac:dyDescent="0.25">
      <c r="A76" s="64" t="s">
        <v>145</v>
      </c>
      <c r="B76" s="65"/>
      <c r="C76" s="44">
        <v>4</v>
      </c>
      <c r="D76" s="19">
        <f ca="1">((100/H66)*C76)/100</f>
        <v>0.8</v>
      </c>
      <c r="E76" s="69"/>
      <c r="F76" s="70"/>
      <c r="G76" s="69"/>
      <c r="H76" s="121"/>
      <c r="I76" s="14" t="s">
        <v>152</v>
      </c>
      <c r="J76" s="30">
        <f>(IF(B66&gt;4,(H66/(B66+2)+J75),0))</f>
        <v>0</v>
      </c>
    </row>
    <row r="77" spans="1:10" ht="15.75" customHeight="1" x14ac:dyDescent="0.25">
      <c r="A77" s="64" t="s">
        <v>140</v>
      </c>
      <c r="B77" s="65" t="s">
        <v>140</v>
      </c>
      <c r="C77" s="44">
        <v>2</v>
      </c>
      <c r="D77" s="19">
        <f ca="1">((100/(H66))*C77)/100</f>
        <v>0.4</v>
      </c>
      <c r="E77" s="69"/>
      <c r="F77" s="70"/>
      <c r="G77" s="69"/>
      <c r="H77" s="121"/>
      <c r="I77" s="14" t="s">
        <v>154</v>
      </c>
      <c r="J77" s="30">
        <f ca="1">(IF(B66=1,(H66/(B66+3)+J72),IF(B66=0,(H66/4+J72),IF(B66&gt;1,0))))</f>
        <v>3.75</v>
      </c>
    </row>
    <row r="78" spans="1:10" ht="16.5" thickBot="1" x14ac:dyDescent="0.3">
      <c r="A78" s="130" t="s">
        <v>141</v>
      </c>
      <c r="B78" s="131"/>
      <c r="C78" s="45">
        <v>0</v>
      </c>
      <c r="D78" s="20">
        <f ca="1">((100/(H66))*C78)/100</f>
        <v>0</v>
      </c>
      <c r="E78" s="71"/>
      <c r="F78" s="72"/>
      <c r="G78" s="71"/>
      <c r="H78" s="122"/>
      <c r="I78" s="15" t="s">
        <v>108</v>
      </c>
      <c r="J78" s="32">
        <f ca="1">(IF(B66&gt;1.5,(H66/(B66+2)+J72+MAX(0,J73-J72)+MAX(0,J74-J73)+MAX(0,J75-J74)+MAX(0,J76-J75)+MAX(0,J77-J76)),IF(B66=1,(H66/(B66+3)+J77),IF(B66=0,H66/4+J77))))</f>
        <v>5</v>
      </c>
    </row>
    <row r="79" spans="1:10" x14ac:dyDescent="0.25">
      <c r="A79" s="181" t="s">
        <v>163</v>
      </c>
      <c r="B79" s="181"/>
      <c r="C79" s="181"/>
      <c r="D79" s="181"/>
      <c r="E79" s="181"/>
      <c r="F79" s="95" t="s">
        <v>168</v>
      </c>
      <c r="G79" s="95"/>
      <c r="H79" s="95"/>
    </row>
    <row r="80" spans="1:10" x14ac:dyDescent="0.25">
      <c r="A80" s="78" t="s">
        <v>166</v>
      </c>
      <c r="B80" s="78"/>
      <c r="C80" s="78"/>
      <c r="D80" s="78"/>
      <c r="E80" s="78"/>
      <c r="F80" s="79">
        <v>3000</v>
      </c>
      <c r="G80" s="79"/>
      <c r="H80" s="79"/>
    </row>
    <row r="81" spans="1:8" x14ac:dyDescent="0.25">
      <c r="A81" s="78" t="s">
        <v>165</v>
      </c>
      <c r="B81" s="78"/>
      <c r="C81" s="78"/>
      <c r="D81" s="78"/>
      <c r="E81" s="78"/>
      <c r="F81" s="79">
        <v>6000</v>
      </c>
      <c r="G81" s="79"/>
      <c r="H81" s="79"/>
    </row>
    <row r="82" spans="1:8" hidden="1" x14ac:dyDescent="0.25">
      <c r="A82" s="78" t="s">
        <v>167</v>
      </c>
      <c r="B82" s="78"/>
      <c r="C82" s="78"/>
      <c r="D82" s="78"/>
      <c r="E82" s="78"/>
      <c r="F82" s="79"/>
      <c r="G82" s="79"/>
      <c r="H82" s="79"/>
    </row>
    <row r="83" spans="1:8" s="33" customFormat="1" hidden="1" x14ac:dyDescent="0.25">
      <c r="A83" s="78" t="s">
        <v>164</v>
      </c>
      <c r="B83" s="78"/>
      <c r="C83" s="78"/>
      <c r="D83" s="78"/>
      <c r="E83" s="78"/>
      <c r="F83" s="79"/>
      <c r="G83" s="79"/>
      <c r="H83" s="79"/>
    </row>
    <row r="84" spans="1:8" s="33" customFormat="1" hidden="1" x14ac:dyDescent="0.25">
      <c r="A84" s="78" t="s">
        <v>98</v>
      </c>
      <c r="B84" s="78"/>
      <c r="C84" s="78"/>
      <c r="D84" s="78"/>
      <c r="E84" s="78"/>
      <c r="F84" s="79"/>
      <c r="G84" s="79"/>
      <c r="H84" s="79"/>
    </row>
    <row r="85" spans="1:8" s="33" customFormat="1" hidden="1" x14ac:dyDescent="0.25">
      <c r="A85" s="78" t="s">
        <v>99</v>
      </c>
      <c r="B85" s="78"/>
      <c r="C85" s="78"/>
      <c r="D85" s="78"/>
      <c r="E85" s="78"/>
      <c r="F85" s="79"/>
      <c r="G85" s="79"/>
      <c r="H85" s="79"/>
    </row>
    <row r="86" spans="1:8" s="33" customFormat="1" hidden="1" x14ac:dyDescent="0.25">
      <c r="A86" s="78" t="s">
        <v>169</v>
      </c>
      <c r="B86" s="78"/>
      <c r="C86" s="78"/>
      <c r="D86" s="78"/>
      <c r="E86" s="78"/>
      <c r="F86" s="79"/>
      <c r="G86" s="79"/>
      <c r="H86" s="79"/>
    </row>
    <row r="87" spans="1:8" s="33" customFormat="1" hidden="1" x14ac:dyDescent="0.25">
      <c r="A87" s="78" t="s">
        <v>100</v>
      </c>
      <c r="B87" s="78"/>
      <c r="C87" s="78"/>
      <c r="D87" s="78"/>
      <c r="E87" s="78"/>
      <c r="F87" s="79"/>
      <c r="G87" s="79"/>
      <c r="H87" s="79"/>
    </row>
    <row r="88" spans="1:8" s="33" customFormat="1" hidden="1" x14ac:dyDescent="0.25">
      <c r="A88" s="78" t="s">
        <v>101</v>
      </c>
      <c r="B88" s="78"/>
      <c r="C88" s="78"/>
      <c r="D88" s="78"/>
      <c r="E88" s="78"/>
      <c r="F88" s="79"/>
      <c r="G88" s="79"/>
      <c r="H88" s="79"/>
    </row>
    <row r="89" spans="1:8" s="33" customFormat="1" hidden="1" x14ac:dyDescent="0.25">
      <c r="A89" s="78" t="s">
        <v>102</v>
      </c>
      <c r="B89" s="78"/>
      <c r="C89" s="78"/>
      <c r="D89" s="78"/>
      <c r="E89" s="78"/>
      <c r="F89" s="79"/>
      <c r="G89" s="79"/>
      <c r="H89" s="79"/>
    </row>
    <row r="90" spans="1:8" s="33" customFormat="1" hidden="1" x14ac:dyDescent="0.25">
      <c r="A90" s="78" t="s">
        <v>103</v>
      </c>
      <c r="B90" s="78"/>
      <c r="C90" s="78"/>
      <c r="D90" s="78"/>
      <c r="E90" s="78"/>
      <c r="F90" s="79"/>
      <c r="G90" s="79"/>
      <c r="H90" s="79"/>
    </row>
    <row r="91" spans="1:8" x14ac:dyDescent="0.25">
      <c r="A91" s="78" t="s">
        <v>52</v>
      </c>
      <c r="B91" s="78"/>
      <c r="C91" s="78"/>
      <c r="D91" s="78"/>
      <c r="E91" s="78"/>
      <c r="F91" s="79">
        <v>100000</v>
      </c>
      <c r="G91" s="79"/>
      <c r="H91" s="79"/>
    </row>
    <row r="92" spans="1:8" s="34" customFormat="1" x14ac:dyDescent="0.25">
      <c r="A92" s="149" t="s">
        <v>53</v>
      </c>
      <c r="B92" s="149"/>
      <c r="C92" s="149"/>
      <c r="D92" s="149"/>
      <c r="E92" s="149"/>
      <c r="F92" s="79">
        <f>F80*0.8</f>
        <v>2400</v>
      </c>
      <c r="G92" s="79"/>
      <c r="H92" s="79"/>
    </row>
    <row r="93" spans="1:8" s="35" customFormat="1" ht="15.75" customHeight="1" x14ac:dyDescent="0.25">
      <c r="A93" s="109" t="s">
        <v>78</v>
      </c>
      <c r="B93" s="109"/>
      <c r="C93" s="109"/>
      <c r="D93" s="109"/>
      <c r="E93" s="109"/>
      <c r="F93" s="109"/>
      <c r="G93" s="109"/>
      <c r="H93" s="109"/>
    </row>
    <row r="94" spans="1:8" s="35" customFormat="1" ht="15.75" customHeight="1" x14ac:dyDescent="0.25">
      <c r="A94" s="76" t="s">
        <v>54</v>
      </c>
      <c r="B94" s="76"/>
      <c r="C94" s="132" t="s">
        <v>81</v>
      </c>
      <c r="D94" s="132"/>
      <c r="E94" s="112" t="s">
        <v>55</v>
      </c>
      <c r="F94" s="112"/>
      <c r="G94" s="76" t="s">
        <v>56</v>
      </c>
      <c r="H94" s="76"/>
    </row>
    <row r="95" spans="1:8" s="35" customFormat="1" x14ac:dyDescent="0.25">
      <c r="A95" s="77" t="s">
        <v>200</v>
      </c>
      <c r="B95" s="77"/>
      <c r="C95" s="75">
        <f>COUNT(D105:D109)</f>
        <v>5</v>
      </c>
      <c r="D95" s="123"/>
      <c r="E95" s="118">
        <f>SUM(D105:D109)</f>
        <v>666.2915999999999</v>
      </c>
      <c r="F95" s="119"/>
      <c r="G95" s="118">
        <f>SUM(F105:F109)</f>
        <v>999.43739999999991</v>
      </c>
      <c r="H95" s="119"/>
    </row>
    <row r="96" spans="1:8" s="35" customFormat="1" x14ac:dyDescent="0.25">
      <c r="A96" s="109" t="s">
        <v>72</v>
      </c>
      <c r="B96" s="109"/>
      <c r="C96" s="109"/>
      <c r="D96" s="109"/>
      <c r="E96" s="109"/>
      <c r="F96" s="109"/>
      <c r="G96" s="109"/>
      <c r="H96" s="109"/>
    </row>
    <row r="97" spans="1:14" s="35" customFormat="1" ht="15.75" customHeight="1" x14ac:dyDescent="0.25">
      <c r="A97" s="76" t="s">
        <v>54</v>
      </c>
      <c r="B97" s="76"/>
      <c r="C97" s="132" t="s">
        <v>81</v>
      </c>
      <c r="D97" s="132"/>
      <c r="E97" s="112" t="s">
        <v>55</v>
      </c>
      <c r="F97" s="112"/>
      <c r="G97" s="76" t="s">
        <v>56</v>
      </c>
      <c r="H97" s="76"/>
    </row>
    <row r="98" spans="1:14" s="35" customFormat="1" ht="16.5" thickBot="1" x14ac:dyDescent="0.3">
      <c r="A98" s="77" t="s">
        <v>199</v>
      </c>
      <c r="B98" s="77"/>
      <c r="C98" s="75">
        <f>COUNT(D114:D120)+COUNT(D122:D128)*3+COUNT(D130:D136)</f>
        <v>35</v>
      </c>
      <c r="D98" s="75"/>
      <c r="E98" s="118">
        <f>SUM(D114:D120)+SUM(D122:D128)*3+SUM(D130:D136)</f>
        <v>13602.601350000001</v>
      </c>
      <c r="F98" s="118"/>
      <c r="G98" s="118">
        <f>SUM(F114:F120)+SUM(F122:F128)*3+SUM(F130:F136)</f>
        <v>19905.414457499999</v>
      </c>
      <c r="H98" s="118"/>
    </row>
    <row r="99" spans="1:14" s="35" customFormat="1" ht="16.5" thickBot="1" x14ac:dyDescent="0.3">
      <c r="A99" s="84" t="s">
        <v>175</v>
      </c>
      <c r="B99" s="85"/>
      <c r="C99" s="86">
        <f>C95+C98</f>
        <v>40</v>
      </c>
      <c r="D99" s="87"/>
      <c r="E99" s="86">
        <f>E95+E98</f>
        <v>14268.892950000001</v>
      </c>
      <c r="F99" s="87"/>
      <c r="G99" s="86">
        <f>G95+G98</f>
        <v>20904.851857499998</v>
      </c>
      <c r="H99" s="87"/>
    </row>
    <row r="100" spans="1:14" s="34" customFormat="1" x14ac:dyDescent="0.25">
      <c r="A100" s="95" t="s">
        <v>57</v>
      </c>
      <c r="B100" s="95"/>
      <c r="C100" s="95"/>
      <c r="D100" s="95"/>
      <c r="E100" s="95"/>
      <c r="F100" s="95"/>
      <c r="G100" s="95"/>
      <c r="H100" s="95"/>
    </row>
    <row r="101" spans="1:14" x14ac:dyDescent="0.25">
      <c r="A101" s="83" t="s">
        <v>58</v>
      </c>
      <c r="B101" s="83"/>
      <c r="C101" s="83"/>
      <c r="D101" s="83"/>
      <c r="E101" s="83"/>
      <c r="F101" s="83"/>
      <c r="G101" s="83"/>
      <c r="H101" s="83"/>
    </row>
    <row r="102" spans="1:14" ht="47.25" customHeight="1" x14ac:dyDescent="0.25">
      <c r="A102" s="110" t="s">
        <v>125</v>
      </c>
      <c r="B102" s="110" t="s">
        <v>124</v>
      </c>
      <c r="C102" s="110" t="s">
        <v>59</v>
      </c>
      <c r="D102" s="110" t="s">
        <v>60</v>
      </c>
      <c r="E102" s="124" t="s">
        <v>162</v>
      </c>
      <c r="F102" s="43" t="s">
        <v>156</v>
      </c>
      <c r="G102" s="88" t="s">
        <v>62</v>
      </c>
      <c r="H102" s="89"/>
    </row>
    <row r="103" spans="1:14" s="37" customFormat="1" x14ac:dyDescent="0.25">
      <c r="A103" s="111"/>
      <c r="B103" s="111"/>
      <c r="C103" s="111"/>
      <c r="D103" s="111"/>
      <c r="E103" s="125"/>
      <c r="F103" s="13">
        <v>0.5</v>
      </c>
      <c r="G103" s="90"/>
      <c r="H103" s="91"/>
    </row>
    <row r="104" spans="1:14" s="37" customFormat="1" x14ac:dyDescent="0.25">
      <c r="A104" s="127" t="s">
        <v>201</v>
      </c>
      <c r="B104" s="128"/>
      <c r="C104" s="128"/>
      <c r="D104" s="128"/>
      <c r="E104" s="128"/>
      <c r="F104" s="128"/>
      <c r="G104" s="128"/>
      <c r="H104" s="129"/>
      <c r="J104" s="36"/>
    </row>
    <row r="105" spans="1:14" s="37" customFormat="1" ht="15.75" customHeight="1" x14ac:dyDescent="0.25">
      <c r="A105" s="92">
        <v>1</v>
      </c>
      <c r="B105" s="94"/>
      <c r="C105" s="42" t="s">
        <v>200</v>
      </c>
      <c r="D105" s="54">
        <f>(8.1)*(10.764)</f>
        <v>87.188399999999987</v>
      </c>
      <c r="E105" s="42">
        <v>0</v>
      </c>
      <c r="F105" s="42">
        <f>(D105+E105)*(($F$103)+1)</f>
        <v>130.78259999999997</v>
      </c>
      <c r="G105" s="96" t="str">
        <f>A104</f>
        <v>Ground/Stilt Floor For Commercial &amp; Parking</v>
      </c>
      <c r="H105" s="97"/>
      <c r="I105" s="36">
        <f>2.25*3.55</f>
        <v>7.9874999999999998</v>
      </c>
      <c r="L105" s="73"/>
      <c r="M105" s="73"/>
      <c r="N105" s="36"/>
    </row>
    <row r="106" spans="1:14" s="37" customFormat="1" ht="15.75" customHeight="1" x14ac:dyDescent="0.25">
      <c r="A106" s="92">
        <f t="shared" ref="A106:A109" si="0">A105+1</f>
        <v>2</v>
      </c>
      <c r="B106" s="94"/>
      <c r="C106" s="42" t="s">
        <v>200</v>
      </c>
      <c r="D106" s="54">
        <f>(15)*(10.764)</f>
        <v>161.45999999999998</v>
      </c>
      <c r="E106" s="42">
        <v>0</v>
      </c>
      <c r="F106" s="42">
        <f t="shared" ref="F106:F108" si="1">(D106+E106)*(($F$103)+1)</f>
        <v>242.18999999999997</v>
      </c>
      <c r="G106" s="98"/>
      <c r="H106" s="99"/>
      <c r="I106" s="36"/>
      <c r="L106" s="73"/>
      <c r="M106" s="73"/>
      <c r="N106" s="36"/>
    </row>
    <row r="107" spans="1:14" s="37" customFormat="1" ht="15.75" customHeight="1" x14ac:dyDescent="0.25">
      <c r="A107" s="92">
        <f t="shared" si="0"/>
        <v>3</v>
      </c>
      <c r="B107" s="94"/>
      <c r="C107" s="42" t="s">
        <v>200</v>
      </c>
      <c r="D107" s="54">
        <f>(9)*(10.764)</f>
        <v>96.875999999999991</v>
      </c>
      <c r="E107" s="42">
        <v>0</v>
      </c>
      <c r="F107" s="42">
        <f t="shared" si="1"/>
        <v>145.31399999999999</v>
      </c>
      <c r="G107" s="98"/>
      <c r="H107" s="99"/>
      <c r="I107" s="36">
        <f>2.65*3.35</f>
        <v>8.8774999999999995</v>
      </c>
      <c r="L107" s="73"/>
      <c r="M107" s="73"/>
      <c r="N107" s="36"/>
    </row>
    <row r="108" spans="1:14" s="37" customFormat="1" ht="15.75" customHeight="1" x14ac:dyDescent="0.25">
      <c r="A108" s="92">
        <f t="shared" si="0"/>
        <v>4</v>
      </c>
      <c r="B108" s="94"/>
      <c r="C108" s="42" t="s">
        <v>200</v>
      </c>
      <c r="D108" s="54">
        <f>(17.75)*(10.764)</f>
        <v>191.06099999999998</v>
      </c>
      <c r="E108" s="42">
        <v>0</v>
      </c>
      <c r="F108" s="42">
        <f t="shared" si="1"/>
        <v>286.5915</v>
      </c>
      <c r="G108" s="98"/>
      <c r="H108" s="99"/>
      <c r="I108" s="36"/>
      <c r="L108" s="73"/>
      <c r="M108" s="73"/>
      <c r="N108" s="36"/>
    </row>
    <row r="109" spans="1:14" s="37" customFormat="1" ht="15.75" customHeight="1" x14ac:dyDescent="0.25">
      <c r="A109" s="92">
        <f t="shared" si="0"/>
        <v>5</v>
      </c>
      <c r="B109" s="94"/>
      <c r="C109" s="42" t="s">
        <v>200</v>
      </c>
      <c r="D109" s="54">
        <f>(12.05)*(10.764)</f>
        <v>129.7062</v>
      </c>
      <c r="E109" s="42">
        <v>0</v>
      </c>
      <c r="F109" s="42">
        <f t="shared" ref="F109" si="2">(D109+E109)*(($F$103)+1)</f>
        <v>194.55930000000001</v>
      </c>
      <c r="G109" s="100"/>
      <c r="H109" s="101"/>
      <c r="I109" s="54">
        <f>10.764</f>
        <v>10.763999999999999</v>
      </c>
      <c r="L109" s="73"/>
      <c r="M109" s="73"/>
      <c r="N109" s="36"/>
    </row>
    <row r="110" spans="1:14" s="37" customFormat="1" x14ac:dyDescent="0.25">
      <c r="A110" s="92"/>
      <c r="B110" s="93"/>
      <c r="C110" s="93"/>
      <c r="D110" s="93"/>
      <c r="E110" s="93"/>
      <c r="F110" s="93"/>
      <c r="G110" s="93"/>
      <c r="H110" s="94"/>
      <c r="I110" s="36"/>
      <c r="N110" s="36"/>
    </row>
    <row r="111" spans="1:14" ht="47.25" customHeight="1" x14ac:dyDescent="0.25">
      <c r="A111" s="88" t="s">
        <v>126</v>
      </c>
      <c r="B111" s="88" t="s">
        <v>127</v>
      </c>
      <c r="C111" s="110" t="s">
        <v>59</v>
      </c>
      <c r="D111" s="110" t="s">
        <v>60</v>
      </c>
      <c r="E111" s="124" t="s">
        <v>61</v>
      </c>
      <c r="F111" s="43" t="s">
        <v>156</v>
      </c>
      <c r="G111" s="88" t="s">
        <v>62</v>
      </c>
      <c r="H111" s="89"/>
      <c r="I111" s="36"/>
    </row>
    <row r="112" spans="1:14" s="37" customFormat="1" x14ac:dyDescent="0.25">
      <c r="A112" s="90"/>
      <c r="B112" s="90"/>
      <c r="C112" s="111"/>
      <c r="D112" s="111"/>
      <c r="E112" s="125"/>
      <c r="F112" s="13">
        <v>0.45</v>
      </c>
      <c r="G112" s="90"/>
      <c r="H112" s="91"/>
      <c r="I112" s="36"/>
    </row>
    <row r="113" spans="1:14" s="37" customFormat="1" x14ac:dyDescent="0.25">
      <c r="A113" s="126" t="s">
        <v>205</v>
      </c>
      <c r="B113" s="126"/>
      <c r="C113" s="126"/>
      <c r="D113" s="126"/>
      <c r="E113" s="126"/>
      <c r="F113" s="126"/>
      <c r="G113" s="126"/>
      <c r="H113" s="126"/>
      <c r="I113" s="36"/>
      <c r="J113" s="36"/>
      <c r="K113" s="37">
        <v>360</v>
      </c>
      <c r="L113" s="55">
        <f>K113/D114</f>
        <v>1.431100387398875</v>
      </c>
      <c r="M113" s="55"/>
      <c r="N113" s="36"/>
    </row>
    <row r="114" spans="1:14" s="37" customFormat="1" ht="15.75" customHeight="1" x14ac:dyDescent="0.25">
      <c r="A114" s="74">
        <v>1</v>
      </c>
      <c r="B114" s="74"/>
      <c r="C114" s="42" t="s">
        <v>203</v>
      </c>
      <c r="D114" s="54">
        <f>(18.37+5)*(10.764)</f>
        <v>251.55467999999999</v>
      </c>
      <c r="E114" s="42">
        <v>0</v>
      </c>
      <c r="F114" s="42">
        <f t="shared" ref="F114:F115" si="3">D114*(($F$112)+1)+(IF(E114&lt;101,E114,IF(E114&lt;201,E114/2,IF(E114&lt;=301,E114/3,E114/4))))</f>
        <v>364.75428599999998</v>
      </c>
      <c r="G114" s="96" t="str">
        <f>A113</f>
        <v>1st Floor For Residential</v>
      </c>
      <c r="H114" s="97"/>
      <c r="I114" s="36">
        <f>2.7*3.4+2*1.2+2*1.75+2*1+1*2.7+1*2</f>
        <v>21.779999999999998</v>
      </c>
      <c r="J114" s="56">
        <f>18.37+5</f>
        <v>23.37</v>
      </c>
      <c r="K114" s="37">
        <v>585</v>
      </c>
      <c r="L114" s="55">
        <f t="shared" ref="L114:L119" si="4">K114/D115</f>
        <v>1.3386988382771483</v>
      </c>
      <c r="M114" s="55"/>
      <c r="N114" s="36"/>
    </row>
    <row r="115" spans="1:14" s="37" customFormat="1" ht="15.75" customHeight="1" x14ac:dyDescent="0.25">
      <c r="A115" s="74">
        <f t="shared" ref="A115:A120" si="5">A114+1</f>
        <v>2</v>
      </c>
      <c r="B115" s="74"/>
      <c r="C115" s="42" t="s">
        <v>204</v>
      </c>
      <c r="D115" s="54">
        <f>(31.01+6.1+0.75*(2.25+2.4))*(10.764)</f>
        <v>436.99148999999994</v>
      </c>
      <c r="E115" s="42">
        <v>0</v>
      </c>
      <c r="F115" s="42">
        <f t="shared" si="3"/>
        <v>633.63766049999992</v>
      </c>
      <c r="G115" s="98"/>
      <c r="H115" s="99"/>
      <c r="I115" s="36">
        <f>3.65*2.9+2.25*2.3+1.2*2.1+0.9*1.2+2.4*2.75+1*2+1.3*1+1*(2.9+2.75)</f>
        <v>34.910000000000004</v>
      </c>
      <c r="J115" s="36"/>
      <c r="K115" s="37">
        <v>585</v>
      </c>
      <c r="L115" s="55">
        <f t="shared" si="4"/>
        <v>1.3967572882795303</v>
      </c>
      <c r="M115" s="55"/>
      <c r="N115" s="36"/>
    </row>
    <row r="116" spans="1:14" s="37" customFormat="1" ht="15.75" customHeight="1" x14ac:dyDescent="0.25">
      <c r="A116" s="74">
        <f t="shared" si="5"/>
        <v>3</v>
      </c>
      <c r="B116" s="74"/>
      <c r="C116" s="42" t="s">
        <v>204</v>
      </c>
      <c r="D116" s="54">
        <f>(31.01+6.1+0.75*2.4)*(10.764)</f>
        <v>418.82723999999996</v>
      </c>
      <c r="E116" s="54">
        <f>(2.25*3.75)*(10.764)</f>
        <v>90.821249999999992</v>
      </c>
      <c r="F116" s="42">
        <f>D116*(($F$112)+1)+(IF(E116&lt;101,E116,IF(E116&lt;201,E116/2,IF(E116&lt;=301,E116/3,E116/4))))</f>
        <v>698.12074799999994</v>
      </c>
      <c r="G116" s="98"/>
      <c r="H116" s="99"/>
      <c r="I116" s="36"/>
      <c r="J116" s="36"/>
      <c r="K116" s="37">
        <v>690</v>
      </c>
      <c r="L116" s="55">
        <f t="shared" si="4"/>
        <v>1.4474188902639369</v>
      </c>
      <c r="M116" s="55"/>
      <c r="N116" s="36"/>
    </row>
    <row r="117" spans="1:14" s="37" customFormat="1" ht="15.75" customHeight="1" x14ac:dyDescent="0.25">
      <c r="A117" s="74">
        <f t="shared" si="5"/>
        <v>4</v>
      </c>
      <c r="B117" s="74"/>
      <c r="C117" s="42" t="s">
        <v>204</v>
      </c>
      <c r="D117" s="54">
        <f>(38.75+2.95+0.75*3.45)*(10.764)</f>
        <v>476.71064999999999</v>
      </c>
      <c r="E117" s="54">
        <v>0</v>
      </c>
      <c r="F117" s="42">
        <f>D117*(($F$112)+1)+(IF(E117&lt;101,E117,IF(E117&lt;201,E117/2,IF(E117&lt;=301,E117/3,E117/4))))</f>
        <v>691.23044249999998</v>
      </c>
      <c r="G117" s="98"/>
      <c r="H117" s="99"/>
      <c r="I117" s="36">
        <f>3.45*4.3+2.65*1.45+3.45*2.85+1.35*2.3+1.2*2.3+0.5*1.3+2.3*1+1*2.65</f>
        <v>39.975000000000001</v>
      </c>
      <c r="J117" s="36"/>
      <c r="K117" s="37">
        <v>585</v>
      </c>
      <c r="L117" s="55">
        <f t="shared" si="4"/>
        <v>1.3967572882795303</v>
      </c>
      <c r="M117" s="55"/>
      <c r="N117" s="36"/>
    </row>
    <row r="118" spans="1:14" s="37" customFormat="1" ht="15.75" customHeight="1" x14ac:dyDescent="0.25">
      <c r="A118" s="74">
        <f t="shared" si="5"/>
        <v>5</v>
      </c>
      <c r="B118" s="74"/>
      <c r="C118" s="42" t="s">
        <v>204</v>
      </c>
      <c r="D118" s="54">
        <f>(31.01+6.1+0.75*2.4)*(10.764)</f>
        <v>418.82723999999996</v>
      </c>
      <c r="E118" s="54">
        <f>(2.25*3.75)*(10.764)</f>
        <v>90.821249999999992</v>
      </c>
      <c r="F118" s="42">
        <f>D118*(($F$112)+1)+(IF(E118&lt;101,E118,IF(E118&lt;201,E118/2,IF(E118&lt;=301,E118/3,E118/4))))</f>
        <v>698.12074799999994</v>
      </c>
      <c r="G118" s="98"/>
      <c r="H118" s="99"/>
      <c r="I118" s="36"/>
      <c r="J118" s="36"/>
      <c r="K118" s="37">
        <v>585</v>
      </c>
      <c r="L118" s="55">
        <f t="shared" si="4"/>
        <v>1.3386988382771483</v>
      </c>
      <c r="M118" s="55"/>
      <c r="N118" s="36"/>
    </row>
    <row r="119" spans="1:14" s="37" customFormat="1" ht="15.75" customHeight="1" x14ac:dyDescent="0.25">
      <c r="A119" s="74">
        <f t="shared" si="5"/>
        <v>6</v>
      </c>
      <c r="B119" s="74"/>
      <c r="C119" s="42" t="s">
        <v>204</v>
      </c>
      <c r="D119" s="54">
        <f>(31.01+6.1+0.75*(2.25+2.4))*(10.764)</f>
        <v>436.99148999999994</v>
      </c>
      <c r="E119" s="42">
        <v>0</v>
      </c>
      <c r="F119" s="42">
        <f>D119*(($F$112)+1)+(IF(E119&lt;101,E119,IF(E119&lt;201,E119/2,IF(E119&lt;=301,E119/3,E119/4))))</f>
        <v>633.63766049999992</v>
      </c>
      <c r="G119" s="98"/>
      <c r="H119" s="99"/>
      <c r="I119" s="36"/>
      <c r="J119" s="36"/>
      <c r="K119" s="37">
        <v>360</v>
      </c>
      <c r="L119" s="55">
        <f t="shared" si="4"/>
        <v>1.431100387398875</v>
      </c>
      <c r="M119" s="55"/>
      <c r="N119" s="36"/>
    </row>
    <row r="120" spans="1:14" s="37" customFormat="1" ht="15.75" customHeight="1" x14ac:dyDescent="0.25">
      <c r="A120" s="74">
        <f t="shared" si="5"/>
        <v>7</v>
      </c>
      <c r="B120" s="74"/>
      <c r="C120" s="42" t="s">
        <v>203</v>
      </c>
      <c r="D120" s="54">
        <f>(18.37+5)*(10.764)</f>
        <v>251.55467999999999</v>
      </c>
      <c r="E120" s="42">
        <v>0</v>
      </c>
      <c r="F120" s="42">
        <f>D120*(($F$112)+1)+(IF(E120&lt;101,E120,IF(E120&lt;201,E120/2,IF(E120&lt;=301,E120/3,E120/4))))</f>
        <v>364.75428599999998</v>
      </c>
      <c r="G120" s="100"/>
      <c r="H120" s="101"/>
      <c r="I120" s="36"/>
      <c r="N120" s="36"/>
    </row>
    <row r="121" spans="1:14" s="37" customFormat="1" x14ac:dyDescent="0.25">
      <c r="A121" s="126" t="s">
        <v>206</v>
      </c>
      <c r="B121" s="126"/>
      <c r="C121" s="126"/>
      <c r="D121" s="126"/>
      <c r="E121" s="126"/>
      <c r="F121" s="126"/>
      <c r="G121" s="126"/>
      <c r="H121" s="126"/>
      <c r="L121" s="73"/>
      <c r="M121" s="73"/>
    </row>
    <row r="122" spans="1:14" s="37" customFormat="1" ht="15.75" customHeight="1" x14ac:dyDescent="0.25">
      <c r="A122" s="74">
        <v>1</v>
      </c>
      <c r="B122" s="74"/>
      <c r="C122" s="42" t="s">
        <v>203</v>
      </c>
      <c r="D122" s="54">
        <f>(18.37+5)*(10.764)</f>
        <v>251.55467999999999</v>
      </c>
      <c r="E122" s="42">
        <v>0</v>
      </c>
      <c r="F122" s="42">
        <f t="shared" ref="F122:F123" si="6">D122*(($F$112)+1)+(IF(E122&lt;101,E122,IF(E122&lt;201,E122/2,IF(E122&lt;=301,E122/3,E122/4))))</f>
        <v>364.75428599999998</v>
      </c>
      <c r="G122" s="96" t="str">
        <f>A121</f>
        <v>2nd, 3rd &amp; 4th Floor For Residential</v>
      </c>
      <c r="H122" s="97"/>
      <c r="I122" s="36"/>
      <c r="J122" s="36"/>
      <c r="K122" s="37">
        <v>360</v>
      </c>
      <c r="L122" s="37">
        <f>K122/D122</f>
        <v>1.431100387398875</v>
      </c>
      <c r="M122" s="37">
        <f>1000000/F122</f>
        <v>2741.571623369492</v>
      </c>
      <c r="N122" s="36"/>
    </row>
    <row r="123" spans="1:14" s="37" customFormat="1" ht="15.75" customHeight="1" x14ac:dyDescent="0.25">
      <c r="A123" s="74">
        <f t="shared" ref="A123:A128" si="7">A122+1</f>
        <v>2</v>
      </c>
      <c r="B123" s="74"/>
      <c r="C123" s="42" t="s">
        <v>204</v>
      </c>
      <c r="D123" s="54">
        <f>(31.01+6.1+0.75*(2.25+2.4))*(10.764)</f>
        <v>436.99148999999994</v>
      </c>
      <c r="E123" s="42">
        <v>0</v>
      </c>
      <c r="F123" s="42">
        <f t="shared" si="6"/>
        <v>633.63766049999992</v>
      </c>
      <c r="G123" s="98"/>
      <c r="H123" s="99"/>
      <c r="I123" s="36"/>
      <c r="K123" s="37">
        <v>585</v>
      </c>
      <c r="L123" s="37">
        <f t="shared" ref="L123:L128" si="8">K123/D123</f>
        <v>1.3386988382771483</v>
      </c>
      <c r="M123" s="37">
        <f>1800000/F123</f>
        <v>2840.7402403759115</v>
      </c>
      <c r="N123" s="36"/>
    </row>
    <row r="124" spans="1:14" s="37" customFormat="1" ht="15.75" customHeight="1" x14ac:dyDescent="0.25">
      <c r="A124" s="74">
        <f t="shared" si="7"/>
        <v>3</v>
      </c>
      <c r="B124" s="74"/>
      <c r="C124" s="42" t="s">
        <v>204</v>
      </c>
      <c r="D124" s="54">
        <f>(31.01+6.1+0.75*(2.25+2.4))*(10.764)</f>
        <v>436.99148999999994</v>
      </c>
      <c r="E124" s="42">
        <v>0</v>
      </c>
      <c r="F124" s="42">
        <f>D124*(($F$112)+1)+(IF(E124&lt;101,E124,IF(E124&lt;201,E124/2,IF(E124&lt;=301,E124/3,E124/4))))</f>
        <v>633.63766049999992</v>
      </c>
      <c r="G124" s="98"/>
      <c r="H124" s="99"/>
      <c r="I124" s="36" t="s">
        <v>207</v>
      </c>
      <c r="K124" s="37">
        <v>585</v>
      </c>
      <c r="L124" s="37">
        <f t="shared" si="8"/>
        <v>1.3386988382771483</v>
      </c>
      <c r="N124" s="36"/>
    </row>
    <row r="125" spans="1:14" s="37" customFormat="1" ht="15.75" customHeight="1" x14ac:dyDescent="0.25">
      <c r="A125" s="74">
        <f t="shared" si="7"/>
        <v>4</v>
      </c>
      <c r="B125" s="74"/>
      <c r="C125" s="42" t="s">
        <v>204</v>
      </c>
      <c r="D125" s="54">
        <f>(38.75+2.95+0.75*3.45)*(10.764)</f>
        <v>476.71064999999999</v>
      </c>
      <c r="E125" s="42">
        <v>0</v>
      </c>
      <c r="F125" s="42">
        <f>D125*(($F$112)+1)+(IF(E125&lt;101,E125,IF(E125&lt;201,E125/2,IF(E125&lt;=301,E125/3,E125/4))))</f>
        <v>691.23044249999998</v>
      </c>
      <c r="G125" s="98"/>
      <c r="H125" s="99"/>
      <c r="I125" s="36"/>
      <c r="K125" s="37">
        <v>690</v>
      </c>
      <c r="L125" s="37">
        <f t="shared" si="8"/>
        <v>1.4474188902639369</v>
      </c>
      <c r="N125" s="36"/>
    </row>
    <row r="126" spans="1:14" s="37" customFormat="1" ht="15.75" customHeight="1" x14ac:dyDescent="0.25">
      <c r="A126" s="74">
        <f t="shared" si="7"/>
        <v>5</v>
      </c>
      <c r="B126" s="74"/>
      <c r="C126" s="42" t="s">
        <v>204</v>
      </c>
      <c r="D126" s="54">
        <f>(31.01+6.1+0.75*(2.25+2.4))*(10.764)</f>
        <v>436.99148999999994</v>
      </c>
      <c r="E126" s="42">
        <v>0</v>
      </c>
      <c r="F126" s="42">
        <f>D126*(($F$112)+1)+(IF(E126&lt;101,E126,IF(E126&lt;201,E126/2,IF(E126&lt;=301,E126/3,E126/4))))</f>
        <v>633.63766049999992</v>
      </c>
      <c r="G126" s="98"/>
      <c r="H126" s="99"/>
      <c r="I126" s="36"/>
      <c r="K126" s="37">
        <v>585</v>
      </c>
      <c r="L126" s="37">
        <f t="shared" si="8"/>
        <v>1.3386988382771483</v>
      </c>
      <c r="N126" s="36"/>
    </row>
    <row r="127" spans="1:14" s="37" customFormat="1" ht="15.75" customHeight="1" x14ac:dyDescent="0.25">
      <c r="A127" s="74">
        <f t="shared" si="7"/>
        <v>6</v>
      </c>
      <c r="B127" s="74"/>
      <c r="C127" s="42" t="s">
        <v>204</v>
      </c>
      <c r="D127" s="54">
        <f>(31.01+6.1+0.75*(2.25+2.4))*(10.764)</f>
        <v>436.99148999999994</v>
      </c>
      <c r="E127" s="42">
        <v>0</v>
      </c>
      <c r="F127" s="42">
        <f>D127*(($F$112)+1)+(IF(E127&lt;101,E127,IF(E127&lt;201,E127/2,IF(E127&lt;=301,E127/3,E127/4))))</f>
        <v>633.63766049999992</v>
      </c>
      <c r="G127" s="98"/>
      <c r="H127" s="99"/>
      <c r="I127" s="36"/>
      <c r="K127" s="37">
        <v>585</v>
      </c>
      <c r="L127" s="37">
        <f t="shared" si="8"/>
        <v>1.3386988382771483</v>
      </c>
      <c r="N127" s="36"/>
    </row>
    <row r="128" spans="1:14" s="37" customFormat="1" ht="15.75" customHeight="1" x14ac:dyDescent="0.25">
      <c r="A128" s="74">
        <f t="shared" si="7"/>
        <v>7</v>
      </c>
      <c r="B128" s="74"/>
      <c r="C128" s="42" t="s">
        <v>203</v>
      </c>
      <c r="D128" s="54">
        <f>(18.37+5)*(10.764)</f>
        <v>251.55467999999999</v>
      </c>
      <c r="E128" s="42">
        <v>0</v>
      </c>
      <c r="F128" s="42">
        <f>D128*(($F$112)+1)+(IF(E128&lt;101,E128,IF(E128&lt;201,E128/2,IF(E128&lt;=301,E128/3,E128/4))))</f>
        <v>364.75428599999998</v>
      </c>
      <c r="G128" s="100"/>
      <c r="H128" s="101"/>
      <c r="I128" s="36"/>
      <c r="K128" s="37">
        <v>360</v>
      </c>
      <c r="L128" s="37">
        <f t="shared" si="8"/>
        <v>1.431100387398875</v>
      </c>
      <c r="N128" s="36"/>
    </row>
    <row r="129" spans="1:14" s="37" customFormat="1" x14ac:dyDescent="0.25">
      <c r="A129" s="126" t="s">
        <v>210</v>
      </c>
      <c r="B129" s="126"/>
      <c r="C129" s="126"/>
      <c r="D129" s="126"/>
      <c r="E129" s="126"/>
      <c r="F129" s="126"/>
      <c r="G129" s="126"/>
      <c r="H129" s="126"/>
      <c r="L129" s="73"/>
      <c r="M129" s="73"/>
    </row>
    <row r="130" spans="1:14" s="37" customFormat="1" ht="15.75" customHeight="1" x14ac:dyDescent="0.25">
      <c r="A130" s="183">
        <v>1</v>
      </c>
      <c r="B130" s="183"/>
      <c r="C130" s="184" t="s">
        <v>203</v>
      </c>
      <c r="D130" s="185">
        <f>(18.37+5)*(10.764)</f>
        <v>251.55467999999999</v>
      </c>
      <c r="E130" s="184">
        <v>0</v>
      </c>
      <c r="F130" s="184">
        <f t="shared" ref="F130:F131" si="9">D130*(($F$112)+1)+(IF(E130&lt;101,E130,IF(E130&lt;201,E130/2,IF(E130&lt;=301,E130/3,E130/4))))</f>
        <v>364.75428599999998</v>
      </c>
      <c r="G130" s="186" t="str">
        <f>A129</f>
        <v>5th Floor For Residential</v>
      </c>
      <c r="H130" s="187"/>
      <c r="I130" s="36"/>
      <c r="J130" s="36"/>
      <c r="N130" s="36"/>
    </row>
    <row r="131" spans="1:14" s="37" customFormat="1" ht="15.75" customHeight="1" x14ac:dyDescent="0.25">
      <c r="A131" s="183">
        <f t="shared" ref="A131:A136" si="10">A130+1</f>
        <v>2</v>
      </c>
      <c r="B131" s="183"/>
      <c r="C131" s="184" t="s">
        <v>204</v>
      </c>
      <c r="D131" s="185">
        <f>(31.01+6.1+0.75*(2.25+2.4))*(10.764)</f>
        <v>436.99148999999994</v>
      </c>
      <c r="E131" s="184">
        <v>0</v>
      </c>
      <c r="F131" s="184">
        <f t="shared" si="9"/>
        <v>633.63766049999992</v>
      </c>
      <c r="G131" s="188"/>
      <c r="H131" s="189"/>
      <c r="I131" s="36"/>
      <c r="N131" s="36"/>
    </row>
    <row r="132" spans="1:14" s="37" customFormat="1" ht="15.75" customHeight="1" x14ac:dyDescent="0.25">
      <c r="A132" s="183">
        <f t="shared" si="10"/>
        <v>3</v>
      </c>
      <c r="B132" s="183"/>
      <c r="C132" s="184" t="s">
        <v>204</v>
      </c>
      <c r="D132" s="185">
        <f>(31.01+6.1+0.75*(2.25+2.4))*(10.764)</f>
        <v>436.99148999999994</v>
      </c>
      <c r="E132" s="184">
        <v>0</v>
      </c>
      <c r="F132" s="184">
        <f>D132*(($F$112)+1)+(IF(E132&lt;101,E132,IF(E132&lt;201,E132/2,IF(E132&lt;=301,E132/3,E132/4))))</f>
        <v>633.63766049999992</v>
      </c>
      <c r="G132" s="188"/>
      <c r="H132" s="189"/>
      <c r="I132" s="36"/>
      <c r="N132" s="36"/>
    </row>
    <row r="133" spans="1:14" s="37" customFormat="1" ht="15.75" customHeight="1" x14ac:dyDescent="0.25">
      <c r="A133" s="183">
        <f t="shared" si="10"/>
        <v>4</v>
      </c>
      <c r="B133" s="183"/>
      <c r="C133" s="184" t="s">
        <v>204</v>
      </c>
      <c r="D133" s="185">
        <f>(38.75+2.95+0.75*3.45)*(10.764)</f>
        <v>476.71064999999999</v>
      </c>
      <c r="E133" s="184">
        <v>0</v>
      </c>
      <c r="F133" s="184">
        <f>D133*(($F$112)+1)+(IF(E133&lt;101,E133,IF(E133&lt;201,E133/2,IF(E133&lt;=301,E133/3,E133/4))))</f>
        <v>691.23044249999998</v>
      </c>
      <c r="G133" s="188"/>
      <c r="H133" s="189"/>
      <c r="I133" s="36"/>
      <c r="N133" s="36"/>
    </row>
    <row r="134" spans="1:14" s="37" customFormat="1" ht="15.75" customHeight="1" x14ac:dyDescent="0.25">
      <c r="A134" s="183">
        <f t="shared" si="10"/>
        <v>5</v>
      </c>
      <c r="B134" s="183"/>
      <c r="C134" s="184" t="s">
        <v>204</v>
      </c>
      <c r="D134" s="185">
        <f>(31.01+6.1+0.75*(2.25+2.4))*(10.764)</f>
        <v>436.99148999999994</v>
      </c>
      <c r="E134" s="184">
        <v>0</v>
      </c>
      <c r="F134" s="184">
        <f>D134*(($F$112)+1)+(IF(E134&lt;101,E134,IF(E134&lt;201,E134/2,IF(E134&lt;=301,E134/3,E134/4))))</f>
        <v>633.63766049999992</v>
      </c>
      <c r="G134" s="188"/>
      <c r="H134" s="189"/>
      <c r="I134" s="36"/>
      <c r="N134" s="36"/>
    </row>
    <row r="135" spans="1:14" s="37" customFormat="1" ht="15.75" customHeight="1" x14ac:dyDescent="0.25">
      <c r="A135" s="183">
        <f t="shared" si="10"/>
        <v>6</v>
      </c>
      <c r="B135" s="183"/>
      <c r="C135" s="184" t="s">
        <v>204</v>
      </c>
      <c r="D135" s="185">
        <f>(31.01+6.1+0.75*(2.25+2.4))*(10.764)</f>
        <v>436.99148999999994</v>
      </c>
      <c r="E135" s="184">
        <v>0</v>
      </c>
      <c r="F135" s="184">
        <f>D135*(($F$112)+1)+(IF(E135&lt;101,E135,IF(E135&lt;201,E135/2,IF(E135&lt;=301,E135/3,E135/4))))</f>
        <v>633.63766049999992</v>
      </c>
      <c r="G135" s="188"/>
      <c r="H135" s="189"/>
      <c r="I135" s="36"/>
      <c r="N135" s="36"/>
    </row>
    <row r="136" spans="1:14" s="37" customFormat="1" ht="15.75" customHeight="1" x14ac:dyDescent="0.25">
      <c r="A136" s="183">
        <f t="shared" si="10"/>
        <v>7</v>
      </c>
      <c r="B136" s="183"/>
      <c r="C136" s="184" t="s">
        <v>203</v>
      </c>
      <c r="D136" s="185">
        <f>(18.37+5)*(10.764)</f>
        <v>251.55467999999999</v>
      </c>
      <c r="E136" s="184">
        <v>0</v>
      </c>
      <c r="F136" s="184">
        <f>D136*(($F$112)+1)+(IF(E136&lt;101,E136,IF(E136&lt;201,E136/2,IF(E136&lt;=301,E136/3,E136/4))))</f>
        <v>364.75428599999998</v>
      </c>
      <c r="G136" s="190"/>
      <c r="H136" s="191"/>
      <c r="I136" s="36"/>
      <c r="N136" s="36"/>
    </row>
    <row r="137" spans="1:14" s="35" customFormat="1" x14ac:dyDescent="0.25">
      <c r="A137" s="192" t="s">
        <v>70</v>
      </c>
      <c r="B137" s="192"/>
      <c r="C137" s="192"/>
      <c r="D137" s="192"/>
      <c r="E137" s="192"/>
      <c r="F137" s="192"/>
      <c r="G137" s="192"/>
      <c r="H137" s="192"/>
    </row>
    <row r="138" spans="1:14" s="35" customFormat="1" x14ac:dyDescent="0.25">
      <c r="A138" s="193" t="s">
        <v>159</v>
      </c>
      <c r="B138" s="61" t="s">
        <v>220</v>
      </c>
      <c r="C138" s="62"/>
      <c r="D138" s="62"/>
      <c r="E138" s="62"/>
      <c r="F138" s="62"/>
      <c r="G138" s="62"/>
      <c r="H138" s="63"/>
    </row>
    <row r="139" spans="1:14" s="35" customFormat="1" x14ac:dyDescent="0.25">
      <c r="A139" s="193" t="s">
        <v>159</v>
      </c>
      <c r="B139" s="61" t="str">
        <f>(IF(F111="Saleable area Loading :","We have considered Saleable area of Flats as per our Calculation.","We considered Saleable area of Flat as per Builder area Sheet."))</f>
        <v>We have considered Saleable area of Flats as per our Calculation.</v>
      </c>
      <c r="C139" s="62"/>
      <c r="D139" s="62"/>
      <c r="E139" s="62"/>
      <c r="F139" s="62"/>
      <c r="G139" s="62"/>
      <c r="H139" s="63"/>
    </row>
    <row r="140" spans="1:14" s="35" customFormat="1" x14ac:dyDescent="0.25">
      <c r="A140" s="193" t="s">
        <v>159</v>
      </c>
      <c r="B140" s="61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0" s="62"/>
      <c r="D140" s="62"/>
      <c r="E140" s="62"/>
      <c r="F140" s="62"/>
      <c r="G140" s="62"/>
      <c r="H140" s="63"/>
    </row>
    <row r="141" spans="1:14" s="35" customFormat="1" x14ac:dyDescent="0.25">
      <c r="A141" s="193" t="s">
        <v>159</v>
      </c>
      <c r="B141" s="61" t="s">
        <v>130</v>
      </c>
      <c r="C141" s="62"/>
      <c r="D141" s="62"/>
      <c r="E141" s="62"/>
      <c r="F141" s="62"/>
      <c r="G141" s="62"/>
      <c r="H141" s="63"/>
    </row>
    <row r="142" spans="1:14" s="35" customFormat="1" x14ac:dyDescent="0.25">
      <c r="A142" s="47" t="s">
        <v>159</v>
      </c>
      <c r="B142" s="80" t="s">
        <v>202</v>
      </c>
      <c r="C142" s="81"/>
      <c r="D142" s="81"/>
      <c r="E142" s="81"/>
      <c r="F142" s="81"/>
      <c r="G142" s="81"/>
      <c r="H142" s="82"/>
    </row>
    <row r="143" spans="1:14" s="35" customFormat="1" x14ac:dyDescent="0.25">
      <c r="A143" s="47" t="s">
        <v>159</v>
      </c>
      <c r="B143" s="80" t="s">
        <v>158</v>
      </c>
      <c r="C143" s="81"/>
      <c r="D143" s="81"/>
      <c r="E143" s="81"/>
      <c r="F143" s="81"/>
      <c r="G143" s="81"/>
      <c r="H143" s="82"/>
    </row>
    <row r="144" spans="1:14" s="35" customFormat="1" x14ac:dyDescent="0.25">
      <c r="A144" s="47" t="s">
        <v>159</v>
      </c>
      <c r="B144" s="80" t="s">
        <v>131</v>
      </c>
      <c r="C144" s="81"/>
      <c r="D144" s="81"/>
      <c r="E144" s="81"/>
      <c r="F144" s="81"/>
      <c r="G144" s="81"/>
      <c r="H144" s="82"/>
    </row>
    <row r="145" spans="1:8" s="35" customFormat="1" ht="34.5" customHeight="1" x14ac:dyDescent="0.25">
      <c r="A145" s="47" t="s">
        <v>159</v>
      </c>
      <c r="B145" s="80" t="s">
        <v>160</v>
      </c>
      <c r="C145" s="81"/>
      <c r="D145" s="81"/>
      <c r="E145" s="81"/>
      <c r="F145" s="81"/>
      <c r="G145" s="81"/>
      <c r="H145" s="82"/>
    </row>
    <row r="146" spans="1:8" s="35" customFormat="1" x14ac:dyDescent="0.25">
      <c r="A146" s="47" t="s">
        <v>159</v>
      </c>
      <c r="B146" s="80" t="s">
        <v>132</v>
      </c>
      <c r="C146" s="81"/>
      <c r="D146" s="81"/>
      <c r="E146" s="81"/>
      <c r="F146" s="81"/>
      <c r="G146" s="81"/>
      <c r="H146" s="82"/>
    </row>
    <row r="147" spans="1:8" s="35" customFormat="1" x14ac:dyDescent="0.25">
      <c r="A147" s="47" t="s">
        <v>159</v>
      </c>
      <c r="B147" s="80" t="s">
        <v>212</v>
      </c>
      <c r="C147" s="81"/>
      <c r="D147" s="81"/>
      <c r="E147" s="81"/>
      <c r="F147" s="81"/>
      <c r="G147" s="81"/>
      <c r="H147" s="82"/>
    </row>
    <row r="148" spans="1:8" ht="32.25" customHeight="1" x14ac:dyDescent="0.25">
      <c r="A148" s="57" t="s">
        <v>159</v>
      </c>
      <c r="B148" s="58" t="s">
        <v>218</v>
      </c>
      <c r="C148" s="59"/>
      <c r="D148" s="59"/>
      <c r="E148" s="59"/>
      <c r="F148" s="59"/>
      <c r="G148" s="59"/>
      <c r="H148" s="60"/>
    </row>
    <row r="149" spans="1:8" ht="50.25" customHeight="1" x14ac:dyDescent="0.25">
      <c r="A149" s="57" t="s">
        <v>159</v>
      </c>
      <c r="B149" s="61" t="s">
        <v>219</v>
      </c>
      <c r="C149" s="62"/>
      <c r="D149" s="62"/>
      <c r="E149" s="62"/>
      <c r="F149" s="62"/>
      <c r="G149" s="62"/>
      <c r="H149" s="63"/>
    </row>
    <row r="150" spans="1:8" ht="15.75" customHeight="1" x14ac:dyDescent="0.25">
      <c r="A150" s="108" t="s">
        <v>63</v>
      </c>
      <c r="B150" s="108"/>
      <c r="C150" s="108"/>
      <c r="D150" s="108"/>
      <c r="E150" s="108"/>
      <c r="F150" s="108"/>
      <c r="G150" s="108"/>
      <c r="H150" s="108"/>
    </row>
    <row r="151" spans="1:8" x14ac:dyDescent="0.25">
      <c r="A151" s="78" t="s">
        <v>64</v>
      </c>
      <c r="B151" s="78"/>
      <c r="C151" s="78"/>
      <c r="D151" s="78"/>
      <c r="E151" s="78"/>
      <c r="F151" s="78"/>
      <c r="G151" s="78"/>
      <c r="H151" s="78"/>
    </row>
    <row r="152" spans="1:8" x14ac:dyDescent="0.25">
      <c r="A152" s="136" t="s">
        <v>65</v>
      </c>
      <c r="B152" s="136"/>
      <c r="C152" s="136"/>
      <c r="D152" s="136"/>
      <c r="E152" s="136"/>
      <c r="F152" s="136"/>
      <c r="G152" s="136"/>
      <c r="H152" s="136"/>
    </row>
    <row r="153" spans="1:8" hidden="1" x14ac:dyDescent="0.25">
      <c r="A153" s="78" t="s">
        <v>66</v>
      </c>
      <c r="B153" s="78"/>
      <c r="C153" s="78"/>
      <c r="D153" s="78"/>
      <c r="E153" s="78"/>
      <c r="F153" s="78"/>
      <c r="G153" s="78"/>
      <c r="H153" s="78"/>
    </row>
    <row r="154" spans="1:8" ht="32.25" hidden="1" customHeight="1" x14ac:dyDescent="0.25">
      <c r="A154" s="78" t="s">
        <v>67</v>
      </c>
      <c r="B154" s="78"/>
      <c r="C154" s="78"/>
      <c r="D154" s="78"/>
      <c r="E154" s="78"/>
      <c r="F154" s="78"/>
      <c r="G154" s="78"/>
      <c r="H154" s="78"/>
    </row>
    <row r="155" spans="1:8" x14ac:dyDescent="0.25">
      <c r="A155" s="78" t="s">
        <v>133</v>
      </c>
      <c r="B155" s="78"/>
      <c r="C155" s="78"/>
      <c r="D155" s="78"/>
      <c r="E155" s="78"/>
      <c r="F155" s="78"/>
      <c r="G155" s="78"/>
      <c r="H155" s="78"/>
    </row>
    <row r="156" spans="1:8" x14ac:dyDescent="0.25">
      <c r="A156" s="135" t="s">
        <v>134</v>
      </c>
      <c r="B156" s="135"/>
      <c r="C156" s="135"/>
      <c r="D156" s="135"/>
      <c r="E156" s="135"/>
      <c r="F156" s="135"/>
      <c r="G156" s="135"/>
      <c r="H156" s="135"/>
    </row>
    <row r="157" spans="1:8" x14ac:dyDescent="0.25">
      <c r="A157" s="134" t="s">
        <v>80</v>
      </c>
      <c r="B157" s="134"/>
      <c r="C157" s="134" t="s">
        <v>216</v>
      </c>
      <c r="D157" s="134"/>
      <c r="E157" s="134" t="s">
        <v>111</v>
      </c>
      <c r="F157" s="134"/>
      <c r="G157" s="134" t="s">
        <v>217</v>
      </c>
      <c r="H157" s="134"/>
    </row>
    <row r="158" spans="1:8" x14ac:dyDescent="0.25">
      <c r="A158" s="133" t="s">
        <v>82</v>
      </c>
      <c r="B158" s="133"/>
      <c r="C158" s="133"/>
      <c r="D158" s="133"/>
      <c r="E158" s="133"/>
      <c r="F158" s="133"/>
      <c r="G158" s="133"/>
      <c r="H158" s="133"/>
    </row>
    <row r="159" spans="1:8" x14ac:dyDescent="0.25">
      <c r="A159" s="133"/>
      <c r="B159" s="133"/>
      <c r="C159" s="133"/>
      <c r="D159" s="133"/>
      <c r="E159" s="133"/>
      <c r="F159" s="133"/>
      <c r="G159" s="133"/>
      <c r="H159" s="133"/>
    </row>
    <row r="160" spans="1:8" x14ac:dyDescent="0.25">
      <c r="A160" s="133"/>
      <c r="B160" s="133"/>
      <c r="C160" s="133"/>
      <c r="D160" s="133"/>
      <c r="E160" s="133"/>
      <c r="F160" s="133"/>
      <c r="G160" s="133"/>
      <c r="H160" s="133"/>
    </row>
    <row r="161" spans="1:8" x14ac:dyDescent="0.25">
      <c r="A161" s="133"/>
      <c r="B161" s="133"/>
      <c r="C161" s="133"/>
      <c r="D161" s="133"/>
      <c r="E161" s="133"/>
      <c r="F161" s="133"/>
      <c r="G161" s="133"/>
      <c r="H161" s="133"/>
    </row>
    <row r="162" spans="1:8" x14ac:dyDescent="0.25">
      <c r="A162" s="38" t="s">
        <v>68</v>
      </c>
      <c r="B162" s="39"/>
      <c r="C162" s="39"/>
      <c r="D162" s="38" t="str">
        <f>E8</f>
        <v>Vastu Anand</v>
      </c>
      <c r="F162" s="39"/>
      <c r="G162" s="39"/>
      <c r="H162" s="39"/>
    </row>
    <row r="163" spans="1:8" ht="15" customHeight="1" x14ac:dyDescent="0.25">
      <c r="A163" s="39"/>
      <c r="B163" s="39"/>
      <c r="C163" s="39"/>
      <c r="D163" s="39"/>
      <c r="E163" s="39"/>
      <c r="F163" s="39"/>
      <c r="G163" s="39"/>
      <c r="H163" s="39"/>
    </row>
    <row r="164" spans="1:8" x14ac:dyDescent="0.25">
      <c r="A164" s="39"/>
      <c r="B164" s="39"/>
      <c r="C164" s="39"/>
      <c r="D164" s="39"/>
      <c r="E164" s="39"/>
      <c r="F164" s="39"/>
      <c r="G164" s="39"/>
      <c r="H164" s="39"/>
    </row>
    <row r="204" spans="1:1" x14ac:dyDescent="0.25">
      <c r="A204" s="41" t="s">
        <v>172</v>
      </c>
    </row>
    <row r="241" spans="1:1" x14ac:dyDescent="0.25">
      <c r="A241" s="41" t="s">
        <v>69</v>
      </c>
    </row>
  </sheetData>
  <mergeCells count="286">
    <mergeCell ref="A135:B135"/>
    <mergeCell ref="A136:B136"/>
    <mergeCell ref="A114:B114"/>
    <mergeCell ref="D111:D112"/>
    <mergeCell ref="G105:H109"/>
    <mergeCell ref="A132:B132"/>
    <mergeCell ref="A133:B133"/>
    <mergeCell ref="A43:D43"/>
    <mergeCell ref="A45:D45"/>
    <mergeCell ref="A84:E84"/>
    <mergeCell ref="F89:H89"/>
    <mergeCell ref="F87:H87"/>
    <mergeCell ref="C94:D94"/>
    <mergeCell ref="F90:H90"/>
    <mergeCell ref="F88:H88"/>
    <mergeCell ref="G94:H94"/>
    <mergeCell ref="A89:E89"/>
    <mergeCell ref="A93:H93"/>
    <mergeCell ref="A91:E91"/>
    <mergeCell ref="F91:H91"/>
    <mergeCell ref="A92:E92"/>
    <mergeCell ref="F92:H92"/>
    <mergeCell ref="F84:H84"/>
    <mergeCell ref="A90:E90"/>
    <mergeCell ref="A85:E85"/>
    <mergeCell ref="F85:H85"/>
    <mergeCell ref="A86:E86"/>
    <mergeCell ref="A88:E88"/>
    <mergeCell ref="A80:E80"/>
    <mergeCell ref="F79:H79"/>
    <mergeCell ref="A79:E79"/>
    <mergeCell ref="A67:B67"/>
    <mergeCell ref="A65:B65"/>
    <mergeCell ref="C65:H65"/>
    <mergeCell ref="A73:B73"/>
    <mergeCell ref="A60:C60"/>
    <mergeCell ref="D60:H60"/>
    <mergeCell ref="C67:H67"/>
    <mergeCell ref="A57:C57"/>
    <mergeCell ref="D57:H57"/>
    <mergeCell ref="A59:C59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D59:H59"/>
    <mergeCell ref="G68:H68"/>
    <mergeCell ref="A36:H36"/>
    <mergeCell ref="A35:B35"/>
    <mergeCell ref="C35:E35"/>
    <mergeCell ref="A40:D40"/>
    <mergeCell ref="E40:H40"/>
    <mergeCell ref="A39:H39"/>
    <mergeCell ref="A37:B37"/>
    <mergeCell ref="C37:H37"/>
    <mergeCell ref="A38:B38"/>
    <mergeCell ref="C38:H38"/>
    <mergeCell ref="F35:H35"/>
    <mergeCell ref="A46:H46"/>
    <mergeCell ref="D56:H56"/>
    <mergeCell ref="A56:C56"/>
    <mergeCell ref="G49:H49"/>
    <mergeCell ref="A50:B51"/>
    <mergeCell ref="E41:H41"/>
    <mergeCell ref="A41:D41"/>
    <mergeCell ref="A48:B48"/>
    <mergeCell ref="C48:E48"/>
    <mergeCell ref="G48:H48"/>
    <mergeCell ref="G50:H50"/>
    <mergeCell ref="D54:H54"/>
    <mergeCell ref="C50:E50"/>
    <mergeCell ref="A54:C54"/>
    <mergeCell ref="A55:C55"/>
    <mergeCell ref="D55:H55"/>
    <mergeCell ref="A42:D42"/>
    <mergeCell ref="E42:H42"/>
    <mergeCell ref="E43:H43"/>
    <mergeCell ref="E44:H44"/>
    <mergeCell ref="E45:H45"/>
    <mergeCell ref="A44:D44"/>
    <mergeCell ref="A47:B47"/>
    <mergeCell ref="C47:H47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4:B34"/>
    <mergeCell ref="C34:E34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L129:M129"/>
    <mergeCell ref="A122:B122"/>
    <mergeCell ref="G122:H128"/>
    <mergeCell ref="A123:B123"/>
    <mergeCell ref="A125:B125"/>
    <mergeCell ref="A109:B109"/>
    <mergeCell ref="C97:D97"/>
    <mergeCell ref="A158:H161"/>
    <mergeCell ref="A157:B157"/>
    <mergeCell ref="E157:F157"/>
    <mergeCell ref="C157:D157"/>
    <mergeCell ref="G157:H157"/>
    <mergeCell ref="A153:H153"/>
    <mergeCell ref="A156:H156"/>
    <mergeCell ref="A154:H154"/>
    <mergeCell ref="A150:H150"/>
    <mergeCell ref="A155:H155"/>
    <mergeCell ref="A152:H152"/>
    <mergeCell ref="A151:H151"/>
    <mergeCell ref="B143:H143"/>
    <mergeCell ref="D102:D103"/>
    <mergeCell ref="A105:B105"/>
    <mergeCell ref="A106:B106"/>
    <mergeCell ref="B142:H142"/>
    <mergeCell ref="C95:D95"/>
    <mergeCell ref="E111:E112"/>
    <mergeCell ref="G111:H112"/>
    <mergeCell ref="A113:H113"/>
    <mergeCell ref="E97:F97"/>
    <mergeCell ref="A129:H129"/>
    <mergeCell ref="A104:H104"/>
    <mergeCell ref="E102:E103"/>
    <mergeCell ref="A71:B71"/>
    <mergeCell ref="F81:H81"/>
    <mergeCell ref="A81:E81"/>
    <mergeCell ref="A83:E83"/>
    <mergeCell ref="F86:H86"/>
    <mergeCell ref="F83:H83"/>
    <mergeCell ref="G114:H120"/>
    <mergeCell ref="A77:B77"/>
    <mergeCell ref="A78:B78"/>
    <mergeCell ref="A74:B74"/>
    <mergeCell ref="A76:B76"/>
    <mergeCell ref="A75:B75"/>
    <mergeCell ref="C102:C103"/>
    <mergeCell ref="B111:B112"/>
    <mergeCell ref="A121:H121"/>
    <mergeCell ref="A108:B108"/>
    <mergeCell ref="C49:E49"/>
    <mergeCell ref="A52:B52"/>
    <mergeCell ref="C52:E52"/>
    <mergeCell ref="A49:B49"/>
    <mergeCell ref="A53:H53"/>
    <mergeCell ref="A124:B124"/>
    <mergeCell ref="A95:B95"/>
    <mergeCell ref="A96:H96"/>
    <mergeCell ref="B102:B103"/>
    <mergeCell ref="A102:A103"/>
    <mergeCell ref="C111:C112"/>
    <mergeCell ref="E94:F94"/>
    <mergeCell ref="G52:H52"/>
    <mergeCell ref="C51:H51"/>
    <mergeCell ref="E98:F98"/>
    <mergeCell ref="G98:H98"/>
    <mergeCell ref="A94:B94"/>
    <mergeCell ref="A97:B97"/>
    <mergeCell ref="F80:H80"/>
    <mergeCell ref="G95:H95"/>
    <mergeCell ref="E95:F95"/>
    <mergeCell ref="A87:E87"/>
    <mergeCell ref="A82:E82"/>
    <mergeCell ref="G69:H78"/>
    <mergeCell ref="A99:B99"/>
    <mergeCell ref="C99:D99"/>
    <mergeCell ref="E99:F99"/>
    <mergeCell ref="B145:H145"/>
    <mergeCell ref="G102:H103"/>
    <mergeCell ref="A110:H110"/>
    <mergeCell ref="A111:A112"/>
    <mergeCell ref="G99:H99"/>
    <mergeCell ref="B146:H146"/>
    <mergeCell ref="B144:H144"/>
    <mergeCell ref="B140:H140"/>
    <mergeCell ref="A100:H100"/>
    <mergeCell ref="B138:H138"/>
    <mergeCell ref="B139:H139"/>
    <mergeCell ref="A126:B126"/>
    <mergeCell ref="A130:B130"/>
    <mergeCell ref="G130:H136"/>
    <mergeCell ref="A131:B131"/>
    <mergeCell ref="A137:H137"/>
    <mergeCell ref="A127:B127"/>
    <mergeCell ref="A128:B128"/>
    <mergeCell ref="A117:B117"/>
    <mergeCell ref="A107:B107"/>
    <mergeCell ref="A134:B134"/>
    <mergeCell ref="B148:H148"/>
    <mergeCell ref="B149:H149"/>
    <mergeCell ref="A68:B68"/>
    <mergeCell ref="D58:H58"/>
    <mergeCell ref="E69:F78"/>
    <mergeCell ref="L121:M121"/>
    <mergeCell ref="L108:M108"/>
    <mergeCell ref="L107:M107"/>
    <mergeCell ref="L106:M106"/>
    <mergeCell ref="L105:M105"/>
    <mergeCell ref="A118:B118"/>
    <mergeCell ref="A115:B115"/>
    <mergeCell ref="A116:B116"/>
    <mergeCell ref="C98:D98"/>
    <mergeCell ref="A119:B119"/>
    <mergeCell ref="A120:B120"/>
    <mergeCell ref="L109:M109"/>
    <mergeCell ref="G97:H97"/>
    <mergeCell ref="A98:B98"/>
    <mergeCell ref="A58:C58"/>
    <mergeCell ref="F82:H82"/>
    <mergeCell ref="B147:H147"/>
    <mergeCell ref="B141:H141"/>
    <mergeCell ref="A101:H10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4" max="7" man="1"/>
    <brk id="110" max="7" man="1"/>
    <brk id="136" max="7" man="1"/>
    <brk id="161" max="7" man="1"/>
    <brk id="203" max="7" man="1"/>
    <brk id="240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2" t="s">
        <v>112</v>
      </c>
      <c r="C3" s="182"/>
      <c r="D3" s="182"/>
      <c r="E3" s="182"/>
      <c r="F3" s="182"/>
      <c r="G3" s="182"/>
      <c r="H3" s="182"/>
    </row>
    <row r="4" spans="1:9" x14ac:dyDescent="0.25">
      <c r="A4" s="2"/>
      <c r="B4" s="3" t="s">
        <v>113</v>
      </c>
      <c r="C4" s="3" t="s">
        <v>114</v>
      </c>
      <c r="D4" s="3" t="s">
        <v>71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2025-07-14T10:08:58Z</cp:lastPrinted>
  <dcterms:created xsi:type="dcterms:W3CDTF">2019-07-16T09:29:46Z</dcterms:created>
  <dcterms:modified xsi:type="dcterms:W3CDTF">2025-07-14T10:12:45Z</dcterms:modified>
</cp:coreProperties>
</file>