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showHorizontalScroll="0" showVerticalScroll="0" showSheetTabs="0" xWindow="0" yWindow="0" windowWidth="20490" windowHeight="7620" tabRatio="725"/>
  </bookViews>
  <sheets>
    <sheet name="Report" sheetId="1" r:id="rId1"/>
    <sheet name="valuation" sheetId="5" r:id="rId2"/>
    <sheet name="Note &amp; OV Report" sheetId="4" r:id="rId3"/>
  </sheets>
  <definedNames>
    <definedName name="_xlnm.Print_Area" localSheetId="0">Report!$A$1:$H$265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C13" i="1" l="1"/>
  <c r="E3" i="1" l="1"/>
  <c r="F112" i="1" l="1"/>
  <c r="F113" i="1"/>
  <c r="F114" i="1"/>
  <c r="F130" i="1"/>
  <c r="F129" i="1"/>
  <c r="F128" i="1"/>
  <c r="F127" i="1"/>
  <c r="F126" i="1"/>
  <c r="F125" i="1"/>
  <c r="F123" i="1"/>
  <c r="F122" i="1"/>
  <c r="F121" i="1"/>
  <c r="F120" i="1"/>
  <c r="F119" i="1"/>
  <c r="F118" i="1"/>
  <c r="F116" i="1"/>
  <c r="F115" i="1"/>
  <c r="F111" i="1"/>
  <c r="F109" i="1"/>
  <c r="F108" i="1"/>
  <c r="F107" i="1"/>
  <c r="F106" i="1"/>
  <c r="F105" i="1"/>
  <c r="F104" i="1"/>
  <c r="F94" i="1"/>
  <c r="F95" i="1"/>
  <c r="F96" i="1"/>
  <c r="F97" i="1"/>
  <c r="F98" i="1"/>
  <c r="F99" i="1"/>
  <c r="F93" i="1"/>
  <c r="P111" i="1"/>
  <c r="O111" i="1"/>
  <c r="B135" i="1" l="1"/>
  <c r="B134" i="1"/>
  <c r="O118" i="1"/>
  <c r="F11" i="5" l="1"/>
  <c r="G11" i="5" s="1"/>
  <c r="G10" i="5"/>
  <c r="F10" i="5"/>
  <c r="F9" i="5"/>
  <c r="G9" i="5" s="1"/>
  <c r="F8" i="5"/>
  <c r="G8" i="5" s="1"/>
  <c r="F7" i="5"/>
  <c r="G7" i="5" s="1"/>
  <c r="F6" i="5"/>
  <c r="G6" i="5" s="1"/>
  <c r="F5" i="5"/>
  <c r="G5" i="5" s="1"/>
  <c r="G12" i="5" s="1"/>
  <c r="D153" i="1"/>
  <c r="A134" i="1"/>
  <c r="G125" i="1"/>
  <c r="G126" i="1" s="1"/>
  <c r="G127" i="1" s="1"/>
  <c r="G128" i="1" s="1"/>
  <c r="G129" i="1" s="1"/>
  <c r="G130" i="1" s="1"/>
  <c r="G118" i="1"/>
  <c r="G119" i="1" s="1"/>
  <c r="G120" i="1" s="1"/>
  <c r="G121" i="1" s="1"/>
  <c r="G122" i="1" s="1"/>
  <c r="G123" i="1" s="1"/>
  <c r="G111" i="1"/>
  <c r="G112" i="1" s="1"/>
  <c r="G113" i="1" s="1"/>
  <c r="G114" i="1" s="1"/>
  <c r="G115" i="1" s="1"/>
  <c r="G116" i="1" s="1"/>
  <c r="G104" i="1"/>
  <c r="G105" i="1" s="1"/>
  <c r="G106" i="1" s="1"/>
  <c r="G107" i="1" s="1"/>
  <c r="G108" i="1" s="1"/>
  <c r="G109" i="1" s="1"/>
  <c r="A104" i="1"/>
  <c r="A105" i="1" s="1"/>
  <c r="A106" i="1" s="1"/>
  <c r="A107" i="1" s="1"/>
  <c r="A108" i="1" s="1"/>
  <c r="A109" i="1" s="1"/>
  <c r="A94" i="1"/>
  <c r="A95" i="1" s="1"/>
  <c r="A96" i="1" s="1"/>
  <c r="A97" i="1" s="1"/>
  <c r="A98" i="1" s="1"/>
  <c r="A99" i="1" s="1"/>
  <c r="G93" i="1"/>
  <c r="G94" i="1" s="1"/>
  <c r="G95" i="1" s="1"/>
  <c r="G96" i="1" s="1"/>
  <c r="G97" i="1" s="1"/>
  <c r="G98" i="1" s="1"/>
  <c r="G99" i="1" s="1"/>
  <c r="F81" i="1"/>
  <c r="J73" i="1"/>
  <c r="J72" i="1"/>
  <c r="J71" i="1"/>
  <c r="J70" i="1"/>
  <c r="D51" i="1"/>
  <c r="G46" i="1"/>
  <c r="C46" i="1"/>
  <c r="E24" i="1"/>
  <c r="E22" i="1"/>
  <c r="E7" i="1"/>
  <c r="H63" i="1"/>
  <c r="P118" i="1"/>
  <c r="P125" i="1"/>
  <c r="O125" i="1"/>
  <c r="A135" i="1" l="1"/>
  <c r="A136" i="1" s="1"/>
  <c r="A137" i="1" s="1"/>
  <c r="A138" i="1" s="1"/>
  <c r="A139" i="1" s="1"/>
  <c r="A140" i="1" s="1"/>
  <c r="C68" i="1"/>
  <c r="D68" i="1" s="1"/>
  <c r="J66" i="1"/>
  <c r="D75" i="1"/>
  <c r="D73" i="1"/>
  <c r="D71" i="1"/>
  <c r="D69" i="1"/>
  <c r="J67" i="1"/>
  <c r="C66" i="1" s="1"/>
  <c r="D66" i="1" s="1"/>
  <c r="J65" i="1"/>
  <c r="J68" i="1"/>
  <c r="J69" i="1" s="1"/>
  <c r="J74" i="1" s="1"/>
  <c r="J75" i="1" s="1"/>
  <c r="C67" i="1" s="1"/>
  <c r="D74" i="1"/>
  <c r="D70" i="1"/>
  <c r="D72" i="1"/>
  <c r="N111" i="1"/>
  <c r="A111" i="1" s="1"/>
  <c r="O112" i="1"/>
  <c r="N118" i="1"/>
  <c r="A118" i="1" s="1"/>
  <c r="O119" i="1"/>
  <c r="P112" i="1"/>
  <c r="P113" i="1" s="1"/>
  <c r="P114" i="1" s="1"/>
  <c r="P115" i="1" s="1"/>
  <c r="P116" i="1" s="1"/>
  <c r="P119" i="1"/>
  <c r="P120" i="1" s="1"/>
  <c r="P121" i="1" s="1"/>
  <c r="P122" i="1" s="1"/>
  <c r="P123" i="1" s="1"/>
  <c r="P126" i="1"/>
  <c r="P127" i="1" s="1"/>
  <c r="P128" i="1" s="1"/>
  <c r="P129" i="1" s="1"/>
  <c r="P130" i="1" s="1"/>
  <c r="N125" i="1"/>
  <c r="A125" i="1" s="1"/>
  <c r="O126" i="1"/>
  <c r="E66" i="1" l="1"/>
  <c r="I62" i="1" s="1"/>
  <c r="D67" i="1"/>
  <c r="N126" i="1"/>
  <c r="A126" i="1" s="1"/>
  <c r="O127" i="1"/>
  <c r="N119" i="1"/>
  <c r="A119" i="1" s="1"/>
  <c r="O120" i="1"/>
  <c r="N112" i="1"/>
  <c r="A112" i="1" s="1"/>
  <c r="O113" i="1"/>
  <c r="G66" i="1"/>
  <c r="D60" i="1" s="1"/>
  <c r="C64" i="1" l="1"/>
  <c r="F61" i="1"/>
  <c r="D61" i="1"/>
  <c r="N120" i="1"/>
  <c r="A120" i="1" s="1"/>
  <c r="O121" i="1"/>
  <c r="N113" i="1"/>
  <c r="A113" i="1" s="1"/>
  <c r="O114" i="1"/>
  <c r="N127" i="1"/>
  <c r="A127" i="1" s="1"/>
  <c r="O128" i="1"/>
  <c r="N128" i="1" l="1"/>
  <c r="A128" i="1" s="1"/>
  <c r="O129" i="1"/>
  <c r="N114" i="1"/>
  <c r="A114" i="1" s="1"/>
  <c r="O115" i="1"/>
  <c r="N121" i="1"/>
  <c r="A121" i="1" s="1"/>
  <c r="O122" i="1"/>
  <c r="N115" i="1" l="1"/>
  <c r="A115" i="1" s="1"/>
  <c r="O116" i="1"/>
  <c r="N116" i="1" s="1"/>
  <c r="A116" i="1" s="1"/>
  <c r="N122" i="1"/>
  <c r="A122" i="1" s="1"/>
  <c r="O123" i="1"/>
  <c r="N123" i="1" s="1"/>
  <c r="A123" i="1" s="1"/>
  <c r="N129" i="1"/>
  <c r="A129" i="1" s="1"/>
  <c r="O130" i="1"/>
  <c r="N130" i="1" s="1"/>
  <c r="A130" i="1" s="1"/>
</calcChain>
</file>

<file path=xl/sharedStrings.xml><?xml version="1.0" encoding="utf-8"?>
<sst xmlns="http://schemas.openxmlformats.org/spreadsheetml/2006/main" count="241" uniqueCount="202">
  <si>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</si>
  <si>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</si>
  <si>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</si>
  <si>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</si>
  <si>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</si>
  <si>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</si>
  <si>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</si>
  <si>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</si>
  <si>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</si>
  <si>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</si>
  <si>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</si>
  <si>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</si>
  <si>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</si>
  <si>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</si>
  <si>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</si>
  <si>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</si>
  <si>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</si>
  <si>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</si>
  <si>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</si>
  <si>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</si>
  <si>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</si>
  <si>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</si>
  <si>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</si>
  <si>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</si>
  <si>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</si>
  <si>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</si>
  <si>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</si>
  <si>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</si>
  <si>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</si>
  <si>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</si>
  <si>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</si>
  <si>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</si>
  <si>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</si>
  <si>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</si>
  <si>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</si>
  <si>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</si>
  <si>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</si>
  <si>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</si>
  <si>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</si>
  <si>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</si>
  <si>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</si>
  <si>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</si>
  <si>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</si>
  <si>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</si>
  <si>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</si>
  <si>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</si>
  <si>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</si>
  <si>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</si>
  <si>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</si>
  <si>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</si>
  <si>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</si>
  <si>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</si>
  <si>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</si>
  <si>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</si>
  <si>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</si>
  <si>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</si>
  <si>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</si>
  <si>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</si>
  <si>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</si>
  <si>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</si>
  <si>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</si>
  <si>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</si>
  <si>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</si>
  <si>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</si>
  <si>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</si>
  <si>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</si>
  <si>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</si>
  <si>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</si>
  <si>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</si>
  <si>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</si>
  <si>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</si>
  <si>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</si>
  <si>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</si>
  <si>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</si>
  <si>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</si>
  <si>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</si>
  <si>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</si>
  <si>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</si>
  <si>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</si>
  <si>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</si>
  <si>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</si>
  <si>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</si>
  <si>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</si>
  <si>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</si>
  <si>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</si>
  <si>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</si>
  <si>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</si>
  <si>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</si>
  <si>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</si>
  <si>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</si>
  <si>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</si>
  <si>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</si>
  <si>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</si>
  <si>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</si>
  <si>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</si>
  <si>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</si>
  <si>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</si>
  <si>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</si>
  <si>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</si>
  <si>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</si>
  <si>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</si>
  <si>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</si>
  <si>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</si>
  <si>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</si>
  <si>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</si>
  <si>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</si>
  <si>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</si>
  <si>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</si>
  <si>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</si>
  <si>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</si>
  <si>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</si>
  <si>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</si>
  <si>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</si>
  <si>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</si>
  <si>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</si>
  <si>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</si>
  <si>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</si>
  <si>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</si>
  <si>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</si>
  <si>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</si>
  <si>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</si>
  <si>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</si>
  <si>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</si>
  <si>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</si>
  <si>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</si>
  <si>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</si>
  <si>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</si>
  <si>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</si>
  <si>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</si>
  <si>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</si>
  <si>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</si>
  <si>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</si>
  <si>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</si>
  <si>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</si>
  <si>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</si>
  <si>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</si>
  <si>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</si>
  <si>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</si>
  <si>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</si>
  <si>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</si>
  <si>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</si>
  <si>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</si>
  <si>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</si>
  <si>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</si>
  <si>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</si>
  <si>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</si>
  <si>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</si>
  <si>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</si>
  <si>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</si>
  <si>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</si>
  <si>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</si>
  <si>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</si>
  <si>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</si>
  <si>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</si>
  <si>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</si>
  <si>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</si>
  <si>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</si>
  <si>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</si>
  <si>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</si>
  <si>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</si>
  <si>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</si>
  <si>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</si>
  <si>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</si>
  <si>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</si>
  <si>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</si>
  <si>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Thane</t>
  </si>
  <si>
    <t>Xrbia Warai Developers Private Limited</t>
  </si>
  <si>
    <t>Refer Data</t>
  </si>
  <si>
    <t>Atish - 9022992324</t>
  </si>
  <si>
    <t>7.9 from Neral Railway Station</t>
  </si>
  <si>
    <t>Warai</t>
  </si>
  <si>
    <t>Karjat</t>
  </si>
  <si>
    <t>Raigad</t>
  </si>
  <si>
    <t>Survey No</t>
  </si>
  <si>
    <t>Neral</t>
  </si>
  <si>
    <t>6/2, 6/3, 9/1, 9/2, 10/2A+2B (New S.No.10/2A/1), 10/4+5B ( New S.No.10/4A/2), 10/6, 10/9, 12/1+2+3 (New S.No.12/1A/1), 12/6+7+8 ( New S.No. 12/6A), 12/5</t>
  </si>
  <si>
    <t>Poshir River</t>
  </si>
  <si>
    <t>Internal Road</t>
  </si>
  <si>
    <t>Open Plot</t>
  </si>
  <si>
    <t>Forest Escape Resort</t>
  </si>
  <si>
    <t>Karjat - Murbad Road</t>
  </si>
  <si>
    <t>MS/N.L.A.1(B)/P.K.147/2015</t>
  </si>
  <si>
    <t>Grill Charges</t>
  </si>
  <si>
    <t>Residential</t>
  </si>
  <si>
    <t>D6 &amp; D8</t>
  </si>
  <si>
    <t xml:space="preserve">Phase 1 - P52000002828 (D6)
Phase 2 - P52000004499 (D8)
</t>
  </si>
  <si>
    <t>Valid Up to:  Building D6 &amp; D8  = G + 1st to 4th Floor</t>
  </si>
  <si>
    <t>Building D6 &amp; D8  = G + 1st to 4th Floor</t>
  </si>
  <si>
    <t>Building D6 &amp; D8 = G + 1st to 4th Floor</t>
  </si>
  <si>
    <t>02 Building</t>
  </si>
  <si>
    <t>As per RERA - Completed</t>
  </si>
  <si>
    <t>60 Years</t>
  </si>
  <si>
    <t>Location Link</t>
  </si>
  <si>
    <t>https://goo.gl/maps/SAGTX8isKDi8ETEn9</t>
  </si>
  <si>
    <t>Xrbia Warai / Neral (D6 &amp; D8)</t>
  </si>
  <si>
    <t xml:space="preserve">Office No. 1031, Wing J, Akshar Business Park, Plot No. 03 Sector 25, Near APMC Market, Vashi,
Navi Mumbai, Maharashtra 400703 TEL: 022-46090378/79/80
Email : vsjcapf@gmail.com. Web site : www.vsjadon.com
</t>
  </si>
  <si>
    <t>Latitude,Longitude</t>
  </si>
  <si>
    <t>19.084895,73.346369</t>
  </si>
  <si>
    <t>Naynesh Sunil Lovanshi</t>
  </si>
  <si>
    <t>Notice :</t>
  </si>
  <si>
    <r>
      <t xml:space="preserve">1. Building D6 &amp; D8 - All work completed. Please provide OC (Internal Visit was not allowed).
2. We have considered rate by verifying it from market inquire.
3. Recommended rate should be considered as all inclusive rate if other charges are not mentioned. (Excluding GST &amp; other government Taxes)
4. Car parking is subjected to authentic documentation.
5. According to our observations, the construction of Xrbia projects (Xrbia Warai, Xrbia Vangani, etc.)
appears to have slowed or stopped over the past two years.
6. </t>
    </r>
    <r>
      <rPr>
        <b/>
        <sz val="12"/>
        <color rgb="FFFF0000"/>
        <rFont val="Times New Roman"/>
        <family val="1"/>
      </rPr>
      <t>Notice Attached Below.</t>
    </r>
    <r>
      <rPr>
        <b/>
        <sz val="12"/>
        <rFont val="Times New Roman"/>
        <family val="1"/>
      </rPr>
      <t xml:space="preserve">
5. On Site, we meet Mr........(........).</t>
    </r>
  </si>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</sst>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5" fillId="0" borderId="0" applyNumberFormat="0" applyFill="0" applyBorder="0" applyAlignment="0" applyProtection="0"/>
  </cellStyleXfs>
  <cellXfs count="16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8" xfId="8" applyFont="1" applyFill="1" applyBorder="1" applyAlignment="1" applyProtection="1">
      <alignment horizontal="center" vertical="top" wrapText="1"/>
      <protection locked="0"/>
    </xf>
    <xf numFmtId="0" fontId="7" fillId="0" borderId="10" xfId="1"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1" xfId="1" applyFont="1" applyBorder="1" applyProtection="1">
      <protection hidden="1"/>
    </xf>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0" xfId="1" applyFont="1" applyProtection="1">
      <protection hidden="1"/>
    </xf>
    <xf numFmtId="0" fontId="12" fillId="0" borderId="12" xfId="1" applyFont="1" applyBorder="1" applyProtection="1">
      <protection hidden="1"/>
    </xf>
    <xf numFmtId="0" fontId="12" fillId="0" borderId="1" xfId="1" applyFont="1" applyBorder="1" applyAlignment="1" applyProtection="1">
      <alignment horizontal="center" vertical="top" wrapText="1"/>
      <protection locked="0"/>
    </xf>
    <xf numFmtId="0" fontId="14" fillId="0" borderId="0" xfId="0" applyFont="1" applyProtection="1">
      <protection hidden="1"/>
    </xf>
    <xf numFmtId="0" fontId="12" fillId="0" borderId="12"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4" fillId="0" borderId="12" xfId="0" applyFont="1" applyBorder="1" applyProtection="1">
      <protection hidden="1"/>
    </xf>
    <xf numFmtId="1" fontId="12" fillId="0" borderId="1" xfId="1" applyNumberFormat="1" applyFont="1" applyBorder="1" applyAlignment="1" applyProtection="1">
      <alignment horizontal="center" wrapText="1"/>
      <protection locked="0"/>
    </xf>
    <xf numFmtId="1" fontId="24" fillId="0" borderId="12" xfId="0" applyNumberFormat="1" applyFont="1" applyBorder="1"/>
    <xf numFmtId="1" fontId="24" fillId="0" borderId="12" xfId="0" applyNumberFormat="1" applyFont="1" applyBorder="1" applyAlignment="1">
      <alignment horizontal="right"/>
    </xf>
    <xf numFmtId="0" fontId="12" fillId="0" borderId="6" xfId="1" applyFont="1" applyBorder="1" applyAlignment="1" applyProtection="1">
      <alignment horizontal="center" wrapText="1"/>
      <protection locked="0"/>
    </xf>
    <xf numFmtId="9" fontId="12" fillId="0" borderId="6" xfId="1" applyNumberFormat="1" applyFont="1" applyBorder="1" applyAlignment="1" applyProtection="1">
      <alignment horizontal="center" vertical="center" wrapText="1"/>
      <protection hidden="1"/>
    </xf>
    <xf numFmtId="0" fontId="14" fillId="0" borderId="13" xfId="0" applyFont="1" applyBorder="1" applyProtection="1">
      <protection hidden="1"/>
    </xf>
    <xf numFmtId="1" fontId="24" fillId="0" borderId="14" xfId="0" applyNumberFormat="1" applyFont="1" applyBorder="1"/>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4"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67" fontId="7"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67" fontId="10" fillId="0" borderId="1" xfId="1"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protection locked="0"/>
    </xf>
    <xf numFmtId="0" fontId="7" fillId="0" borderId="26"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9" fontId="12" fillId="0" borderId="1"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4"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5" fillId="0" borderId="8" xfId="9" applyFill="1" applyBorder="1" applyAlignment="1" applyProtection="1">
      <alignment horizontal="left"/>
      <protection locked="0"/>
    </xf>
    <xf numFmtId="0" fontId="7" fillId="0" borderId="23" xfId="1" applyFont="1" applyBorder="1" applyAlignment="1" applyProtection="1">
      <alignment horizontal="left"/>
      <protection locked="0"/>
    </xf>
    <xf numFmtId="0" fontId="7" fillId="0" borderId="9"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10" fillId="0" borderId="23" xfId="1" applyFont="1" applyBorder="1" applyAlignment="1" applyProtection="1">
      <alignment horizontal="left"/>
      <protection locked="0"/>
    </xf>
    <xf numFmtId="0" fontId="10" fillId="0" borderId="9" xfId="1" applyFont="1" applyBorder="1" applyAlignment="1" applyProtection="1">
      <alignment horizontal="left"/>
      <protection locked="0"/>
    </xf>
    <xf numFmtId="0" fontId="7" fillId="0" borderId="0" xfId="1" applyFont="1" applyAlignment="1">
      <alignment horizontal="center" vertical="center"/>
    </xf>
    <xf numFmtId="3" fontId="12"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1" fontId="6" fillId="0" borderId="23"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340166</xdr:colOff>
      <xdr:row>245</xdr:row>
      <xdr:rowOff>174659</xdr:rowOff>
    </xdr:from>
    <xdr:to>
      <xdr:col>6</xdr:col>
      <xdr:colOff>487396</xdr:colOff>
      <xdr:row>263</xdr:row>
      <xdr:rowOff>100731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56595" y="38857822"/>
          <a:ext cx="4598709" cy="3600000"/>
        </a:xfrm>
        <a:prstGeom prst="rect">
          <a:avLst/>
        </a:prstGeom>
        <a:ln>
          <a:solidFill>
            <a:schemeClr val="tx1"/>
          </a:solidFill>
        </a:ln>
      </xdr:spPr>
    </xdr:pic>
    <xdr:clientData/>
  </xdr:twoCellAnchor>
  <xdr:twoCellAnchor editAs="oneCell">
    <xdr:from>
      <xdr:col>1</xdr:col>
      <xdr:colOff>352889</xdr:colOff>
      <xdr:row>227</xdr:row>
      <xdr:rowOff>87471</xdr:rowOff>
    </xdr:from>
    <xdr:to>
      <xdr:col>6</xdr:col>
      <xdr:colOff>487396</xdr:colOff>
      <xdr:row>245</xdr:row>
      <xdr:rowOff>13543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69318" y="35096706"/>
          <a:ext cx="4585986" cy="3600000"/>
        </a:xfrm>
        <a:prstGeom prst="rect">
          <a:avLst/>
        </a:prstGeom>
        <a:ln>
          <a:solidFill>
            <a:schemeClr val="tx1"/>
          </a:solidFill>
        </a:ln>
      </xdr:spPr>
    </xdr:pic>
    <xdr:clientData/>
  </xdr:twoCellAnchor>
  <xdr:twoCellAnchor>
    <xdr:from>
      <xdr:col>8</xdr:col>
      <xdr:colOff>112567</xdr:colOff>
      <xdr:row>155</xdr:row>
      <xdr:rowOff>8660</xdr:rowOff>
    </xdr:from>
    <xdr:to>
      <xdr:col>8</xdr:col>
      <xdr:colOff>467590</xdr:colOff>
      <xdr:row>156</xdr:row>
      <xdr:rowOff>77932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632862" y="20859751"/>
          <a:ext cx="355023" cy="259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D6</a:t>
          </a:r>
        </a:p>
      </xdr:txBody>
    </xdr:sp>
    <xdr:clientData/>
  </xdr:twoCellAnchor>
  <xdr:twoCellAnchor>
    <xdr:from>
      <xdr:col>9</xdr:col>
      <xdr:colOff>675534</xdr:colOff>
      <xdr:row>154</xdr:row>
      <xdr:rowOff>190500</xdr:rowOff>
    </xdr:from>
    <xdr:to>
      <xdr:col>10</xdr:col>
      <xdr:colOff>268557</xdr:colOff>
      <xdr:row>156</xdr:row>
      <xdr:rowOff>60613</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356148" y="20842432"/>
          <a:ext cx="355023" cy="259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D8</a:t>
          </a:r>
        </a:p>
      </xdr:txBody>
    </xdr:sp>
    <xdr:clientData/>
  </xdr:twoCellAnchor>
  <xdr:twoCellAnchor>
    <xdr:from>
      <xdr:col>9</xdr:col>
      <xdr:colOff>660809</xdr:colOff>
      <xdr:row>156</xdr:row>
      <xdr:rowOff>132</xdr:rowOff>
    </xdr:from>
    <xdr:to>
      <xdr:col>10</xdr:col>
      <xdr:colOff>331456</xdr:colOff>
      <xdr:row>157</xdr:row>
      <xdr:rowOff>167919</xdr:rowOff>
    </xdr:to>
    <xdr:sp macro="" textlink="">
      <xdr:nvSpPr>
        <xdr:cNvPr id="27" name="TextBox 8">
          <a:extLst>
            <a:ext uri="{FF2B5EF4-FFF2-40B4-BE49-F238E27FC236}">
              <a16:creationId xmlns:a16="http://schemas.microsoft.com/office/drawing/2014/main" id="{00000000-0008-0000-0000-00001B000000}"/>
            </a:ext>
          </a:extLst>
        </xdr:cNvPr>
        <xdr:cNvSpPr txBox="1"/>
      </xdr:nvSpPr>
      <xdr:spPr>
        <a:xfrm>
          <a:off x="8555129" y="21526632"/>
          <a:ext cx="455507" cy="36590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D6</a:t>
          </a:r>
          <a:endParaRPr lang="en-IN" b="1"/>
        </a:p>
      </xdr:txBody>
    </xdr:sp>
    <xdr:clientData/>
  </xdr:twoCellAnchor>
  <xdr:twoCellAnchor>
    <xdr:from>
      <xdr:col>16</xdr:col>
      <xdr:colOff>83693</xdr:colOff>
      <xdr:row>155</xdr:row>
      <xdr:rowOff>7679</xdr:rowOff>
    </xdr:from>
    <xdr:to>
      <xdr:col>16</xdr:col>
      <xdr:colOff>539200</xdr:colOff>
      <xdr:row>156</xdr:row>
      <xdr:rowOff>183086</xdr:rowOff>
    </xdr:to>
    <xdr:sp macro="" textlink="">
      <xdr:nvSpPr>
        <xdr:cNvPr id="28" name="TextBox 12">
          <a:extLst>
            <a:ext uri="{FF2B5EF4-FFF2-40B4-BE49-F238E27FC236}">
              <a16:creationId xmlns:a16="http://schemas.microsoft.com/office/drawing/2014/main" id="{00000000-0008-0000-0000-00001C000000}"/>
            </a:ext>
          </a:extLst>
        </xdr:cNvPr>
        <xdr:cNvSpPr txBox="1"/>
      </xdr:nvSpPr>
      <xdr:spPr>
        <a:xfrm>
          <a:off x="11026013" y="21343679"/>
          <a:ext cx="455507" cy="36590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D8</a:t>
          </a:r>
          <a:endParaRPr lang="en-IN" b="1"/>
        </a:p>
      </xdr:txBody>
    </xdr:sp>
    <xdr:clientData/>
  </xdr:twoCellAnchor>
  <xdr:twoCellAnchor editAs="oneCell">
    <xdr:from>
      <xdr:col>1</xdr:col>
      <xdr:colOff>484094</xdr:colOff>
      <xdr:row>189</xdr:row>
      <xdr:rowOff>35858</xdr:rowOff>
    </xdr:from>
    <xdr:to>
      <xdr:col>6</xdr:col>
      <xdr:colOff>545859</xdr:colOff>
      <xdr:row>218</xdr:row>
      <xdr:rowOff>83877</xdr:rowOff>
    </xdr:to>
    <xdr:pic>
      <xdr:nvPicPr>
        <xdr:cNvPr id="5" name="Picture 4">
          <a:extLst>
            <a:ext uri="{FF2B5EF4-FFF2-40B4-BE49-F238E27FC236}">
              <a16:creationId xmlns:a16="http://schemas.microsoft.com/office/drawing/2014/main" id="{F81C0330-A758-4145-BD44-7C394FD5C174}"/>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1268954" y="34158218"/>
          <a:ext cx="4321345" cy="5793499"/>
        </a:xfrm>
        <a:prstGeom prst="rect">
          <a:avLst/>
        </a:prstGeom>
        <a:ln>
          <a:solidFill>
            <a:schemeClr val="tx1"/>
          </a:solidFill>
        </a:ln>
      </xdr:spPr>
    </xdr:pic>
    <xdr:clientData/>
  </xdr:twoCellAnchor>
  <xdr:twoCellAnchor>
    <xdr:from>
      <xdr:col>9</xdr:col>
      <xdr:colOff>369026</xdr:colOff>
      <xdr:row>152</xdr:row>
      <xdr:rowOff>83277</xdr:rowOff>
    </xdr:from>
    <xdr:to>
      <xdr:col>19</xdr:col>
      <xdr:colOff>113755</xdr:colOff>
      <xdr:row>180</xdr:row>
      <xdr:rowOff>128996</xdr:rowOff>
    </xdr:to>
    <xdr:grpSp>
      <xdr:nvGrpSpPr>
        <xdr:cNvPr id="9" name="Group 8">
          <a:extLst>
            <a:ext uri="{FF2B5EF4-FFF2-40B4-BE49-F238E27FC236}">
              <a16:creationId xmlns:a16="http://schemas.microsoft.com/office/drawing/2014/main" id="{6EE0AA63-A667-2396-CF40-BD9A115A2246}"/>
            </a:ext>
          </a:extLst>
        </xdr:cNvPr>
        <xdr:cNvGrpSpPr/>
      </xdr:nvGrpSpPr>
      <xdr:grpSpPr>
        <a:xfrm>
          <a:off x="8047004" y="20897473"/>
          <a:ext cx="4540360" cy="5603349"/>
          <a:chOff x="1393610" y="3337560"/>
          <a:chExt cx="3054850" cy="4128765"/>
        </a:xfrm>
      </xdr:grpSpPr>
      <xdr:grpSp>
        <xdr:nvGrpSpPr>
          <xdr:cNvPr id="10" name="Group 9">
            <a:extLst>
              <a:ext uri="{FF2B5EF4-FFF2-40B4-BE49-F238E27FC236}">
                <a16:creationId xmlns:a16="http://schemas.microsoft.com/office/drawing/2014/main" id="{AFAE4EC2-FED2-506E-37DA-6E01AA912F62}"/>
              </a:ext>
            </a:extLst>
          </xdr:cNvPr>
          <xdr:cNvGrpSpPr/>
        </xdr:nvGrpSpPr>
        <xdr:grpSpPr>
          <a:xfrm>
            <a:off x="1607017" y="5819228"/>
            <a:ext cx="2628037" cy="1647097"/>
            <a:chOff x="1644530" y="5819228"/>
            <a:chExt cx="2628037" cy="1647097"/>
          </a:xfrm>
        </xdr:grpSpPr>
        <xdr:pic>
          <xdr:nvPicPr>
            <xdr:cNvPr id="12" name="Picture 11">
              <a:extLst>
                <a:ext uri="{FF2B5EF4-FFF2-40B4-BE49-F238E27FC236}">
                  <a16:creationId xmlns:a16="http://schemas.microsoft.com/office/drawing/2014/main" id="{4759CEC1-A271-D60B-BA07-5534F18B884F}"/>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1644530" y="5819228"/>
              <a:ext cx="1227253" cy="1638468"/>
            </a:xfrm>
            <a:prstGeom prst="rect">
              <a:avLst/>
            </a:prstGeom>
            <a:ln>
              <a:solidFill>
                <a:schemeClr val="tx1"/>
              </a:solidFill>
            </a:ln>
          </xdr:spPr>
        </xdr:pic>
        <xdr:pic>
          <xdr:nvPicPr>
            <xdr:cNvPr id="13" name="Picture 12">
              <a:extLst>
                <a:ext uri="{FF2B5EF4-FFF2-40B4-BE49-F238E27FC236}">
                  <a16:creationId xmlns:a16="http://schemas.microsoft.com/office/drawing/2014/main" id="{7F0F19E5-FB67-CDD3-834A-E4724E41A25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3045314" y="5827857"/>
              <a:ext cx="1227253" cy="1638468"/>
            </a:xfrm>
            <a:prstGeom prst="rect">
              <a:avLst/>
            </a:prstGeom>
            <a:ln>
              <a:solidFill>
                <a:schemeClr val="tx1"/>
              </a:solidFill>
            </a:ln>
          </xdr:spPr>
        </xdr:pic>
      </xdr:grpSp>
      <xdr:pic>
        <xdr:nvPicPr>
          <xdr:cNvPr id="11" name="Picture 10">
            <a:extLst>
              <a:ext uri="{FF2B5EF4-FFF2-40B4-BE49-F238E27FC236}">
                <a16:creationId xmlns:a16="http://schemas.microsoft.com/office/drawing/2014/main" id="{E1CC69FD-3AAA-38F0-5B2C-48AB6C1B9BC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393610" y="3337560"/>
            <a:ext cx="3054850" cy="2293855"/>
          </a:xfrm>
          <a:prstGeom prst="rect">
            <a:avLst/>
          </a:prstGeom>
          <a:ln>
            <a:solidFill>
              <a:schemeClr val="tx1"/>
            </a:solidFill>
          </a:ln>
        </xdr:spPr>
      </xdr:pic>
    </xdr:grpSp>
    <xdr:clientData/>
  </xdr:twoCellAnchor>
  <xdr:twoCellAnchor>
    <xdr:from>
      <xdr:col>0</xdr:col>
      <xdr:colOff>670891</xdr:colOff>
      <xdr:row>153</xdr:row>
      <xdr:rowOff>157370</xdr:rowOff>
    </xdr:from>
    <xdr:to>
      <xdr:col>6</xdr:col>
      <xdr:colOff>646043</xdr:colOff>
      <xdr:row>186</xdr:row>
      <xdr:rowOff>8282</xdr:rowOff>
    </xdr:to>
    <xdr:grpSp>
      <xdr:nvGrpSpPr>
        <xdr:cNvPr id="22" name="Group 21"/>
        <xdr:cNvGrpSpPr/>
      </xdr:nvGrpSpPr>
      <xdr:grpSpPr>
        <a:xfrm>
          <a:off x="670891" y="21170348"/>
          <a:ext cx="4886739" cy="6402456"/>
          <a:chOff x="1168583" y="315543"/>
          <a:chExt cx="4687093" cy="8160242"/>
        </a:xfrm>
      </xdr:grpSpPr>
      <xdr:pic>
        <xdr:nvPicPr>
          <xdr:cNvPr id="23" name="Picture 22" descr="https://vsjcllp.vsjadon.com/upload/insp-239734-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89907" y="6762695"/>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9734-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19779" y="315543"/>
            <a:ext cx="4140255" cy="31080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9734-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89907"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734-151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59357" y="6769333"/>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734-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68583"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AGTX8isKDi8ETEn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27"/>
  <sheetViews>
    <sheetView tabSelected="1" view="pageBreakPreview" topLeftCell="A166" zoomScale="115" zoomScaleNormal="100" zoomScaleSheetLayoutView="115" zoomScalePageLayoutView="145" workbookViewId="0">
      <selection activeCell="I180" sqref="I180"/>
    </sheetView>
  </sheetViews>
  <sheetFormatPr defaultColWidth="9.140625" defaultRowHeight="15.75" x14ac:dyDescent="0.25"/>
  <cols>
    <col min="1" max="1" width="11.42578125" style="36" customWidth="1"/>
    <col min="2" max="2" width="12" style="36" customWidth="1"/>
    <col min="3" max="3" width="12.7109375" style="36" customWidth="1"/>
    <col min="4" max="4" width="14.140625" style="36" customWidth="1"/>
    <col min="5" max="7" width="11.7109375" style="36" customWidth="1"/>
    <col min="8" max="8" width="12.42578125" style="36" customWidth="1"/>
    <col min="9" max="9" width="17.42578125" style="20" customWidth="1"/>
    <col min="10" max="10" width="11.42578125" style="20" customWidth="1"/>
    <col min="11" max="11" width="10.5703125" style="20" bestFit="1" customWidth="1"/>
    <col min="12" max="12" width="10.5703125" style="20" customWidth="1"/>
    <col min="13" max="13" width="11.85546875" style="20" customWidth="1"/>
    <col min="14" max="14" width="12.5703125" style="20" hidden="1" customWidth="1"/>
    <col min="15" max="15" width="9.85546875" style="20" hidden="1" customWidth="1"/>
    <col min="16" max="16" width="11.7109375" style="20" hidden="1" customWidth="1"/>
    <col min="17"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8" ht="46.5" customHeight="1" x14ac:dyDescent="0.25">
      <c r="A1" s="139" t="s">
        <v>195</v>
      </c>
      <c r="B1" s="139"/>
      <c r="C1" s="139"/>
      <c r="D1" s="139"/>
      <c r="E1" s="139"/>
      <c r="F1" s="139"/>
      <c r="G1" s="139"/>
      <c r="H1" s="139"/>
    </row>
    <row r="2" spans="1:8" ht="16.5" customHeight="1" x14ac:dyDescent="0.25">
      <c r="A2" s="109" t="s">
        <v>0</v>
      </c>
      <c r="B2" s="109"/>
      <c r="C2" s="109"/>
      <c r="D2" s="109"/>
      <c r="E2" s="109"/>
      <c r="F2" s="109"/>
      <c r="G2" s="109"/>
      <c r="H2" s="109"/>
    </row>
    <row r="3" spans="1:8" x14ac:dyDescent="0.25">
      <c r="A3" s="57" t="s">
        <v>1</v>
      </c>
      <c r="B3" s="57"/>
      <c r="C3" s="57"/>
      <c r="D3" s="57"/>
      <c r="E3" s="140" t="str">
        <f ca="1">TEXT(TODAY(),"DD/MM/YYYY")</f>
        <v>14/07/2025</v>
      </c>
      <c r="F3" s="140"/>
      <c r="G3" s="140"/>
      <c r="H3" s="140"/>
    </row>
    <row r="4" spans="1:8" ht="15" customHeight="1" x14ac:dyDescent="0.25">
      <c r="A4" s="57" t="s">
        <v>2</v>
      </c>
      <c r="B4" s="57"/>
      <c r="C4" s="57"/>
      <c r="D4" s="57"/>
      <c r="E4" s="141" t="s">
        <v>165</v>
      </c>
      <c r="F4" s="141"/>
      <c r="G4" s="141"/>
      <c r="H4" s="141"/>
    </row>
    <row r="5" spans="1:8" x14ac:dyDescent="0.25">
      <c r="A5" s="57" t="s">
        <v>3</v>
      </c>
      <c r="B5" s="57"/>
      <c r="C5" s="57"/>
      <c r="D5" s="57"/>
      <c r="E5" s="140">
        <v>45849</v>
      </c>
      <c r="F5" s="140"/>
      <c r="G5" s="140"/>
      <c r="H5" s="140"/>
    </row>
    <row r="6" spans="1:8" ht="16.5" customHeight="1" x14ac:dyDescent="0.25">
      <c r="A6" s="57" t="s">
        <v>4</v>
      </c>
      <c r="B6" s="57"/>
      <c r="C6" s="57"/>
      <c r="D6" s="57"/>
      <c r="E6" s="73" t="s">
        <v>166</v>
      </c>
      <c r="F6" s="73"/>
      <c r="G6" s="73"/>
      <c r="H6" s="73"/>
    </row>
    <row r="7" spans="1:8" ht="15" customHeight="1" x14ac:dyDescent="0.25">
      <c r="A7" s="57" t="s">
        <v>5</v>
      </c>
      <c r="B7" s="57"/>
      <c r="C7" s="57"/>
      <c r="D7" s="57"/>
      <c r="E7" s="73" t="str">
        <f>E6</f>
        <v>Xrbia Warai Developers Private Limited</v>
      </c>
      <c r="F7" s="73"/>
      <c r="G7" s="73"/>
      <c r="H7" s="73"/>
    </row>
    <row r="8" spans="1:8" x14ac:dyDescent="0.25">
      <c r="A8" s="57" t="s">
        <v>6</v>
      </c>
      <c r="B8" s="57"/>
      <c r="C8" s="57"/>
      <c r="D8" s="57"/>
      <c r="E8" s="121" t="s">
        <v>194</v>
      </c>
      <c r="F8" s="121"/>
      <c r="G8" s="121"/>
      <c r="H8" s="121"/>
    </row>
    <row r="9" spans="1:8" x14ac:dyDescent="0.25">
      <c r="A9" s="57" t="s">
        <v>129</v>
      </c>
      <c r="B9" s="57"/>
      <c r="C9" s="57"/>
      <c r="D9" s="57"/>
      <c r="E9" s="57" t="s">
        <v>168</v>
      </c>
      <c r="F9" s="57"/>
      <c r="G9" s="57"/>
      <c r="H9" s="57"/>
    </row>
    <row r="10" spans="1:8" x14ac:dyDescent="0.25">
      <c r="A10" s="114" t="s">
        <v>7</v>
      </c>
      <c r="B10" s="114"/>
      <c r="C10" s="114"/>
      <c r="D10" s="114"/>
      <c r="E10" s="114" t="s">
        <v>184</v>
      </c>
      <c r="F10" s="114"/>
      <c r="G10" s="114"/>
      <c r="H10" s="114"/>
    </row>
    <row r="11" spans="1:8" x14ac:dyDescent="0.25">
      <c r="A11" s="57" t="s">
        <v>8</v>
      </c>
      <c r="B11" s="57"/>
      <c r="C11" s="57"/>
      <c r="D11" s="57"/>
      <c r="E11" s="76" t="s">
        <v>167</v>
      </c>
      <c r="F11" s="76"/>
      <c r="G11" s="76"/>
      <c r="H11" s="76"/>
    </row>
    <row r="12" spans="1:8" ht="33" customHeight="1" x14ac:dyDescent="0.25">
      <c r="A12" s="57" t="s">
        <v>9</v>
      </c>
      <c r="B12" s="57"/>
      <c r="C12" s="57"/>
      <c r="D12" s="57"/>
      <c r="E12" s="76" t="s">
        <v>185</v>
      </c>
      <c r="F12" s="112"/>
      <c r="G12" s="112"/>
      <c r="H12" s="112"/>
    </row>
    <row r="13" spans="1:8" ht="64.5" customHeight="1" x14ac:dyDescent="0.25">
      <c r="A13" s="73" t="s">
        <v>10</v>
      </c>
      <c r="B13" s="73"/>
      <c r="C13" s="73" t="str">
        <f>CONCATENATE((IF(OR(E8="",E8="NA"),"",E8)),", ",(IF(OR(A14="",A14="NA"),"",A14)),".",(IF(OR(C14="",C14="NA"),"",C14)),", near ",(IF(OR(C18="",C18="NA"),"",C18)),", ",(IF(OR(C15="",C15="NA"),"",C15)),", ",(IF(OR(G15="",G15="NA"),"",G15)),", ",(IF(OR(C16="",C16="NA"),"",C16)),", ",(IF(OR(C17="",C17="NA"),"",C17)),", ",(IF(OR(G16="",G16="NA"),"",G16))," , ",(IF(OR(G17="",G17="NA"),"",G17)),".")</f>
        <v>Xrbia Warai / Neral (D6 &amp; D8), Survey No.6/2, 6/3, 9/1, 9/2, 10/2A+2B (New S.No.10/2A/1), 10/4+5B ( New S.No.10/4A/2), 10/6, 10/9, 12/1+2+3 (New S.No.12/1A/1), 12/6+7+8 ( New S.No. 12/6A), 12/5, near Forest Escape Resort, Karjat - Murbad Road, Warai, Neral, Karjat, Raigad , 410101.</v>
      </c>
      <c r="D13" s="73"/>
      <c r="E13" s="73"/>
      <c r="F13" s="73"/>
      <c r="G13" s="73"/>
      <c r="H13" s="73"/>
    </row>
    <row r="14" spans="1:8" ht="47.25" customHeight="1" x14ac:dyDescent="0.25">
      <c r="A14" s="76" t="s">
        <v>173</v>
      </c>
      <c r="B14" s="76"/>
      <c r="C14" s="113" t="s">
        <v>175</v>
      </c>
      <c r="D14" s="113"/>
      <c r="E14" s="113"/>
      <c r="F14" s="113"/>
      <c r="G14" s="113"/>
      <c r="H14" s="113"/>
    </row>
    <row r="15" spans="1:8" ht="15.75" customHeight="1" x14ac:dyDescent="0.25">
      <c r="A15" s="73" t="s">
        <v>11</v>
      </c>
      <c r="B15" s="73"/>
      <c r="C15" s="114" t="s">
        <v>180</v>
      </c>
      <c r="D15" s="114"/>
      <c r="E15" s="73" t="s">
        <v>78</v>
      </c>
      <c r="F15" s="73"/>
      <c r="G15" s="113" t="s">
        <v>170</v>
      </c>
      <c r="H15" s="113"/>
    </row>
    <row r="16" spans="1:8" x14ac:dyDescent="0.25">
      <c r="A16" s="57" t="s">
        <v>13</v>
      </c>
      <c r="B16" s="57"/>
      <c r="C16" s="113" t="s">
        <v>174</v>
      </c>
      <c r="D16" s="113"/>
      <c r="E16" s="73" t="s">
        <v>12</v>
      </c>
      <c r="F16" s="73"/>
      <c r="G16" s="142" t="s">
        <v>172</v>
      </c>
      <c r="H16" s="142"/>
    </row>
    <row r="17" spans="1:8" x14ac:dyDescent="0.25">
      <c r="A17" s="57" t="s">
        <v>79</v>
      </c>
      <c r="B17" s="57"/>
      <c r="C17" s="113" t="s">
        <v>171</v>
      </c>
      <c r="D17" s="113"/>
      <c r="E17" s="73" t="s">
        <v>14</v>
      </c>
      <c r="F17" s="73"/>
      <c r="G17" s="113">
        <v>410101</v>
      </c>
      <c r="H17" s="113"/>
    </row>
    <row r="18" spans="1:8" ht="32.25" customHeight="1" x14ac:dyDescent="0.25">
      <c r="A18" s="57" t="s">
        <v>130</v>
      </c>
      <c r="B18" s="57"/>
      <c r="C18" s="73" t="s">
        <v>179</v>
      </c>
      <c r="D18" s="73"/>
      <c r="E18" s="73" t="s">
        <v>15</v>
      </c>
      <c r="F18" s="73"/>
      <c r="G18" s="76" t="s">
        <v>169</v>
      </c>
      <c r="H18" s="76"/>
    </row>
    <row r="19" spans="1:8" ht="15" customHeight="1" x14ac:dyDescent="0.25">
      <c r="A19" s="73" t="s">
        <v>83</v>
      </c>
      <c r="B19" s="73"/>
      <c r="C19" s="73"/>
      <c r="D19" s="73"/>
      <c r="E19" s="114" t="s">
        <v>16</v>
      </c>
      <c r="F19" s="114"/>
      <c r="G19" s="114"/>
      <c r="H19" s="114"/>
    </row>
    <row r="20" spans="1:8" ht="18.75" customHeight="1" x14ac:dyDescent="0.25">
      <c r="A20" s="73"/>
      <c r="B20" s="73"/>
      <c r="C20" s="73"/>
      <c r="D20" s="73"/>
      <c r="E20" s="114"/>
      <c r="F20" s="114"/>
      <c r="G20" s="114"/>
      <c r="H20" s="114"/>
    </row>
    <row r="21" spans="1:8" ht="15" customHeight="1" x14ac:dyDescent="0.25">
      <c r="A21" s="73" t="s">
        <v>17</v>
      </c>
      <c r="B21" s="73"/>
      <c r="C21" s="73"/>
      <c r="D21" s="73"/>
      <c r="E21" s="113" t="s">
        <v>18</v>
      </c>
      <c r="F21" s="113"/>
      <c r="G21" s="113"/>
      <c r="H21" s="113"/>
    </row>
    <row r="22" spans="1:8" ht="15" customHeight="1" x14ac:dyDescent="0.25">
      <c r="A22" s="57" t="s">
        <v>19</v>
      </c>
      <c r="B22" s="57"/>
      <c r="C22" s="57"/>
      <c r="D22" s="57"/>
      <c r="E22" s="113" t="str">
        <f>IF(AND(G16="Mumbai"),"Upper Class","Middle Class")</f>
        <v>Middle Class</v>
      </c>
      <c r="F22" s="113"/>
      <c r="G22" s="113"/>
      <c r="H22" s="113"/>
    </row>
    <row r="23" spans="1:8" x14ac:dyDescent="0.25">
      <c r="A23" s="57" t="s">
        <v>20</v>
      </c>
      <c r="B23" s="57"/>
      <c r="C23" s="57"/>
      <c r="D23" s="57"/>
      <c r="E23" s="113" t="s">
        <v>21</v>
      </c>
      <c r="F23" s="113"/>
      <c r="G23" s="113"/>
      <c r="H23" s="113"/>
    </row>
    <row r="24" spans="1:8" ht="15.75" customHeight="1" x14ac:dyDescent="0.25">
      <c r="A24" s="57" t="s">
        <v>22</v>
      </c>
      <c r="B24" s="57"/>
      <c r="C24" s="57"/>
      <c r="D24" s="57"/>
      <c r="E24" s="113" t="str">
        <f>IF(AND(G16="Mumbai"),"Developed","Developing")</f>
        <v>Developing</v>
      </c>
      <c r="F24" s="113"/>
      <c r="G24" s="113"/>
      <c r="H24" s="113"/>
    </row>
    <row r="25" spans="1:8" x14ac:dyDescent="0.25">
      <c r="A25" s="57" t="s">
        <v>23</v>
      </c>
      <c r="B25" s="57"/>
      <c r="C25" s="57"/>
      <c r="D25" s="57"/>
      <c r="E25" s="113" t="s">
        <v>24</v>
      </c>
      <c r="F25" s="113"/>
      <c r="G25" s="113"/>
      <c r="H25" s="113"/>
    </row>
    <row r="26" spans="1:8" x14ac:dyDescent="0.25">
      <c r="A26" s="57" t="s">
        <v>88</v>
      </c>
      <c r="B26" s="57"/>
      <c r="C26" s="57"/>
      <c r="D26" s="57"/>
      <c r="E26" s="113" t="s">
        <v>89</v>
      </c>
      <c r="F26" s="113"/>
      <c r="G26" s="113"/>
      <c r="H26" s="113"/>
    </row>
    <row r="27" spans="1:8" ht="15" customHeight="1" x14ac:dyDescent="0.25">
      <c r="A27" s="73" t="s">
        <v>33</v>
      </c>
      <c r="B27" s="73"/>
      <c r="C27" s="73"/>
      <c r="D27" s="73"/>
      <c r="E27" s="145" t="s">
        <v>183</v>
      </c>
      <c r="F27" s="145"/>
      <c r="G27" s="145"/>
      <c r="H27" s="145"/>
    </row>
    <row r="28" spans="1:8" x14ac:dyDescent="0.25">
      <c r="A28" s="73" t="s">
        <v>100</v>
      </c>
      <c r="B28" s="73"/>
      <c r="C28" s="73"/>
      <c r="D28" s="73"/>
      <c r="E28" s="73" t="s">
        <v>34</v>
      </c>
      <c r="F28" s="73"/>
      <c r="G28" s="73"/>
      <c r="H28" s="73"/>
    </row>
    <row r="29" spans="1:8" s="21" customFormat="1" x14ac:dyDescent="0.25">
      <c r="A29" s="148" t="s">
        <v>101</v>
      </c>
      <c r="B29" s="148"/>
      <c r="C29" s="147" t="s">
        <v>29</v>
      </c>
      <c r="D29" s="147"/>
      <c r="E29" s="147"/>
      <c r="F29" s="147" t="s">
        <v>31</v>
      </c>
      <c r="G29" s="147"/>
      <c r="H29" s="147"/>
    </row>
    <row r="30" spans="1:8" s="21" customFormat="1" x14ac:dyDescent="0.25">
      <c r="A30" s="143" t="s">
        <v>25</v>
      </c>
      <c r="B30" s="143" t="s">
        <v>30</v>
      </c>
      <c r="C30" s="144" t="s">
        <v>30</v>
      </c>
      <c r="D30" s="144"/>
      <c r="E30" s="144"/>
      <c r="F30" s="144" t="s">
        <v>178</v>
      </c>
      <c r="G30" s="144"/>
      <c r="H30" s="144"/>
    </row>
    <row r="31" spans="1:8" x14ac:dyDescent="0.25">
      <c r="A31" s="143" t="s">
        <v>26</v>
      </c>
      <c r="B31" s="143" t="s">
        <v>30</v>
      </c>
      <c r="C31" s="144" t="s">
        <v>30</v>
      </c>
      <c r="D31" s="144"/>
      <c r="E31" s="144"/>
      <c r="F31" s="144" t="s">
        <v>178</v>
      </c>
      <c r="G31" s="144"/>
      <c r="H31" s="144"/>
    </row>
    <row r="32" spans="1:8" s="21" customFormat="1" x14ac:dyDescent="0.25">
      <c r="A32" s="143" t="s">
        <v>28</v>
      </c>
      <c r="B32" s="143" t="s">
        <v>30</v>
      </c>
      <c r="C32" s="144" t="s">
        <v>30</v>
      </c>
      <c r="D32" s="144"/>
      <c r="E32" s="144"/>
      <c r="F32" s="144" t="s">
        <v>176</v>
      </c>
      <c r="G32" s="144"/>
      <c r="H32" s="144"/>
    </row>
    <row r="33" spans="1:8" x14ac:dyDescent="0.25">
      <c r="A33" s="143" t="s">
        <v>27</v>
      </c>
      <c r="B33" s="143" t="s">
        <v>30</v>
      </c>
      <c r="C33" s="144" t="s">
        <v>30</v>
      </c>
      <c r="D33" s="144"/>
      <c r="E33" s="144"/>
      <c r="F33" s="144" t="s">
        <v>177</v>
      </c>
      <c r="G33" s="144"/>
      <c r="H33" s="144"/>
    </row>
    <row r="34" spans="1:8" x14ac:dyDescent="0.25">
      <c r="A34" s="57" t="s">
        <v>32</v>
      </c>
      <c r="B34" s="57"/>
      <c r="C34" s="57"/>
      <c r="D34" s="57"/>
      <c r="E34" s="57"/>
      <c r="F34" s="57"/>
      <c r="G34" s="57"/>
      <c r="H34" s="57"/>
    </row>
    <row r="35" spans="1:8" ht="15.75" customHeight="1" x14ac:dyDescent="0.25">
      <c r="A35" s="57" t="s">
        <v>196</v>
      </c>
      <c r="B35" s="57"/>
      <c r="C35" s="152" t="s">
        <v>197</v>
      </c>
      <c r="D35" s="153"/>
      <c r="E35" s="153"/>
      <c r="F35" s="153"/>
      <c r="G35" s="153"/>
      <c r="H35" s="154"/>
    </row>
    <row r="36" spans="1:8" ht="15.75" customHeight="1" x14ac:dyDescent="0.25">
      <c r="A36" s="57" t="s">
        <v>192</v>
      </c>
      <c r="B36" s="57"/>
      <c r="C36" s="149" t="s">
        <v>193</v>
      </c>
      <c r="D36" s="150"/>
      <c r="E36" s="150"/>
      <c r="F36" s="150"/>
      <c r="G36" s="150"/>
      <c r="H36" s="151"/>
    </row>
    <row r="37" spans="1:8" x14ac:dyDescent="0.25">
      <c r="A37" s="121" t="s">
        <v>35</v>
      </c>
      <c r="B37" s="121"/>
      <c r="C37" s="121"/>
      <c r="D37" s="121"/>
      <c r="E37" s="121"/>
      <c r="F37" s="121"/>
      <c r="G37" s="121"/>
      <c r="H37" s="121"/>
    </row>
    <row r="38" spans="1:8" x14ac:dyDescent="0.25">
      <c r="A38" s="57" t="s">
        <v>36</v>
      </c>
      <c r="B38" s="57"/>
      <c r="C38" s="57"/>
      <c r="D38" s="57"/>
      <c r="E38" s="146" t="s">
        <v>30</v>
      </c>
      <c r="F38" s="146"/>
      <c r="G38" s="146"/>
      <c r="H38" s="146"/>
    </row>
    <row r="39" spans="1:8" x14ac:dyDescent="0.25">
      <c r="A39" s="57" t="s">
        <v>37</v>
      </c>
      <c r="B39" s="57"/>
      <c r="C39" s="57"/>
      <c r="D39" s="57"/>
      <c r="E39" s="56" t="s">
        <v>30</v>
      </c>
      <c r="F39" s="56"/>
      <c r="G39" s="56"/>
      <c r="H39" s="56"/>
    </row>
    <row r="40" spans="1:8" x14ac:dyDescent="0.25">
      <c r="A40" s="57" t="s">
        <v>38</v>
      </c>
      <c r="B40" s="57"/>
      <c r="C40" s="57"/>
      <c r="D40" s="57"/>
      <c r="E40" s="56" t="s">
        <v>30</v>
      </c>
      <c r="F40" s="56"/>
      <c r="G40" s="56"/>
      <c r="H40" s="56"/>
    </row>
    <row r="41" spans="1:8" x14ac:dyDescent="0.25">
      <c r="A41" s="57" t="s">
        <v>39</v>
      </c>
      <c r="B41" s="57"/>
      <c r="C41" s="57"/>
      <c r="D41" s="57"/>
      <c r="E41" s="56" t="s">
        <v>30</v>
      </c>
      <c r="F41" s="56"/>
      <c r="G41" s="56"/>
      <c r="H41" s="56"/>
    </row>
    <row r="42" spans="1:8" x14ac:dyDescent="0.25">
      <c r="A42" s="57" t="s">
        <v>99</v>
      </c>
      <c r="B42" s="57"/>
      <c r="C42" s="57"/>
      <c r="D42" s="57"/>
      <c r="E42" s="125" t="s">
        <v>30</v>
      </c>
      <c r="F42" s="125"/>
      <c r="G42" s="125"/>
      <c r="H42" s="125"/>
    </row>
    <row r="43" spans="1:8" x14ac:dyDescent="0.25">
      <c r="A43" s="114" t="s">
        <v>40</v>
      </c>
      <c r="B43" s="114"/>
      <c r="C43" s="114"/>
      <c r="D43" s="114"/>
      <c r="E43" s="112" t="s">
        <v>189</v>
      </c>
      <c r="F43" s="112"/>
      <c r="G43" s="112"/>
      <c r="H43" s="112"/>
    </row>
    <row r="44" spans="1:8" x14ac:dyDescent="0.25">
      <c r="A44" s="121" t="s">
        <v>41</v>
      </c>
      <c r="B44" s="121"/>
      <c r="C44" s="121"/>
      <c r="D44" s="121"/>
      <c r="E44" s="121"/>
      <c r="F44" s="121"/>
      <c r="G44" s="121"/>
      <c r="H44" s="121"/>
    </row>
    <row r="45" spans="1:8" x14ac:dyDescent="0.25">
      <c r="A45" s="76" t="s">
        <v>42</v>
      </c>
      <c r="B45" s="76"/>
      <c r="C45" s="76" t="s">
        <v>30</v>
      </c>
      <c r="D45" s="76"/>
      <c r="E45" s="76"/>
      <c r="F45" s="39" t="s">
        <v>43</v>
      </c>
      <c r="G45" s="77" t="s">
        <v>30</v>
      </c>
      <c r="H45" s="77"/>
    </row>
    <row r="46" spans="1:8" x14ac:dyDescent="0.25">
      <c r="A46" s="112" t="s">
        <v>44</v>
      </c>
      <c r="B46" s="112"/>
      <c r="C46" s="76" t="str">
        <f>C45</f>
        <v>NA</v>
      </c>
      <c r="D46" s="76"/>
      <c r="E46" s="76"/>
      <c r="F46" s="39" t="s">
        <v>43</v>
      </c>
      <c r="G46" s="77" t="str">
        <f>G45</f>
        <v>NA</v>
      </c>
      <c r="H46" s="77"/>
    </row>
    <row r="47" spans="1:8" s="23" customFormat="1" x14ac:dyDescent="0.25">
      <c r="A47" s="113" t="s">
        <v>45</v>
      </c>
      <c r="B47" s="113"/>
      <c r="C47" s="76" t="s">
        <v>181</v>
      </c>
      <c r="D47" s="112"/>
      <c r="E47" s="112"/>
      <c r="F47" s="22" t="s">
        <v>43</v>
      </c>
      <c r="G47" s="77">
        <v>42530</v>
      </c>
      <c r="H47" s="77"/>
    </row>
    <row r="48" spans="1:8" s="23" customFormat="1" x14ac:dyDescent="0.25">
      <c r="A48" s="113"/>
      <c r="B48" s="113"/>
      <c r="C48" s="60" t="s">
        <v>186</v>
      </c>
      <c r="D48" s="61"/>
      <c r="E48" s="61"/>
      <c r="F48" s="61"/>
      <c r="G48" s="61"/>
      <c r="H48" s="62"/>
    </row>
    <row r="49" spans="1:14" x14ac:dyDescent="0.25">
      <c r="A49" s="110" t="s">
        <v>46</v>
      </c>
      <c r="B49" s="110"/>
      <c r="C49" s="110" t="s">
        <v>109</v>
      </c>
      <c r="D49" s="111"/>
      <c r="E49" s="111" t="s">
        <v>47</v>
      </c>
      <c r="F49" s="38" t="s">
        <v>43</v>
      </c>
      <c r="G49" s="115" t="s">
        <v>30</v>
      </c>
      <c r="H49" s="115"/>
    </row>
    <row r="50" spans="1:14" x14ac:dyDescent="0.25">
      <c r="A50" s="92" t="s">
        <v>49</v>
      </c>
      <c r="B50" s="92"/>
      <c r="C50" s="92"/>
      <c r="D50" s="92"/>
      <c r="E50" s="92"/>
      <c r="F50" s="92"/>
      <c r="G50" s="92"/>
      <c r="H50" s="92"/>
    </row>
    <row r="51" spans="1:14" x14ac:dyDescent="0.25">
      <c r="A51" s="73" t="s">
        <v>98</v>
      </c>
      <c r="B51" s="73"/>
      <c r="C51" s="73"/>
      <c r="D51" s="57" t="str">
        <f>E42</f>
        <v>NA</v>
      </c>
      <c r="E51" s="57"/>
      <c r="F51" s="57"/>
      <c r="G51" s="57"/>
      <c r="H51" s="57"/>
    </row>
    <row r="52" spans="1:14" x14ac:dyDescent="0.25">
      <c r="A52" s="113" t="s">
        <v>50</v>
      </c>
      <c r="B52" s="114"/>
      <c r="C52" s="114"/>
      <c r="D52" s="112" t="s">
        <v>30</v>
      </c>
      <c r="E52" s="112"/>
      <c r="F52" s="112"/>
      <c r="G52" s="112"/>
      <c r="H52" s="112"/>
      <c r="I52" s="24"/>
    </row>
    <row r="53" spans="1:14" x14ac:dyDescent="0.25">
      <c r="A53" s="116" t="s">
        <v>51</v>
      </c>
      <c r="B53" s="117"/>
      <c r="C53" s="128"/>
      <c r="D53" s="126" t="s">
        <v>187</v>
      </c>
      <c r="E53" s="127"/>
      <c r="F53" s="127"/>
      <c r="G53" s="127"/>
      <c r="H53" s="127"/>
    </row>
    <row r="54" spans="1:14" ht="15.75" customHeight="1" x14ac:dyDescent="0.25">
      <c r="A54" s="116" t="s">
        <v>96</v>
      </c>
      <c r="B54" s="117"/>
      <c r="C54" s="117"/>
      <c r="D54" s="129" t="s">
        <v>188</v>
      </c>
      <c r="E54" s="130"/>
      <c r="F54" s="130"/>
      <c r="G54" s="130"/>
      <c r="H54" s="131"/>
    </row>
    <row r="55" spans="1:14" ht="15.75" customHeight="1" x14ac:dyDescent="0.25">
      <c r="A55" s="57" t="s">
        <v>48</v>
      </c>
      <c r="B55" s="57"/>
      <c r="C55" s="57"/>
      <c r="D55" s="73" t="s">
        <v>190</v>
      </c>
      <c r="E55" s="73"/>
      <c r="F55" s="73"/>
      <c r="G55" s="73"/>
      <c r="H55" s="73"/>
      <c r="J55" s="25"/>
      <c r="K55" s="24"/>
      <c r="N55" s="24"/>
    </row>
    <row r="56" spans="1:14" ht="15.75" customHeight="1" x14ac:dyDescent="0.25">
      <c r="A56" s="57" t="s">
        <v>94</v>
      </c>
      <c r="B56" s="57"/>
      <c r="C56" s="57"/>
      <c r="D56" s="138" t="s">
        <v>191</v>
      </c>
      <c r="E56" s="138"/>
      <c r="F56" s="138"/>
      <c r="G56" s="138"/>
      <c r="H56" s="138"/>
      <c r="N56" s="24"/>
    </row>
    <row r="57" spans="1:14" ht="15.75" customHeight="1" x14ac:dyDescent="0.25">
      <c r="A57" s="57" t="s">
        <v>95</v>
      </c>
      <c r="B57" s="57"/>
      <c r="C57" s="57"/>
      <c r="D57" s="73" t="s">
        <v>24</v>
      </c>
      <c r="E57" s="73"/>
      <c r="F57" s="73"/>
      <c r="G57" s="73"/>
      <c r="H57" s="73"/>
      <c r="J57" s="26"/>
      <c r="K57" s="26"/>
    </row>
    <row r="58" spans="1:14" ht="15" hidden="1" customHeight="1" x14ac:dyDescent="0.25">
      <c r="A58" s="57" t="s">
        <v>80</v>
      </c>
      <c r="B58" s="57"/>
      <c r="C58" s="57"/>
      <c r="D58" s="113" t="s">
        <v>161</v>
      </c>
      <c r="E58" s="73"/>
      <c r="F58" s="73"/>
      <c r="G58" s="73"/>
      <c r="H58" s="73"/>
    </row>
    <row r="59" spans="1:14" x14ac:dyDescent="0.25">
      <c r="A59" s="73" t="s">
        <v>162</v>
      </c>
      <c r="B59" s="73"/>
      <c r="C59" s="73"/>
      <c r="D59" s="73" t="s">
        <v>30</v>
      </c>
      <c r="E59" s="73"/>
      <c r="F59" s="73"/>
      <c r="G59" s="73"/>
      <c r="H59" s="73"/>
      <c r="I59" s="27"/>
      <c r="J59" s="27"/>
      <c r="K59" s="27"/>
      <c r="L59" s="27"/>
      <c r="M59" s="27"/>
      <c r="N59" s="27"/>
    </row>
    <row r="60" spans="1:14" ht="15.75" customHeight="1" x14ac:dyDescent="0.25">
      <c r="A60" s="63" t="s">
        <v>93</v>
      </c>
      <c r="B60" s="63"/>
      <c r="C60" s="63"/>
      <c r="D60" s="64" t="str">
        <f ca="1">(IF(G66&gt;95%,"Nothing",IF(G66&gt;0%,"Cement, Aggregate, Steel, etc",IF(G66=0%,"Work not yet Started"))))</f>
        <v>Nothing</v>
      </c>
      <c r="E60" s="64"/>
      <c r="F60" s="64"/>
      <c r="G60" s="64"/>
      <c r="H60" s="64"/>
      <c r="J60" s="26"/>
    </row>
    <row r="61" spans="1:14" ht="33.75" customHeight="1" thickBot="1" x14ac:dyDescent="0.3">
      <c r="A61" s="78" t="s">
        <v>122</v>
      </c>
      <c r="B61" s="78"/>
      <c r="C61" s="78"/>
      <c r="D61" s="64" t="str">
        <f ca="1">(IF(D60="Nothing","Yes",IF(D60="Cement, Aggregate, Steel, etc","Under Construction",IF(D60="Work not yet Started","Work not yet Started"))))</f>
        <v>Yes</v>
      </c>
      <c r="E61" s="64"/>
      <c r="F61" s="64" t="str">
        <f ca="1">(IF(D60="Nothing","Yes",IF(D60="Cement, Aggregate, Steel, etc","Under Construction",IF(D60="Work not yet Started","Work not yet Started"))))</f>
        <v>Yes</v>
      </c>
      <c r="G61" s="64"/>
      <c r="H61" s="64"/>
    </row>
    <row r="62" spans="1:14" ht="15.75" customHeight="1" x14ac:dyDescent="0.25">
      <c r="A62" s="68" t="s">
        <v>151</v>
      </c>
      <c r="B62" s="69"/>
      <c r="C62" s="70" t="str">
        <f>D54</f>
        <v>Building D6 &amp; D8 = G + 1st to 4th Floor</v>
      </c>
      <c r="D62" s="71"/>
      <c r="E62" s="71"/>
      <c r="F62" s="71"/>
      <c r="G62" s="71"/>
      <c r="H62" s="72"/>
      <c r="I62" s="14"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 Completed",IF(C68&gt;0,", RCC upto "&amp;C68&amp;" Slab Completed",""))&amp;(IF(C69=H63,", Brickwork Completed",IF(C69&gt;0,", Brickwork upto "&amp;C69&amp;" Floor Completed",""))&amp;(IF(C70=H63,", Internal Plaster Completed",IF(C70&gt;0,", Internal Plaster upto "&amp;C70&amp;" Floor Completed",""))&amp;(IF(C71=H63,", External Plaster Completed",IF(C71&gt;0,", External Plaster upto "&amp;C71&amp;" Floor Completed",""))&amp;(IF(C72=H63,", Flooring Completed",IF(C72&gt;0,", Flooring upto "&amp;C72&amp;" Floor Completed",""))&amp;(IF(C73=H63,", Painting Completed",IF(C73&gt;0,", Painting upto "&amp;C73&amp;" Floor Completed",""))&amp;(IF(C74&gt;0,", Finishing upto "&amp;C74&amp;" Floor Completed","")&amp;(IF(C68&gt;0.5,".",""))))))))))))))</f>
        <v>All work completed. Please provide OC.</v>
      </c>
      <c r="J62" s="28"/>
    </row>
    <row r="63" spans="1:14" s="23" customFormat="1" x14ac:dyDescent="0.25">
      <c r="A63" s="15" t="s">
        <v>153</v>
      </c>
      <c r="B63" s="40">
        <v>0</v>
      </c>
      <c r="C63" s="40" t="s">
        <v>77</v>
      </c>
      <c r="D63" s="40">
        <v>1</v>
      </c>
      <c r="E63" s="40" t="s">
        <v>76</v>
      </c>
      <c r="F63" s="40">
        <v>0</v>
      </c>
      <c r="G63" s="40" t="s">
        <v>87</v>
      </c>
      <c r="H63" s="16">
        <f ca="1">--TRIM(RIGHT(SUBSTITUTE(LEFT(C62,_xlfn.AGGREGATE(16,6,FIND({0,1,2,3,4,5,6,7,8,9},C62,ROW(INDIRECT("1:"&amp;LEN(C62)))),1))," ",REPT(" ",LEN(C62))),LEN(C62)))</f>
        <v>4</v>
      </c>
      <c r="I63" s="41"/>
      <c r="J63" s="42"/>
    </row>
    <row r="64" spans="1:14" s="23" customFormat="1" ht="17.25" customHeight="1" x14ac:dyDescent="0.25">
      <c r="A64" s="66" t="s">
        <v>97</v>
      </c>
      <c r="B64" s="67"/>
      <c r="C64" s="74" t="str">
        <f ca="1">I62</f>
        <v>All work completed. Please provide OC.</v>
      </c>
      <c r="D64" s="74"/>
      <c r="E64" s="74"/>
      <c r="F64" s="74"/>
      <c r="G64" s="74"/>
      <c r="H64" s="75"/>
      <c r="I64" s="41" t="s">
        <v>108</v>
      </c>
      <c r="J64" s="42"/>
    </row>
    <row r="65" spans="1:10" s="23" customFormat="1" ht="15.75" customHeight="1" x14ac:dyDescent="0.25">
      <c r="A65" s="58" t="s">
        <v>52</v>
      </c>
      <c r="B65" s="59"/>
      <c r="C65" s="43" t="s">
        <v>150</v>
      </c>
      <c r="D65" s="43" t="s">
        <v>90</v>
      </c>
      <c r="E65" s="59" t="s">
        <v>92</v>
      </c>
      <c r="F65" s="59"/>
      <c r="G65" s="59" t="s">
        <v>91</v>
      </c>
      <c r="H65" s="65"/>
      <c r="I65" s="44" t="s">
        <v>152</v>
      </c>
      <c r="J65" s="45">
        <f ca="1">H63*25%</f>
        <v>1</v>
      </c>
    </row>
    <row r="66" spans="1:10" s="23" customFormat="1" x14ac:dyDescent="0.25">
      <c r="A66" s="58" t="s">
        <v>139</v>
      </c>
      <c r="B66" s="59"/>
      <c r="C66" s="46">
        <f ca="1">J67</f>
        <v>4</v>
      </c>
      <c r="D66" s="47">
        <f ca="1">((100/H63)*C66)/100</f>
        <v>1</v>
      </c>
      <c r="E66" s="132">
        <f ca="1">(((C67/H63*10)+(40/(D63+F63+H63)*C68)+(7.5/(H63)*C69)+(7.5/(H63)*C70)+(10/H63*C71)+(10/H63*C72)+(5/H63*C73)+(5/H63*C74)+(5/H63*C75))/100)</f>
        <v>1</v>
      </c>
      <c r="F66" s="132"/>
      <c r="G66" s="132">
        <f ca="1">((((C66/H63)*20)+((C67/H63)*25)+(30/(H63+F63+D63)*C68)+(5/H63*C69)+(5/H63*C70)+(5/H63*C71)+(5/H63*C72)+(0/H63*C73)+(0/H63*C74)+(5/H63*C75))/100)</f>
        <v>1</v>
      </c>
      <c r="H66" s="134"/>
      <c r="I66" s="44" t="s">
        <v>103</v>
      </c>
      <c r="J66" s="48">
        <f ca="1">H63*50%</f>
        <v>2</v>
      </c>
    </row>
    <row r="67" spans="1:10" s="23" customFormat="1" x14ac:dyDescent="0.25">
      <c r="A67" s="58" t="s">
        <v>53</v>
      </c>
      <c r="B67" s="59"/>
      <c r="C67" s="49">
        <f ca="1">J75</f>
        <v>4</v>
      </c>
      <c r="D67" s="47">
        <f ca="1">((100/H63)*C67)/100</f>
        <v>1</v>
      </c>
      <c r="E67" s="132"/>
      <c r="F67" s="132"/>
      <c r="G67" s="132"/>
      <c r="H67" s="134"/>
      <c r="I67" s="44" t="s">
        <v>104</v>
      </c>
      <c r="J67" s="48">
        <f ca="1">H63</f>
        <v>4</v>
      </c>
    </row>
    <row r="68" spans="1:10" s="23" customFormat="1" ht="15.75" customHeight="1" x14ac:dyDescent="0.25">
      <c r="A68" s="58" t="s">
        <v>140</v>
      </c>
      <c r="B68" s="59"/>
      <c r="C68" s="49">
        <f ca="1">D63+H63</f>
        <v>5</v>
      </c>
      <c r="D68" s="47">
        <f ca="1">((100/(D63+F63+H63))*C68)/100</f>
        <v>1</v>
      </c>
      <c r="E68" s="132"/>
      <c r="F68" s="132"/>
      <c r="G68" s="132"/>
      <c r="H68" s="134"/>
      <c r="I68" s="44" t="s">
        <v>105</v>
      </c>
      <c r="J68" s="50">
        <f ca="1">(IF(B63&gt;1,(H63/(B63+2)),H63/4))</f>
        <v>1</v>
      </c>
    </row>
    <row r="69" spans="1:10" s="23" customFormat="1" ht="15.75" customHeight="1" x14ac:dyDescent="0.25">
      <c r="A69" s="58" t="s">
        <v>147</v>
      </c>
      <c r="B69" s="59" t="s">
        <v>141</v>
      </c>
      <c r="C69" s="46">
        <v>4</v>
      </c>
      <c r="D69" s="47">
        <f ca="1">((100/H63)*C69)/100</f>
        <v>1</v>
      </c>
      <c r="E69" s="132"/>
      <c r="F69" s="132"/>
      <c r="G69" s="132"/>
      <c r="H69" s="134"/>
      <c r="I69" s="44" t="s">
        <v>106</v>
      </c>
      <c r="J69" s="50">
        <f ca="1">(IF(B63&gt;1,(H63/(B63+2)+J68),H63/4+J68))</f>
        <v>2</v>
      </c>
    </row>
    <row r="70" spans="1:10" s="23" customFormat="1" ht="15.75" customHeight="1" x14ac:dyDescent="0.25">
      <c r="A70" s="58" t="s">
        <v>148</v>
      </c>
      <c r="B70" s="59" t="s">
        <v>141</v>
      </c>
      <c r="C70" s="46">
        <v>4</v>
      </c>
      <c r="D70" s="47">
        <f ca="1">((100/H63)*C70)/100</f>
        <v>1</v>
      </c>
      <c r="E70" s="132"/>
      <c r="F70" s="132"/>
      <c r="G70" s="132"/>
      <c r="H70" s="134"/>
      <c r="I70" s="44" t="s">
        <v>159</v>
      </c>
      <c r="J70" s="50">
        <f>(IF(B63&gt;1,(H63/(B63+2)+J69),0))</f>
        <v>0</v>
      </c>
    </row>
    <row r="71" spans="1:10" s="23" customFormat="1" ht="15" customHeight="1" x14ac:dyDescent="0.25">
      <c r="A71" s="58" t="s">
        <v>146</v>
      </c>
      <c r="B71" s="59" t="s">
        <v>143</v>
      </c>
      <c r="C71" s="46">
        <v>4</v>
      </c>
      <c r="D71" s="47">
        <f ca="1">((100/(H63))*C71)/100</f>
        <v>1</v>
      </c>
      <c r="E71" s="132"/>
      <c r="F71" s="132"/>
      <c r="G71" s="132"/>
      <c r="H71" s="134"/>
      <c r="I71" s="44" t="s">
        <v>154</v>
      </c>
      <c r="J71" s="50">
        <f>(IF(B63&gt;2,(H63/(B63+2)+J70),0))</f>
        <v>0</v>
      </c>
    </row>
    <row r="72" spans="1:10" s="23" customFormat="1" ht="15.75" customHeight="1" x14ac:dyDescent="0.25">
      <c r="A72" s="58" t="s">
        <v>142</v>
      </c>
      <c r="B72" s="59" t="s">
        <v>142</v>
      </c>
      <c r="C72" s="46">
        <v>4</v>
      </c>
      <c r="D72" s="47">
        <f ca="1">((100/H63)*C72)/100</f>
        <v>1</v>
      </c>
      <c r="E72" s="132"/>
      <c r="F72" s="132"/>
      <c r="G72" s="132"/>
      <c r="H72" s="134"/>
      <c r="I72" s="44" t="s">
        <v>155</v>
      </c>
      <c r="J72" s="51">
        <f>(IF(B63&gt;3,(H63/(B63+2)+J71),0))</f>
        <v>0</v>
      </c>
    </row>
    <row r="73" spans="1:10" s="23" customFormat="1" ht="15.75" customHeight="1" x14ac:dyDescent="0.25">
      <c r="A73" s="58" t="s">
        <v>149</v>
      </c>
      <c r="B73" s="59"/>
      <c r="C73" s="46">
        <v>4</v>
      </c>
      <c r="D73" s="47">
        <f ca="1">((100/H63)*C73)/100</f>
        <v>1</v>
      </c>
      <c r="E73" s="132"/>
      <c r="F73" s="132"/>
      <c r="G73" s="132"/>
      <c r="H73" s="134"/>
      <c r="I73" s="44" t="s">
        <v>156</v>
      </c>
      <c r="J73" s="50">
        <f>(IF(B63&gt;4,(H63/(B63+2)+J72),0))</f>
        <v>0</v>
      </c>
    </row>
    <row r="74" spans="1:10" s="23" customFormat="1" ht="15.75" customHeight="1" x14ac:dyDescent="0.25">
      <c r="A74" s="58" t="s">
        <v>144</v>
      </c>
      <c r="B74" s="59" t="s">
        <v>144</v>
      </c>
      <c r="C74" s="46">
        <v>4</v>
      </c>
      <c r="D74" s="47">
        <f ca="1">((100/(H63))*C74)/100</f>
        <v>1</v>
      </c>
      <c r="E74" s="132"/>
      <c r="F74" s="132"/>
      <c r="G74" s="132"/>
      <c r="H74" s="134"/>
      <c r="I74" s="44" t="s">
        <v>160</v>
      </c>
      <c r="J74" s="50">
        <f ca="1">(IF(B63=1,(H63/(B63+3)+J69),IF(B63=0,(H63/4+J69),IF(B63&gt;1,0))))</f>
        <v>3</v>
      </c>
    </row>
    <row r="75" spans="1:10" s="23" customFormat="1" ht="16.5" thickBot="1" x14ac:dyDescent="0.3">
      <c r="A75" s="136" t="s">
        <v>145</v>
      </c>
      <c r="B75" s="137"/>
      <c r="C75" s="52">
        <v>4</v>
      </c>
      <c r="D75" s="53">
        <f ca="1">((100/(H63))*C75)/100</f>
        <v>1</v>
      </c>
      <c r="E75" s="133"/>
      <c r="F75" s="133"/>
      <c r="G75" s="133"/>
      <c r="H75" s="135"/>
      <c r="I75" s="54" t="s">
        <v>107</v>
      </c>
      <c r="J75" s="55">
        <f ca="1">(IF(B63&gt;1.5,(H63/(B63+2)+J69+MAX(0,J70-J69)+MAX(0,J71-J70)+MAX(0,J72-J71)+MAX(0,J73-J72)+MAX(0,J74-J73)),IF(B63=1,(H63/(B63+3)+J74),IF(B63=0,H63/4+J74))))</f>
        <v>4</v>
      </c>
    </row>
    <row r="76" spans="1:10" x14ac:dyDescent="0.25">
      <c r="A76" s="121" t="s">
        <v>54</v>
      </c>
      <c r="B76" s="121"/>
      <c r="C76" s="121"/>
      <c r="D76" s="121"/>
      <c r="E76" s="121"/>
      <c r="F76" s="121"/>
      <c r="G76" s="121"/>
      <c r="H76" s="121"/>
    </row>
    <row r="77" spans="1:10" x14ac:dyDescent="0.25">
      <c r="A77" s="57" t="s">
        <v>81</v>
      </c>
      <c r="B77" s="57"/>
      <c r="C77" s="57"/>
      <c r="D77" s="57"/>
      <c r="E77" s="57"/>
      <c r="F77" s="67">
        <v>3800</v>
      </c>
      <c r="G77" s="67"/>
      <c r="H77" s="67"/>
    </row>
    <row r="78" spans="1:10" s="29" customFormat="1" x14ac:dyDescent="0.25">
      <c r="A78" s="57" t="s">
        <v>102</v>
      </c>
      <c r="B78" s="57"/>
      <c r="C78" s="57"/>
      <c r="D78" s="57"/>
      <c r="E78" s="57"/>
      <c r="F78" s="156">
        <v>300000</v>
      </c>
      <c r="G78" s="114"/>
      <c r="H78" s="114"/>
    </row>
    <row r="79" spans="1:10" s="29" customFormat="1" x14ac:dyDescent="0.25">
      <c r="A79" s="57" t="s">
        <v>182</v>
      </c>
      <c r="B79" s="57"/>
      <c r="C79" s="57"/>
      <c r="D79" s="57"/>
      <c r="E79" s="57"/>
      <c r="F79" s="156">
        <v>40000</v>
      </c>
      <c r="G79" s="114"/>
      <c r="H79" s="114"/>
    </row>
    <row r="80" spans="1:10" x14ac:dyDescent="0.25">
      <c r="A80" s="57" t="s">
        <v>55</v>
      </c>
      <c r="B80" s="57"/>
      <c r="C80" s="57"/>
      <c r="D80" s="57"/>
      <c r="E80" s="57"/>
      <c r="F80" s="113">
        <v>100000</v>
      </c>
      <c r="G80" s="113"/>
      <c r="H80" s="113"/>
    </row>
    <row r="81" spans="1:14" s="30" customFormat="1" x14ac:dyDescent="0.25">
      <c r="A81" s="121" t="s">
        <v>56</v>
      </c>
      <c r="B81" s="121"/>
      <c r="C81" s="121"/>
      <c r="D81" s="121"/>
      <c r="E81" s="121"/>
      <c r="F81" s="114">
        <f>F77*0.8</f>
        <v>3040</v>
      </c>
      <c r="G81" s="114"/>
      <c r="H81" s="114"/>
    </row>
    <row r="82" spans="1:14" s="31" customFormat="1" ht="15.75" hidden="1" customHeight="1" x14ac:dyDescent="0.25">
      <c r="A82" s="120" t="s">
        <v>82</v>
      </c>
      <c r="B82" s="120"/>
      <c r="C82" s="120"/>
      <c r="D82" s="120"/>
      <c r="E82" s="120"/>
      <c r="F82" s="120"/>
      <c r="G82" s="120"/>
      <c r="H82" s="120"/>
    </row>
    <row r="83" spans="1:14" s="31" customFormat="1" ht="15.75" hidden="1" customHeight="1" x14ac:dyDescent="0.25">
      <c r="A83" s="83" t="s">
        <v>57</v>
      </c>
      <c r="B83" s="83"/>
      <c r="C83" s="157" t="s">
        <v>85</v>
      </c>
      <c r="D83" s="157"/>
      <c r="E83" s="93" t="s">
        <v>58</v>
      </c>
      <c r="F83" s="93"/>
      <c r="G83" s="83" t="s">
        <v>59</v>
      </c>
      <c r="H83" s="83"/>
    </row>
    <row r="84" spans="1:14" s="31" customFormat="1" hidden="1" x14ac:dyDescent="0.25">
      <c r="A84" s="123"/>
      <c r="B84" s="123"/>
      <c r="C84" s="103"/>
      <c r="D84" s="103"/>
      <c r="E84" s="104"/>
      <c r="F84" s="104"/>
      <c r="G84" s="105"/>
      <c r="H84" s="105"/>
    </row>
    <row r="85" spans="1:14" s="31" customFormat="1" hidden="1" x14ac:dyDescent="0.25">
      <c r="A85" s="120" t="s">
        <v>75</v>
      </c>
      <c r="B85" s="120"/>
      <c r="C85" s="120"/>
      <c r="D85" s="120"/>
      <c r="E85" s="120"/>
      <c r="F85" s="120"/>
      <c r="G85" s="120"/>
      <c r="H85" s="120"/>
    </row>
    <row r="86" spans="1:14" s="31" customFormat="1" ht="15.75" hidden="1" customHeight="1" x14ac:dyDescent="0.25">
      <c r="A86" s="83" t="s">
        <v>57</v>
      </c>
      <c r="B86" s="83"/>
      <c r="C86" s="157" t="s">
        <v>85</v>
      </c>
      <c r="D86" s="157"/>
      <c r="E86" s="93" t="s">
        <v>58</v>
      </c>
      <c r="F86" s="93"/>
      <c r="G86" s="83" t="s">
        <v>59</v>
      </c>
      <c r="H86" s="83"/>
    </row>
    <row r="87" spans="1:14" s="31" customFormat="1" hidden="1" x14ac:dyDescent="0.25">
      <c r="A87" s="123"/>
      <c r="B87" s="123"/>
      <c r="C87" s="103"/>
      <c r="D87" s="103"/>
      <c r="E87" s="104"/>
      <c r="F87" s="104"/>
      <c r="G87" s="105"/>
      <c r="H87" s="105"/>
    </row>
    <row r="88" spans="1:14" s="30" customFormat="1" hidden="1" x14ac:dyDescent="0.25">
      <c r="A88" s="109" t="s">
        <v>60</v>
      </c>
      <c r="B88" s="109"/>
      <c r="C88" s="109"/>
      <c r="D88" s="109"/>
      <c r="E88" s="109"/>
      <c r="F88" s="109"/>
      <c r="G88" s="109"/>
      <c r="H88" s="109"/>
    </row>
    <row r="89" spans="1:14" hidden="1" x14ac:dyDescent="0.25">
      <c r="A89" s="109" t="s">
        <v>61</v>
      </c>
      <c r="B89" s="109"/>
      <c r="C89" s="109"/>
      <c r="D89" s="109"/>
      <c r="E89" s="109"/>
      <c r="F89" s="109"/>
      <c r="G89" s="109"/>
      <c r="H89" s="109"/>
    </row>
    <row r="90" spans="1:14" ht="47.25" hidden="1" customHeight="1" x14ac:dyDescent="0.25">
      <c r="A90" s="84" t="s">
        <v>126</v>
      </c>
      <c r="B90" s="84" t="s">
        <v>125</v>
      </c>
      <c r="C90" s="84" t="s">
        <v>62</v>
      </c>
      <c r="D90" s="84" t="s">
        <v>63</v>
      </c>
      <c r="E90" s="86" t="s">
        <v>64</v>
      </c>
      <c r="F90" s="18" t="s">
        <v>163</v>
      </c>
      <c r="G90" s="88" t="s">
        <v>65</v>
      </c>
      <c r="H90" s="89"/>
    </row>
    <row r="91" spans="1:14" s="32" customFormat="1" hidden="1" x14ac:dyDescent="0.25">
      <c r="A91" s="85"/>
      <c r="B91" s="85"/>
      <c r="C91" s="85"/>
      <c r="D91" s="85"/>
      <c r="E91" s="87"/>
      <c r="F91" s="13">
        <v>0.6</v>
      </c>
      <c r="G91" s="90"/>
      <c r="H91" s="91"/>
    </row>
    <row r="92" spans="1:14" s="32" customFormat="1" hidden="1" x14ac:dyDescent="0.25">
      <c r="A92" s="106" t="s">
        <v>123</v>
      </c>
      <c r="B92" s="107"/>
      <c r="C92" s="107"/>
      <c r="D92" s="107"/>
      <c r="E92" s="107"/>
      <c r="F92" s="107"/>
      <c r="G92" s="107"/>
      <c r="H92" s="108"/>
      <c r="J92" s="33"/>
    </row>
    <row r="93" spans="1:14" s="32" customFormat="1" hidden="1" x14ac:dyDescent="0.25">
      <c r="A93" s="81">
        <v>1</v>
      </c>
      <c r="B93" s="82"/>
      <c r="C93" s="17"/>
      <c r="D93" s="17"/>
      <c r="E93" s="17">
        <v>0</v>
      </c>
      <c r="F93" s="17">
        <f>D93*(($F$91)+1)+(IF(E93&lt;101,E93,IF(E93&lt;201,E93/2,IF(E93&lt;=301,E93/3,E93/4))))</f>
        <v>0</v>
      </c>
      <c r="G93" s="81" t="str">
        <f>A92</f>
        <v>Ground Floor</v>
      </c>
      <c r="H93" s="82"/>
      <c r="I93" s="33"/>
      <c r="L93" s="155"/>
      <c r="M93" s="155"/>
      <c r="N93" s="33"/>
    </row>
    <row r="94" spans="1:14" s="32" customFormat="1" hidden="1" x14ac:dyDescent="0.25">
      <c r="A94" s="81">
        <f t="shared" ref="A94:A99" si="0">A93+1</f>
        <v>2</v>
      </c>
      <c r="B94" s="82"/>
      <c r="C94" s="17"/>
      <c r="D94" s="17"/>
      <c r="E94" s="17">
        <v>0</v>
      </c>
      <c r="F94" s="17">
        <f t="shared" ref="F94:F99" si="1">D94*(($F$91)+1)+(IF(E94&lt;101,E94,IF(E94&lt;201,E94/2,IF(E94&lt;=301,E94/3,E94/4))))</f>
        <v>0</v>
      </c>
      <c r="G94" s="81" t="str">
        <f t="shared" ref="G94:G99" si="2">G93</f>
        <v>Ground Floor</v>
      </c>
      <c r="H94" s="82"/>
      <c r="I94" s="33"/>
      <c r="L94" s="155"/>
      <c r="M94" s="155"/>
      <c r="N94" s="33"/>
    </row>
    <row r="95" spans="1:14" s="32" customFormat="1" hidden="1" x14ac:dyDescent="0.25">
      <c r="A95" s="81">
        <f t="shared" si="0"/>
        <v>3</v>
      </c>
      <c r="B95" s="82"/>
      <c r="C95" s="17"/>
      <c r="D95" s="17"/>
      <c r="E95" s="17">
        <v>0</v>
      </c>
      <c r="F95" s="17">
        <f t="shared" si="1"/>
        <v>0</v>
      </c>
      <c r="G95" s="81" t="str">
        <f t="shared" si="2"/>
        <v>Ground Floor</v>
      </c>
      <c r="H95" s="82"/>
      <c r="I95" s="33"/>
      <c r="L95" s="155"/>
      <c r="M95" s="155"/>
      <c r="N95" s="33"/>
    </row>
    <row r="96" spans="1:14" s="32" customFormat="1" hidden="1" x14ac:dyDescent="0.25">
      <c r="A96" s="81">
        <f t="shared" si="0"/>
        <v>4</v>
      </c>
      <c r="B96" s="82"/>
      <c r="C96" s="17"/>
      <c r="D96" s="17"/>
      <c r="E96" s="17">
        <v>0</v>
      </c>
      <c r="F96" s="17">
        <f t="shared" si="1"/>
        <v>0</v>
      </c>
      <c r="G96" s="81" t="str">
        <f t="shared" si="2"/>
        <v>Ground Floor</v>
      </c>
      <c r="H96" s="82"/>
      <c r="I96" s="33"/>
      <c r="L96" s="155"/>
      <c r="M96" s="155"/>
      <c r="N96" s="33"/>
    </row>
    <row r="97" spans="1:16" s="32" customFormat="1" hidden="1" x14ac:dyDescent="0.25">
      <c r="A97" s="81">
        <f t="shared" si="0"/>
        <v>5</v>
      </c>
      <c r="B97" s="82"/>
      <c r="C97" s="17"/>
      <c r="D97" s="17"/>
      <c r="E97" s="17">
        <v>0</v>
      </c>
      <c r="F97" s="17">
        <f t="shared" si="1"/>
        <v>0</v>
      </c>
      <c r="G97" s="81" t="str">
        <f t="shared" si="2"/>
        <v>Ground Floor</v>
      </c>
      <c r="H97" s="82"/>
      <c r="I97" s="33"/>
      <c r="L97" s="155"/>
      <c r="M97" s="155"/>
      <c r="N97" s="33"/>
    </row>
    <row r="98" spans="1:16" s="32" customFormat="1" hidden="1" x14ac:dyDescent="0.25">
      <c r="A98" s="81">
        <f t="shared" si="0"/>
        <v>6</v>
      </c>
      <c r="B98" s="82"/>
      <c r="C98" s="17"/>
      <c r="D98" s="17"/>
      <c r="E98" s="17">
        <v>0</v>
      </c>
      <c r="F98" s="17">
        <f t="shared" si="1"/>
        <v>0</v>
      </c>
      <c r="G98" s="81" t="str">
        <f t="shared" si="2"/>
        <v>Ground Floor</v>
      </c>
      <c r="H98" s="82"/>
      <c r="I98" s="33"/>
      <c r="L98" s="155"/>
      <c r="M98" s="155"/>
      <c r="N98" s="33"/>
    </row>
    <row r="99" spans="1:16" s="32" customFormat="1" hidden="1" x14ac:dyDescent="0.25">
      <c r="A99" s="81">
        <f t="shared" si="0"/>
        <v>7</v>
      </c>
      <c r="B99" s="82"/>
      <c r="C99" s="17"/>
      <c r="D99" s="17"/>
      <c r="E99" s="17">
        <v>0</v>
      </c>
      <c r="F99" s="17">
        <f t="shared" si="1"/>
        <v>0</v>
      </c>
      <c r="G99" s="81" t="str">
        <f t="shared" si="2"/>
        <v>Ground Floor</v>
      </c>
      <c r="H99" s="82"/>
      <c r="I99" s="33"/>
      <c r="L99" s="155"/>
      <c r="M99" s="155"/>
      <c r="N99" s="33"/>
    </row>
    <row r="100" spans="1:16" s="32" customFormat="1" hidden="1" x14ac:dyDescent="0.25">
      <c r="A100" s="81"/>
      <c r="B100" s="161"/>
      <c r="C100" s="161"/>
      <c r="D100" s="161"/>
      <c r="E100" s="161"/>
      <c r="F100" s="161"/>
      <c r="G100" s="161"/>
      <c r="H100" s="82"/>
      <c r="I100" s="33"/>
      <c r="N100" s="33"/>
    </row>
    <row r="101" spans="1:16" ht="47.25" hidden="1" customHeight="1" x14ac:dyDescent="0.25">
      <c r="A101" s="88" t="s">
        <v>127</v>
      </c>
      <c r="B101" s="88" t="s">
        <v>128</v>
      </c>
      <c r="C101" s="84" t="s">
        <v>62</v>
      </c>
      <c r="D101" s="84" t="s">
        <v>63</v>
      </c>
      <c r="E101" s="86" t="s">
        <v>64</v>
      </c>
      <c r="F101" s="18" t="s">
        <v>163</v>
      </c>
      <c r="G101" s="88" t="s">
        <v>65</v>
      </c>
      <c r="H101" s="89"/>
      <c r="I101" s="33"/>
    </row>
    <row r="102" spans="1:16" s="32" customFormat="1" hidden="1" x14ac:dyDescent="0.25">
      <c r="A102" s="90"/>
      <c r="B102" s="90"/>
      <c r="C102" s="85"/>
      <c r="D102" s="85"/>
      <c r="E102" s="87"/>
      <c r="F102" s="13">
        <v>0.5</v>
      </c>
      <c r="G102" s="90"/>
      <c r="H102" s="91"/>
      <c r="I102" s="33"/>
    </row>
    <row r="103" spans="1:16" s="32" customFormat="1" hidden="1" x14ac:dyDescent="0.25">
      <c r="A103" s="122" t="s">
        <v>124</v>
      </c>
      <c r="B103" s="122"/>
      <c r="C103" s="122"/>
      <c r="D103" s="122"/>
      <c r="E103" s="122"/>
      <c r="F103" s="122"/>
      <c r="G103" s="122"/>
      <c r="H103" s="122"/>
      <c r="I103" s="33"/>
      <c r="L103" s="155"/>
      <c r="M103" s="155"/>
    </row>
    <row r="104" spans="1:16" s="32" customFormat="1" hidden="1" x14ac:dyDescent="0.25">
      <c r="A104" s="79">
        <f>LEFT(A103,SUM(LEN(A103)-LEN(SUBSTITUTE(A103,{"0","1","2","3","4","5","6","7","8","9"},""))))*100+1</f>
        <v>201</v>
      </c>
      <c r="B104" s="79"/>
      <c r="C104" s="17"/>
      <c r="D104" s="17"/>
      <c r="E104" s="17">
        <v>0</v>
      </c>
      <c r="F104" s="17">
        <f t="shared" ref="F104:F109" si="3">D104*(($F$91)+1)+(IF(E104&lt;101,E104,IF(E104&lt;201,E104/2,IF(E104&lt;=301,E104/3,E104/4))))</f>
        <v>0</v>
      </c>
      <c r="G104" s="79" t="str">
        <f>A103</f>
        <v>2nd Floor</v>
      </c>
      <c r="H104" s="79"/>
      <c r="I104" s="33"/>
      <c r="N104" s="33"/>
    </row>
    <row r="105" spans="1:16" s="32" customFormat="1" hidden="1" x14ac:dyDescent="0.25">
      <c r="A105" s="79">
        <f>A104+1</f>
        <v>202</v>
      </c>
      <c r="B105" s="79"/>
      <c r="C105" s="17"/>
      <c r="D105" s="17"/>
      <c r="E105" s="17">
        <v>0</v>
      </c>
      <c r="F105" s="17">
        <f t="shared" si="3"/>
        <v>0</v>
      </c>
      <c r="G105" s="79" t="str">
        <f>G104</f>
        <v>2nd Floor</v>
      </c>
      <c r="H105" s="79"/>
      <c r="I105" s="33"/>
      <c r="N105" s="33"/>
    </row>
    <row r="106" spans="1:16" s="32" customFormat="1" hidden="1" x14ac:dyDescent="0.25">
      <c r="A106" s="79">
        <f>A105+1</f>
        <v>203</v>
      </c>
      <c r="B106" s="79"/>
      <c r="C106" s="17"/>
      <c r="D106" s="17"/>
      <c r="E106" s="17">
        <v>0</v>
      </c>
      <c r="F106" s="17">
        <f t="shared" si="3"/>
        <v>0</v>
      </c>
      <c r="G106" s="79" t="str">
        <f>G105</f>
        <v>2nd Floor</v>
      </c>
      <c r="H106" s="79"/>
      <c r="I106" s="33"/>
      <c r="N106" s="33"/>
    </row>
    <row r="107" spans="1:16" s="32" customFormat="1" hidden="1" x14ac:dyDescent="0.25">
      <c r="A107" s="79">
        <f>A106+1</f>
        <v>204</v>
      </c>
      <c r="B107" s="79"/>
      <c r="C107" s="17"/>
      <c r="D107" s="17"/>
      <c r="E107" s="17">
        <v>0</v>
      </c>
      <c r="F107" s="17">
        <f t="shared" si="3"/>
        <v>0</v>
      </c>
      <c r="G107" s="79" t="str">
        <f>G106</f>
        <v>2nd Floor</v>
      </c>
      <c r="H107" s="79"/>
      <c r="I107" s="33"/>
      <c r="N107" s="33"/>
    </row>
    <row r="108" spans="1:16" s="32" customFormat="1" hidden="1" x14ac:dyDescent="0.25">
      <c r="A108" s="79">
        <f>A107+1</f>
        <v>205</v>
      </c>
      <c r="B108" s="79"/>
      <c r="C108" s="17"/>
      <c r="D108" s="17"/>
      <c r="E108" s="17">
        <v>0</v>
      </c>
      <c r="F108" s="17">
        <f t="shared" si="3"/>
        <v>0</v>
      </c>
      <c r="G108" s="79" t="str">
        <f>G107</f>
        <v>2nd Floor</v>
      </c>
      <c r="H108" s="79"/>
      <c r="I108" s="33"/>
      <c r="N108" s="33"/>
    </row>
    <row r="109" spans="1:16" s="32" customFormat="1" hidden="1" x14ac:dyDescent="0.25">
      <c r="A109" s="79">
        <f>A108+1</f>
        <v>206</v>
      </c>
      <c r="B109" s="79"/>
      <c r="C109" s="17"/>
      <c r="D109" s="17"/>
      <c r="E109" s="17">
        <v>0</v>
      </c>
      <c r="F109" s="17">
        <f t="shared" si="3"/>
        <v>0</v>
      </c>
      <c r="G109" s="79" t="str">
        <f>G108</f>
        <v>2nd Floor</v>
      </c>
      <c r="H109" s="79"/>
      <c r="I109" s="33"/>
      <c r="N109" s="33"/>
    </row>
    <row r="110" spans="1:16" s="32" customFormat="1" ht="15.75" hidden="1" customHeight="1" x14ac:dyDescent="0.25">
      <c r="A110" s="106" t="s">
        <v>164</v>
      </c>
      <c r="B110" s="107"/>
      <c r="C110" s="107"/>
      <c r="D110" s="107"/>
      <c r="E110" s="107"/>
      <c r="F110" s="107"/>
      <c r="G110" s="107"/>
      <c r="H110" s="108"/>
      <c r="I110" s="33"/>
    </row>
    <row r="111" spans="1:16" s="32" customFormat="1" hidden="1" x14ac:dyDescent="0.25">
      <c r="A111" s="81" t="str">
        <f t="shared" ref="A111:A116" ca="1" si="4">N111</f>
        <v>301,..,1501</v>
      </c>
      <c r="B111" s="82"/>
      <c r="C111" s="17"/>
      <c r="D111" s="17"/>
      <c r="E111" s="17">
        <v>0</v>
      </c>
      <c r="F111" s="17">
        <f t="shared" ref="F111:F116" si="5">D111*(($F$91)+1)+(IF(E111&lt;101,E111,IF(E111&lt;201,E111/2,IF(E111&lt;=301,E111/3,E111/4))))</f>
        <v>0</v>
      </c>
      <c r="G111" s="81" t="str">
        <f>A110</f>
        <v>3rd, 5th, 7th, 9th, 11th, 13th, 15th Floor</v>
      </c>
      <c r="H111" s="82"/>
      <c r="I111" s="33"/>
      <c r="N111" s="32" t="str">
        <f t="shared" ref="N111:N116" ca="1" si="6">O111&amp;""&amp;",..,"&amp;""&amp;P111</f>
        <v>301,..,1501</v>
      </c>
      <c r="O111" s="32">
        <f ca="1">(SUMPRODUCT(MID(0&amp;(LEFT(A110,SUM(LEN(A110)-LEN(SUBSTITUTE(A110,{0,1,2},""))))), LARGE(INDEX(ISNUMBER(--MID((LEFT(A110,SUM(LEN(A110)-LEN(SUBSTITUTE(A110,{0,1,2},""))))), ROW(INDIRECT("1:"&amp;LEN((LEFT(A110,SUM(LEN(A110)-LEN(SUBSTITUTE(A110,{0,1,2},"")))))))), 1)) * ROW(INDIRECT("1:"&amp;LEN((LEFT(A110,SUM(LEN(A110)-LEN(SUBSTITUTE(A110,{0,1,2},"")))))))), 0), ROW(INDIRECT("1:"&amp;LEN((LEFT(A110,SUM(LEN(A110)-LEN(SUBSTITUTE(A110,{0,1,2},"")))))))))+1, 1) * 10^ROW(INDIRECT("1:"&amp;LEN((LEFT(A110,SUM(LEN(A110)-LEN(SUBSTITUTE(A110,{0,1,2},""))))))))/10))*100+1</f>
        <v>301</v>
      </c>
      <c r="P111" s="32">
        <f ca="1">(SUMPRODUCT(MID(0&amp;(--TRIM(RIGHT(SUBSTITUTE(LEFT(A110,_xlfn.AGGREGATE(16,6,FIND({0,1,2,3,4,5,6,7,8,9},A110,ROW(INDIRECT("1:"&amp;LEN(A110)))),1))," ",REPT(" ",LEN(A110))),LEN(A110)))), LARGE(INDEX(ISNUMBER(--MID((--TRIM(RIGHT(SUBSTITUTE(LEFT(A110,_xlfn.AGGREGATE(16,6,FIND({0,1,2,3,4,5,6,7,8,9},A110,ROW(INDIRECT("1:"&amp;LEN(A110)))),1))," ",REPT(" ",LEN(A110))),LEN(A110)))), ROW(INDIRECT("1:"&amp;LEN((--TRIM(RIGHT(SUBSTITUTE(LEFT(A110,_xlfn.AGGREGATE(16,6,FIND({0,1,2,3,4,5,6,7,8,9},A110,ROW(INDIRECT("1:"&amp;LEN(A110)))),1))," ",REPT(" ",LEN(A110))),LEN(A110))))))), 1)) * ROW(INDIRECT("1:"&amp;LEN((--TRIM(RIGHT(SUBSTITUTE(LEFT(A110,_xlfn.AGGREGATE(16,6,FIND({0,1,2,3,4,5,6,7,8,9},A110,ROW(INDIRECT("1:"&amp;LEN(A110)))),1))," ",REPT(" ",LEN(A110))),LEN(A110))))))), 0), ROW(INDIRECT("1:"&amp;LEN((--TRIM(RIGHT(SUBSTITUTE(LEFT(A110,_xlfn.AGGREGATE(16,6,FIND({0,1,2,3,4,5,6,7,8,9},A110,ROW(INDIRECT("1:"&amp;LEN(A110)))),1))," ",REPT(" ",LEN(A110))),LEN(A110))))))))+1, 1) * 10^ROW(INDIRECT("1:"&amp;LEN((--TRIM(RIGHT(SUBSTITUTE(LEFT(A110,_xlfn.AGGREGATE(16,6,FIND({0,1,2,3,4,5,6,7,8,9},A110,ROW(INDIRECT("1:"&amp;LEN(A110)))),1))," ",REPT(" ",LEN(A110))),LEN(A110)))))))/10))*100+1</f>
        <v>1501</v>
      </c>
    </row>
    <row r="112" spans="1:16" s="32" customFormat="1" hidden="1" x14ac:dyDescent="0.25">
      <c r="A112" s="81" t="str">
        <f t="shared" ca="1" si="4"/>
        <v>302,..,1502</v>
      </c>
      <c r="B112" s="82"/>
      <c r="C112" s="17"/>
      <c r="D112" s="17"/>
      <c r="E112" s="17">
        <v>0</v>
      </c>
      <c r="F112" s="17">
        <f t="shared" si="5"/>
        <v>0</v>
      </c>
      <c r="G112" s="81" t="str">
        <f>G111</f>
        <v>3rd, 5th, 7th, 9th, 11th, 13th, 15th Floor</v>
      </c>
      <c r="H112" s="82"/>
      <c r="I112" s="33"/>
      <c r="N112" s="32" t="str">
        <f t="shared" ca="1" si="6"/>
        <v>302,..,1502</v>
      </c>
      <c r="O112" s="32">
        <f t="shared" ref="O112:P115" ca="1" si="7">O111+1</f>
        <v>302</v>
      </c>
      <c r="P112" s="32">
        <f t="shared" ca="1" si="7"/>
        <v>1502</v>
      </c>
    </row>
    <row r="113" spans="1:16" s="32" customFormat="1" hidden="1" x14ac:dyDescent="0.25">
      <c r="A113" s="81" t="str">
        <f t="shared" ca="1" si="4"/>
        <v>303,..,1503</v>
      </c>
      <c r="B113" s="82"/>
      <c r="C113" s="17"/>
      <c r="D113" s="17"/>
      <c r="E113" s="17">
        <v>0</v>
      </c>
      <c r="F113" s="17">
        <f t="shared" si="5"/>
        <v>0</v>
      </c>
      <c r="G113" s="81" t="str">
        <f>G112</f>
        <v>3rd, 5th, 7th, 9th, 11th, 13th, 15th Floor</v>
      </c>
      <c r="H113" s="82"/>
      <c r="I113" s="33"/>
      <c r="N113" s="32" t="str">
        <f t="shared" ca="1" si="6"/>
        <v>303,..,1503</v>
      </c>
      <c r="O113" s="32">
        <f t="shared" ca="1" si="7"/>
        <v>303</v>
      </c>
      <c r="P113" s="32">
        <f t="shared" ca="1" si="7"/>
        <v>1503</v>
      </c>
    </row>
    <row r="114" spans="1:16" s="32" customFormat="1" hidden="1" x14ac:dyDescent="0.25">
      <c r="A114" s="81" t="str">
        <f t="shared" ca="1" si="4"/>
        <v>304,..,1504</v>
      </c>
      <c r="B114" s="82"/>
      <c r="C114" s="17"/>
      <c r="D114" s="17"/>
      <c r="E114" s="17">
        <v>0</v>
      </c>
      <c r="F114" s="17">
        <f t="shared" si="5"/>
        <v>0</v>
      </c>
      <c r="G114" s="81" t="str">
        <f>G113</f>
        <v>3rd, 5th, 7th, 9th, 11th, 13th, 15th Floor</v>
      </c>
      <c r="H114" s="82"/>
      <c r="I114" s="33"/>
      <c r="N114" s="32" t="str">
        <f t="shared" ca="1" si="6"/>
        <v>304,..,1504</v>
      </c>
      <c r="O114" s="32">
        <f t="shared" ca="1" si="7"/>
        <v>304</v>
      </c>
      <c r="P114" s="32">
        <f t="shared" ca="1" si="7"/>
        <v>1504</v>
      </c>
    </row>
    <row r="115" spans="1:16" s="32" customFormat="1" hidden="1" x14ac:dyDescent="0.25">
      <c r="A115" s="81" t="str">
        <f t="shared" ca="1" si="4"/>
        <v>305,..,1505</v>
      </c>
      <c r="B115" s="82"/>
      <c r="C115" s="17"/>
      <c r="D115" s="17"/>
      <c r="E115" s="17">
        <v>0</v>
      </c>
      <c r="F115" s="17">
        <f t="shared" si="5"/>
        <v>0</v>
      </c>
      <c r="G115" s="81" t="str">
        <f>G114</f>
        <v>3rd, 5th, 7th, 9th, 11th, 13th, 15th Floor</v>
      </c>
      <c r="H115" s="82"/>
      <c r="I115" s="33"/>
      <c r="N115" s="32" t="str">
        <f t="shared" ca="1" si="6"/>
        <v>305,..,1505</v>
      </c>
      <c r="O115" s="32">
        <f t="shared" ca="1" si="7"/>
        <v>305</v>
      </c>
      <c r="P115" s="32">
        <f t="shared" ca="1" si="7"/>
        <v>1505</v>
      </c>
    </row>
    <row r="116" spans="1:16" s="32" customFormat="1" hidden="1" x14ac:dyDescent="0.25">
      <c r="A116" s="81" t="str">
        <f t="shared" ca="1" si="4"/>
        <v>306,..,1506</v>
      </c>
      <c r="B116" s="82"/>
      <c r="C116" s="17"/>
      <c r="D116" s="17"/>
      <c r="E116" s="17">
        <v>0</v>
      </c>
      <c r="F116" s="17">
        <f t="shared" si="5"/>
        <v>0</v>
      </c>
      <c r="G116" s="81" t="str">
        <f>G115</f>
        <v>3rd, 5th, 7th, 9th, 11th, 13th, 15th Floor</v>
      </c>
      <c r="H116" s="82"/>
      <c r="I116" s="33"/>
      <c r="N116" s="32" t="str">
        <f t="shared" ca="1" si="6"/>
        <v>306,..,1506</v>
      </c>
      <c r="O116" s="32">
        <f ca="1">O115+1</f>
        <v>306</v>
      </c>
      <c r="P116" s="32">
        <f ca="1">P115+1</f>
        <v>1506</v>
      </c>
    </row>
    <row r="117" spans="1:16" s="32" customFormat="1" hidden="1" x14ac:dyDescent="0.25">
      <c r="A117" s="106" t="s">
        <v>157</v>
      </c>
      <c r="B117" s="107"/>
      <c r="C117" s="107"/>
      <c r="D117" s="107"/>
      <c r="E117" s="107"/>
      <c r="F117" s="107"/>
      <c r="G117" s="107"/>
      <c r="H117" s="108"/>
      <c r="I117" s="33"/>
    </row>
    <row r="118" spans="1:16" s="32" customFormat="1" hidden="1" x14ac:dyDescent="0.25">
      <c r="A118" s="81" t="str">
        <f t="shared" ref="A118:A123" ca="1" si="8">N118</f>
        <v>201 to 501</v>
      </c>
      <c r="B118" s="82"/>
      <c r="C118" s="17"/>
      <c r="D118" s="17"/>
      <c r="E118" s="17">
        <v>0</v>
      </c>
      <c r="F118" s="17">
        <f t="shared" ref="F118:F123" si="9">D118*(($F$91)+1)+(IF(E118&lt;101,E118,IF(E118&lt;201,E118/2,IF(E118&lt;=301,E118/3,E118/4))))</f>
        <v>0</v>
      </c>
      <c r="G118" s="81" t="str">
        <f>A117</f>
        <v>2nd to 5th Floor</v>
      </c>
      <c r="H118" s="82"/>
      <c r="I118" s="33"/>
      <c r="N118" s="32" t="str">
        <f t="shared" ref="N118:N123" ca="1" si="10">O118&amp;""&amp;" to "&amp;""&amp;P118</f>
        <v>201 to 501</v>
      </c>
      <c r="O118" s="32">
        <f ca="1">(SUMPRODUCT(MID(0&amp;(LEFT(A117,SUM(LEN(A117)-LEN(SUBSTITUTE(A117,{"0","1","2"},""))))), LARGE(INDEX(ISNUMBER(--MID((LEFT(A117,SUM(LEN(A117)-LEN(SUBSTITUTE(A117,{"0","1","2"},""))))), ROW(INDIRECT("1:"&amp;LEN((LEFT(A117,SUM(LEN(A117)-LEN(SUBSTITUTE(A117,{"0","1","2"},"")))))))), 1)) * ROW(INDIRECT("1:"&amp;LEN((LEFT(A117,SUM(LEN(A117)-LEN(SUBSTITUTE(A117,{"0","1","2"},"")))))))), 0), ROW(INDIRECT("1:"&amp;LEN((LEFT(A117,SUM(LEN(A117)-LEN(SUBSTITUTE(A117,{"0","1","2"},"")))))))))+1, 1) * 10^ROW(INDIRECT("1:"&amp;LEN((LEFT(A117,SUM(LEN(A117)-LEN(SUBSTITUTE(A117,{"0","1","2"},""))))))))/10))*100+1</f>
        <v>201</v>
      </c>
      <c r="P118" s="32">
        <f ca="1">(SUMPRODUCT(MID(0&amp;(--TRIM(RIGHT(SUBSTITUTE(LEFT(A117,_xlfn.AGGREGATE(16,6,FIND({0,1,2,3,4,5,6,7,8,9},A117,ROW(INDIRECT("1:"&amp;LEN(A117)))),1))," ",REPT(" ",LEN(A117))),LEN(A117)))), LARGE(INDEX(ISNUMBER(--MID((--TRIM(RIGHT(SUBSTITUTE(LEFT(A117,_xlfn.AGGREGATE(16,6,FIND({0,1,2,3,4,5,6,7,8,9},A117,ROW(INDIRECT("1:"&amp;LEN(A117)))),1))," ",REPT(" ",LEN(A117))),LEN(A117)))), ROW(INDIRECT("1:"&amp;LEN((--TRIM(RIGHT(SUBSTITUTE(LEFT(A117,_xlfn.AGGREGATE(16,6,FIND({0,1,2,3,4,5,6,7,8,9},A117,ROW(INDIRECT("1:"&amp;LEN(A117)))),1))," ",REPT(" ",LEN(A117))),LEN(A117))))))), 1)) * ROW(INDIRECT("1:"&amp;LEN((--TRIM(RIGHT(SUBSTITUTE(LEFT(A117,_xlfn.AGGREGATE(16,6,FIND({0,1,2,3,4,5,6,7,8,9},A117,ROW(INDIRECT("1:"&amp;LEN(A117)))),1))," ",REPT(" ",LEN(A117))),LEN(A117))))))), 0), ROW(INDIRECT("1:"&amp;LEN((--TRIM(RIGHT(SUBSTITUTE(LEFT(A117,_xlfn.AGGREGATE(16,6,FIND({0,1,2,3,4,5,6,7,8,9},A117,ROW(INDIRECT("1:"&amp;LEN(A117)))),1))," ",REPT(" ",LEN(A117))),LEN(A117))))))))+1, 1) * 10^ROW(INDIRECT("1:"&amp;LEN((--TRIM(RIGHT(SUBSTITUTE(LEFT(A117,_xlfn.AGGREGATE(16,6,FIND({0,1,2,3,4,5,6,7,8,9},A117,ROW(INDIRECT("1:"&amp;LEN(A117)))),1))," ",REPT(" ",LEN(A117))),LEN(A117)))))))/10))*100+1</f>
        <v>501</v>
      </c>
    </row>
    <row r="119" spans="1:16" s="32" customFormat="1" hidden="1" x14ac:dyDescent="0.25">
      <c r="A119" s="81" t="str">
        <f t="shared" ca="1" si="8"/>
        <v>202 to 502</v>
      </c>
      <c r="B119" s="82"/>
      <c r="C119" s="17"/>
      <c r="D119" s="17"/>
      <c r="E119" s="17">
        <v>0</v>
      </c>
      <c r="F119" s="17">
        <f t="shared" si="9"/>
        <v>0</v>
      </c>
      <c r="G119" s="81" t="str">
        <f>G118</f>
        <v>2nd to 5th Floor</v>
      </c>
      <c r="H119" s="82"/>
      <c r="I119" s="33"/>
      <c r="N119" s="32" t="str">
        <f t="shared" ca="1" si="10"/>
        <v>202 to 502</v>
      </c>
      <c r="O119" s="32">
        <f t="shared" ref="O119:P122" ca="1" si="11">O118+1</f>
        <v>202</v>
      </c>
      <c r="P119" s="32">
        <f t="shared" ca="1" si="11"/>
        <v>502</v>
      </c>
    </row>
    <row r="120" spans="1:16" s="32" customFormat="1" hidden="1" x14ac:dyDescent="0.25">
      <c r="A120" s="81" t="str">
        <f t="shared" ca="1" si="8"/>
        <v>203 to 503</v>
      </c>
      <c r="B120" s="82"/>
      <c r="C120" s="17"/>
      <c r="D120" s="17"/>
      <c r="E120" s="17">
        <v>0</v>
      </c>
      <c r="F120" s="17">
        <f t="shared" si="9"/>
        <v>0</v>
      </c>
      <c r="G120" s="81" t="str">
        <f>G119</f>
        <v>2nd to 5th Floor</v>
      </c>
      <c r="H120" s="82"/>
      <c r="I120" s="33"/>
      <c r="N120" s="32" t="str">
        <f t="shared" ca="1" si="10"/>
        <v>203 to 503</v>
      </c>
      <c r="O120" s="32">
        <f t="shared" ca="1" si="11"/>
        <v>203</v>
      </c>
      <c r="P120" s="32">
        <f t="shared" ca="1" si="11"/>
        <v>503</v>
      </c>
    </row>
    <row r="121" spans="1:16" s="32" customFormat="1" hidden="1" x14ac:dyDescent="0.25">
      <c r="A121" s="81" t="str">
        <f t="shared" ca="1" si="8"/>
        <v>204 to 504</v>
      </c>
      <c r="B121" s="82"/>
      <c r="C121" s="17"/>
      <c r="D121" s="17"/>
      <c r="E121" s="17">
        <v>0</v>
      </c>
      <c r="F121" s="17">
        <f t="shared" si="9"/>
        <v>0</v>
      </c>
      <c r="G121" s="81" t="str">
        <f>G120</f>
        <v>2nd to 5th Floor</v>
      </c>
      <c r="H121" s="82"/>
      <c r="I121" s="33"/>
      <c r="N121" s="32" t="str">
        <f t="shared" ca="1" si="10"/>
        <v>204 to 504</v>
      </c>
      <c r="O121" s="32">
        <f t="shared" ca="1" si="11"/>
        <v>204</v>
      </c>
      <c r="P121" s="32">
        <f t="shared" ca="1" si="11"/>
        <v>504</v>
      </c>
    </row>
    <row r="122" spans="1:16" s="32" customFormat="1" hidden="1" x14ac:dyDescent="0.25">
      <c r="A122" s="81" t="str">
        <f t="shared" ca="1" si="8"/>
        <v>205 to 505</v>
      </c>
      <c r="B122" s="82"/>
      <c r="C122" s="17"/>
      <c r="D122" s="17"/>
      <c r="E122" s="17">
        <v>0</v>
      </c>
      <c r="F122" s="17">
        <f t="shared" si="9"/>
        <v>0</v>
      </c>
      <c r="G122" s="81" t="str">
        <f>G121</f>
        <v>2nd to 5th Floor</v>
      </c>
      <c r="H122" s="82"/>
      <c r="I122" s="33"/>
      <c r="N122" s="32" t="str">
        <f t="shared" ca="1" si="10"/>
        <v>205 to 505</v>
      </c>
      <c r="O122" s="32">
        <f t="shared" ca="1" si="11"/>
        <v>205</v>
      </c>
      <c r="P122" s="32">
        <f t="shared" ca="1" si="11"/>
        <v>505</v>
      </c>
    </row>
    <row r="123" spans="1:16" s="32" customFormat="1" hidden="1" x14ac:dyDescent="0.25">
      <c r="A123" s="81" t="str">
        <f t="shared" ca="1" si="8"/>
        <v>206 to 506</v>
      </c>
      <c r="B123" s="82"/>
      <c r="C123" s="17"/>
      <c r="D123" s="17"/>
      <c r="E123" s="17">
        <v>0</v>
      </c>
      <c r="F123" s="17">
        <f t="shared" si="9"/>
        <v>0</v>
      </c>
      <c r="G123" s="81" t="str">
        <f>G122</f>
        <v>2nd to 5th Floor</v>
      </c>
      <c r="H123" s="82"/>
      <c r="I123" s="33"/>
      <c r="N123" s="32" t="str">
        <f t="shared" ca="1" si="10"/>
        <v>206 to 506</v>
      </c>
      <c r="O123" s="32">
        <f ca="1">O122+1</f>
        <v>206</v>
      </c>
      <c r="P123" s="32">
        <f ca="1">P122+1</f>
        <v>506</v>
      </c>
    </row>
    <row r="124" spans="1:16" s="32" customFormat="1" hidden="1" x14ac:dyDescent="0.25">
      <c r="A124" s="106" t="s">
        <v>158</v>
      </c>
      <c r="B124" s="107"/>
      <c r="C124" s="107"/>
      <c r="D124" s="107"/>
      <c r="E124" s="107"/>
      <c r="F124" s="107"/>
      <c r="G124" s="107"/>
      <c r="H124" s="108"/>
      <c r="I124" s="33"/>
    </row>
    <row r="125" spans="1:16" s="32" customFormat="1" hidden="1" x14ac:dyDescent="0.25">
      <c r="A125" s="81" t="str">
        <f t="shared" ref="A125:A130" ca="1" si="12">N125</f>
        <v>201 &amp; 501</v>
      </c>
      <c r="B125" s="82"/>
      <c r="C125" s="17"/>
      <c r="D125" s="17"/>
      <c r="E125" s="17">
        <v>0</v>
      </c>
      <c r="F125" s="17">
        <f t="shared" ref="F125:F130" si="13">D125*(($F$91)+1)+(IF(E125&lt;101,E125,IF(E125&lt;201,E125/2,IF(E125&lt;=301,E125/3,E125/4))))</f>
        <v>0</v>
      </c>
      <c r="G125" s="81" t="str">
        <f>A124</f>
        <v>2nd &amp; 5th Floor</v>
      </c>
      <c r="H125" s="82"/>
      <c r="I125" s="33"/>
      <c r="N125" s="32" t="str">
        <f t="shared" ref="N125:N130" ca="1" si="14">O125&amp;""&amp;" &amp; "&amp;""&amp;P125</f>
        <v>201 &amp; 501</v>
      </c>
      <c r="O125" s="32">
        <f ca="1">(SUMPRODUCT(MID(0&amp;(LEFT(A124,SUM(LEN(A124)-LEN(SUBSTITUTE(A124,{"0","1","2"},""))))), LARGE(INDEX(ISNUMBER(--MID((LEFT(A124,SUM(LEN(A124)-LEN(SUBSTITUTE(A124,{"0","1","2"},""))))), ROW(INDIRECT("1:"&amp;LEN((LEFT(A124,SUM(LEN(A124)-LEN(SUBSTITUTE(A124,{"0","1","2"},"")))))))), 1)) * ROW(INDIRECT("1:"&amp;LEN((LEFT(A124,SUM(LEN(A124)-LEN(SUBSTITUTE(A124,{"0","1","2"},"")))))))), 0), ROW(INDIRECT("1:"&amp;LEN((LEFT(A124,SUM(LEN(A124)-LEN(SUBSTITUTE(A124,{"0","1","2"},"")))))))))+1, 1) * 10^ROW(INDIRECT("1:"&amp;LEN((LEFT(A124,SUM(LEN(A124)-LEN(SUBSTITUTE(A124,{"0","1","2"},""))))))))/10))*100+1</f>
        <v>201</v>
      </c>
      <c r="P125" s="32">
        <f ca="1">(SUMPRODUCT(MID(0&amp;(--TRIM(RIGHT(SUBSTITUTE(LEFT(A124,_xlfn.AGGREGATE(16,6,FIND({0,1,2,3,4,5,6,7,8,9},A124,ROW(INDIRECT("1:"&amp;LEN(A124)))),1))," ",REPT(" ",LEN(A124))),LEN(A124)))), LARGE(INDEX(ISNUMBER(--MID((--TRIM(RIGHT(SUBSTITUTE(LEFT(A124,_xlfn.AGGREGATE(16,6,FIND({0,1,2,3,4,5,6,7,8,9},A124,ROW(INDIRECT("1:"&amp;LEN(A124)))),1))," ",REPT(" ",LEN(A124))),LEN(A124)))), ROW(INDIRECT("1:"&amp;LEN((--TRIM(RIGHT(SUBSTITUTE(LEFT(A124,_xlfn.AGGREGATE(16,6,FIND({0,1,2,3,4,5,6,7,8,9},A124,ROW(INDIRECT("1:"&amp;LEN(A124)))),1))," ",REPT(" ",LEN(A124))),LEN(A124))))))), 1)) * ROW(INDIRECT("1:"&amp;LEN((--TRIM(RIGHT(SUBSTITUTE(LEFT(A124,_xlfn.AGGREGATE(16,6,FIND({0,1,2,3,4,5,6,7,8,9},A124,ROW(INDIRECT("1:"&amp;LEN(A124)))),1))," ",REPT(" ",LEN(A124))),LEN(A124))))))), 0), ROW(INDIRECT("1:"&amp;LEN((--TRIM(RIGHT(SUBSTITUTE(LEFT(A124,_xlfn.AGGREGATE(16,6,FIND({0,1,2,3,4,5,6,7,8,9},A124,ROW(INDIRECT("1:"&amp;LEN(A124)))),1))," ",REPT(" ",LEN(A124))),LEN(A124))))))))+1, 1) * 10^ROW(INDIRECT("1:"&amp;LEN((--TRIM(RIGHT(SUBSTITUTE(LEFT(A124,_xlfn.AGGREGATE(16,6,FIND({0,1,2,3,4,5,6,7,8,9},A124,ROW(INDIRECT("1:"&amp;LEN(A124)))),1))," ",REPT(" ",LEN(A124))),LEN(A124)))))))/10))*100+1</f>
        <v>501</v>
      </c>
    </row>
    <row r="126" spans="1:16" s="32" customFormat="1" hidden="1" x14ac:dyDescent="0.25">
      <c r="A126" s="81" t="str">
        <f t="shared" ca="1" si="12"/>
        <v>202 &amp; 502</v>
      </c>
      <c r="B126" s="82"/>
      <c r="C126" s="17"/>
      <c r="D126" s="17"/>
      <c r="E126" s="17">
        <v>0</v>
      </c>
      <c r="F126" s="17">
        <f t="shared" si="13"/>
        <v>0</v>
      </c>
      <c r="G126" s="81" t="str">
        <f>G125</f>
        <v>2nd &amp; 5th Floor</v>
      </c>
      <c r="H126" s="82"/>
      <c r="I126" s="33"/>
      <c r="N126" s="32" t="str">
        <f t="shared" ca="1" si="14"/>
        <v>202 &amp; 502</v>
      </c>
      <c r="O126" s="32">
        <f t="shared" ref="O126:P130" ca="1" si="15">O125+1</f>
        <v>202</v>
      </c>
      <c r="P126" s="32">
        <f t="shared" ca="1" si="15"/>
        <v>502</v>
      </c>
    </row>
    <row r="127" spans="1:16" s="32" customFormat="1" hidden="1" x14ac:dyDescent="0.25">
      <c r="A127" s="81" t="str">
        <f t="shared" ca="1" si="12"/>
        <v>203 &amp; 503</v>
      </c>
      <c r="B127" s="82"/>
      <c r="C127" s="17"/>
      <c r="D127" s="17"/>
      <c r="E127" s="17">
        <v>0</v>
      </c>
      <c r="F127" s="17">
        <f t="shared" si="13"/>
        <v>0</v>
      </c>
      <c r="G127" s="81" t="str">
        <f>G126</f>
        <v>2nd &amp; 5th Floor</v>
      </c>
      <c r="H127" s="82"/>
      <c r="I127" s="33"/>
      <c r="N127" s="32" t="str">
        <f t="shared" ca="1" si="14"/>
        <v>203 &amp; 503</v>
      </c>
      <c r="O127" s="32">
        <f t="shared" ca="1" si="15"/>
        <v>203</v>
      </c>
      <c r="P127" s="32">
        <f t="shared" ca="1" si="15"/>
        <v>503</v>
      </c>
    </row>
    <row r="128" spans="1:16" s="32" customFormat="1" hidden="1" x14ac:dyDescent="0.25">
      <c r="A128" s="81" t="str">
        <f t="shared" ca="1" si="12"/>
        <v>204 &amp; 504</v>
      </c>
      <c r="B128" s="82"/>
      <c r="C128" s="17"/>
      <c r="D128" s="17"/>
      <c r="E128" s="17">
        <v>0</v>
      </c>
      <c r="F128" s="17">
        <f t="shared" si="13"/>
        <v>0</v>
      </c>
      <c r="G128" s="81" t="str">
        <f>G127</f>
        <v>2nd &amp; 5th Floor</v>
      </c>
      <c r="H128" s="82"/>
      <c r="I128" s="33"/>
      <c r="N128" s="32" t="str">
        <f t="shared" ca="1" si="14"/>
        <v>204 &amp; 504</v>
      </c>
      <c r="O128" s="32">
        <f t="shared" ca="1" si="15"/>
        <v>204</v>
      </c>
      <c r="P128" s="32">
        <f t="shared" ca="1" si="15"/>
        <v>504</v>
      </c>
    </row>
    <row r="129" spans="1:16" s="32" customFormat="1" hidden="1" x14ac:dyDescent="0.25">
      <c r="A129" s="81" t="str">
        <f t="shared" ca="1" si="12"/>
        <v>205 &amp; 505</v>
      </c>
      <c r="B129" s="82"/>
      <c r="C129" s="17"/>
      <c r="D129" s="17"/>
      <c r="E129" s="17">
        <v>0</v>
      </c>
      <c r="F129" s="17">
        <f t="shared" si="13"/>
        <v>0</v>
      </c>
      <c r="G129" s="81" t="str">
        <f>G128</f>
        <v>2nd &amp; 5th Floor</v>
      </c>
      <c r="H129" s="82"/>
      <c r="I129" s="33"/>
      <c r="N129" s="32" t="str">
        <f t="shared" ca="1" si="14"/>
        <v>205 &amp; 505</v>
      </c>
      <c r="O129" s="32">
        <f t="shared" ca="1" si="15"/>
        <v>205</v>
      </c>
      <c r="P129" s="32">
        <f t="shared" ca="1" si="15"/>
        <v>505</v>
      </c>
    </row>
    <row r="130" spans="1:16" s="32" customFormat="1" hidden="1" x14ac:dyDescent="0.25">
      <c r="A130" s="81" t="str">
        <f t="shared" ca="1" si="12"/>
        <v>206 &amp; 506</v>
      </c>
      <c r="B130" s="82"/>
      <c r="C130" s="17"/>
      <c r="D130" s="17"/>
      <c r="E130" s="17">
        <v>0</v>
      </c>
      <c r="F130" s="17">
        <f t="shared" si="13"/>
        <v>0</v>
      </c>
      <c r="G130" s="81" t="str">
        <f>G129</f>
        <v>2nd &amp; 5th Floor</v>
      </c>
      <c r="H130" s="82"/>
      <c r="I130" s="33"/>
      <c r="N130" s="32" t="str">
        <f t="shared" ca="1" si="14"/>
        <v>206 &amp; 506</v>
      </c>
      <c r="O130" s="32">
        <f t="shared" ca="1" si="15"/>
        <v>206</v>
      </c>
      <c r="P130" s="32">
        <f t="shared" ca="1" si="15"/>
        <v>506</v>
      </c>
    </row>
    <row r="131" spans="1:16" s="31" customFormat="1" x14ac:dyDescent="0.25">
      <c r="A131" s="124" t="s">
        <v>73</v>
      </c>
      <c r="B131" s="124"/>
      <c r="C131" s="124"/>
      <c r="D131" s="124"/>
      <c r="E131" s="124"/>
      <c r="F131" s="124"/>
      <c r="G131" s="124"/>
      <c r="H131" s="124"/>
    </row>
    <row r="132" spans="1:16" s="31" customFormat="1" ht="127.9" customHeight="1" x14ac:dyDescent="0.25">
      <c r="A132" s="158" t="s">
        <v>200</v>
      </c>
      <c r="B132" s="159"/>
      <c r="C132" s="159"/>
      <c r="D132" s="159"/>
      <c r="E132" s="159"/>
      <c r="F132" s="159"/>
      <c r="G132" s="159"/>
      <c r="H132" s="160"/>
    </row>
    <row r="133" spans="1:16" s="31" customFormat="1" ht="33" hidden="1" customHeight="1" x14ac:dyDescent="0.25">
      <c r="A133" s="19">
        <v>1</v>
      </c>
      <c r="B133" s="97" t="s">
        <v>131</v>
      </c>
      <c r="C133" s="98"/>
      <c r="D133" s="98"/>
      <c r="E133" s="98"/>
      <c r="F133" s="98"/>
      <c r="G133" s="98"/>
      <c r="H133" s="99"/>
    </row>
    <row r="134" spans="1:16" s="31" customFormat="1" hidden="1" x14ac:dyDescent="0.25">
      <c r="A134" s="19">
        <f t="shared" ref="A134:A140" si="16">A133+1</f>
        <v>2</v>
      </c>
      <c r="B134" s="100" t="str">
        <f>(IF(F101="Saleable area Loading :","We have considered Saleable area of Flats as per our Calculation.","We considered Saleable area of Flat as per Builder area Sheet."))</f>
        <v>We have considered Saleable area of Flats as per our Calculation.</v>
      </c>
      <c r="C134" s="101"/>
      <c r="D134" s="101"/>
      <c r="E134" s="101"/>
      <c r="F134" s="101"/>
      <c r="G134" s="101"/>
      <c r="H134" s="102"/>
    </row>
    <row r="135" spans="1:16" s="31" customFormat="1" hidden="1" x14ac:dyDescent="0.25">
      <c r="A135" s="19">
        <f t="shared" si="16"/>
        <v>3</v>
      </c>
      <c r="B135" s="100" t="str">
        <f>(IF(F90="Saleable area Loading :","We have considered Saleable area of Commercial as per our Calculation.","We considered Saleable area of Commercial as per Builder area Sheet."))</f>
        <v>We have considered Saleable area of Commercial as per our Calculation.</v>
      </c>
      <c r="C135" s="101"/>
      <c r="D135" s="101"/>
      <c r="E135" s="101"/>
      <c r="F135" s="101"/>
      <c r="G135" s="101"/>
      <c r="H135" s="102"/>
    </row>
    <row r="136" spans="1:16" s="31" customFormat="1" hidden="1" x14ac:dyDescent="0.25">
      <c r="A136" s="19">
        <f>A135+1</f>
        <v>4</v>
      </c>
      <c r="B136" s="94" t="s">
        <v>132</v>
      </c>
      <c r="C136" s="95"/>
      <c r="D136" s="95"/>
      <c r="E136" s="95"/>
      <c r="F136" s="95"/>
      <c r="G136" s="95"/>
      <c r="H136" s="96"/>
    </row>
    <row r="137" spans="1:16" s="31" customFormat="1" hidden="1" x14ac:dyDescent="0.25">
      <c r="A137" s="19">
        <f t="shared" si="16"/>
        <v>5</v>
      </c>
      <c r="B137" s="94" t="s">
        <v>133</v>
      </c>
      <c r="C137" s="95"/>
      <c r="D137" s="95"/>
      <c r="E137" s="95"/>
      <c r="F137" s="95"/>
      <c r="G137" s="95"/>
      <c r="H137" s="96"/>
    </row>
    <row r="138" spans="1:16" s="31" customFormat="1" hidden="1" x14ac:dyDescent="0.25">
      <c r="A138" s="19">
        <f t="shared" si="16"/>
        <v>6</v>
      </c>
      <c r="B138" s="94" t="s">
        <v>134</v>
      </c>
      <c r="C138" s="95"/>
      <c r="D138" s="95"/>
      <c r="E138" s="95"/>
      <c r="F138" s="95"/>
      <c r="G138" s="95"/>
      <c r="H138" s="96"/>
    </row>
    <row r="139" spans="1:16" s="31" customFormat="1" hidden="1" x14ac:dyDescent="0.25">
      <c r="A139" s="19">
        <f t="shared" si="16"/>
        <v>7</v>
      </c>
      <c r="B139" s="94" t="s">
        <v>135</v>
      </c>
      <c r="C139" s="95"/>
      <c r="D139" s="95"/>
      <c r="E139" s="95"/>
      <c r="F139" s="95"/>
      <c r="G139" s="95"/>
      <c r="H139" s="96"/>
    </row>
    <row r="140" spans="1:16" s="31" customFormat="1" hidden="1" x14ac:dyDescent="0.25">
      <c r="A140" s="19">
        <f t="shared" si="16"/>
        <v>8</v>
      </c>
      <c r="B140" s="97" t="s">
        <v>136</v>
      </c>
      <c r="C140" s="98"/>
      <c r="D140" s="98"/>
      <c r="E140" s="98"/>
      <c r="F140" s="98"/>
      <c r="G140" s="98"/>
      <c r="H140" s="99"/>
    </row>
    <row r="141" spans="1:16" hidden="1" x14ac:dyDescent="0.25">
      <c r="A141" s="92" t="s">
        <v>66</v>
      </c>
      <c r="B141" s="92"/>
      <c r="C141" s="92"/>
      <c r="D141" s="92"/>
      <c r="E141" s="92"/>
      <c r="F141" s="92"/>
      <c r="G141" s="92"/>
      <c r="H141" s="92"/>
    </row>
    <row r="142" spans="1:16" hidden="1" x14ac:dyDescent="0.25">
      <c r="A142" s="57" t="s">
        <v>67</v>
      </c>
      <c r="B142" s="57"/>
      <c r="C142" s="57"/>
      <c r="D142" s="57"/>
      <c r="E142" s="57"/>
      <c r="F142" s="57"/>
      <c r="G142" s="57"/>
      <c r="H142" s="57"/>
    </row>
    <row r="143" spans="1:16" ht="15.75" hidden="1" customHeight="1" x14ac:dyDescent="0.25">
      <c r="A143" s="80" t="s">
        <v>68</v>
      </c>
      <c r="B143" s="80"/>
      <c r="C143" s="80"/>
      <c r="D143" s="80"/>
      <c r="E143" s="80"/>
      <c r="F143" s="80"/>
      <c r="G143" s="80"/>
      <c r="H143" s="80"/>
    </row>
    <row r="144" spans="1:16" hidden="1" x14ac:dyDescent="0.25">
      <c r="A144" s="57" t="s">
        <v>69</v>
      </c>
      <c r="B144" s="57"/>
      <c r="C144" s="57"/>
      <c r="D144" s="57"/>
      <c r="E144" s="57"/>
      <c r="F144" s="57"/>
      <c r="G144" s="57"/>
      <c r="H144" s="57"/>
    </row>
    <row r="145" spans="1:8" hidden="1" x14ac:dyDescent="0.25">
      <c r="A145" s="57" t="s">
        <v>70</v>
      </c>
      <c r="B145" s="57"/>
      <c r="C145" s="57"/>
      <c r="D145" s="57"/>
      <c r="E145" s="57"/>
      <c r="F145" s="57"/>
      <c r="G145" s="57"/>
      <c r="H145" s="57"/>
    </row>
    <row r="146" spans="1:8" hidden="1" x14ac:dyDescent="0.25">
      <c r="A146" s="57" t="s">
        <v>137</v>
      </c>
      <c r="B146" s="57"/>
      <c r="C146" s="57"/>
      <c r="D146" s="57"/>
      <c r="E146" s="57"/>
      <c r="F146" s="57"/>
      <c r="G146" s="57"/>
      <c r="H146" s="57"/>
    </row>
    <row r="147" spans="1:8" ht="35.25" hidden="1" customHeight="1" x14ac:dyDescent="0.25">
      <c r="A147" s="73" t="s">
        <v>138</v>
      </c>
      <c r="B147" s="73"/>
      <c r="C147" s="73"/>
      <c r="D147" s="73"/>
      <c r="E147" s="73"/>
      <c r="F147" s="73"/>
      <c r="G147" s="73"/>
      <c r="H147" s="73"/>
    </row>
    <row r="148" spans="1:8" x14ac:dyDescent="0.25">
      <c r="A148" s="119" t="s">
        <v>84</v>
      </c>
      <c r="B148" s="119"/>
      <c r="C148" s="119" t="s">
        <v>198</v>
      </c>
      <c r="D148" s="119"/>
      <c r="E148" s="119" t="s">
        <v>110</v>
      </c>
      <c r="F148" s="119"/>
      <c r="G148" s="119" t="s">
        <v>201</v>
      </c>
      <c r="H148" s="119"/>
    </row>
    <row r="149" spans="1:8" x14ac:dyDescent="0.25">
      <c r="A149" s="118" t="s">
        <v>86</v>
      </c>
      <c r="B149" s="118"/>
      <c r="C149" s="118"/>
      <c r="D149" s="118"/>
      <c r="E149" s="118"/>
      <c r="F149" s="118"/>
      <c r="G149" s="118"/>
      <c r="H149" s="118"/>
    </row>
    <row r="150" spans="1:8" x14ac:dyDescent="0.25">
      <c r="A150" s="118"/>
      <c r="B150" s="118"/>
      <c r="C150" s="118"/>
      <c r="D150" s="118"/>
      <c r="E150" s="118"/>
      <c r="F150" s="118"/>
      <c r="G150" s="118"/>
      <c r="H150" s="118"/>
    </row>
    <row r="151" spans="1:8" x14ac:dyDescent="0.25">
      <c r="A151" s="118"/>
      <c r="B151" s="118"/>
      <c r="C151" s="118"/>
      <c r="D151" s="118"/>
      <c r="E151" s="118"/>
      <c r="F151" s="118"/>
      <c r="G151" s="118"/>
      <c r="H151" s="118"/>
    </row>
    <row r="152" spans="1:8" x14ac:dyDescent="0.25">
      <c r="A152" s="118"/>
      <c r="B152" s="118"/>
      <c r="C152" s="118"/>
      <c r="D152" s="118"/>
      <c r="E152" s="118"/>
      <c r="F152" s="118"/>
      <c r="G152" s="118"/>
      <c r="H152" s="118"/>
    </row>
    <row r="153" spans="1:8" x14ac:dyDescent="0.25">
      <c r="A153" s="34" t="s">
        <v>71</v>
      </c>
      <c r="B153" s="35"/>
      <c r="C153" s="35"/>
      <c r="D153" s="34" t="str">
        <f>E8</f>
        <v>Xrbia Warai / Neral (D6 &amp; D8)</v>
      </c>
      <c r="F153" s="35"/>
      <c r="G153" s="35"/>
      <c r="H153" s="35"/>
    </row>
    <row r="154" spans="1:8" x14ac:dyDescent="0.25">
      <c r="A154" s="35"/>
      <c r="B154" s="35"/>
      <c r="C154" s="35"/>
      <c r="D154" s="35"/>
      <c r="E154" s="35"/>
      <c r="F154" s="35"/>
      <c r="G154" s="35"/>
      <c r="H154" s="35"/>
    </row>
    <row r="155" spans="1:8" x14ac:dyDescent="0.25">
      <c r="A155" s="35"/>
      <c r="B155" s="35"/>
      <c r="C155" s="35"/>
      <c r="D155" s="35"/>
      <c r="E155" s="35"/>
      <c r="F155" s="35"/>
      <c r="G155" s="35"/>
      <c r="H155" s="35"/>
    </row>
    <row r="156" spans="1:8" ht="15" customHeight="1" x14ac:dyDescent="0.25"/>
    <row r="188" spans="1:1" x14ac:dyDescent="0.25">
      <c r="A188" s="37" t="s">
        <v>199</v>
      </c>
    </row>
    <row r="227" spans="1:1" x14ac:dyDescent="0.25">
      <c r="A227" s="37" t="s">
        <v>72</v>
      </c>
    </row>
  </sheetData>
  <mergeCells count="290">
    <mergeCell ref="A79:E79"/>
    <mergeCell ref="F79:H79"/>
    <mergeCell ref="G126:H126"/>
    <mergeCell ref="A124:H124"/>
    <mergeCell ref="A125:B125"/>
    <mergeCell ref="A126:B126"/>
    <mergeCell ref="G118:H118"/>
    <mergeCell ref="A121:B121"/>
    <mergeCell ref="A122:B122"/>
    <mergeCell ref="A115:B115"/>
    <mergeCell ref="A114:B114"/>
    <mergeCell ref="A111:B111"/>
    <mergeCell ref="G106:H106"/>
    <mergeCell ref="A83:B83"/>
    <mergeCell ref="C83:D83"/>
    <mergeCell ref="G119:H119"/>
    <mergeCell ref="A112:B112"/>
    <mergeCell ref="A89:H89"/>
    <mergeCell ref="D90:D91"/>
    <mergeCell ref="E83:F83"/>
    <mergeCell ref="G113:H113"/>
    <mergeCell ref="G111:H111"/>
    <mergeCell ref="G109:H109"/>
    <mergeCell ref="G84:H84"/>
    <mergeCell ref="A132:H132"/>
    <mergeCell ref="A129:B129"/>
    <mergeCell ref="G129:H129"/>
    <mergeCell ref="A130:B130"/>
    <mergeCell ref="A128:B128"/>
    <mergeCell ref="G128:H128"/>
    <mergeCell ref="L103:M103"/>
    <mergeCell ref="A100:H100"/>
    <mergeCell ref="A101:A102"/>
    <mergeCell ref="A123:B123"/>
    <mergeCell ref="G123:H123"/>
    <mergeCell ref="A108:B108"/>
    <mergeCell ref="A105:B105"/>
    <mergeCell ref="A106:B106"/>
    <mergeCell ref="A118:B118"/>
    <mergeCell ref="A119:B119"/>
    <mergeCell ref="A120:B120"/>
    <mergeCell ref="A107:B107"/>
    <mergeCell ref="A116:B116"/>
    <mergeCell ref="G108:H108"/>
    <mergeCell ref="G115:H115"/>
    <mergeCell ref="G114:H114"/>
    <mergeCell ref="G116:H116"/>
    <mergeCell ref="G122:H122"/>
    <mergeCell ref="F77:H77"/>
    <mergeCell ref="A76:H76"/>
    <mergeCell ref="L99:M99"/>
    <mergeCell ref="L98:M98"/>
    <mergeCell ref="G95:H95"/>
    <mergeCell ref="G93:H93"/>
    <mergeCell ref="G99:H99"/>
    <mergeCell ref="G98:H98"/>
    <mergeCell ref="G94:H94"/>
    <mergeCell ref="G97:H97"/>
    <mergeCell ref="G96:H96"/>
    <mergeCell ref="L97:M97"/>
    <mergeCell ref="L96:M96"/>
    <mergeCell ref="L95:M95"/>
    <mergeCell ref="L94:M94"/>
    <mergeCell ref="L93:M93"/>
    <mergeCell ref="A99:B99"/>
    <mergeCell ref="A93:B93"/>
    <mergeCell ref="G86:H86"/>
    <mergeCell ref="A78:E78"/>
    <mergeCell ref="F78:H78"/>
    <mergeCell ref="A77:E77"/>
    <mergeCell ref="C86:D86"/>
    <mergeCell ref="A94:B94"/>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A36:B36"/>
    <mergeCell ref="C36:H36"/>
    <mergeCell ref="C35:H35"/>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H1"/>
    <mergeCell ref="A2:H2"/>
    <mergeCell ref="A3:D3"/>
    <mergeCell ref="E3:H3"/>
    <mergeCell ref="A4:D4"/>
    <mergeCell ref="A8:D8"/>
    <mergeCell ref="E8:H8"/>
    <mergeCell ref="A9:D9"/>
    <mergeCell ref="E9:H9"/>
    <mergeCell ref="E4:H4"/>
    <mergeCell ref="E65:F65"/>
    <mergeCell ref="A58:C58"/>
    <mergeCell ref="D58:H58"/>
    <mergeCell ref="E66:F75"/>
    <mergeCell ref="G66:H75"/>
    <mergeCell ref="A74:B74"/>
    <mergeCell ref="A75:B75"/>
    <mergeCell ref="D56:H56"/>
    <mergeCell ref="A73:B73"/>
    <mergeCell ref="A145:H145"/>
    <mergeCell ref="A131:H131"/>
    <mergeCell ref="G120:H120"/>
    <mergeCell ref="C90:C91"/>
    <mergeCell ref="B101:B102"/>
    <mergeCell ref="A117:H117"/>
    <mergeCell ref="A110:H110"/>
    <mergeCell ref="E40:H40"/>
    <mergeCell ref="E41:H41"/>
    <mergeCell ref="E42:H42"/>
    <mergeCell ref="E43:H43"/>
    <mergeCell ref="A41:D41"/>
    <mergeCell ref="A42:D42"/>
    <mergeCell ref="A43:D43"/>
    <mergeCell ref="A44:H44"/>
    <mergeCell ref="D53:H53"/>
    <mergeCell ref="A53:C53"/>
    <mergeCell ref="G46:H46"/>
    <mergeCell ref="A47:B48"/>
    <mergeCell ref="A72:B72"/>
    <mergeCell ref="A65:B65"/>
    <mergeCell ref="A68:B68"/>
    <mergeCell ref="D54:H54"/>
    <mergeCell ref="A69:B69"/>
    <mergeCell ref="A54:C54"/>
    <mergeCell ref="G83:H83"/>
    <mergeCell ref="C84:D84"/>
    <mergeCell ref="E84:F84"/>
    <mergeCell ref="A55:C55"/>
    <mergeCell ref="A56:C56"/>
    <mergeCell ref="D55:H55"/>
    <mergeCell ref="A149:H152"/>
    <mergeCell ref="A148:B148"/>
    <mergeCell ref="E148:F148"/>
    <mergeCell ref="C148:D148"/>
    <mergeCell ref="G148:H148"/>
    <mergeCell ref="A82:H82"/>
    <mergeCell ref="A80:E80"/>
    <mergeCell ref="F80:H80"/>
    <mergeCell ref="A81:E81"/>
    <mergeCell ref="F81:H81"/>
    <mergeCell ref="A103:H103"/>
    <mergeCell ref="A87:B87"/>
    <mergeCell ref="A113:B113"/>
    <mergeCell ref="A84:B84"/>
    <mergeCell ref="A144:H144"/>
    <mergeCell ref="A85:H85"/>
    <mergeCell ref="A147:H147"/>
    <mergeCell ref="C46:E46"/>
    <mergeCell ref="A49:B49"/>
    <mergeCell ref="C49:E49"/>
    <mergeCell ref="A46:B46"/>
    <mergeCell ref="A50:H50"/>
    <mergeCell ref="A51:C51"/>
    <mergeCell ref="A52:C52"/>
    <mergeCell ref="D52:H52"/>
    <mergeCell ref="G49:H49"/>
    <mergeCell ref="G47:H47"/>
    <mergeCell ref="D51:H51"/>
    <mergeCell ref="C47:E47"/>
    <mergeCell ref="G112:H112"/>
    <mergeCell ref="G107:H107"/>
    <mergeCell ref="G104:H104"/>
    <mergeCell ref="G105:H105"/>
    <mergeCell ref="B90:B91"/>
    <mergeCell ref="A90:A91"/>
    <mergeCell ref="C101:C102"/>
    <mergeCell ref="C87:D87"/>
    <mergeCell ref="E87:F87"/>
    <mergeCell ref="G87:H87"/>
    <mergeCell ref="A92:H92"/>
    <mergeCell ref="E90:E91"/>
    <mergeCell ref="G90:H91"/>
    <mergeCell ref="A88:H88"/>
    <mergeCell ref="A95:B95"/>
    <mergeCell ref="A96:B96"/>
    <mergeCell ref="A97:B97"/>
    <mergeCell ref="A98:B98"/>
    <mergeCell ref="A146:H146"/>
    <mergeCell ref="A109:B109"/>
    <mergeCell ref="A143:H143"/>
    <mergeCell ref="G121:H121"/>
    <mergeCell ref="A104:B104"/>
    <mergeCell ref="A86:B86"/>
    <mergeCell ref="D101:D102"/>
    <mergeCell ref="E101:E102"/>
    <mergeCell ref="G101:H102"/>
    <mergeCell ref="A141:H141"/>
    <mergeCell ref="A142:H142"/>
    <mergeCell ref="E86:F86"/>
    <mergeCell ref="B139:H139"/>
    <mergeCell ref="B140:H140"/>
    <mergeCell ref="B138:H138"/>
    <mergeCell ref="G130:H130"/>
    <mergeCell ref="B135:H135"/>
    <mergeCell ref="A127:B127"/>
    <mergeCell ref="B133:H133"/>
    <mergeCell ref="B134:H134"/>
    <mergeCell ref="B136:H136"/>
    <mergeCell ref="B137:H137"/>
    <mergeCell ref="G125:H125"/>
    <mergeCell ref="G127:H127"/>
    <mergeCell ref="E39:H39"/>
    <mergeCell ref="A39:D39"/>
    <mergeCell ref="A71:B71"/>
    <mergeCell ref="C48:H48"/>
    <mergeCell ref="A60:C60"/>
    <mergeCell ref="D60:H60"/>
    <mergeCell ref="A66:B66"/>
    <mergeCell ref="G65:H65"/>
    <mergeCell ref="A64:B64"/>
    <mergeCell ref="A62:B62"/>
    <mergeCell ref="C62:H62"/>
    <mergeCell ref="A70:B70"/>
    <mergeCell ref="A57:C57"/>
    <mergeCell ref="D57:H57"/>
    <mergeCell ref="C64:H64"/>
    <mergeCell ref="A67:B67"/>
    <mergeCell ref="A45:B45"/>
    <mergeCell ref="C45:E45"/>
    <mergeCell ref="G45:H45"/>
    <mergeCell ref="A61:C61"/>
    <mergeCell ref="D61:H61"/>
    <mergeCell ref="A59:C59"/>
    <mergeCell ref="D59:H59"/>
    <mergeCell ref="A40:D40"/>
  </mergeCells>
  <hyperlinks>
    <hyperlink ref="C36"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52" max="16383" man="1"/>
    <brk id="187" max="16383" man="1"/>
    <brk id="22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62" t="s">
        <v>111</v>
      </c>
      <c r="C3" s="162"/>
      <c r="D3" s="162"/>
      <c r="E3" s="162"/>
      <c r="F3" s="162"/>
      <c r="G3" s="162"/>
      <c r="H3" s="162"/>
    </row>
    <row r="4" spans="1:9" x14ac:dyDescent="0.25">
      <c r="A4" s="2"/>
      <c r="B4" s="3" t="s">
        <v>112</v>
      </c>
      <c r="C4" s="3" t="s">
        <v>113</v>
      </c>
      <c r="D4" s="3" t="s">
        <v>74</v>
      </c>
      <c r="E4" s="3" t="s">
        <v>114</v>
      </c>
      <c r="F4" s="3" t="s">
        <v>120</v>
      </c>
      <c r="G4" s="3" t="s">
        <v>121</v>
      </c>
      <c r="H4" s="3" t="s">
        <v>115</v>
      </c>
    </row>
    <row r="5" spans="1:9" ht="15" customHeight="1" x14ac:dyDescent="0.25">
      <c r="A5" s="2"/>
      <c r="B5" s="5" t="s">
        <v>116</v>
      </c>
      <c r="C5" s="6"/>
      <c r="D5" s="5"/>
      <c r="E5" s="5"/>
      <c r="F5" s="7">
        <f>E5*1.6</f>
        <v>0</v>
      </c>
      <c r="G5" s="7" t="e">
        <f>H5/F5</f>
        <v>#DIV/0!</v>
      </c>
      <c r="H5" s="8"/>
    </row>
    <row r="6" spans="1:9" x14ac:dyDescent="0.25">
      <c r="A6" s="2"/>
      <c r="B6" s="5" t="s">
        <v>116</v>
      </c>
      <c r="C6" s="9"/>
      <c r="D6" s="5"/>
      <c r="E6" s="5"/>
      <c r="F6" s="7">
        <f t="shared" ref="F6:F11" si="0">E6*1.6</f>
        <v>0</v>
      </c>
      <c r="G6" s="7" t="e">
        <f t="shared" ref="G6:G11" si="1">H6/F6</f>
        <v>#DIV/0!</v>
      </c>
      <c r="H6" s="8"/>
    </row>
    <row r="7" spans="1:9" ht="15" customHeight="1" x14ac:dyDescent="0.25">
      <c r="A7" s="2"/>
      <c r="B7" s="5" t="s">
        <v>116</v>
      </c>
      <c r="C7" s="6"/>
      <c r="D7" s="5"/>
      <c r="E7" s="5"/>
      <c r="F7" s="7">
        <f t="shared" si="0"/>
        <v>0</v>
      </c>
      <c r="G7" s="7" t="e">
        <f t="shared" si="1"/>
        <v>#DIV/0!</v>
      </c>
      <c r="H7" s="8"/>
    </row>
    <row r="8" spans="1:9" x14ac:dyDescent="0.25">
      <c r="A8" s="2"/>
      <c r="B8" s="5" t="s">
        <v>116</v>
      </c>
      <c r="C8" s="9"/>
      <c r="D8" s="5"/>
      <c r="E8" s="5"/>
      <c r="F8" s="7">
        <f t="shared" si="0"/>
        <v>0</v>
      </c>
      <c r="G8" s="7" t="e">
        <f t="shared" si="1"/>
        <v>#DIV/0!</v>
      </c>
      <c r="H8" s="8"/>
    </row>
    <row r="9" spans="1:9" ht="15" customHeight="1" x14ac:dyDescent="0.25">
      <c r="A9" s="2"/>
      <c r="B9" s="5" t="s">
        <v>116</v>
      </c>
      <c r="C9" s="9"/>
      <c r="D9" s="5"/>
      <c r="E9" s="5"/>
      <c r="F9" s="7">
        <f t="shared" si="0"/>
        <v>0</v>
      </c>
      <c r="G9" s="7" t="e">
        <f t="shared" si="1"/>
        <v>#DIV/0!</v>
      </c>
      <c r="H9" s="8"/>
    </row>
    <row r="10" spans="1:9" ht="15" customHeight="1" x14ac:dyDescent="0.25">
      <c r="A10" s="2"/>
      <c r="B10" s="5" t="s">
        <v>117</v>
      </c>
      <c r="C10" s="6"/>
      <c r="D10" s="5"/>
      <c r="E10" s="5"/>
      <c r="F10" s="7">
        <f t="shared" si="0"/>
        <v>0</v>
      </c>
      <c r="G10" s="7" t="e">
        <f t="shared" si="1"/>
        <v>#DIV/0!</v>
      </c>
      <c r="H10" s="8"/>
    </row>
    <row r="11" spans="1:9" ht="15" customHeight="1" x14ac:dyDescent="0.25">
      <c r="A11" s="2"/>
      <c r="B11" s="5" t="s">
        <v>117</v>
      </c>
      <c r="C11" s="6"/>
      <c r="D11" s="5"/>
      <c r="E11" s="5"/>
      <c r="F11" s="7">
        <f t="shared" si="0"/>
        <v>0</v>
      </c>
      <c r="G11" s="7" t="e">
        <f t="shared" si="1"/>
        <v>#DIV/0!</v>
      </c>
      <c r="H11" s="8"/>
    </row>
    <row r="12" spans="1:9" ht="15" customHeight="1" x14ac:dyDescent="0.25">
      <c r="A12" s="2"/>
      <c r="B12" s="10" t="s">
        <v>118</v>
      </c>
      <c r="C12" s="5"/>
      <c r="D12" s="5"/>
      <c r="E12" s="5"/>
      <c r="F12" s="5"/>
      <c r="G12" s="11" t="e">
        <f>AVERAGE(G5:G11)</f>
        <v>#DIV/0!</v>
      </c>
      <c r="H12" s="5"/>
    </row>
    <row r="13" spans="1:9" ht="15" customHeight="1" x14ac:dyDescent="0.25">
      <c r="B13" s="10" t="s">
        <v>119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2025-07-14T05:44:12Z</cp:lastPrinted>
  <dcterms:created xsi:type="dcterms:W3CDTF">2019-07-16T09:29:46Z</dcterms:created>
  <dcterms:modified xsi:type="dcterms:W3CDTF">2025-07-14T07:43:52Z</dcterms:modified>
</cp:coreProperties>
</file>