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showHorizontalScroll="0" showVerticalScroll="0" showSheetTabs="0" xWindow="0" yWindow="0" windowWidth="20490" windowHeight="7620" tabRatio="725"/>
  </bookViews>
  <sheets>
    <sheet name="Report" sheetId="1" r:id="rId1"/>
    <sheet name="valuation" sheetId="5" r:id="rId2"/>
    <sheet name="Note &amp; OV Report" sheetId="4" r:id="rId3"/>
  </sheets>
  <definedNames>
    <definedName name="_xlnm.Print_Area" localSheetId="0">Report!$A$1:$H$299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8" i="1" l="1"/>
  <c r="J87" i="1"/>
  <c r="J86" i="1"/>
  <c r="J85" i="1"/>
  <c r="C14" i="1" l="1"/>
  <c r="E3" i="1" l="1"/>
  <c r="F127" i="1" l="1"/>
  <c r="F128" i="1"/>
  <c r="F129" i="1"/>
  <c r="F145" i="1"/>
  <c r="F144" i="1"/>
  <c r="F143" i="1"/>
  <c r="F142" i="1"/>
  <c r="F141" i="1"/>
  <c r="F140" i="1"/>
  <c r="F138" i="1"/>
  <c r="F137" i="1"/>
  <c r="F136" i="1"/>
  <c r="F135" i="1"/>
  <c r="F134" i="1"/>
  <c r="F133" i="1"/>
  <c r="F131" i="1"/>
  <c r="F130" i="1"/>
  <c r="F126" i="1"/>
  <c r="F124" i="1"/>
  <c r="F123" i="1"/>
  <c r="F122" i="1"/>
  <c r="F121" i="1"/>
  <c r="F120" i="1"/>
  <c r="F119" i="1"/>
  <c r="F109" i="1"/>
  <c r="F110" i="1"/>
  <c r="F111" i="1"/>
  <c r="F112" i="1"/>
  <c r="F113" i="1"/>
  <c r="F114" i="1"/>
  <c r="F108" i="1"/>
  <c r="O126" i="1"/>
  <c r="P126" i="1"/>
  <c r="B150" i="1" l="1"/>
  <c r="B149" i="1"/>
  <c r="O133" i="1"/>
  <c r="F11" i="5" l="1"/>
  <c r="G11" i="5" s="1"/>
  <c r="F10" i="5"/>
  <c r="G10" i="5" s="1"/>
  <c r="F9" i="5"/>
  <c r="G9" i="5" s="1"/>
  <c r="F8" i="5"/>
  <c r="G8" i="5" s="1"/>
  <c r="F7" i="5"/>
  <c r="G7" i="5" s="1"/>
  <c r="G6" i="5"/>
  <c r="F6" i="5"/>
  <c r="F5" i="5"/>
  <c r="G5" i="5" s="1"/>
  <c r="G12" i="5" s="1"/>
  <c r="D168" i="1"/>
  <c r="A149" i="1"/>
  <c r="G140" i="1"/>
  <c r="G141" i="1" s="1"/>
  <c r="G142" i="1" s="1"/>
  <c r="G143" i="1" s="1"/>
  <c r="G144" i="1" s="1"/>
  <c r="G145" i="1" s="1"/>
  <c r="G133" i="1"/>
  <c r="G134" i="1" s="1"/>
  <c r="G135" i="1" s="1"/>
  <c r="G136" i="1" s="1"/>
  <c r="G137" i="1" s="1"/>
  <c r="G138" i="1" s="1"/>
  <c r="G126" i="1"/>
  <c r="G127" i="1" s="1"/>
  <c r="G128" i="1" s="1"/>
  <c r="G129" i="1" s="1"/>
  <c r="G130" i="1" s="1"/>
  <c r="G131" i="1" s="1"/>
  <c r="G119" i="1"/>
  <c r="G120" i="1" s="1"/>
  <c r="G121" i="1" s="1"/>
  <c r="G122" i="1" s="1"/>
  <c r="G123" i="1" s="1"/>
  <c r="G124" i="1" s="1"/>
  <c r="A119" i="1"/>
  <c r="A120" i="1" s="1"/>
  <c r="A121" i="1" s="1"/>
  <c r="A122" i="1" s="1"/>
  <c r="A123" i="1" s="1"/>
  <c r="A124" i="1" s="1"/>
  <c r="A109" i="1"/>
  <c r="A110" i="1" s="1"/>
  <c r="A111" i="1" s="1"/>
  <c r="A112" i="1" s="1"/>
  <c r="A113" i="1" s="1"/>
  <c r="A114" i="1" s="1"/>
  <c r="G108" i="1"/>
  <c r="G109" i="1" s="1"/>
  <c r="G110" i="1" s="1"/>
  <c r="G111" i="1" s="1"/>
  <c r="G112" i="1" s="1"/>
  <c r="G113" i="1" s="1"/>
  <c r="G114" i="1" s="1"/>
  <c r="F96" i="1"/>
  <c r="J74" i="1"/>
  <c r="J73" i="1"/>
  <c r="J72" i="1"/>
  <c r="J71" i="1"/>
  <c r="D57" i="1"/>
  <c r="D52" i="1"/>
  <c r="G47" i="1"/>
  <c r="C47" i="1"/>
  <c r="E25" i="1"/>
  <c r="E23" i="1"/>
  <c r="E7" i="1"/>
  <c r="P140" i="1"/>
  <c r="P133" i="1"/>
  <c r="H64" i="1"/>
  <c r="O140" i="1"/>
  <c r="A150" i="1" l="1"/>
  <c r="A151" i="1" s="1"/>
  <c r="A152" i="1" s="1"/>
  <c r="A153" i="1" s="1"/>
  <c r="A154" i="1" s="1"/>
  <c r="A155" i="1" s="1"/>
  <c r="C69" i="1"/>
  <c r="D69" i="1" s="1"/>
  <c r="J67" i="1"/>
  <c r="D76" i="1"/>
  <c r="D74" i="1"/>
  <c r="D72" i="1"/>
  <c r="D70" i="1"/>
  <c r="J68" i="1"/>
  <c r="C67" i="1" s="1"/>
  <c r="D67" i="1" s="1"/>
  <c r="J66" i="1"/>
  <c r="J69" i="1"/>
  <c r="J70" i="1" s="1"/>
  <c r="J75" i="1" s="1"/>
  <c r="J76" i="1" s="1"/>
  <c r="C68" i="1" s="1"/>
  <c r="D75" i="1"/>
  <c r="D71" i="1"/>
  <c r="D73" i="1"/>
  <c r="N126" i="1"/>
  <c r="A126" i="1" s="1"/>
  <c r="O127" i="1"/>
  <c r="N133" i="1"/>
  <c r="A133" i="1" s="1"/>
  <c r="O134" i="1"/>
  <c r="P127" i="1"/>
  <c r="P128" i="1" s="1"/>
  <c r="P129" i="1" s="1"/>
  <c r="P130" i="1" s="1"/>
  <c r="P131" i="1" s="1"/>
  <c r="P134" i="1"/>
  <c r="P135" i="1" s="1"/>
  <c r="P136" i="1" s="1"/>
  <c r="P137" i="1" s="1"/>
  <c r="P138" i="1" s="1"/>
  <c r="P141" i="1"/>
  <c r="P142" i="1" s="1"/>
  <c r="P143" i="1" s="1"/>
  <c r="P144" i="1" s="1"/>
  <c r="P145" i="1" s="1"/>
  <c r="N140" i="1"/>
  <c r="A140" i="1" s="1"/>
  <c r="O141" i="1"/>
  <c r="E67" i="1" l="1"/>
  <c r="I63" i="1" s="1"/>
  <c r="D68" i="1"/>
  <c r="N141" i="1"/>
  <c r="A141" i="1" s="1"/>
  <c r="O142" i="1"/>
  <c r="N134" i="1"/>
  <c r="A134" i="1" s="1"/>
  <c r="O135" i="1"/>
  <c r="N127" i="1"/>
  <c r="A127" i="1" s="1"/>
  <c r="O128" i="1"/>
  <c r="G67" i="1"/>
  <c r="D61" i="1" s="1"/>
  <c r="H78" i="1"/>
  <c r="J83" i="1" l="1"/>
  <c r="J84" i="1" s="1"/>
  <c r="J89" i="1" s="1"/>
  <c r="J90" i="1" s="1"/>
  <c r="C82" i="1" s="1"/>
  <c r="C83" i="1"/>
  <c r="D83" i="1" s="1"/>
  <c r="J81" i="1"/>
  <c r="D90" i="1"/>
  <c r="D89" i="1"/>
  <c r="D88" i="1"/>
  <c r="D87" i="1"/>
  <c r="D86" i="1"/>
  <c r="D85" i="1"/>
  <c r="D84" i="1"/>
  <c r="J82" i="1"/>
  <c r="C81" i="1" s="1"/>
  <c r="D81" i="1" s="1"/>
  <c r="J80" i="1"/>
  <c r="C65" i="1"/>
  <c r="F62" i="1"/>
  <c r="D62" i="1"/>
  <c r="N135" i="1"/>
  <c r="A135" i="1" s="1"/>
  <c r="O136" i="1"/>
  <c r="N128" i="1"/>
  <c r="A128" i="1" s="1"/>
  <c r="O129" i="1"/>
  <c r="N142" i="1"/>
  <c r="A142" i="1" s="1"/>
  <c r="O143" i="1"/>
  <c r="E81" i="1" l="1"/>
  <c r="I77" i="1" s="1"/>
  <c r="C79" i="1" s="1"/>
  <c r="D82" i="1"/>
  <c r="G81" i="1"/>
  <c r="N143" i="1"/>
  <c r="A143" i="1" s="1"/>
  <c r="O144" i="1"/>
  <c r="N129" i="1"/>
  <c r="A129" i="1" s="1"/>
  <c r="O130" i="1"/>
  <c r="N136" i="1"/>
  <c r="A136" i="1" s="1"/>
  <c r="O137" i="1"/>
  <c r="N130" i="1" l="1"/>
  <c r="A130" i="1" s="1"/>
  <c r="O131" i="1"/>
  <c r="N131" i="1" s="1"/>
  <c r="A131" i="1" s="1"/>
  <c r="N137" i="1"/>
  <c r="A137" i="1" s="1"/>
  <c r="O138" i="1"/>
  <c r="N138" i="1" s="1"/>
  <c r="A138" i="1" s="1"/>
  <c r="N144" i="1"/>
  <c r="A144" i="1" s="1"/>
  <c r="O145" i="1"/>
  <c r="N145" i="1" s="1"/>
  <c r="A145" i="1" s="1"/>
</calcChain>
</file>

<file path=xl/sharedStrings.xml><?xml version="1.0" encoding="utf-8"?>
<sst xmlns="http://schemas.openxmlformats.org/spreadsheetml/2006/main" count="283" uniqueCount="205">
  <si>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</si>
  <si>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</si>
  <si>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</si>
  <si>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</si>
  <si>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</si>
  <si>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</si>
  <si>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</si>
  <si>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</si>
  <si>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</si>
  <si>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</si>
  <si>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</si>
  <si>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</si>
  <si>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</si>
  <si>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</si>
  <si>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</si>
  <si>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</si>
  <si>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</si>
  <si>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</si>
  <si>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</si>
  <si>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</si>
  <si>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</si>
  <si>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</si>
  <si>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</si>
  <si>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</si>
  <si>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</si>
  <si>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</si>
  <si>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</si>
  <si>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</si>
  <si>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</si>
  <si>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</si>
  <si>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</si>
  <si>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</si>
  <si>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</si>
  <si>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</si>
  <si>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</si>
  <si>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</si>
  <si>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</si>
  <si>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</si>
  <si>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</si>
  <si>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</si>
  <si>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</si>
  <si>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</si>
  <si>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</si>
  <si>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</si>
  <si>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</si>
  <si>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</si>
  <si>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</si>
  <si>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</si>
  <si>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</si>
  <si>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</si>
  <si>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</si>
  <si>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</si>
  <si>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</si>
  <si>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</si>
  <si>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</si>
  <si>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</si>
  <si>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Recommended Rates of the Property :</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</si>
  <si>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</si>
  <si>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</si>
  <si>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</si>
  <si>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</si>
  <si>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</si>
  <si>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</si>
  <si>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</si>
  <si>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</si>
  <si>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</si>
  <si>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</si>
  <si>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</si>
  <si>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</si>
  <si>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</si>
  <si>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</si>
  <si>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</si>
  <si>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</si>
  <si>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</si>
  <si>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</si>
  <si>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</si>
  <si>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</si>
  <si>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</si>
  <si>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</si>
  <si>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</si>
  <si>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</si>
  <si>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</si>
  <si>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</si>
  <si>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</si>
  <si>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</si>
  <si>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</si>
  <si>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</si>
  <si>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</si>
  <si>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</si>
  <si>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</si>
  <si>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</si>
  <si>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</si>
  <si>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</si>
  <si>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</si>
  <si>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</si>
  <si>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</si>
  <si>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</si>
  <si>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</si>
  <si>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</si>
  <si>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</si>
  <si>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</si>
  <si>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</si>
  <si>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</si>
  <si>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</si>
  <si>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</si>
  <si>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Excavation in process</t>
  </si>
  <si>
    <t>Excavation Completed</t>
  </si>
  <si>
    <t>Footing in Process</t>
  </si>
  <si>
    <t>Footing Completed</t>
  </si>
  <si>
    <t>Plinth completed</t>
  </si>
  <si>
    <t>All work Completed. OC Received.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</si>
  <si>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</si>
  <si>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</si>
  <si>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</si>
  <si>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</si>
  <si>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</si>
  <si>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</si>
  <si>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</si>
  <si>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</si>
  <si>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</si>
  <si>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</si>
  <si>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</si>
  <si>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</si>
  <si>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</si>
  <si>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</si>
  <si>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</si>
  <si>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</si>
  <si>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</si>
  <si>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</si>
  <si>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</si>
  <si>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</si>
  <si>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</si>
  <si>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Nearby Landmark</t>
  </si>
  <si>
    <t>Construction work is in process at the time of Visit (labour found). All work completed. OC received.</t>
  </si>
  <si>
    <t>We considered Carpet area as per Approved Plan.</t>
  </si>
  <si>
    <t>We considered Gross carpet area = Net carpet + Enclose balcony + D.B Area + F.B Area.</t>
  </si>
  <si>
    <t>We have considered rate by verifying it from market inquire.</t>
  </si>
  <si>
    <t>Car parking is subjected to authentic documentation.</t>
  </si>
  <si>
    <t>On Site, we meet Mr........(........).</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</si>
  <si>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</si>
  <si>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</si>
  <si>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</si>
  <si>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</si>
  <si>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</si>
  <si>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</si>
  <si>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</si>
  <si>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</si>
  <si>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</si>
  <si>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</si>
  <si>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</si>
  <si>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</si>
  <si>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</si>
  <si>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</si>
  <si>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</si>
  <si>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</si>
  <si>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</si>
  <si>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</si>
  <si>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</si>
  <si>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</si>
  <si>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</si>
  <si>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</si>
  <si>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</si>
  <si>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</si>
  <si>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Vitrified tiles flooring, Kitchen Platform, Decorative</t>
  </si>
  <si>
    <t xml:space="preserve">Violations Observed if any : </t>
  </si>
  <si>
    <t>Saleable area Loading :</t>
  </si>
  <si>
    <t>3rd, 5th, 7th, 9th, 11th, 13th, 15th Floor</t>
  </si>
  <si>
    <t>Axis Thane</t>
  </si>
  <si>
    <t>Xrbia Warai Developers Private Limited</t>
  </si>
  <si>
    <t>Refer Data</t>
  </si>
  <si>
    <t>Atish - 9022992324</t>
  </si>
  <si>
    <t>7.9 from Neral Railway Station</t>
  </si>
  <si>
    <t>Warai</t>
  </si>
  <si>
    <t>Karjat</t>
  </si>
  <si>
    <t>Raigad</t>
  </si>
  <si>
    <t>Survey No</t>
  </si>
  <si>
    <t>Neral</t>
  </si>
  <si>
    <t>6/2, 6/3, 9/1, 9/2, 10/2A+2B (New S.No.10/2A/1), 10/4+5B ( New S.No.10/4A/2), 10/6, 10/9, 12/1+2+3 (New S.No.12/1A/1), 12/6+7+8 ( New S.No. 12/6A), 12/5</t>
  </si>
  <si>
    <t>Poshir River</t>
  </si>
  <si>
    <t>Internal Road</t>
  </si>
  <si>
    <t>Open Plot</t>
  </si>
  <si>
    <t>Forest Escape Resort</t>
  </si>
  <si>
    <t>Karjat - Murbad Road</t>
  </si>
  <si>
    <t>05 Building</t>
  </si>
  <si>
    <t>MS/N.L.A.1(B)/P.K.147/2015</t>
  </si>
  <si>
    <t>Grill Charges</t>
  </si>
  <si>
    <t>Residential</t>
  </si>
  <si>
    <t xml:space="preserve">Phase 2 - P52000004499 (K1 to K4)
Phase 3 - P52000002246 (K5)
</t>
  </si>
  <si>
    <t>K1 to K5</t>
  </si>
  <si>
    <t>Building K1 to K5 = G + 1st to 4th Floor</t>
  </si>
  <si>
    <t>Valid Up to:  Building K1 to K5 = G + 1st to 4th Floor</t>
  </si>
  <si>
    <t>Building K1 to K4 = G + 1st to 4th Floor</t>
  </si>
  <si>
    <t>Building K5 = G + 1st to 4th Floor</t>
  </si>
  <si>
    <t>As per RERA - 
Phase II (K1 to K4)- Completed
Phase III (K5) - 30/03/2023</t>
  </si>
  <si>
    <t>Location Link</t>
  </si>
  <si>
    <t>https://goo.gl/maps/SAGTX8isKDi8ETEn9</t>
  </si>
  <si>
    <t>Xrbia Warai / Neral (K1 to K5)</t>
  </si>
  <si>
    <t xml:space="preserve">Office No. 1031, Wing J, Akshar Business Park, Plot No. 03 Sector 25, Near APMC Market, Vashi, 
Navi Mumbai, Maharashtra 400703 TEL: 022-46090378/79/80
Email : vsjcapf@gmail.com. Web site : www.vsjadon.com
</t>
  </si>
  <si>
    <t>Site Person - Contact Details ( Name &amp; Contact No.)</t>
  </si>
  <si>
    <t>Mr. Uday Gavli - 9737065882</t>
  </si>
  <si>
    <t xml:space="preserve">on Visit dtd 15/07/2024. Due to rain unable to take photos for all Wings/Buildings 
</t>
  </si>
  <si>
    <t>Naynesh Sunil Lovanshi</t>
  </si>
  <si>
    <t>Notice :</t>
  </si>
  <si>
    <t>Pranita Mhatre</t>
  </si>
  <si>
    <r>
      <t xml:space="preserve">1. Building K1 to K4 - All work completed. Please provide OC.
    Building K5 - Construction work was stopped. (Internal Visit was not allowed).
2. We have considered rate by verifying it from market inquire.
3. Recommended rate should be considered as all inclusive rate if other charges are not mentioned. (Excluding GST &amp; other government Taxes)
4. Car parking is subjected to authentic documentation.
5. According to our observations, the construction of Xrbia projects (Xrbia Warai, Xrbia Vangani, etc.)
appears to have slowed or stopped over the past two years.
</t>
    </r>
    <r>
      <rPr>
        <b/>
        <sz val="12"/>
        <color rgb="FFFF0000"/>
        <rFont val="Times New Roman"/>
        <family val="1"/>
      </rPr>
      <t>6.</t>
    </r>
    <r>
      <rPr>
        <b/>
        <sz val="12"/>
        <rFont val="Times New Roman"/>
        <family val="1"/>
      </rPr>
      <t xml:space="preserve"> </t>
    </r>
    <r>
      <rPr>
        <b/>
        <sz val="12"/>
        <color rgb="FFFF0000"/>
        <rFont val="Times New Roman"/>
        <family val="1"/>
      </rPr>
      <t xml:space="preserve">As per RERA, completion period of project Xrbia Warai (K5) is expired on Date (30/03/2023) but still project is under construction.
7. The project has received first CC on 09/06/2016, But construction work of Building K5 is not yet completed.
8. Notice Attached Below.
</t>
    </r>
    <r>
      <rPr>
        <b/>
        <sz val="12"/>
        <rFont val="Times New Roman"/>
        <family val="1"/>
      </rPr>
      <t xml:space="preserve">
5. On Site, we meet Mr........(........).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</si>
</sst>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yy"/>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u/>
      <sz val="11"/>
      <color theme="10"/>
      <name val="Calibri"/>
      <family val="2"/>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9" fontId="21" fillId="0" borderId="0" applyFont="0" applyFill="0" applyBorder="0" applyAlignment="0" applyProtection="0"/>
    <xf numFmtId="0" fontId="25" fillId="0" borderId="0" applyNumberFormat="0" applyFill="0" applyBorder="0" applyAlignment="0" applyProtection="0"/>
  </cellStyleXfs>
  <cellXfs count="161">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8" xfId="8" applyFont="1" applyFill="1" applyBorder="1" applyAlignment="1" applyProtection="1">
      <alignment horizontal="center" vertical="top" wrapText="1"/>
      <protection locked="0"/>
    </xf>
    <xf numFmtId="0" fontId="7" fillId="0" borderId="10" xfId="1"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7" fillId="0" borderId="0" xfId="1" applyFont="1"/>
    <xf numFmtId="0" fontId="15" fillId="0" borderId="0" xfId="1" applyFont="1"/>
    <xf numFmtId="0" fontId="12" fillId="0" borderId="1" xfId="1" applyFont="1" applyBorder="1" applyAlignment="1" applyProtection="1">
      <alignment vertical="top"/>
      <protection locked="0"/>
    </xf>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1" xfId="1" applyFont="1" applyBorder="1" applyProtection="1">
      <protection hidden="1"/>
    </xf>
    <xf numFmtId="0" fontId="16" fillId="0" borderId="0" xfId="1" applyFont="1"/>
    <xf numFmtId="0" fontId="6" fillId="0" borderId="0" xfId="2" applyFont="1"/>
    <xf numFmtId="0" fontId="7" fillId="0" borderId="0" xfId="0" applyFont="1" applyAlignment="1">
      <alignment horizontal="center" vertical="center"/>
    </xf>
    <xf numFmtId="0" fontId="7" fillId="0" borderId="0" xfId="1" applyFont="1" applyAlignment="1">
      <alignment horizontal="center" vertical="center"/>
    </xf>
    <xf numFmtId="1" fontId="7" fillId="0" borderId="0" xfId="1" applyNumberFormat="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10"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0" xfId="1" applyFont="1" applyProtection="1">
      <protection hidden="1"/>
    </xf>
    <xf numFmtId="0" fontId="12" fillId="0" borderId="12" xfId="1" applyFont="1" applyBorder="1" applyProtection="1">
      <protection hidden="1"/>
    </xf>
    <xf numFmtId="0" fontId="12" fillId="0" borderId="1" xfId="1" applyFont="1" applyBorder="1" applyAlignment="1" applyProtection="1">
      <alignment horizontal="center" vertical="top" wrapText="1"/>
      <protection locked="0"/>
    </xf>
    <xf numFmtId="0" fontId="14" fillId="0" borderId="0" xfId="0" applyFont="1" applyProtection="1">
      <protection hidden="1"/>
    </xf>
    <xf numFmtId="0" fontId="12" fillId="0" borderId="12" xfId="1" applyFont="1" applyBorder="1"/>
    <xf numFmtId="0" fontId="12" fillId="0" borderId="1" xfId="1" applyFont="1" applyBorder="1" applyAlignment="1" applyProtection="1">
      <alignment horizontal="center" wrapText="1"/>
      <protection locked="0"/>
    </xf>
    <xf numFmtId="9" fontId="12" fillId="0" borderId="1" xfId="1" applyNumberFormat="1" applyFont="1" applyBorder="1" applyAlignment="1" applyProtection="1">
      <alignment horizontal="center" vertical="center" wrapText="1"/>
      <protection hidden="1"/>
    </xf>
    <xf numFmtId="0" fontId="14" fillId="0" borderId="12" xfId="0" applyFont="1" applyBorder="1" applyProtection="1">
      <protection hidden="1"/>
    </xf>
    <xf numFmtId="1" fontId="12" fillId="0" borderId="1" xfId="1" applyNumberFormat="1" applyFont="1" applyBorder="1" applyAlignment="1" applyProtection="1">
      <alignment horizontal="center" wrapText="1"/>
      <protection locked="0"/>
    </xf>
    <xf numFmtId="1" fontId="24" fillId="0" borderId="12" xfId="0" applyNumberFormat="1" applyFont="1" applyBorder="1"/>
    <xf numFmtId="1" fontId="24" fillId="0" borderId="12" xfId="0" applyNumberFormat="1" applyFont="1" applyBorder="1" applyAlignment="1">
      <alignment horizontal="right"/>
    </xf>
    <xf numFmtId="0" fontId="12" fillId="0" borderId="6" xfId="1" applyFont="1" applyBorder="1" applyAlignment="1" applyProtection="1">
      <alignment horizontal="center" wrapText="1"/>
      <protection locked="0"/>
    </xf>
    <xf numFmtId="9" fontId="12" fillId="0" borderId="6" xfId="1" applyNumberFormat="1" applyFont="1" applyBorder="1" applyAlignment="1" applyProtection="1">
      <alignment horizontal="center" vertical="center" wrapText="1"/>
      <protection hidden="1"/>
    </xf>
    <xf numFmtId="0" fontId="14" fillId="0" borderId="13" xfId="0" applyFont="1" applyBorder="1" applyProtection="1">
      <protection hidden="1"/>
    </xf>
    <xf numFmtId="1" fontId="24" fillId="0" borderId="14" xfId="0" applyNumberFormat="1" applyFont="1" applyBorder="1"/>
    <xf numFmtId="0" fontId="7" fillId="0" borderId="0" xfId="0" applyFont="1" applyAlignment="1">
      <alignment horizontal="center" vertical="center" wrapText="1"/>
    </xf>
    <xf numFmtId="165"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7" fillId="0" borderId="8"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24"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8" fillId="0" borderId="25"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167" fontId="7"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9" fontId="12" fillId="0" borderId="1" xfId="1" applyNumberFormat="1" applyFont="1" applyBorder="1" applyAlignment="1" applyProtection="1">
      <alignment horizontal="center" vertical="center" wrapText="1"/>
      <protection hidden="1"/>
    </xf>
    <xf numFmtId="9" fontId="12" fillId="0" borderId="6" xfId="1" applyNumberFormat="1" applyFont="1" applyBorder="1" applyAlignment="1" applyProtection="1">
      <alignment horizontal="center" vertical="center" wrapText="1"/>
      <protection hidden="1"/>
    </xf>
    <xf numFmtId="0" fontId="6" fillId="0" borderId="1" xfId="1" applyFont="1" applyBorder="1" applyAlignment="1" applyProtection="1">
      <alignmen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8"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1" fontId="8" fillId="0" borderId="22" xfId="1" applyNumberFormat="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10" fillId="0" borderId="1" xfId="0"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3"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17" fillId="0" borderId="23"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3" fillId="0" borderId="23"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13" fillId="0" borderId="8" xfId="0" applyNumberFormat="1" applyFont="1" applyBorder="1" applyAlignment="1" applyProtection="1">
      <alignment horizontal="left" vertical="top" wrapText="1"/>
      <protection locked="0"/>
    </xf>
    <xf numFmtId="1" fontId="13" fillId="0" borderId="23" xfId="0" applyNumberFormat="1" applyFont="1" applyBorder="1" applyAlignment="1" applyProtection="1">
      <alignment horizontal="left" vertical="top" wrapText="1"/>
      <protection locked="0"/>
    </xf>
    <xf numFmtId="1" fontId="13" fillId="0" borderId="9" xfId="0" applyNumberFormat="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center" wrapText="1"/>
      <protection locked="0"/>
    </xf>
    <xf numFmtId="1" fontId="8" fillId="0" borderId="23"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12" fillId="0" borderId="19" xfId="1" applyFont="1" applyBorder="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167" fontId="10" fillId="0" borderId="1" xfId="1" applyNumberFormat="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7" fillId="0" borderId="2" xfId="1" applyFont="1" applyBorder="1" applyAlignment="1" applyProtection="1">
      <alignment horizontal="left" vertical="top" wrapText="1"/>
      <protection locked="0"/>
    </xf>
    <xf numFmtId="0" fontId="7"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9" fontId="12" fillId="0" borderId="4" xfId="1" applyNumberFormat="1" applyFont="1" applyBorder="1" applyAlignment="1" applyProtection="1">
      <alignment horizontal="center" vertical="center" wrapText="1"/>
      <protection hidden="1"/>
    </xf>
    <xf numFmtId="9" fontId="12" fillId="0" borderId="7" xfId="1" applyNumberFormat="1" applyFont="1" applyBorder="1" applyAlignment="1" applyProtection="1">
      <alignment horizontal="center" vertical="center" wrapText="1"/>
      <protection hidden="1"/>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67"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center"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left" vertical="center" wrapText="1"/>
      <protection locked="0"/>
    </xf>
    <xf numFmtId="2"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7" fillId="0" borderId="1" xfId="1" applyFont="1" applyBorder="1" applyAlignment="1" applyProtection="1">
      <alignment horizontal="center"/>
      <protection locked="0"/>
    </xf>
    <xf numFmtId="0" fontId="6"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25" fillId="0" borderId="8" xfId="9" applyFill="1" applyBorder="1" applyAlignment="1" applyProtection="1">
      <alignment horizontal="left"/>
      <protection locked="0"/>
    </xf>
    <xf numFmtId="0" fontId="7" fillId="0" borderId="23" xfId="1" applyFont="1" applyBorder="1" applyAlignment="1" applyProtection="1">
      <alignment horizontal="left"/>
      <protection locked="0"/>
    </xf>
    <xf numFmtId="0" fontId="7" fillId="0" borderId="9" xfId="1" applyFont="1" applyBorder="1" applyAlignment="1" applyProtection="1">
      <alignment horizontal="left"/>
      <protection locked="0"/>
    </xf>
    <xf numFmtId="0" fontId="10" fillId="0" borderId="1" xfId="0" applyFont="1" applyBorder="1" applyAlignment="1" applyProtection="1">
      <alignment horizontal="center" vertical="center"/>
      <protection locked="0"/>
    </xf>
    <xf numFmtId="3" fontId="12" fillId="0" borderId="1" xfId="1" applyNumberFormat="1" applyFont="1" applyBorder="1" applyAlignment="1" applyProtection="1">
      <alignment horizontal="left" vertical="top"/>
      <protection locked="0"/>
    </xf>
    <xf numFmtId="0" fontId="7" fillId="0" borderId="0" xfId="1" applyFont="1" applyAlignment="1">
      <alignment horizontal="center" vertical="center"/>
    </xf>
    <xf numFmtId="1" fontId="6" fillId="0" borderId="23" xfId="1" applyNumberFormat="1" applyFont="1" applyBorder="1" applyAlignment="1" applyProtection="1">
      <alignment horizontal="center" vertical="center" wrapText="1"/>
      <protection locked="0"/>
    </xf>
    <xf numFmtId="0" fontId="9" fillId="0" borderId="1" xfId="5" applyFont="1" applyBorder="1" applyAlignment="1">
      <alignment horizontal="left"/>
    </xf>
  </cellXfs>
  <cellStyles count="10">
    <cellStyle name="Comma 2" xfId="6"/>
    <cellStyle name="Excel Built-in Normal" xfId="2"/>
    <cellStyle name="Excel Built-in Normal 2" xfId="4"/>
    <cellStyle name="Hyperlink" xfId="9"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340166</xdr:colOff>
      <xdr:row>274</xdr:row>
      <xdr:rowOff>174659</xdr:rowOff>
    </xdr:from>
    <xdr:to>
      <xdr:col>6</xdr:col>
      <xdr:colOff>487396</xdr:colOff>
      <xdr:row>292</xdr:row>
      <xdr:rowOff>100730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56595" y="38857822"/>
          <a:ext cx="4598709" cy="3600000"/>
        </a:xfrm>
        <a:prstGeom prst="rect">
          <a:avLst/>
        </a:prstGeom>
        <a:ln>
          <a:solidFill>
            <a:schemeClr val="tx1"/>
          </a:solidFill>
        </a:ln>
      </xdr:spPr>
    </xdr:pic>
    <xdr:clientData/>
  </xdr:twoCellAnchor>
  <xdr:twoCellAnchor editAs="oneCell">
    <xdr:from>
      <xdr:col>1</xdr:col>
      <xdr:colOff>352889</xdr:colOff>
      <xdr:row>256</xdr:row>
      <xdr:rowOff>87471</xdr:rowOff>
    </xdr:from>
    <xdr:to>
      <xdr:col>6</xdr:col>
      <xdr:colOff>487396</xdr:colOff>
      <xdr:row>274</xdr:row>
      <xdr:rowOff>13543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69318" y="35096706"/>
          <a:ext cx="4585986" cy="3600000"/>
        </a:xfrm>
        <a:prstGeom prst="rect">
          <a:avLst/>
        </a:prstGeom>
        <a:ln>
          <a:solidFill>
            <a:schemeClr val="tx1"/>
          </a:solidFill>
        </a:ln>
      </xdr:spPr>
    </xdr:pic>
    <xdr:clientData/>
  </xdr:twoCellAnchor>
  <xdr:twoCellAnchor>
    <xdr:from>
      <xdr:col>9</xdr:col>
      <xdr:colOff>189513</xdr:colOff>
      <xdr:row>169</xdr:row>
      <xdr:rowOff>80800</xdr:rowOff>
    </xdr:from>
    <xdr:to>
      <xdr:col>9</xdr:col>
      <xdr:colOff>517962</xdr:colOff>
      <xdr:row>170</xdr:row>
      <xdr:rowOff>120213</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876188" y="24445750"/>
          <a:ext cx="328449" cy="2394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K1</a:t>
          </a:r>
        </a:p>
      </xdr:txBody>
    </xdr:sp>
    <xdr:clientData/>
  </xdr:twoCellAnchor>
  <xdr:twoCellAnchor>
    <xdr:from>
      <xdr:col>10</xdr:col>
      <xdr:colOff>47630</xdr:colOff>
      <xdr:row>168</xdr:row>
      <xdr:rowOff>156013</xdr:rowOff>
    </xdr:from>
    <xdr:to>
      <xdr:col>10</xdr:col>
      <xdr:colOff>376079</xdr:colOff>
      <xdr:row>169</xdr:row>
      <xdr:rowOff>195426</xdr:rowOff>
    </xdr:to>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8496305" y="24320938"/>
          <a:ext cx="328449" cy="2394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K2</a:t>
          </a:r>
        </a:p>
      </xdr:txBody>
    </xdr:sp>
    <xdr:clientData/>
  </xdr:twoCellAnchor>
  <xdr:twoCellAnchor>
    <xdr:from>
      <xdr:col>17</xdr:col>
      <xdr:colOff>257513</xdr:colOff>
      <xdr:row>168</xdr:row>
      <xdr:rowOff>175720</xdr:rowOff>
    </xdr:from>
    <xdr:to>
      <xdr:col>17</xdr:col>
      <xdr:colOff>585305</xdr:colOff>
      <xdr:row>170</xdr:row>
      <xdr:rowOff>15108</xdr:rowOff>
    </xdr:to>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11516063" y="24340645"/>
          <a:ext cx="327792" cy="2394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K3</a:t>
          </a:r>
        </a:p>
      </xdr:txBody>
    </xdr:sp>
    <xdr:clientData/>
  </xdr:twoCellAnchor>
  <xdr:twoCellAnchor>
    <xdr:from>
      <xdr:col>8</xdr:col>
      <xdr:colOff>144189</xdr:colOff>
      <xdr:row>180</xdr:row>
      <xdr:rowOff>197554</xdr:rowOff>
    </xdr:from>
    <xdr:to>
      <xdr:col>8</xdr:col>
      <xdr:colOff>472638</xdr:colOff>
      <xdr:row>182</xdr:row>
      <xdr:rowOff>36942</xdr:rowOff>
    </xdr:to>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6668814" y="26753254"/>
          <a:ext cx="328449" cy="2394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K4</a:t>
          </a:r>
        </a:p>
      </xdr:txBody>
    </xdr:sp>
    <xdr:clientData/>
  </xdr:twoCellAnchor>
  <xdr:twoCellAnchor>
    <xdr:from>
      <xdr:col>10</xdr:col>
      <xdr:colOff>47629</xdr:colOff>
      <xdr:row>180</xdr:row>
      <xdr:rowOff>197554</xdr:rowOff>
    </xdr:from>
    <xdr:to>
      <xdr:col>10</xdr:col>
      <xdr:colOff>376078</xdr:colOff>
      <xdr:row>182</xdr:row>
      <xdr:rowOff>36942</xdr:rowOff>
    </xdr:to>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8496304" y="26753254"/>
          <a:ext cx="328449" cy="2394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K5</a:t>
          </a:r>
        </a:p>
      </xdr:txBody>
    </xdr:sp>
    <xdr:clientData/>
  </xdr:twoCellAnchor>
  <xdr:twoCellAnchor editAs="oneCell">
    <xdr:from>
      <xdr:col>1</xdr:col>
      <xdr:colOff>484094</xdr:colOff>
      <xdr:row>214</xdr:row>
      <xdr:rowOff>35858</xdr:rowOff>
    </xdr:from>
    <xdr:to>
      <xdr:col>6</xdr:col>
      <xdr:colOff>545859</xdr:colOff>
      <xdr:row>243</xdr:row>
      <xdr:rowOff>83877</xdr:rowOff>
    </xdr:to>
    <xdr:pic>
      <xdr:nvPicPr>
        <xdr:cNvPr id="17" name="Picture 16">
          <a:extLst>
            <a:ext uri="{FF2B5EF4-FFF2-40B4-BE49-F238E27FC236}">
              <a16:creationId xmlns:a16="http://schemas.microsoft.com/office/drawing/2014/main" id="{A0868544-8BEF-862E-B17D-A9078D0A3B88}"/>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a:ext>
          </a:extLst>
        </a:blip>
        <a:stretch>
          <a:fillRect/>
        </a:stretch>
      </xdr:blipFill>
      <xdr:spPr>
        <a:xfrm>
          <a:off x="1272988" y="34702376"/>
          <a:ext cx="4320000" cy="5767501"/>
        </a:xfrm>
        <a:prstGeom prst="rect">
          <a:avLst/>
        </a:prstGeom>
        <a:ln>
          <a:solidFill>
            <a:schemeClr val="tx1"/>
          </a:solidFill>
        </a:ln>
      </xdr:spPr>
    </xdr:pic>
    <xdr:clientData/>
  </xdr:twoCellAnchor>
  <xdr:twoCellAnchor>
    <xdr:from>
      <xdr:col>9</xdr:col>
      <xdr:colOff>308466</xdr:colOff>
      <xdr:row>169</xdr:row>
      <xdr:rowOff>609</xdr:rowOff>
    </xdr:from>
    <xdr:to>
      <xdr:col>19</xdr:col>
      <xdr:colOff>259365</xdr:colOff>
      <xdr:row>197</xdr:row>
      <xdr:rowOff>161974</xdr:rowOff>
    </xdr:to>
    <xdr:grpSp>
      <xdr:nvGrpSpPr>
        <xdr:cNvPr id="21" name="Group 20">
          <a:extLst>
            <a:ext uri="{FF2B5EF4-FFF2-40B4-BE49-F238E27FC236}">
              <a16:creationId xmlns:a16="http://schemas.microsoft.com/office/drawing/2014/main" id="{D92EEDBE-C33D-75A3-1341-6490A628B1CC}"/>
            </a:ext>
          </a:extLst>
        </xdr:cNvPr>
        <xdr:cNvGrpSpPr/>
      </xdr:nvGrpSpPr>
      <xdr:grpSpPr>
        <a:xfrm>
          <a:off x="8443937" y="26255991"/>
          <a:ext cx="4735810" cy="5797924"/>
          <a:chOff x="699247" y="26096259"/>
          <a:chExt cx="3054850" cy="4134080"/>
        </a:xfrm>
      </xdr:grpSpPr>
      <xdr:pic>
        <xdr:nvPicPr>
          <xdr:cNvPr id="18" name="Picture 17">
            <a:extLst>
              <a:ext uri="{FF2B5EF4-FFF2-40B4-BE49-F238E27FC236}">
                <a16:creationId xmlns:a16="http://schemas.microsoft.com/office/drawing/2014/main" id="{4759CEC1-A271-D60B-BA07-5534F18B884F}"/>
              </a:ext>
            </a:extLst>
          </xdr:cNvPr>
          <xdr:cNvPicPr>
            <a:picLocks noChangeAspect="1"/>
          </xdr:cNvPicPr>
        </xdr:nvPicPr>
        <xdr:blipFill>
          <a:blip xmlns:r="http://schemas.openxmlformats.org/officeDocument/2006/relationships" r:embed="rId4" cstate="hqprint">
            <a:extLst>
              <a:ext uri="{28A0092B-C50C-407E-A947-70E740481C1C}">
                <a14:useLocalDpi xmlns:a14="http://schemas.microsoft.com/office/drawing/2010/main"/>
              </a:ext>
            </a:extLst>
          </a:blip>
          <a:stretch>
            <a:fillRect/>
          </a:stretch>
        </xdr:blipFill>
        <xdr:spPr>
          <a:xfrm>
            <a:off x="947808" y="28583242"/>
            <a:ext cx="1227253" cy="1638468"/>
          </a:xfrm>
          <a:prstGeom prst="rect">
            <a:avLst/>
          </a:prstGeom>
          <a:ln>
            <a:solidFill>
              <a:schemeClr val="tx1"/>
            </a:solidFill>
          </a:ln>
        </xdr:spPr>
      </xdr:pic>
      <xdr:pic>
        <xdr:nvPicPr>
          <xdr:cNvPr id="19" name="Picture 18">
            <a:extLst>
              <a:ext uri="{FF2B5EF4-FFF2-40B4-BE49-F238E27FC236}">
                <a16:creationId xmlns:a16="http://schemas.microsoft.com/office/drawing/2014/main" id="{7F0F19E5-FB67-CDD3-834A-E4724E41A258}"/>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a:ext>
            </a:extLst>
          </a:blip>
          <a:stretch>
            <a:fillRect/>
          </a:stretch>
        </xdr:blipFill>
        <xdr:spPr>
          <a:xfrm>
            <a:off x="2348592" y="28591871"/>
            <a:ext cx="1227253" cy="1638468"/>
          </a:xfrm>
          <a:prstGeom prst="rect">
            <a:avLst/>
          </a:prstGeom>
          <a:ln>
            <a:solidFill>
              <a:schemeClr val="tx1"/>
            </a:solidFill>
          </a:ln>
        </xdr:spPr>
      </xdr:pic>
      <xdr:pic>
        <xdr:nvPicPr>
          <xdr:cNvPr id="20" name="Picture 19">
            <a:extLst>
              <a:ext uri="{FF2B5EF4-FFF2-40B4-BE49-F238E27FC236}">
                <a16:creationId xmlns:a16="http://schemas.microsoft.com/office/drawing/2014/main" id="{E1CC69FD-3AAA-38F0-5B2C-48AB6C1B9BC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699247" y="26096259"/>
            <a:ext cx="3054850" cy="2293855"/>
          </a:xfrm>
          <a:prstGeom prst="rect">
            <a:avLst/>
          </a:prstGeom>
          <a:ln>
            <a:solidFill>
              <a:schemeClr val="tx1"/>
            </a:solidFill>
          </a:ln>
        </xdr:spPr>
      </xdr:pic>
    </xdr:grpSp>
    <xdr:clientData/>
  </xdr:twoCellAnchor>
  <xdr:twoCellAnchor>
    <xdr:from>
      <xdr:col>0</xdr:col>
      <xdr:colOff>638735</xdr:colOff>
      <xdr:row>168</xdr:row>
      <xdr:rowOff>112059</xdr:rowOff>
    </xdr:from>
    <xdr:to>
      <xdr:col>7</xdr:col>
      <xdr:colOff>425823</xdr:colOff>
      <xdr:row>211</xdr:row>
      <xdr:rowOff>56029</xdr:rowOff>
    </xdr:to>
    <xdr:grpSp>
      <xdr:nvGrpSpPr>
        <xdr:cNvPr id="38" name="Group 37"/>
        <xdr:cNvGrpSpPr/>
      </xdr:nvGrpSpPr>
      <xdr:grpSpPr>
        <a:xfrm>
          <a:off x="638735" y="26165735"/>
          <a:ext cx="5490882" cy="8606118"/>
          <a:chOff x="1168583" y="315543"/>
          <a:chExt cx="4687093" cy="8160242"/>
        </a:xfrm>
      </xdr:grpSpPr>
      <xdr:pic>
        <xdr:nvPicPr>
          <xdr:cNvPr id="39" name="Picture 38" descr="https://vsjcllp.vsjadon.com/upload/insp-239734-152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589907" y="6762695"/>
            <a:ext cx="1278506" cy="17064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39734-849.jpg"/>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519779" y="315543"/>
            <a:ext cx="4140255" cy="310806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39734-874.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589907" y="3584385"/>
            <a:ext cx="2265769" cy="30241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39734-1512.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159357" y="6769333"/>
            <a:ext cx="1278506" cy="17064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39734-84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168583" y="3584385"/>
            <a:ext cx="2265769" cy="30241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SAGTX8isKDi8ETEn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256"/>
  <sheetViews>
    <sheetView tabSelected="1" view="pageBreakPreview" zoomScale="85" zoomScaleNormal="100" zoomScaleSheetLayoutView="85" zoomScalePageLayoutView="98" workbookViewId="0">
      <selection activeCell="J12" sqref="J12"/>
    </sheetView>
  </sheetViews>
  <sheetFormatPr defaultColWidth="9.140625" defaultRowHeight="15.75" x14ac:dyDescent="0.25"/>
  <cols>
    <col min="1" max="1" width="11.42578125" style="36" customWidth="1"/>
    <col min="2" max="2" width="12" style="36" customWidth="1"/>
    <col min="3" max="3" width="12.7109375" style="36" customWidth="1"/>
    <col min="4" max="4" width="14.140625" style="36" customWidth="1"/>
    <col min="5" max="7" width="11.7109375" style="36" customWidth="1"/>
    <col min="8" max="8" width="19" style="36" customWidth="1"/>
    <col min="9" max="9" width="17.42578125" style="20" customWidth="1"/>
    <col min="10" max="10" width="11.42578125" style="20" customWidth="1"/>
    <col min="11" max="11" width="10.5703125" style="20" bestFit="1" customWidth="1"/>
    <col min="12" max="12" width="10.5703125" style="20" customWidth="1"/>
    <col min="13" max="13" width="11.85546875" style="20" customWidth="1"/>
    <col min="14" max="14" width="12.5703125" style="20" hidden="1" customWidth="1"/>
    <col min="15" max="15" width="9.85546875" style="20" hidden="1" customWidth="1"/>
    <col min="16" max="16" width="11.7109375" style="20" hidden="1" customWidth="1"/>
    <col min="17"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8" ht="46.5" customHeight="1" x14ac:dyDescent="0.25">
      <c r="A1" s="140" t="s">
        <v>197</v>
      </c>
      <c r="B1" s="140"/>
      <c r="C1" s="140"/>
      <c r="D1" s="140"/>
      <c r="E1" s="140"/>
      <c r="F1" s="140"/>
      <c r="G1" s="140"/>
      <c r="H1" s="140"/>
    </row>
    <row r="2" spans="1:8" ht="16.5" customHeight="1" x14ac:dyDescent="0.25">
      <c r="A2" s="141" t="s">
        <v>0</v>
      </c>
      <c r="B2" s="141"/>
      <c r="C2" s="141"/>
      <c r="D2" s="141"/>
      <c r="E2" s="141"/>
      <c r="F2" s="141"/>
      <c r="G2" s="141"/>
      <c r="H2" s="141"/>
    </row>
    <row r="3" spans="1:8" x14ac:dyDescent="0.25">
      <c r="A3" s="58" t="s">
        <v>1</v>
      </c>
      <c r="B3" s="58"/>
      <c r="C3" s="58"/>
      <c r="D3" s="58"/>
      <c r="E3" s="142" t="str">
        <f ca="1">TEXT(TODAY(),"DD/MM/YYYY")</f>
        <v>14/07/2025</v>
      </c>
      <c r="F3" s="142"/>
      <c r="G3" s="142"/>
      <c r="H3" s="142"/>
    </row>
    <row r="4" spans="1:8" ht="15" customHeight="1" x14ac:dyDescent="0.25">
      <c r="A4" s="58" t="s">
        <v>2</v>
      </c>
      <c r="B4" s="58"/>
      <c r="C4" s="58"/>
      <c r="D4" s="58"/>
      <c r="E4" s="143" t="s">
        <v>167</v>
      </c>
      <c r="F4" s="143"/>
      <c r="G4" s="143"/>
      <c r="H4" s="143"/>
    </row>
    <row r="5" spans="1:8" x14ac:dyDescent="0.25">
      <c r="A5" s="58" t="s">
        <v>3</v>
      </c>
      <c r="B5" s="58"/>
      <c r="C5" s="58"/>
      <c r="D5" s="58"/>
      <c r="E5" s="142">
        <v>45849</v>
      </c>
      <c r="F5" s="142"/>
      <c r="G5" s="142"/>
      <c r="H5" s="142"/>
    </row>
    <row r="6" spans="1:8" ht="16.5" customHeight="1" x14ac:dyDescent="0.25">
      <c r="A6" s="58" t="s">
        <v>4</v>
      </c>
      <c r="B6" s="58"/>
      <c r="C6" s="58"/>
      <c r="D6" s="58"/>
      <c r="E6" s="74" t="s">
        <v>168</v>
      </c>
      <c r="F6" s="74"/>
      <c r="G6" s="74"/>
      <c r="H6" s="74"/>
    </row>
    <row r="7" spans="1:8" ht="15" customHeight="1" x14ac:dyDescent="0.25">
      <c r="A7" s="58" t="s">
        <v>5</v>
      </c>
      <c r="B7" s="58"/>
      <c r="C7" s="58"/>
      <c r="D7" s="58"/>
      <c r="E7" s="74" t="str">
        <f>E6</f>
        <v>Xrbia Warai Developers Private Limited</v>
      </c>
      <c r="F7" s="74"/>
      <c r="G7" s="74"/>
      <c r="H7" s="74"/>
    </row>
    <row r="8" spans="1:8" x14ac:dyDescent="0.25">
      <c r="A8" s="58" t="s">
        <v>6</v>
      </c>
      <c r="B8" s="58"/>
      <c r="C8" s="58"/>
      <c r="D8" s="58"/>
      <c r="E8" s="128" t="s">
        <v>196</v>
      </c>
      <c r="F8" s="128"/>
      <c r="G8" s="128"/>
      <c r="H8" s="128"/>
    </row>
    <row r="9" spans="1:8" x14ac:dyDescent="0.25">
      <c r="A9" s="58" t="s">
        <v>198</v>
      </c>
      <c r="B9" s="58"/>
      <c r="C9" s="58"/>
      <c r="D9" s="58"/>
      <c r="E9" s="58" t="s">
        <v>199</v>
      </c>
      <c r="F9" s="58"/>
      <c r="G9" s="58"/>
      <c r="H9" s="58"/>
    </row>
    <row r="10" spans="1:8" x14ac:dyDescent="0.25">
      <c r="A10" s="58" t="s">
        <v>131</v>
      </c>
      <c r="B10" s="58"/>
      <c r="C10" s="58"/>
      <c r="D10" s="58"/>
      <c r="E10" s="58" t="s">
        <v>170</v>
      </c>
      <c r="F10" s="58"/>
      <c r="G10" s="58"/>
      <c r="H10" s="58"/>
    </row>
    <row r="11" spans="1:8" x14ac:dyDescent="0.25">
      <c r="A11" s="80" t="s">
        <v>7</v>
      </c>
      <c r="B11" s="80"/>
      <c r="C11" s="80"/>
      <c r="D11" s="80"/>
      <c r="E11" s="80" t="s">
        <v>188</v>
      </c>
      <c r="F11" s="80"/>
      <c r="G11" s="80"/>
      <c r="H11" s="80"/>
    </row>
    <row r="12" spans="1:8" x14ac:dyDescent="0.25">
      <c r="A12" s="58" t="s">
        <v>8</v>
      </c>
      <c r="B12" s="58"/>
      <c r="C12" s="58"/>
      <c r="D12" s="58"/>
      <c r="E12" s="77" t="s">
        <v>169</v>
      </c>
      <c r="F12" s="77"/>
      <c r="G12" s="77"/>
      <c r="H12" s="77"/>
    </row>
    <row r="13" spans="1:8" ht="33.75" customHeight="1" x14ac:dyDescent="0.25">
      <c r="A13" s="58" t="s">
        <v>9</v>
      </c>
      <c r="B13" s="58"/>
      <c r="C13" s="58"/>
      <c r="D13" s="58"/>
      <c r="E13" s="77" t="s">
        <v>187</v>
      </c>
      <c r="F13" s="81"/>
      <c r="G13" s="81"/>
      <c r="H13" s="81"/>
    </row>
    <row r="14" spans="1:8" ht="64.5" customHeight="1" x14ac:dyDescent="0.25">
      <c r="A14" s="74" t="s">
        <v>10</v>
      </c>
      <c r="B14" s="74"/>
      <c r="C14" s="74" t="str">
        <f>CONCATENATE((IF(OR(E8="",E8="NA"),"",E8)),", ",(IF(OR(A15="",A15="NA"),"",A15)),".",(IF(OR(C15="",C15="NA"),"",C15)),", near ",(IF(OR(C19="",C19="NA"),"",C19)),", ",(IF(OR(C16="",C16="NA"),"",C16)),", ",(IF(OR(G16="",G16="NA"),"",G16)),", ",(IF(OR(C17="",C17="NA"),"",C17)),", ",(IF(OR(C18="",C18="NA"),"",C18)),", ",(IF(OR(G17="",G17="NA"),"",G17))," , ",(IF(OR(G18="",G18="NA"),"",G18)),".")</f>
        <v>Xrbia Warai / Neral (K1 to K5), Survey No.6/2, 6/3, 9/1, 9/2, 10/2A+2B (New S.No.10/2A/1), 10/4+5B ( New S.No.10/4A/2), 10/6, 10/9, 12/1+2+3 (New S.No.12/1A/1), 12/6+7+8 ( New S.No. 12/6A), 12/5, near Forest Escape Resort, Karjat - Murbad Road, Warai, Neral, Karjat, Raigad , 410101.</v>
      </c>
      <c r="D14" s="74"/>
      <c r="E14" s="74"/>
      <c r="F14" s="74"/>
      <c r="G14" s="74"/>
      <c r="H14" s="74"/>
    </row>
    <row r="15" spans="1:8" ht="31.5" customHeight="1" x14ac:dyDescent="0.25">
      <c r="A15" s="77" t="s">
        <v>175</v>
      </c>
      <c r="B15" s="77"/>
      <c r="C15" s="79" t="s">
        <v>177</v>
      </c>
      <c r="D15" s="79"/>
      <c r="E15" s="79"/>
      <c r="F15" s="79"/>
      <c r="G15" s="79"/>
      <c r="H15" s="79"/>
    </row>
    <row r="16" spans="1:8" ht="15.75" customHeight="1" x14ac:dyDescent="0.25">
      <c r="A16" s="74" t="s">
        <v>11</v>
      </c>
      <c r="B16" s="74"/>
      <c r="C16" s="80" t="s">
        <v>182</v>
      </c>
      <c r="D16" s="80"/>
      <c r="E16" s="74" t="s">
        <v>80</v>
      </c>
      <c r="F16" s="74"/>
      <c r="G16" s="79" t="s">
        <v>172</v>
      </c>
      <c r="H16" s="79"/>
    </row>
    <row r="17" spans="1:8" x14ac:dyDescent="0.25">
      <c r="A17" s="58" t="s">
        <v>13</v>
      </c>
      <c r="B17" s="58"/>
      <c r="C17" s="79" t="s">
        <v>176</v>
      </c>
      <c r="D17" s="79"/>
      <c r="E17" s="74" t="s">
        <v>12</v>
      </c>
      <c r="F17" s="74"/>
      <c r="G17" s="144" t="s">
        <v>174</v>
      </c>
      <c r="H17" s="144"/>
    </row>
    <row r="18" spans="1:8" x14ac:dyDescent="0.25">
      <c r="A18" s="58" t="s">
        <v>81</v>
      </c>
      <c r="B18" s="58"/>
      <c r="C18" s="79" t="s">
        <v>173</v>
      </c>
      <c r="D18" s="79"/>
      <c r="E18" s="74" t="s">
        <v>14</v>
      </c>
      <c r="F18" s="74"/>
      <c r="G18" s="79">
        <v>410101</v>
      </c>
      <c r="H18" s="79"/>
    </row>
    <row r="19" spans="1:8" ht="32.25" customHeight="1" x14ac:dyDescent="0.25">
      <c r="A19" s="58" t="s">
        <v>132</v>
      </c>
      <c r="B19" s="58"/>
      <c r="C19" s="74" t="s">
        <v>181</v>
      </c>
      <c r="D19" s="74"/>
      <c r="E19" s="74" t="s">
        <v>15</v>
      </c>
      <c r="F19" s="74"/>
      <c r="G19" s="77" t="s">
        <v>171</v>
      </c>
      <c r="H19" s="77"/>
    </row>
    <row r="20" spans="1:8" ht="15" customHeight="1" x14ac:dyDescent="0.25">
      <c r="A20" s="74" t="s">
        <v>85</v>
      </c>
      <c r="B20" s="74"/>
      <c r="C20" s="74"/>
      <c r="D20" s="74"/>
      <c r="E20" s="80" t="s">
        <v>16</v>
      </c>
      <c r="F20" s="80"/>
      <c r="G20" s="80"/>
      <c r="H20" s="80"/>
    </row>
    <row r="21" spans="1:8" ht="18.75" customHeight="1" x14ac:dyDescent="0.25">
      <c r="A21" s="74"/>
      <c r="B21" s="74"/>
      <c r="C21" s="74"/>
      <c r="D21" s="74"/>
      <c r="E21" s="80"/>
      <c r="F21" s="80"/>
      <c r="G21" s="80"/>
      <c r="H21" s="80"/>
    </row>
    <row r="22" spans="1:8" ht="15" customHeight="1" x14ac:dyDescent="0.25">
      <c r="A22" s="74" t="s">
        <v>17</v>
      </c>
      <c r="B22" s="74"/>
      <c r="C22" s="74"/>
      <c r="D22" s="74"/>
      <c r="E22" s="79" t="s">
        <v>18</v>
      </c>
      <c r="F22" s="79"/>
      <c r="G22" s="79"/>
      <c r="H22" s="79"/>
    </row>
    <row r="23" spans="1:8" ht="15" customHeight="1" x14ac:dyDescent="0.25">
      <c r="A23" s="58" t="s">
        <v>19</v>
      </c>
      <c r="B23" s="58"/>
      <c r="C23" s="58"/>
      <c r="D23" s="58"/>
      <c r="E23" s="79" t="str">
        <f>IF(AND(G17="Mumbai"),"Upper Class","Middle Class")</f>
        <v>Middle Class</v>
      </c>
      <c r="F23" s="79"/>
      <c r="G23" s="79"/>
      <c r="H23" s="79"/>
    </row>
    <row r="24" spans="1:8" x14ac:dyDescent="0.25">
      <c r="A24" s="58" t="s">
        <v>20</v>
      </c>
      <c r="B24" s="58"/>
      <c r="C24" s="58"/>
      <c r="D24" s="58"/>
      <c r="E24" s="79" t="s">
        <v>21</v>
      </c>
      <c r="F24" s="79"/>
      <c r="G24" s="79"/>
      <c r="H24" s="79"/>
    </row>
    <row r="25" spans="1:8" ht="15.75" customHeight="1" x14ac:dyDescent="0.25">
      <c r="A25" s="58" t="s">
        <v>22</v>
      </c>
      <c r="B25" s="58"/>
      <c r="C25" s="58"/>
      <c r="D25" s="58"/>
      <c r="E25" s="79" t="str">
        <f>IF(AND(G17="Mumbai"),"Developed","Developing")</f>
        <v>Developing</v>
      </c>
      <c r="F25" s="79"/>
      <c r="G25" s="79"/>
      <c r="H25" s="79"/>
    </row>
    <row r="26" spans="1:8" x14ac:dyDescent="0.25">
      <c r="A26" s="58" t="s">
        <v>23</v>
      </c>
      <c r="B26" s="58"/>
      <c r="C26" s="58"/>
      <c r="D26" s="58"/>
      <c r="E26" s="79" t="s">
        <v>24</v>
      </c>
      <c r="F26" s="79"/>
      <c r="G26" s="79"/>
      <c r="H26" s="79"/>
    </row>
    <row r="27" spans="1:8" x14ac:dyDescent="0.25">
      <c r="A27" s="58" t="s">
        <v>90</v>
      </c>
      <c r="B27" s="58"/>
      <c r="C27" s="58"/>
      <c r="D27" s="58"/>
      <c r="E27" s="79" t="s">
        <v>91</v>
      </c>
      <c r="F27" s="79"/>
      <c r="G27" s="79"/>
      <c r="H27" s="79"/>
    </row>
    <row r="28" spans="1:8" ht="15" customHeight="1" x14ac:dyDescent="0.25">
      <c r="A28" s="74" t="s">
        <v>35</v>
      </c>
      <c r="B28" s="74"/>
      <c r="C28" s="74"/>
      <c r="D28" s="74"/>
      <c r="E28" s="147" t="s">
        <v>186</v>
      </c>
      <c r="F28" s="147"/>
      <c r="G28" s="147"/>
      <c r="H28" s="147"/>
    </row>
    <row r="29" spans="1:8" x14ac:dyDescent="0.25">
      <c r="A29" s="74" t="s">
        <v>102</v>
      </c>
      <c r="B29" s="74"/>
      <c r="C29" s="74"/>
      <c r="D29" s="74"/>
      <c r="E29" s="74" t="s">
        <v>36</v>
      </c>
      <c r="F29" s="74"/>
      <c r="G29" s="74"/>
      <c r="H29" s="74"/>
    </row>
    <row r="30" spans="1:8" s="21" customFormat="1" x14ac:dyDescent="0.25">
      <c r="A30" s="152" t="s">
        <v>103</v>
      </c>
      <c r="B30" s="152"/>
      <c r="C30" s="149" t="s">
        <v>29</v>
      </c>
      <c r="D30" s="149"/>
      <c r="E30" s="149"/>
      <c r="F30" s="149" t="s">
        <v>31</v>
      </c>
      <c r="G30" s="149"/>
      <c r="H30" s="149"/>
    </row>
    <row r="31" spans="1:8" s="21" customFormat="1" x14ac:dyDescent="0.25">
      <c r="A31" s="145" t="s">
        <v>25</v>
      </c>
      <c r="B31" s="145" t="s">
        <v>30</v>
      </c>
      <c r="C31" s="146" t="s">
        <v>30</v>
      </c>
      <c r="D31" s="146"/>
      <c r="E31" s="146"/>
      <c r="F31" s="146" t="s">
        <v>180</v>
      </c>
      <c r="G31" s="146"/>
      <c r="H31" s="146"/>
    </row>
    <row r="32" spans="1:8" x14ac:dyDescent="0.25">
      <c r="A32" s="145" t="s">
        <v>26</v>
      </c>
      <c r="B32" s="145" t="s">
        <v>30</v>
      </c>
      <c r="C32" s="146" t="s">
        <v>30</v>
      </c>
      <c r="D32" s="146"/>
      <c r="E32" s="146"/>
      <c r="F32" s="146" t="s">
        <v>180</v>
      </c>
      <c r="G32" s="146"/>
      <c r="H32" s="146"/>
    </row>
    <row r="33" spans="1:8" s="21" customFormat="1" x14ac:dyDescent="0.25">
      <c r="A33" s="145" t="s">
        <v>28</v>
      </c>
      <c r="B33" s="145" t="s">
        <v>30</v>
      </c>
      <c r="C33" s="146" t="s">
        <v>30</v>
      </c>
      <c r="D33" s="146"/>
      <c r="E33" s="146"/>
      <c r="F33" s="146" t="s">
        <v>178</v>
      </c>
      <c r="G33" s="146"/>
      <c r="H33" s="146"/>
    </row>
    <row r="34" spans="1:8" x14ac:dyDescent="0.25">
      <c r="A34" s="145" t="s">
        <v>27</v>
      </c>
      <c r="B34" s="145" t="s">
        <v>30</v>
      </c>
      <c r="C34" s="146" t="s">
        <v>30</v>
      </c>
      <c r="D34" s="146"/>
      <c r="E34" s="146"/>
      <c r="F34" s="146" t="s">
        <v>179</v>
      </c>
      <c r="G34" s="146"/>
      <c r="H34" s="146"/>
    </row>
    <row r="35" spans="1:8" x14ac:dyDescent="0.25">
      <c r="A35" s="58" t="s">
        <v>32</v>
      </c>
      <c r="B35" s="58"/>
      <c r="C35" s="58"/>
      <c r="D35" s="58"/>
      <c r="E35" s="58"/>
      <c r="F35" s="58"/>
      <c r="G35" s="58"/>
      <c r="H35" s="58"/>
    </row>
    <row r="36" spans="1:8" ht="15.75" customHeight="1" x14ac:dyDescent="0.25">
      <c r="A36" s="141" t="s">
        <v>33</v>
      </c>
      <c r="B36" s="141"/>
      <c r="C36" s="150">
        <v>19.084894999999999</v>
      </c>
      <c r="D36" s="150"/>
      <c r="E36" s="141" t="s">
        <v>34</v>
      </c>
      <c r="F36" s="141"/>
      <c r="G36" s="151">
        <v>73.346368999999996</v>
      </c>
      <c r="H36" s="151"/>
    </row>
    <row r="37" spans="1:8" ht="15.75" customHeight="1" x14ac:dyDescent="0.25">
      <c r="A37" s="141" t="s">
        <v>194</v>
      </c>
      <c r="B37" s="141"/>
      <c r="C37" s="153" t="s">
        <v>195</v>
      </c>
      <c r="D37" s="154"/>
      <c r="E37" s="154"/>
      <c r="F37" s="154"/>
      <c r="G37" s="154"/>
      <c r="H37" s="155"/>
    </row>
    <row r="38" spans="1:8" x14ac:dyDescent="0.25">
      <c r="A38" s="128" t="s">
        <v>37</v>
      </c>
      <c r="B38" s="128"/>
      <c r="C38" s="128"/>
      <c r="D38" s="128"/>
      <c r="E38" s="128"/>
      <c r="F38" s="128"/>
      <c r="G38" s="128"/>
      <c r="H38" s="128"/>
    </row>
    <row r="39" spans="1:8" x14ac:dyDescent="0.25">
      <c r="A39" s="58" t="s">
        <v>38</v>
      </c>
      <c r="B39" s="58"/>
      <c r="C39" s="58"/>
      <c r="D39" s="58"/>
      <c r="E39" s="148" t="s">
        <v>30</v>
      </c>
      <c r="F39" s="148"/>
      <c r="G39" s="148"/>
      <c r="H39" s="148"/>
    </row>
    <row r="40" spans="1:8" x14ac:dyDescent="0.25">
      <c r="A40" s="58" t="s">
        <v>39</v>
      </c>
      <c r="B40" s="58"/>
      <c r="C40" s="58"/>
      <c r="D40" s="58"/>
      <c r="E40" s="57" t="s">
        <v>30</v>
      </c>
      <c r="F40" s="57"/>
      <c r="G40" s="57"/>
      <c r="H40" s="57"/>
    </row>
    <row r="41" spans="1:8" x14ac:dyDescent="0.25">
      <c r="A41" s="58" t="s">
        <v>40</v>
      </c>
      <c r="B41" s="58"/>
      <c r="C41" s="58"/>
      <c r="D41" s="58"/>
      <c r="E41" s="57" t="s">
        <v>30</v>
      </c>
      <c r="F41" s="57"/>
      <c r="G41" s="57"/>
      <c r="H41" s="57"/>
    </row>
    <row r="42" spans="1:8" x14ac:dyDescent="0.25">
      <c r="A42" s="58" t="s">
        <v>41</v>
      </c>
      <c r="B42" s="58"/>
      <c r="C42" s="58"/>
      <c r="D42" s="58"/>
      <c r="E42" s="57" t="s">
        <v>30</v>
      </c>
      <c r="F42" s="57"/>
      <c r="G42" s="57"/>
      <c r="H42" s="57"/>
    </row>
    <row r="43" spans="1:8" x14ac:dyDescent="0.25">
      <c r="A43" s="58" t="s">
        <v>101</v>
      </c>
      <c r="B43" s="58"/>
      <c r="C43" s="58"/>
      <c r="D43" s="58"/>
      <c r="E43" s="132" t="s">
        <v>30</v>
      </c>
      <c r="F43" s="132"/>
      <c r="G43" s="132"/>
      <c r="H43" s="132"/>
    </row>
    <row r="44" spans="1:8" x14ac:dyDescent="0.25">
      <c r="A44" s="80" t="s">
        <v>42</v>
      </c>
      <c r="B44" s="80"/>
      <c r="C44" s="80"/>
      <c r="D44" s="80"/>
      <c r="E44" s="81" t="s">
        <v>183</v>
      </c>
      <c r="F44" s="81"/>
      <c r="G44" s="81"/>
      <c r="H44" s="81"/>
    </row>
    <row r="45" spans="1:8" x14ac:dyDescent="0.25">
      <c r="A45" s="128" t="s">
        <v>43</v>
      </c>
      <c r="B45" s="128"/>
      <c r="C45" s="128"/>
      <c r="D45" s="128"/>
      <c r="E45" s="128"/>
      <c r="F45" s="128"/>
      <c r="G45" s="128"/>
      <c r="H45" s="128"/>
    </row>
    <row r="46" spans="1:8" x14ac:dyDescent="0.25">
      <c r="A46" s="77" t="s">
        <v>44</v>
      </c>
      <c r="B46" s="77"/>
      <c r="C46" s="77" t="s">
        <v>30</v>
      </c>
      <c r="D46" s="77"/>
      <c r="E46" s="77"/>
      <c r="F46" s="39" t="s">
        <v>45</v>
      </c>
      <c r="G46" s="78" t="s">
        <v>30</v>
      </c>
      <c r="H46" s="78"/>
    </row>
    <row r="47" spans="1:8" x14ac:dyDescent="0.25">
      <c r="A47" s="81" t="s">
        <v>46</v>
      </c>
      <c r="B47" s="81"/>
      <c r="C47" s="77" t="str">
        <f>C46</f>
        <v>NA</v>
      </c>
      <c r="D47" s="77"/>
      <c r="E47" s="77"/>
      <c r="F47" s="39" t="s">
        <v>45</v>
      </c>
      <c r="G47" s="78" t="str">
        <f>G46</f>
        <v>NA</v>
      </c>
      <c r="H47" s="78"/>
    </row>
    <row r="48" spans="1:8" s="23" customFormat="1" x14ac:dyDescent="0.25">
      <c r="A48" s="79" t="s">
        <v>47</v>
      </c>
      <c r="B48" s="79"/>
      <c r="C48" s="77" t="s">
        <v>184</v>
      </c>
      <c r="D48" s="81"/>
      <c r="E48" s="81"/>
      <c r="F48" s="22" t="s">
        <v>45</v>
      </c>
      <c r="G48" s="78">
        <v>42530</v>
      </c>
      <c r="H48" s="78"/>
    </row>
    <row r="49" spans="1:14" s="23" customFormat="1" x14ac:dyDescent="0.25">
      <c r="A49" s="79"/>
      <c r="B49" s="79"/>
      <c r="C49" s="61" t="s">
        <v>190</v>
      </c>
      <c r="D49" s="62"/>
      <c r="E49" s="62"/>
      <c r="F49" s="62"/>
      <c r="G49" s="62"/>
      <c r="H49" s="63"/>
    </row>
    <row r="50" spans="1:14" x14ac:dyDescent="0.25">
      <c r="A50" s="136" t="s">
        <v>48</v>
      </c>
      <c r="B50" s="136"/>
      <c r="C50" s="136" t="s">
        <v>111</v>
      </c>
      <c r="D50" s="137"/>
      <c r="E50" s="137" t="s">
        <v>49</v>
      </c>
      <c r="F50" s="38" t="s">
        <v>45</v>
      </c>
      <c r="G50" s="123" t="s">
        <v>30</v>
      </c>
      <c r="H50" s="123"/>
    </row>
    <row r="51" spans="1:14" x14ac:dyDescent="0.25">
      <c r="A51" s="97" t="s">
        <v>51</v>
      </c>
      <c r="B51" s="97"/>
      <c r="C51" s="97"/>
      <c r="D51" s="97"/>
      <c r="E51" s="97"/>
      <c r="F51" s="97"/>
      <c r="G51" s="97"/>
      <c r="H51" s="97"/>
    </row>
    <row r="52" spans="1:14" x14ac:dyDescent="0.25">
      <c r="A52" s="74" t="s">
        <v>100</v>
      </c>
      <c r="B52" s="74"/>
      <c r="C52" s="74"/>
      <c r="D52" s="58" t="str">
        <f>E43</f>
        <v>NA</v>
      </c>
      <c r="E52" s="58"/>
      <c r="F52" s="58"/>
      <c r="G52" s="58"/>
      <c r="H52" s="58"/>
    </row>
    <row r="53" spans="1:14" x14ac:dyDescent="0.25">
      <c r="A53" s="79" t="s">
        <v>52</v>
      </c>
      <c r="B53" s="80"/>
      <c r="C53" s="80"/>
      <c r="D53" s="81" t="s">
        <v>30</v>
      </c>
      <c r="E53" s="81"/>
      <c r="F53" s="81"/>
      <c r="G53" s="81"/>
      <c r="H53" s="81"/>
      <c r="I53" s="24"/>
    </row>
    <row r="54" spans="1:14" x14ac:dyDescent="0.25">
      <c r="A54" s="120" t="s">
        <v>53</v>
      </c>
      <c r="B54" s="121"/>
      <c r="C54" s="135"/>
      <c r="D54" s="133" t="s">
        <v>189</v>
      </c>
      <c r="E54" s="134"/>
      <c r="F54" s="134"/>
      <c r="G54" s="134"/>
      <c r="H54" s="134"/>
    </row>
    <row r="55" spans="1:14" ht="15.75" customHeight="1" x14ac:dyDescent="0.25">
      <c r="A55" s="120" t="s">
        <v>98</v>
      </c>
      <c r="B55" s="121"/>
      <c r="C55" s="121"/>
      <c r="D55" s="81" t="s">
        <v>189</v>
      </c>
      <c r="E55" s="81"/>
      <c r="F55" s="81"/>
      <c r="G55" s="81"/>
      <c r="H55" s="81"/>
    </row>
    <row r="56" spans="1:14" ht="47.25" customHeight="1" x14ac:dyDescent="0.25">
      <c r="A56" s="58" t="s">
        <v>50</v>
      </c>
      <c r="B56" s="58"/>
      <c r="C56" s="58"/>
      <c r="D56" s="124" t="s">
        <v>193</v>
      </c>
      <c r="E56" s="124"/>
      <c r="F56" s="124"/>
      <c r="G56" s="124"/>
      <c r="H56" s="124"/>
      <c r="J56" s="25"/>
      <c r="K56" s="24"/>
      <c r="N56" s="24"/>
    </row>
    <row r="57" spans="1:14" ht="15.75" customHeight="1" x14ac:dyDescent="0.25">
      <c r="A57" s="58" t="s">
        <v>96</v>
      </c>
      <c r="B57" s="58"/>
      <c r="C57" s="58"/>
      <c r="D57" s="113" t="str">
        <f>(IF(G50="NA","60 Years After Completion",IF(G50&lt;&gt;"NA",""&amp;60-ROUNDDOWN((E3-G50)/360,0)&amp;" Years"," ")))</f>
        <v>60 Years After Completion</v>
      </c>
      <c r="E57" s="113"/>
      <c r="F57" s="113"/>
      <c r="G57" s="113"/>
      <c r="H57" s="113"/>
      <c r="N57" s="24"/>
    </row>
    <row r="58" spans="1:14" ht="15.75" customHeight="1" x14ac:dyDescent="0.25">
      <c r="A58" s="58" t="s">
        <v>97</v>
      </c>
      <c r="B58" s="58"/>
      <c r="C58" s="58"/>
      <c r="D58" s="74" t="s">
        <v>24</v>
      </c>
      <c r="E58" s="74"/>
      <c r="F58" s="74"/>
      <c r="G58" s="74"/>
      <c r="H58" s="74"/>
      <c r="J58" s="26"/>
      <c r="K58" s="26"/>
    </row>
    <row r="59" spans="1:14" ht="15" hidden="1" customHeight="1" x14ac:dyDescent="0.25">
      <c r="A59" s="58" t="s">
        <v>82</v>
      </c>
      <c r="B59" s="58"/>
      <c r="C59" s="58"/>
      <c r="D59" s="79" t="s">
        <v>163</v>
      </c>
      <c r="E59" s="74"/>
      <c r="F59" s="74"/>
      <c r="G59" s="74"/>
      <c r="H59" s="74"/>
    </row>
    <row r="60" spans="1:14" x14ac:dyDescent="0.25">
      <c r="A60" s="74" t="s">
        <v>164</v>
      </c>
      <c r="B60" s="74"/>
      <c r="C60" s="74"/>
      <c r="D60" s="74" t="s">
        <v>30</v>
      </c>
      <c r="E60" s="74"/>
      <c r="F60" s="74"/>
      <c r="G60" s="74"/>
      <c r="H60" s="74"/>
      <c r="I60" s="27"/>
      <c r="J60" s="27"/>
      <c r="K60" s="27"/>
      <c r="L60" s="27"/>
      <c r="M60" s="27"/>
      <c r="N60" s="27"/>
    </row>
    <row r="61" spans="1:14" ht="15.75" customHeight="1" x14ac:dyDescent="0.25">
      <c r="A61" s="64" t="s">
        <v>95</v>
      </c>
      <c r="B61" s="64"/>
      <c r="C61" s="64"/>
      <c r="D61" s="65" t="str">
        <f ca="1">(IF(G67&gt;95%,"Nothing",IF(G67&gt;0%,"Cement, Aggregate, Steel, etc",IF(G67=0%,"Work not yet Started"))))</f>
        <v>Nothing</v>
      </c>
      <c r="E61" s="65"/>
      <c r="F61" s="65"/>
      <c r="G61" s="65"/>
      <c r="H61" s="65"/>
      <c r="J61" s="26"/>
    </row>
    <row r="62" spans="1:14" ht="33.75" customHeight="1" thickBot="1" x14ac:dyDescent="0.3">
      <c r="A62" s="122" t="s">
        <v>124</v>
      </c>
      <c r="B62" s="122"/>
      <c r="C62" s="122"/>
      <c r="D62" s="65" t="str">
        <f ca="1">(IF(D61="Nothing","Yes",IF(D61="Cement, Aggregate, Steel, etc","Under Construction",IF(D61="Work not yet Started","Work not yet Started"))))</f>
        <v>Yes</v>
      </c>
      <c r="E62" s="65"/>
      <c r="F62" s="65" t="str">
        <f ca="1">(IF(D61="Nothing","Yes",IF(D61="Cement, Aggregate, Steel, etc","Under Construction",IF(D61="Work not yet Started","Work not yet Started"))))</f>
        <v>Yes</v>
      </c>
      <c r="G62" s="65"/>
      <c r="H62" s="65"/>
    </row>
    <row r="63" spans="1:14" ht="15.75" customHeight="1" x14ac:dyDescent="0.25">
      <c r="A63" s="69" t="s">
        <v>153</v>
      </c>
      <c r="B63" s="70"/>
      <c r="C63" s="71" t="s">
        <v>191</v>
      </c>
      <c r="D63" s="72"/>
      <c r="E63" s="72"/>
      <c r="F63" s="72"/>
      <c r="G63" s="72"/>
      <c r="H63" s="73"/>
      <c r="I63" s="14" t="str">
        <f ca="1">(IF(E67&gt;99%,"All work completed. Please provide OC.",IF(E67&gt;89.8%,"Plinth, RCC, Brick, Plaster, Flooring, Painting work Completed. Finishing work is in process.",IF(E67&lt;94%,(IF(C67=0,"Work not yet Started.",IF(D67=25%,"Piling work in process",IF(D67=50%,"Excavation work in process",IF(D67=100%,"Excavation work Completed. ","0")))&amp;(IF(C68=0%,"",IF(C68=J69,"Footing work is process",IF(C68=J70,"Footing work Completed",IF(C68=J71,"1st Basement Completed",IF(C68=J72,"1st &amp; 2nd Basement Completed",IF(C68=J73,"1st to 3rd Basement Completed",IF(C68=J74,"1st to 4th Basement Completed",IF(C68=J75,"Plinth work is process",IF(C68=J76,"Plinth work completed","0")))))))))))&amp;(IF(C69=(D64+F64+H64),", RCC Slab Completed",IF(C69&gt;0,", RCC upto "&amp;C69&amp;" Slab Completed",""))&amp;(IF(C70=H64,", Brickwork Completed",IF(C70&gt;0,", Brickwork upto "&amp;C70&amp;" Floor Completed",""))&amp;(IF(C71=H64,", Internal Plaster Completed",IF(C71&gt;0,", Internal Plaster upto "&amp;C71&amp;" Floor Completed",""))&amp;(IF(C72=H64,", External Plaster Completed",IF(C72&gt;0,", External Plaster upto "&amp;C72&amp;" Floor Completed",""))&amp;(IF(C73=H64,", Flooring Completed",IF(C73&gt;0,", Flooring upto "&amp;C73&amp;" Floor Completed",""))&amp;(IF(C74=H64,", Painting Completed",IF(C74&gt;0,", Painting upto "&amp;C74&amp;" Floor Completed",""))&amp;(IF(C75&gt;0,", Finishing upto "&amp;C75&amp;" Floor Completed","")&amp;(IF(C69&gt;0.5,".",""))))))))))))))</f>
        <v>All work completed. Please provide OC.</v>
      </c>
      <c r="J63" s="28"/>
    </row>
    <row r="64" spans="1:14" s="23" customFormat="1" x14ac:dyDescent="0.25">
      <c r="A64" s="15" t="s">
        <v>155</v>
      </c>
      <c r="B64" s="40">
        <v>0</v>
      </c>
      <c r="C64" s="40" t="s">
        <v>79</v>
      </c>
      <c r="D64" s="40">
        <v>1</v>
      </c>
      <c r="E64" s="40" t="s">
        <v>78</v>
      </c>
      <c r="F64" s="40">
        <v>0</v>
      </c>
      <c r="G64" s="40" t="s">
        <v>89</v>
      </c>
      <c r="H64" s="16">
        <f ca="1">--TRIM(RIGHT(SUBSTITUTE(LEFT(C63,_xlfn.AGGREGATE(16,6,FIND({0,1,2,3,4,5,6,7,8,9},C63,ROW(INDIRECT("1:"&amp;LEN(C63)))),1))," ",REPT(" ",LEN(C63))),LEN(C63)))</f>
        <v>4</v>
      </c>
      <c r="I64" s="41"/>
      <c r="J64" s="42"/>
    </row>
    <row r="65" spans="1:10" s="23" customFormat="1" ht="17.25" customHeight="1" x14ac:dyDescent="0.25">
      <c r="A65" s="67" t="s">
        <v>99</v>
      </c>
      <c r="B65" s="68"/>
      <c r="C65" s="75" t="str">
        <f ca="1">I63</f>
        <v>All work completed. Please provide OC.</v>
      </c>
      <c r="D65" s="75"/>
      <c r="E65" s="75"/>
      <c r="F65" s="75"/>
      <c r="G65" s="75"/>
      <c r="H65" s="76"/>
      <c r="I65" s="41" t="s">
        <v>110</v>
      </c>
      <c r="J65" s="42"/>
    </row>
    <row r="66" spans="1:10" s="23" customFormat="1" ht="15.75" customHeight="1" x14ac:dyDescent="0.25">
      <c r="A66" s="59" t="s">
        <v>54</v>
      </c>
      <c r="B66" s="60"/>
      <c r="C66" s="43" t="s">
        <v>152</v>
      </c>
      <c r="D66" s="43" t="s">
        <v>92</v>
      </c>
      <c r="E66" s="60" t="s">
        <v>94</v>
      </c>
      <c r="F66" s="60"/>
      <c r="G66" s="60" t="s">
        <v>93</v>
      </c>
      <c r="H66" s="66"/>
      <c r="I66" s="44" t="s">
        <v>154</v>
      </c>
      <c r="J66" s="45">
        <f ca="1">H64*25%</f>
        <v>1</v>
      </c>
    </row>
    <row r="67" spans="1:10" s="23" customFormat="1" x14ac:dyDescent="0.25">
      <c r="A67" s="59" t="s">
        <v>141</v>
      </c>
      <c r="B67" s="60"/>
      <c r="C67" s="46">
        <f ca="1">J68</f>
        <v>4</v>
      </c>
      <c r="D67" s="47">
        <f ca="1">((100/H64)*C67)/100</f>
        <v>1</v>
      </c>
      <c r="E67" s="82">
        <f ca="1">(((C68/H64*10)+(40/(D64+F64+H64)*C69)+(7.5/(H64)*C70)+(7.5/(H64)*C71)+(10/H64*C72)+(10/H64*C73)+(5/H64*C74)+(5/H64*C75)+(5/H64*C76))/100)</f>
        <v>1</v>
      </c>
      <c r="F67" s="82"/>
      <c r="G67" s="82">
        <f ca="1">((((C67/H64)*20)+((C68/H64)*25)+(30/(H64+F64+D64)*C69)+(5/H64*C70)+(5/H64*C71)+(5/H64*C72)+(5/H64*C73)+(0/H64*C74)+(0/H64*C75)+(5/H64*C76))/100)</f>
        <v>1</v>
      </c>
      <c r="H67" s="138"/>
      <c r="I67" s="44" t="s">
        <v>105</v>
      </c>
      <c r="J67" s="48">
        <f ca="1">H64*50%</f>
        <v>2</v>
      </c>
    </row>
    <row r="68" spans="1:10" s="23" customFormat="1" x14ac:dyDescent="0.25">
      <c r="A68" s="59" t="s">
        <v>55</v>
      </c>
      <c r="B68" s="60"/>
      <c r="C68" s="49">
        <f ca="1">J76</f>
        <v>4</v>
      </c>
      <c r="D68" s="47">
        <f ca="1">((100/H64)*C68)/100</f>
        <v>1</v>
      </c>
      <c r="E68" s="82"/>
      <c r="F68" s="82"/>
      <c r="G68" s="82"/>
      <c r="H68" s="138"/>
      <c r="I68" s="44" t="s">
        <v>106</v>
      </c>
      <c r="J68" s="48">
        <f ca="1">H64</f>
        <v>4</v>
      </c>
    </row>
    <row r="69" spans="1:10" s="23" customFormat="1" ht="15.75" customHeight="1" x14ac:dyDescent="0.25">
      <c r="A69" s="59" t="s">
        <v>142</v>
      </c>
      <c r="B69" s="60"/>
      <c r="C69" s="49">
        <f ca="1">D64+H64</f>
        <v>5</v>
      </c>
      <c r="D69" s="47">
        <f ca="1">((100/(D64+F64+H64))*C69)/100</f>
        <v>1</v>
      </c>
      <c r="E69" s="82"/>
      <c r="F69" s="82"/>
      <c r="G69" s="82"/>
      <c r="H69" s="138"/>
      <c r="I69" s="44" t="s">
        <v>107</v>
      </c>
      <c r="J69" s="50">
        <f ca="1">(IF(B64&gt;1,(H64/(B64+2)),H64/4))</f>
        <v>1</v>
      </c>
    </row>
    <row r="70" spans="1:10" s="23" customFormat="1" ht="15.75" customHeight="1" x14ac:dyDescent="0.25">
      <c r="A70" s="59" t="s">
        <v>149</v>
      </c>
      <c r="B70" s="60" t="s">
        <v>143</v>
      </c>
      <c r="C70" s="46">
        <v>4</v>
      </c>
      <c r="D70" s="47">
        <f ca="1">((100/H64)*C70)/100</f>
        <v>1</v>
      </c>
      <c r="E70" s="82"/>
      <c r="F70" s="82"/>
      <c r="G70" s="82"/>
      <c r="H70" s="138"/>
      <c r="I70" s="44" t="s">
        <v>108</v>
      </c>
      <c r="J70" s="50">
        <f ca="1">(IF(B64&gt;1,(H64/(B64+2)+J69),H64/4+J69))</f>
        <v>2</v>
      </c>
    </row>
    <row r="71" spans="1:10" s="23" customFormat="1" ht="15.75" customHeight="1" x14ac:dyDescent="0.25">
      <c r="A71" s="59" t="s">
        <v>150</v>
      </c>
      <c r="B71" s="60" t="s">
        <v>143</v>
      </c>
      <c r="C71" s="46">
        <v>4</v>
      </c>
      <c r="D71" s="47">
        <f ca="1">((100/H64)*C71)/100</f>
        <v>1</v>
      </c>
      <c r="E71" s="82"/>
      <c r="F71" s="82"/>
      <c r="G71" s="82"/>
      <c r="H71" s="138"/>
      <c r="I71" s="44" t="s">
        <v>161</v>
      </c>
      <c r="J71" s="50">
        <f>(IF(B64&gt;1,(H64/(B64+2)+J70),0))</f>
        <v>0</v>
      </c>
    </row>
    <row r="72" spans="1:10" s="23" customFormat="1" ht="15" customHeight="1" x14ac:dyDescent="0.25">
      <c r="A72" s="59" t="s">
        <v>148</v>
      </c>
      <c r="B72" s="60" t="s">
        <v>145</v>
      </c>
      <c r="C72" s="46">
        <v>4</v>
      </c>
      <c r="D72" s="47">
        <f ca="1">((100/(H64))*C72)/100</f>
        <v>1</v>
      </c>
      <c r="E72" s="82"/>
      <c r="F72" s="82"/>
      <c r="G72" s="82"/>
      <c r="H72" s="138"/>
      <c r="I72" s="44" t="s">
        <v>156</v>
      </c>
      <c r="J72" s="50">
        <f>(IF(B64&gt;2,(H64/(B64+2)+J71),0))</f>
        <v>0</v>
      </c>
    </row>
    <row r="73" spans="1:10" s="23" customFormat="1" ht="15.75" customHeight="1" x14ac:dyDescent="0.25">
      <c r="A73" s="59" t="s">
        <v>144</v>
      </c>
      <c r="B73" s="60" t="s">
        <v>144</v>
      </c>
      <c r="C73" s="46">
        <v>4</v>
      </c>
      <c r="D73" s="47">
        <f ca="1">((100/H64)*C73)/100</f>
        <v>1</v>
      </c>
      <c r="E73" s="82"/>
      <c r="F73" s="82"/>
      <c r="G73" s="82"/>
      <c r="H73" s="138"/>
      <c r="I73" s="44" t="s">
        <v>157</v>
      </c>
      <c r="J73" s="51">
        <f>(IF(B64&gt;3,(H64/(B64+2)+J72),0))</f>
        <v>0</v>
      </c>
    </row>
    <row r="74" spans="1:10" s="23" customFormat="1" ht="15.75" customHeight="1" x14ac:dyDescent="0.25">
      <c r="A74" s="59" t="s">
        <v>151</v>
      </c>
      <c r="B74" s="60"/>
      <c r="C74" s="46">
        <v>4</v>
      </c>
      <c r="D74" s="47">
        <f ca="1">((100/H64)*C74)/100</f>
        <v>1</v>
      </c>
      <c r="E74" s="82"/>
      <c r="F74" s="82"/>
      <c r="G74" s="82"/>
      <c r="H74" s="138"/>
      <c r="I74" s="44" t="s">
        <v>158</v>
      </c>
      <c r="J74" s="50">
        <f>(IF(B64&gt;4,(H64/(B64+2)+J73),0))</f>
        <v>0</v>
      </c>
    </row>
    <row r="75" spans="1:10" s="23" customFormat="1" ht="15.75" customHeight="1" x14ac:dyDescent="0.25">
      <c r="A75" s="59" t="s">
        <v>146</v>
      </c>
      <c r="B75" s="60" t="s">
        <v>146</v>
      </c>
      <c r="C75" s="46">
        <v>4</v>
      </c>
      <c r="D75" s="47">
        <f ca="1">((100/(H64))*C75)/100</f>
        <v>1</v>
      </c>
      <c r="E75" s="82"/>
      <c r="F75" s="82"/>
      <c r="G75" s="82"/>
      <c r="H75" s="138"/>
      <c r="I75" s="44" t="s">
        <v>162</v>
      </c>
      <c r="J75" s="50">
        <f ca="1">(IF(B64=1,(H64/(B64+3)+J70),IF(B64=0,(H64/4+J70),IF(B64&gt;1,0))))</f>
        <v>3</v>
      </c>
    </row>
    <row r="76" spans="1:10" s="23" customFormat="1" ht="16.5" thickBot="1" x14ac:dyDescent="0.3">
      <c r="A76" s="111" t="s">
        <v>147</v>
      </c>
      <c r="B76" s="112"/>
      <c r="C76" s="52">
        <v>4</v>
      </c>
      <c r="D76" s="53">
        <f ca="1">((100/(H64))*C76)/100</f>
        <v>1</v>
      </c>
      <c r="E76" s="83"/>
      <c r="F76" s="83"/>
      <c r="G76" s="83"/>
      <c r="H76" s="139"/>
      <c r="I76" s="54" t="s">
        <v>109</v>
      </c>
      <c r="J76" s="55">
        <f ca="1">(IF(B64&gt;1.5,(H64/(B64+2)+J70+MAX(0,J71-J70)+MAX(0,J72-J71)+MAX(0,J73-J72)+MAX(0,J74-J73)+MAX(0,J75-J74)),IF(B64=1,(H64/(B64+3)+J75),IF(B64=0,H64/4+J75))))</f>
        <v>4</v>
      </c>
    </row>
    <row r="77" spans="1:10" ht="15.75" customHeight="1" x14ac:dyDescent="0.25">
      <c r="A77" s="69" t="s">
        <v>153</v>
      </c>
      <c r="B77" s="70"/>
      <c r="C77" s="71" t="s">
        <v>192</v>
      </c>
      <c r="D77" s="72"/>
      <c r="E77" s="72"/>
      <c r="F77" s="72"/>
      <c r="G77" s="72"/>
      <c r="H77" s="73"/>
      <c r="I77" s="14" t="str">
        <f ca="1">(IF(E81&gt;99%,"All work completed. Please provide OC.",IF(E81&gt;89.8%,"Plinth, RCC, Brick, Plaster, Flooring, Painting work Completed. Finishing work is in process.",IF(E81&lt;94%,(IF(C81=0,"Work not yet Started.",IF(D81=25%,"Piling work in process",IF(D81=50%,"Excavation work in process",IF(D81=100%,"Excavation work Completed. ","0")))&amp;(IF(C82=0%,"",IF(C82=J83,"Footing work is process",IF(C82=J84,"Footing work Completed",IF(C82=J85,"1st Basement Completed",IF(C82=J86,"1st &amp; 2nd Basement Completed",IF(C82=J87,"1st to 3rd Basement Completed",IF(C82=J88,"1st to 4th Basement Completed",IF(C82=J89,"Plinth work is process",IF(C82=J90,"Plinth work completed","0")))))))))))&amp;(IF(C83=(D78+F78+H78),", RCC Slab Completed",IF(C83&gt;0,", RCC upto "&amp;C83&amp;" Slab Completed",""))&amp;(IF(C84=H78,", Brickwork Completed",IF(C84&gt;0,", Brickwork upto "&amp;C84&amp;" Floor Completed",""))&amp;(IF(C85=H78,", Internal Plaster Completed",IF(C85&gt;0,", Internal Plaster upto "&amp;C85&amp;" Floor Completed",""))&amp;(IF(C86=H78,", External Plaster Completed",IF(C86&gt;0,", External Plaster upto "&amp;C86&amp;" Floor Completed",""))&amp;(IF(C87=H78,", Flooring Completed",IF(C87&gt;0,", Flooring upto "&amp;C87&amp;" Floor Completed",""))&amp;(IF(C88=H78,", Painting Completed",IF(C88&gt;0,", Painting upto "&amp;C88&amp;" Floor Completed",""))&amp;(IF(C89&gt;0,", Finishing upto "&amp;C89&amp;" Floor Completed","")&amp;(IF(C83&gt;0.5,".",""))))))))))))))</f>
        <v>Excavation work Completed. Plinth work completed, RCC Slab Completed, Brickwork Completed, Internal Plaster Completed, External Plaster upto 3 Floor Completed, Flooring upto 3 Floor Completed.</v>
      </c>
      <c r="J77" s="28"/>
    </row>
    <row r="78" spans="1:10" s="23" customFormat="1" x14ac:dyDescent="0.25">
      <c r="A78" s="15" t="s">
        <v>155</v>
      </c>
      <c r="B78" s="40">
        <v>0</v>
      </c>
      <c r="C78" s="40" t="s">
        <v>79</v>
      </c>
      <c r="D78" s="40">
        <v>1</v>
      </c>
      <c r="E78" s="40" t="s">
        <v>78</v>
      </c>
      <c r="F78" s="40">
        <v>0</v>
      </c>
      <c r="G78" s="40" t="s">
        <v>89</v>
      </c>
      <c r="H78" s="16">
        <f ca="1">--TRIM(RIGHT(SUBSTITUTE(LEFT(C77,_xlfn.AGGREGATE(16,6,FIND({0,1,2,3,4,5,6,7,8,9},C77,ROW(INDIRECT("1:"&amp;LEN(C77)))),1))," ",REPT(" ",LEN(C77))),LEN(C77)))</f>
        <v>4</v>
      </c>
      <c r="I78" s="41"/>
      <c r="J78" s="42"/>
    </row>
    <row r="79" spans="1:10" s="23" customFormat="1" ht="50.25" customHeight="1" x14ac:dyDescent="0.25">
      <c r="A79" s="67" t="s">
        <v>99</v>
      </c>
      <c r="B79" s="68"/>
      <c r="C79" s="75" t="str">
        <f ca="1">I77</f>
        <v>Excavation work Completed. Plinth work completed, RCC Slab Completed, Brickwork Completed, Internal Plaster Completed, External Plaster upto 3 Floor Completed, Flooring upto 3 Floor Completed.</v>
      </c>
      <c r="D79" s="75"/>
      <c r="E79" s="75"/>
      <c r="F79" s="75"/>
      <c r="G79" s="75"/>
      <c r="H79" s="76"/>
      <c r="I79" s="41" t="s">
        <v>110</v>
      </c>
      <c r="J79" s="42"/>
    </row>
    <row r="80" spans="1:10" s="23" customFormat="1" ht="15.75" customHeight="1" x14ac:dyDescent="0.25">
      <c r="A80" s="59" t="s">
        <v>54</v>
      </c>
      <c r="B80" s="60"/>
      <c r="C80" s="43" t="s">
        <v>152</v>
      </c>
      <c r="D80" s="43" t="s">
        <v>92</v>
      </c>
      <c r="E80" s="60" t="s">
        <v>94</v>
      </c>
      <c r="F80" s="60"/>
      <c r="G80" s="60" t="s">
        <v>93</v>
      </c>
      <c r="H80" s="66"/>
      <c r="I80" s="44" t="s">
        <v>154</v>
      </c>
      <c r="J80" s="45">
        <f ca="1">H78*25%</f>
        <v>1</v>
      </c>
    </row>
    <row r="81" spans="1:10" s="23" customFormat="1" x14ac:dyDescent="0.25">
      <c r="A81" s="59" t="s">
        <v>141</v>
      </c>
      <c r="B81" s="60"/>
      <c r="C81" s="46">
        <f ca="1">J82</f>
        <v>4</v>
      </c>
      <c r="D81" s="47">
        <f ca="1">((100/H78)*C81)/100</f>
        <v>1</v>
      </c>
      <c r="E81" s="82">
        <f ca="1">(((C82/H78*10)+(40/(D78+F78+H78)*C83)+(7.5/(H78)*C84)+(7.5/(H78)*C85)+(10/H78*C86)+(10/H78*C87)+(5/H78*C88)+(5/H78*C89)+(5/H78*C90))/100)</f>
        <v>0.8</v>
      </c>
      <c r="F81" s="82"/>
      <c r="G81" s="82">
        <f ca="1">((((C81/H78)*20)+((C82/H78)*25)+(30/(H78+F78+D78)*C83)+(5/H78*C84)+(5/H78*C85)+(5/H78*C86)+(5/H78*C87)+(0/H78*C88)+(0/H78*C89)+(5/H78*C90))/100)</f>
        <v>0.92500000000000004</v>
      </c>
      <c r="H81" s="138"/>
      <c r="I81" s="44" t="s">
        <v>105</v>
      </c>
      <c r="J81" s="48">
        <f ca="1">H78*50%</f>
        <v>2</v>
      </c>
    </row>
    <row r="82" spans="1:10" s="23" customFormat="1" x14ac:dyDescent="0.25">
      <c r="A82" s="59" t="s">
        <v>55</v>
      </c>
      <c r="B82" s="60"/>
      <c r="C82" s="49">
        <f ca="1">J90</f>
        <v>4</v>
      </c>
      <c r="D82" s="47">
        <f ca="1">((100/H78)*C82)/100</f>
        <v>1</v>
      </c>
      <c r="E82" s="82"/>
      <c r="F82" s="82"/>
      <c r="G82" s="82"/>
      <c r="H82" s="138"/>
      <c r="I82" s="44" t="s">
        <v>106</v>
      </c>
      <c r="J82" s="48">
        <f ca="1">H78</f>
        <v>4</v>
      </c>
    </row>
    <row r="83" spans="1:10" s="23" customFormat="1" ht="15.75" customHeight="1" x14ac:dyDescent="0.25">
      <c r="A83" s="59" t="s">
        <v>142</v>
      </c>
      <c r="B83" s="60"/>
      <c r="C83" s="49">
        <f ca="1">D78+H78</f>
        <v>5</v>
      </c>
      <c r="D83" s="47">
        <f ca="1">((100/(D78+F78+H78))*C83)/100</f>
        <v>1</v>
      </c>
      <c r="E83" s="82"/>
      <c r="F83" s="82"/>
      <c r="G83" s="82"/>
      <c r="H83" s="138"/>
      <c r="I83" s="44" t="s">
        <v>107</v>
      </c>
      <c r="J83" s="50">
        <f ca="1">(IF(B78&gt;1,(H78/(B78+2)),H78/4))</f>
        <v>1</v>
      </c>
    </row>
    <row r="84" spans="1:10" s="23" customFormat="1" ht="15.75" customHeight="1" x14ac:dyDescent="0.25">
      <c r="A84" s="59" t="s">
        <v>149</v>
      </c>
      <c r="B84" s="60" t="s">
        <v>143</v>
      </c>
      <c r="C84" s="46">
        <v>4</v>
      </c>
      <c r="D84" s="47">
        <f ca="1">((100/H78)*C84)/100</f>
        <v>1</v>
      </c>
      <c r="E84" s="82"/>
      <c r="F84" s="82"/>
      <c r="G84" s="82"/>
      <c r="H84" s="138"/>
      <c r="I84" s="44" t="s">
        <v>108</v>
      </c>
      <c r="J84" s="50">
        <f ca="1">(IF(B78&gt;1,(H78/(B78+2)+J83),H78/4+J83))</f>
        <v>2</v>
      </c>
    </row>
    <row r="85" spans="1:10" s="23" customFormat="1" ht="15.75" customHeight="1" x14ac:dyDescent="0.25">
      <c r="A85" s="59" t="s">
        <v>150</v>
      </c>
      <c r="B85" s="60" t="s">
        <v>143</v>
      </c>
      <c r="C85" s="46">
        <v>4</v>
      </c>
      <c r="D85" s="47">
        <f ca="1">((100/H78)*C85)/100</f>
        <v>1</v>
      </c>
      <c r="E85" s="82"/>
      <c r="F85" s="82"/>
      <c r="G85" s="82"/>
      <c r="H85" s="138"/>
      <c r="I85" s="44" t="s">
        <v>161</v>
      </c>
      <c r="J85" s="50">
        <f>(IF(B78&gt;1,(H78/(B78+2)+J84),0))</f>
        <v>0</v>
      </c>
    </row>
    <row r="86" spans="1:10" s="23" customFormat="1" ht="15" customHeight="1" x14ac:dyDescent="0.25">
      <c r="A86" s="59" t="s">
        <v>148</v>
      </c>
      <c r="B86" s="60" t="s">
        <v>145</v>
      </c>
      <c r="C86" s="46">
        <v>3</v>
      </c>
      <c r="D86" s="47">
        <f ca="1">((100/(H78))*C86)/100</f>
        <v>0.75</v>
      </c>
      <c r="E86" s="82"/>
      <c r="F86" s="82"/>
      <c r="G86" s="82"/>
      <c r="H86" s="138"/>
      <c r="I86" s="44" t="s">
        <v>156</v>
      </c>
      <c r="J86" s="50">
        <f>(IF(B78&gt;2,(H78/(B78+2)+J85),0))</f>
        <v>0</v>
      </c>
    </row>
    <row r="87" spans="1:10" s="23" customFormat="1" ht="15.75" customHeight="1" x14ac:dyDescent="0.25">
      <c r="A87" s="59" t="s">
        <v>144</v>
      </c>
      <c r="B87" s="60" t="s">
        <v>144</v>
      </c>
      <c r="C87" s="46">
        <v>3</v>
      </c>
      <c r="D87" s="47">
        <f ca="1">((100/H78)*C87)/100</f>
        <v>0.75</v>
      </c>
      <c r="E87" s="82"/>
      <c r="F87" s="82"/>
      <c r="G87" s="82"/>
      <c r="H87" s="138"/>
      <c r="I87" s="44" t="s">
        <v>157</v>
      </c>
      <c r="J87" s="51">
        <f>(IF(B78&gt;3,(H78/(B78+2)+J86),0))</f>
        <v>0</v>
      </c>
    </row>
    <row r="88" spans="1:10" s="23" customFormat="1" ht="15.75" customHeight="1" x14ac:dyDescent="0.25">
      <c r="A88" s="59" t="s">
        <v>151</v>
      </c>
      <c r="B88" s="60"/>
      <c r="C88" s="46">
        <v>0</v>
      </c>
      <c r="D88" s="47">
        <f ca="1">((100/H78)*C88)/100</f>
        <v>0</v>
      </c>
      <c r="E88" s="82"/>
      <c r="F88" s="82"/>
      <c r="G88" s="82"/>
      <c r="H88" s="138"/>
      <c r="I88" s="44" t="s">
        <v>158</v>
      </c>
      <c r="J88" s="50">
        <f>(IF(B78&gt;4,(H78/(B78+2)+J87),0))</f>
        <v>0</v>
      </c>
    </row>
    <row r="89" spans="1:10" s="23" customFormat="1" ht="15.75" customHeight="1" x14ac:dyDescent="0.25">
      <c r="A89" s="59" t="s">
        <v>146</v>
      </c>
      <c r="B89" s="60" t="s">
        <v>146</v>
      </c>
      <c r="C89" s="46">
        <v>0</v>
      </c>
      <c r="D89" s="47">
        <f ca="1">((100/(H78))*C89)/100</f>
        <v>0</v>
      </c>
      <c r="E89" s="82"/>
      <c r="F89" s="82"/>
      <c r="G89" s="82"/>
      <c r="H89" s="138"/>
      <c r="I89" s="44" t="s">
        <v>162</v>
      </c>
      <c r="J89" s="50">
        <f ca="1">(IF(B78=1,(H78/(B78+3)+J84),IF(B78=0,(H78/4+J84),IF(B78&gt;1,0))))</f>
        <v>3</v>
      </c>
    </row>
    <row r="90" spans="1:10" s="23" customFormat="1" ht="16.5" thickBot="1" x14ac:dyDescent="0.3">
      <c r="A90" s="111" t="s">
        <v>147</v>
      </c>
      <c r="B90" s="112"/>
      <c r="C90" s="52">
        <v>0</v>
      </c>
      <c r="D90" s="53">
        <f ca="1">((100/(H78))*C90)/100</f>
        <v>0</v>
      </c>
      <c r="E90" s="83"/>
      <c r="F90" s="83"/>
      <c r="G90" s="83"/>
      <c r="H90" s="139"/>
      <c r="I90" s="54" t="s">
        <v>109</v>
      </c>
      <c r="J90" s="55">
        <f ca="1">(IF(B78&gt;1.5,(H78/(B78+2)+J84+MAX(0,J85-J84)+MAX(0,J86-J85)+MAX(0,J87-J86)+MAX(0,J88-J87)+MAX(0,J89-J88)),IF(B78=1,(H78/(B78+3)+J89),IF(B78=0,H78/4+J89))))</f>
        <v>4</v>
      </c>
    </row>
    <row r="91" spans="1:10" x14ac:dyDescent="0.25">
      <c r="A91" s="128" t="s">
        <v>56</v>
      </c>
      <c r="B91" s="128"/>
      <c r="C91" s="128"/>
      <c r="D91" s="128"/>
      <c r="E91" s="128"/>
      <c r="F91" s="128"/>
      <c r="G91" s="128"/>
      <c r="H91" s="128"/>
    </row>
    <row r="92" spans="1:10" x14ac:dyDescent="0.25">
      <c r="A92" s="58" t="s">
        <v>83</v>
      </c>
      <c r="B92" s="58"/>
      <c r="C92" s="58"/>
      <c r="D92" s="58"/>
      <c r="E92" s="58"/>
      <c r="F92" s="68">
        <v>3800</v>
      </c>
      <c r="G92" s="68"/>
      <c r="H92" s="68"/>
    </row>
    <row r="93" spans="1:10" s="29" customFormat="1" x14ac:dyDescent="0.25">
      <c r="A93" s="58" t="s">
        <v>104</v>
      </c>
      <c r="B93" s="58"/>
      <c r="C93" s="58"/>
      <c r="D93" s="58"/>
      <c r="E93" s="58"/>
      <c r="F93" s="157">
        <v>300000</v>
      </c>
      <c r="G93" s="80"/>
      <c r="H93" s="80"/>
    </row>
    <row r="94" spans="1:10" s="29" customFormat="1" x14ac:dyDescent="0.25">
      <c r="A94" s="58" t="s">
        <v>185</v>
      </c>
      <c r="B94" s="58"/>
      <c r="C94" s="58"/>
      <c r="D94" s="58"/>
      <c r="E94" s="58"/>
      <c r="F94" s="157">
        <v>40000</v>
      </c>
      <c r="G94" s="80"/>
      <c r="H94" s="80"/>
    </row>
    <row r="95" spans="1:10" x14ac:dyDescent="0.25">
      <c r="A95" s="58" t="s">
        <v>57</v>
      </c>
      <c r="B95" s="58"/>
      <c r="C95" s="58"/>
      <c r="D95" s="58"/>
      <c r="E95" s="58"/>
      <c r="F95" s="79">
        <v>100000</v>
      </c>
      <c r="G95" s="79"/>
      <c r="H95" s="79"/>
    </row>
    <row r="96" spans="1:10" s="30" customFormat="1" x14ac:dyDescent="0.25">
      <c r="A96" s="128" t="s">
        <v>58</v>
      </c>
      <c r="B96" s="128"/>
      <c r="C96" s="128"/>
      <c r="D96" s="128"/>
      <c r="E96" s="128"/>
      <c r="F96" s="80">
        <f>F92*0.8</f>
        <v>3040</v>
      </c>
      <c r="G96" s="80"/>
      <c r="H96" s="80"/>
    </row>
    <row r="97" spans="1:14" s="31" customFormat="1" ht="15.75" hidden="1" customHeight="1" x14ac:dyDescent="0.25">
      <c r="A97" s="127" t="s">
        <v>84</v>
      </c>
      <c r="B97" s="127"/>
      <c r="C97" s="127"/>
      <c r="D97" s="127"/>
      <c r="E97" s="127"/>
      <c r="F97" s="127"/>
      <c r="G97" s="127"/>
      <c r="H97" s="127"/>
    </row>
    <row r="98" spans="1:14" s="31" customFormat="1" ht="15.75" hidden="1" customHeight="1" x14ac:dyDescent="0.25">
      <c r="A98" s="88" t="s">
        <v>59</v>
      </c>
      <c r="B98" s="88"/>
      <c r="C98" s="156" t="s">
        <v>87</v>
      </c>
      <c r="D98" s="156"/>
      <c r="E98" s="98" t="s">
        <v>60</v>
      </c>
      <c r="F98" s="98"/>
      <c r="G98" s="88" t="s">
        <v>61</v>
      </c>
      <c r="H98" s="88"/>
    </row>
    <row r="99" spans="1:14" s="31" customFormat="1" hidden="1" x14ac:dyDescent="0.25">
      <c r="A99" s="130"/>
      <c r="B99" s="130"/>
      <c r="C99" s="114"/>
      <c r="D99" s="114"/>
      <c r="E99" s="115"/>
      <c r="F99" s="115"/>
      <c r="G99" s="116"/>
      <c r="H99" s="116"/>
    </row>
    <row r="100" spans="1:14" s="31" customFormat="1" hidden="1" x14ac:dyDescent="0.25">
      <c r="A100" s="127" t="s">
        <v>77</v>
      </c>
      <c r="B100" s="127"/>
      <c r="C100" s="127"/>
      <c r="D100" s="127"/>
      <c r="E100" s="127"/>
      <c r="F100" s="127"/>
      <c r="G100" s="127"/>
      <c r="H100" s="127"/>
    </row>
    <row r="101" spans="1:14" s="31" customFormat="1" ht="15.75" hidden="1" customHeight="1" x14ac:dyDescent="0.25">
      <c r="A101" s="88" t="s">
        <v>59</v>
      </c>
      <c r="B101" s="88"/>
      <c r="C101" s="156" t="s">
        <v>87</v>
      </c>
      <c r="D101" s="156"/>
      <c r="E101" s="98" t="s">
        <v>60</v>
      </c>
      <c r="F101" s="98"/>
      <c r="G101" s="88" t="s">
        <v>61</v>
      </c>
      <c r="H101" s="88"/>
    </row>
    <row r="102" spans="1:14" s="31" customFormat="1" hidden="1" x14ac:dyDescent="0.25">
      <c r="A102" s="130"/>
      <c r="B102" s="130"/>
      <c r="C102" s="114"/>
      <c r="D102" s="114"/>
      <c r="E102" s="115"/>
      <c r="F102" s="115"/>
      <c r="G102" s="116"/>
      <c r="H102" s="116"/>
    </row>
    <row r="103" spans="1:14" s="30" customFormat="1" hidden="1" x14ac:dyDescent="0.25">
      <c r="A103" s="141" t="s">
        <v>62</v>
      </c>
      <c r="B103" s="141"/>
      <c r="C103" s="141"/>
      <c r="D103" s="141"/>
      <c r="E103" s="141"/>
      <c r="F103" s="141"/>
      <c r="G103" s="141"/>
      <c r="H103" s="141"/>
    </row>
    <row r="104" spans="1:14" hidden="1" x14ac:dyDescent="0.25">
      <c r="A104" s="141" t="s">
        <v>63</v>
      </c>
      <c r="B104" s="141"/>
      <c r="C104" s="141"/>
      <c r="D104" s="141"/>
      <c r="E104" s="141"/>
      <c r="F104" s="141"/>
      <c r="G104" s="141"/>
      <c r="H104" s="141"/>
    </row>
    <row r="105" spans="1:14" ht="47.25" hidden="1" customHeight="1" x14ac:dyDescent="0.25">
      <c r="A105" s="89" t="s">
        <v>128</v>
      </c>
      <c r="B105" s="89" t="s">
        <v>127</v>
      </c>
      <c r="C105" s="89" t="s">
        <v>64</v>
      </c>
      <c r="D105" s="89" t="s">
        <v>65</v>
      </c>
      <c r="E105" s="91" t="s">
        <v>66</v>
      </c>
      <c r="F105" s="18" t="s">
        <v>165</v>
      </c>
      <c r="G105" s="93" t="s">
        <v>67</v>
      </c>
      <c r="H105" s="94"/>
    </row>
    <row r="106" spans="1:14" s="32" customFormat="1" hidden="1" x14ac:dyDescent="0.25">
      <c r="A106" s="90"/>
      <c r="B106" s="90"/>
      <c r="C106" s="90"/>
      <c r="D106" s="90"/>
      <c r="E106" s="92"/>
      <c r="F106" s="13">
        <v>0.6</v>
      </c>
      <c r="G106" s="95"/>
      <c r="H106" s="96"/>
    </row>
    <row r="107" spans="1:14" s="32" customFormat="1" hidden="1" x14ac:dyDescent="0.25">
      <c r="A107" s="117" t="s">
        <v>125</v>
      </c>
      <c r="B107" s="118"/>
      <c r="C107" s="118"/>
      <c r="D107" s="118"/>
      <c r="E107" s="118"/>
      <c r="F107" s="118"/>
      <c r="G107" s="118"/>
      <c r="H107" s="119"/>
      <c r="J107" s="33"/>
    </row>
    <row r="108" spans="1:14" s="32" customFormat="1" hidden="1" x14ac:dyDescent="0.25">
      <c r="A108" s="85">
        <v>1</v>
      </c>
      <c r="B108" s="86"/>
      <c r="C108" s="17"/>
      <c r="D108" s="17"/>
      <c r="E108" s="17">
        <v>0</v>
      </c>
      <c r="F108" s="17">
        <f>D108*(($F$106)+1)+(IF(E108&lt;101,E108,IF(E108&lt;201,E108/2,IF(E108&lt;=301,E108/3,E108/4))))</f>
        <v>0</v>
      </c>
      <c r="G108" s="85" t="str">
        <f>A107</f>
        <v>Ground Floor</v>
      </c>
      <c r="H108" s="86"/>
      <c r="I108" s="33"/>
      <c r="L108" s="158"/>
      <c r="M108" s="158"/>
      <c r="N108" s="33"/>
    </row>
    <row r="109" spans="1:14" s="32" customFormat="1" hidden="1" x14ac:dyDescent="0.25">
      <c r="A109" s="85">
        <f t="shared" ref="A109:A114" si="0">A108+1</f>
        <v>2</v>
      </c>
      <c r="B109" s="86"/>
      <c r="C109" s="17"/>
      <c r="D109" s="17"/>
      <c r="E109" s="17">
        <v>0</v>
      </c>
      <c r="F109" s="17">
        <f t="shared" ref="F109:F114" si="1">D109*(($F$106)+1)+(IF(E109&lt;101,E109,IF(E109&lt;201,E109/2,IF(E109&lt;=301,E109/3,E109/4))))</f>
        <v>0</v>
      </c>
      <c r="G109" s="85" t="str">
        <f t="shared" ref="G109:G114" si="2">G108</f>
        <v>Ground Floor</v>
      </c>
      <c r="H109" s="86"/>
      <c r="I109" s="33"/>
      <c r="L109" s="158"/>
      <c r="M109" s="158"/>
      <c r="N109" s="33"/>
    </row>
    <row r="110" spans="1:14" s="32" customFormat="1" hidden="1" x14ac:dyDescent="0.25">
      <c r="A110" s="85">
        <f t="shared" si="0"/>
        <v>3</v>
      </c>
      <c r="B110" s="86"/>
      <c r="C110" s="17"/>
      <c r="D110" s="17"/>
      <c r="E110" s="17">
        <v>0</v>
      </c>
      <c r="F110" s="17">
        <f t="shared" si="1"/>
        <v>0</v>
      </c>
      <c r="G110" s="85" t="str">
        <f t="shared" si="2"/>
        <v>Ground Floor</v>
      </c>
      <c r="H110" s="86"/>
      <c r="I110" s="33"/>
      <c r="L110" s="158"/>
      <c r="M110" s="158"/>
      <c r="N110" s="33"/>
    </row>
    <row r="111" spans="1:14" s="32" customFormat="1" hidden="1" x14ac:dyDescent="0.25">
      <c r="A111" s="85">
        <f t="shared" si="0"/>
        <v>4</v>
      </c>
      <c r="B111" s="86"/>
      <c r="C111" s="17"/>
      <c r="D111" s="17"/>
      <c r="E111" s="17">
        <v>0</v>
      </c>
      <c r="F111" s="17">
        <f t="shared" si="1"/>
        <v>0</v>
      </c>
      <c r="G111" s="85" t="str">
        <f t="shared" si="2"/>
        <v>Ground Floor</v>
      </c>
      <c r="H111" s="86"/>
      <c r="I111" s="33"/>
      <c r="L111" s="158"/>
      <c r="M111" s="158"/>
      <c r="N111" s="33"/>
    </row>
    <row r="112" spans="1:14" s="32" customFormat="1" hidden="1" x14ac:dyDescent="0.25">
      <c r="A112" s="85">
        <f t="shared" si="0"/>
        <v>5</v>
      </c>
      <c r="B112" s="86"/>
      <c r="C112" s="17"/>
      <c r="D112" s="17"/>
      <c r="E112" s="17">
        <v>0</v>
      </c>
      <c r="F112" s="17">
        <f t="shared" si="1"/>
        <v>0</v>
      </c>
      <c r="G112" s="85" t="str">
        <f t="shared" si="2"/>
        <v>Ground Floor</v>
      </c>
      <c r="H112" s="86"/>
      <c r="I112" s="33"/>
      <c r="L112" s="158"/>
      <c r="M112" s="158"/>
      <c r="N112" s="33"/>
    </row>
    <row r="113" spans="1:16" s="32" customFormat="1" hidden="1" x14ac:dyDescent="0.25">
      <c r="A113" s="85">
        <f t="shared" si="0"/>
        <v>6</v>
      </c>
      <c r="B113" s="86"/>
      <c r="C113" s="17"/>
      <c r="D113" s="17"/>
      <c r="E113" s="17">
        <v>0</v>
      </c>
      <c r="F113" s="17">
        <f t="shared" si="1"/>
        <v>0</v>
      </c>
      <c r="G113" s="85" t="str">
        <f t="shared" si="2"/>
        <v>Ground Floor</v>
      </c>
      <c r="H113" s="86"/>
      <c r="I113" s="33"/>
      <c r="L113" s="158"/>
      <c r="M113" s="158"/>
      <c r="N113" s="33"/>
    </row>
    <row r="114" spans="1:16" s="32" customFormat="1" hidden="1" x14ac:dyDescent="0.25">
      <c r="A114" s="85">
        <f t="shared" si="0"/>
        <v>7</v>
      </c>
      <c r="B114" s="86"/>
      <c r="C114" s="17"/>
      <c r="D114" s="17"/>
      <c r="E114" s="17">
        <v>0</v>
      </c>
      <c r="F114" s="17">
        <f t="shared" si="1"/>
        <v>0</v>
      </c>
      <c r="G114" s="85" t="str">
        <f t="shared" si="2"/>
        <v>Ground Floor</v>
      </c>
      <c r="H114" s="86"/>
      <c r="I114" s="33"/>
      <c r="L114" s="158"/>
      <c r="M114" s="158"/>
      <c r="N114" s="33"/>
    </row>
    <row r="115" spans="1:16" s="32" customFormat="1" hidden="1" x14ac:dyDescent="0.25">
      <c r="A115" s="85"/>
      <c r="B115" s="159"/>
      <c r="C115" s="159"/>
      <c r="D115" s="159"/>
      <c r="E115" s="159"/>
      <c r="F115" s="159"/>
      <c r="G115" s="159"/>
      <c r="H115" s="86"/>
      <c r="I115" s="33"/>
      <c r="N115" s="33"/>
    </row>
    <row r="116" spans="1:16" ht="47.25" hidden="1" customHeight="1" x14ac:dyDescent="0.25">
      <c r="A116" s="93" t="s">
        <v>129</v>
      </c>
      <c r="B116" s="93" t="s">
        <v>130</v>
      </c>
      <c r="C116" s="89" t="s">
        <v>64</v>
      </c>
      <c r="D116" s="89" t="s">
        <v>65</v>
      </c>
      <c r="E116" s="91" t="s">
        <v>66</v>
      </c>
      <c r="F116" s="18" t="s">
        <v>165</v>
      </c>
      <c r="G116" s="93" t="s">
        <v>67</v>
      </c>
      <c r="H116" s="94"/>
      <c r="I116" s="33"/>
    </row>
    <row r="117" spans="1:16" s="32" customFormat="1" hidden="1" x14ac:dyDescent="0.25">
      <c r="A117" s="95"/>
      <c r="B117" s="95"/>
      <c r="C117" s="90"/>
      <c r="D117" s="90"/>
      <c r="E117" s="92"/>
      <c r="F117" s="13">
        <v>0.5</v>
      </c>
      <c r="G117" s="95"/>
      <c r="H117" s="96"/>
      <c r="I117" s="33"/>
    </row>
    <row r="118" spans="1:16" s="32" customFormat="1" hidden="1" x14ac:dyDescent="0.25">
      <c r="A118" s="129" t="s">
        <v>126</v>
      </c>
      <c r="B118" s="129"/>
      <c r="C118" s="129"/>
      <c r="D118" s="129"/>
      <c r="E118" s="129"/>
      <c r="F118" s="129"/>
      <c r="G118" s="129"/>
      <c r="H118" s="129"/>
      <c r="I118" s="33"/>
      <c r="L118" s="158"/>
      <c r="M118" s="158"/>
    </row>
    <row r="119" spans="1:16" s="32" customFormat="1" hidden="1" x14ac:dyDescent="0.25">
      <c r="A119" s="87">
        <f>LEFT(A118,SUM(LEN(A118)-LEN(SUBSTITUTE(A118,{"0","1","2","3","4","5","6","7","8","9"},""))))*100+1</f>
        <v>201</v>
      </c>
      <c r="B119" s="87"/>
      <c r="C119" s="17"/>
      <c r="D119" s="17"/>
      <c r="E119" s="17">
        <v>0</v>
      </c>
      <c r="F119" s="17">
        <f t="shared" ref="F119:F124" si="3">D119*(($F$106)+1)+(IF(E119&lt;101,E119,IF(E119&lt;201,E119/2,IF(E119&lt;=301,E119/3,E119/4))))</f>
        <v>0</v>
      </c>
      <c r="G119" s="87" t="str">
        <f>A118</f>
        <v>2nd Floor</v>
      </c>
      <c r="H119" s="87"/>
      <c r="I119" s="33"/>
      <c r="N119" s="33"/>
    </row>
    <row r="120" spans="1:16" s="32" customFormat="1" hidden="1" x14ac:dyDescent="0.25">
      <c r="A120" s="87">
        <f>A119+1</f>
        <v>202</v>
      </c>
      <c r="B120" s="87"/>
      <c r="C120" s="17"/>
      <c r="D120" s="17"/>
      <c r="E120" s="17">
        <v>0</v>
      </c>
      <c r="F120" s="17">
        <f t="shared" si="3"/>
        <v>0</v>
      </c>
      <c r="G120" s="87" t="str">
        <f>G119</f>
        <v>2nd Floor</v>
      </c>
      <c r="H120" s="87"/>
      <c r="I120" s="33"/>
      <c r="N120" s="33"/>
    </row>
    <row r="121" spans="1:16" s="32" customFormat="1" hidden="1" x14ac:dyDescent="0.25">
      <c r="A121" s="87">
        <f>A120+1</f>
        <v>203</v>
      </c>
      <c r="B121" s="87"/>
      <c r="C121" s="17"/>
      <c r="D121" s="17"/>
      <c r="E121" s="17">
        <v>0</v>
      </c>
      <c r="F121" s="17">
        <f t="shared" si="3"/>
        <v>0</v>
      </c>
      <c r="G121" s="87" t="str">
        <f>G120</f>
        <v>2nd Floor</v>
      </c>
      <c r="H121" s="87"/>
      <c r="I121" s="33"/>
      <c r="N121" s="33"/>
    </row>
    <row r="122" spans="1:16" s="32" customFormat="1" hidden="1" x14ac:dyDescent="0.25">
      <c r="A122" s="87">
        <f>A121+1</f>
        <v>204</v>
      </c>
      <c r="B122" s="87"/>
      <c r="C122" s="17"/>
      <c r="D122" s="17"/>
      <c r="E122" s="17">
        <v>0</v>
      </c>
      <c r="F122" s="17">
        <f t="shared" si="3"/>
        <v>0</v>
      </c>
      <c r="G122" s="87" t="str">
        <f>G121</f>
        <v>2nd Floor</v>
      </c>
      <c r="H122" s="87"/>
      <c r="I122" s="33"/>
      <c r="N122" s="33"/>
    </row>
    <row r="123" spans="1:16" s="32" customFormat="1" hidden="1" x14ac:dyDescent="0.25">
      <c r="A123" s="87">
        <f>A122+1</f>
        <v>205</v>
      </c>
      <c r="B123" s="87"/>
      <c r="C123" s="17"/>
      <c r="D123" s="17"/>
      <c r="E123" s="17">
        <v>0</v>
      </c>
      <c r="F123" s="17">
        <f t="shared" si="3"/>
        <v>0</v>
      </c>
      <c r="G123" s="87" t="str">
        <f>G122</f>
        <v>2nd Floor</v>
      </c>
      <c r="H123" s="87"/>
      <c r="I123" s="33"/>
      <c r="N123" s="33"/>
    </row>
    <row r="124" spans="1:16" s="32" customFormat="1" hidden="1" x14ac:dyDescent="0.25">
      <c r="A124" s="87">
        <f>A123+1</f>
        <v>206</v>
      </c>
      <c r="B124" s="87"/>
      <c r="C124" s="17"/>
      <c r="D124" s="17"/>
      <c r="E124" s="17">
        <v>0</v>
      </c>
      <c r="F124" s="17">
        <f t="shared" si="3"/>
        <v>0</v>
      </c>
      <c r="G124" s="87" t="str">
        <f>G123</f>
        <v>2nd Floor</v>
      </c>
      <c r="H124" s="87"/>
      <c r="I124" s="33"/>
      <c r="N124" s="33"/>
    </row>
    <row r="125" spans="1:16" s="32" customFormat="1" ht="15.75" hidden="1" customHeight="1" x14ac:dyDescent="0.25">
      <c r="A125" s="117" t="s">
        <v>166</v>
      </c>
      <c r="B125" s="118"/>
      <c r="C125" s="118"/>
      <c r="D125" s="118"/>
      <c r="E125" s="118"/>
      <c r="F125" s="118"/>
      <c r="G125" s="118"/>
      <c r="H125" s="119"/>
      <c r="I125" s="33"/>
    </row>
    <row r="126" spans="1:16" s="32" customFormat="1" hidden="1" x14ac:dyDescent="0.25">
      <c r="A126" s="85" t="str">
        <f t="shared" ref="A126:A131" ca="1" si="4">N126</f>
        <v>301,..,1501</v>
      </c>
      <c r="B126" s="86"/>
      <c r="C126" s="17"/>
      <c r="D126" s="17"/>
      <c r="E126" s="17">
        <v>0</v>
      </c>
      <c r="F126" s="17">
        <f t="shared" ref="F126:F131" si="5">D126*(($F$106)+1)+(IF(E126&lt;101,E126,IF(E126&lt;201,E126/2,IF(E126&lt;=301,E126/3,E126/4))))</f>
        <v>0</v>
      </c>
      <c r="G126" s="85" t="str">
        <f>A125</f>
        <v>3rd, 5th, 7th, 9th, 11th, 13th, 15th Floor</v>
      </c>
      <c r="H126" s="86"/>
      <c r="I126" s="33"/>
      <c r="N126" s="32" t="str">
        <f t="shared" ref="N126:N131" ca="1" si="6">O126&amp;""&amp;",..,"&amp;""&amp;P126</f>
        <v>301,..,1501</v>
      </c>
      <c r="O126" s="32">
        <f ca="1">(SUMPRODUCT(MID(0&amp;(LEFT(A125,SUM(LEN(A125)-LEN(SUBSTITUTE(A125,{0,1,2},""))))), LARGE(INDEX(ISNUMBER(--MID((LEFT(A125,SUM(LEN(A125)-LEN(SUBSTITUTE(A125,{0,1,2},""))))), ROW(INDIRECT("1:"&amp;LEN((LEFT(A125,SUM(LEN(A125)-LEN(SUBSTITUTE(A125,{0,1,2},"")))))))), 1)) * ROW(INDIRECT("1:"&amp;LEN((LEFT(A125,SUM(LEN(A125)-LEN(SUBSTITUTE(A125,{0,1,2},"")))))))), 0), ROW(INDIRECT("1:"&amp;LEN((LEFT(A125,SUM(LEN(A125)-LEN(SUBSTITUTE(A125,{0,1,2},"")))))))))+1, 1) * 10^ROW(INDIRECT("1:"&amp;LEN((LEFT(A125,SUM(LEN(A125)-LEN(SUBSTITUTE(A125,{0,1,2},""))))))))/10))*100+1</f>
        <v>301</v>
      </c>
      <c r="P126" s="32">
        <f ca="1">(SUMPRODUCT(MID(0&amp;(--TRIM(RIGHT(SUBSTITUTE(LEFT(A125,_xlfn.AGGREGATE(16,6,FIND({0,1,2,3,4,5,6,7,8,9},A125,ROW(INDIRECT("1:"&amp;LEN(A125)))),1))," ",REPT(" ",LEN(A125))),LEN(A125)))), LARGE(INDEX(ISNUMBER(--MID((--TRIM(RIGHT(SUBSTITUTE(LEFT(A125,_xlfn.AGGREGATE(16,6,FIND({0,1,2,3,4,5,6,7,8,9},A125,ROW(INDIRECT("1:"&amp;LEN(A125)))),1))," ",REPT(" ",LEN(A125))),LEN(A125)))), ROW(INDIRECT("1:"&amp;LEN((--TRIM(RIGHT(SUBSTITUTE(LEFT(A125,_xlfn.AGGREGATE(16,6,FIND({0,1,2,3,4,5,6,7,8,9},A125,ROW(INDIRECT("1:"&amp;LEN(A125)))),1))," ",REPT(" ",LEN(A125))),LEN(A125))))))), 1)) * ROW(INDIRECT("1:"&amp;LEN((--TRIM(RIGHT(SUBSTITUTE(LEFT(A125,_xlfn.AGGREGATE(16,6,FIND({0,1,2,3,4,5,6,7,8,9},A125,ROW(INDIRECT("1:"&amp;LEN(A125)))),1))," ",REPT(" ",LEN(A125))),LEN(A125))))))), 0), ROW(INDIRECT("1:"&amp;LEN((--TRIM(RIGHT(SUBSTITUTE(LEFT(A125,_xlfn.AGGREGATE(16,6,FIND({0,1,2,3,4,5,6,7,8,9},A125,ROW(INDIRECT("1:"&amp;LEN(A125)))),1))," ",REPT(" ",LEN(A125))),LEN(A125))))))))+1, 1) * 10^ROW(INDIRECT("1:"&amp;LEN((--TRIM(RIGHT(SUBSTITUTE(LEFT(A125,_xlfn.AGGREGATE(16,6,FIND({0,1,2,3,4,5,6,7,8,9},A125,ROW(INDIRECT("1:"&amp;LEN(A125)))),1))," ",REPT(" ",LEN(A125))),LEN(A125)))))))/10))*100+1</f>
        <v>1501</v>
      </c>
    </row>
    <row r="127" spans="1:16" s="32" customFormat="1" hidden="1" x14ac:dyDescent="0.25">
      <c r="A127" s="85" t="str">
        <f t="shared" ca="1" si="4"/>
        <v>302,..,1502</v>
      </c>
      <c r="B127" s="86"/>
      <c r="C127" s="17"/>
      <c r="D127" s="17"/>
      <c r="E127" s="17">
        <v>0</v>
      </c>
      <c r="F127" s="17">
        <f t="shared" si="5"/>
        <v>0</v>
      </c>
      <c r="G127" s="85" t="str">
        <f>G126</f>
        <v>3rd, 5th, 7th, 9th, 11th, 13th, 15th Floor</v>
      </c>
      <c r="H127" s="86"/>
      <c r="I127" s="33"/>
      <c r="N127" s="32" t="str">
        <f t="shared" ca="1" si="6"/>
        <v>302,..,1502</v>
      </c>
      <c r="O127" s="32">
        <f t="shared" ref="O127:P130" ca="1" si="7">O126+1</f>
        <v>302</v>
      </c>
      <c r="P127" s="32">
        <f t="shared" ca="1" si="7"/>
        <v>1502</v>
      </c>
    </row>
    <row r="128" spans="1:16" s="32" customFormat="1" hidden="1" x14ac:dyDescent="0.25">
      <c r="A128" s="85" t="str">
        <f t="shared" ca="1" si="4"/>
        <v>303,..,1503</v>
      </c>
      <c r="B128" s="86"/>
      <c r="C128" s="17"/>
      <c r="D128" s="17"/>
      <c r="E128" s="17">
        <v>0</v>
      </c>
      <c r="F128" s="17">
        <f t="shared" si="5"/>
        <v>0</v>
      </c>
      <c r="G128" s="85" t="str">
        <f>G127</f>
        <v>3rd, 5th, 7th, 9th, 11th, 13th, 15th Floor</v>
      </c>
      <c r="H128" s="86"/>
      <c r="I128" s="33"/>
      <c r="N128" s="32" t="str">
        <f t="shared" ca="1" si="6"/>
        <v>303,..,1503</v>
      </c>
      <c r="O128" s="32">
        <f t="shared" ca="1" si="7"/>
        <v>303</v>
      </c>
      <c r="P128" s="32">
        <f t="shared" ca="1" si="7"/>
        <v>1503</v>
      </c>
    </row>
    <row r="129" spans="1:16" s="32" customFormat="1" hidden="1" x14ac:dyDescent="0.25">
      <c r="A129" s="85" t="str">
        <f t="shared" ca="1" si="4"/>
        <v>304,..,1504</v>
      </c>
      <c r="B129" s="86"/>
      <c r="C129" s="17"/>
      <c r="D129" s="17"/>
      <c r="E129" s="17">
        <v>0</v>
      </c>
      <c r="F129" s="17">
        <f t="shared" si="5"/>
        <v>0</v>
      </c>
      <c r="G129" s="85" t="str">
        <f>G128</f>
        <v>3rd, 5th, 7th, 9th, 11th, 13th, 15th Floor</v>
      </c>
      <c r="H129" s="86"/>
      <c r="I129" s="33"/>
      <c r="N129" s="32" t="str">
        <f t="shared" ca="1" si="6"/>
        <v>304,..,1504</v>
      </c>
      <c r="O129" s="32">
        <f t="shared" ca="1" si="7"/>
        <v>304</v>
      </c>
      <c r="P129" s="32">
        <f t="shared" ca="1" si="7"/>
        <v>1504</v>
      </c>
    </row>
    <row r="130" spans="1:16" s="32" customFormat="1" hidden="1" x14ac:dyDescent="0.25">
      <c r="A130" s="85" t="str">
        <f t="shared" ca="1" si="4"/>
        <v>305,..,1505</v>
      </c>
      <c r="B130" s="86"/>
      <c r="C130" s="17"/>
      <c r="D130" s="17"/>
      <c r="E130" s="17">
        <v>0</v>
      </c>
      <c r="F130" s="17">
        <f t="shared" si="5"/>
        <v>0</v>
      </c>
      <c r="G130" s="85" t="str">
        <f>G129</f>
        <v>3rd, 5th, 7th, 9th, 11th, 13th, 15th Floor</v>
      </c>
      <c r="H130" s="86"/>
      <c r="I130" s="33"/>
      <c r="N130" s="32" t="str">
        <f t="shared" ca="1" si="6"/>
        <v>305,..,1505</v>
      </c>
      <c r="O130" s="32">
        <f t="shared" ca="1" si="7"/>
        <v>305</v>
      </c>
      <c r="P130" s="32">
        <f t="shared" ca="1" si="7"/>
        <v>1505</v>
      </c>
    </row>
    <row r="131" spans="1:16" s="32" customFormat="1" hidden="1" x14ac:dyDescent="0.25">
      <c r="A131" s="85" t="str">
        <f t="shared" ca="1" si="4"/>
        <v>306,..,1506</v>
      </c>
      <c r="B131" s="86"/>
      <c r="C131" s="17"/>
      <c r="D131" s="17"/>
      <c r="E131" s="17">
        <v>0</v>
      </c>
      <c r="F131" s="17">
        <f t="shared" si="5"/>
        <v>0</v>
      </c>
      <c r="G131" s="85" t="str">
        <f>G130</f>
        <v>3rd, 5th, 7th, 9th, 11th, 13th, 15th Floor</v>
      </c>
      <c r="H131" s="86"/>
      <c r="I131" s="33"/>
      <c r="N131" s="32" t="str">
        <f t="shared" ca="1" si="6"/>
        <v>306,..,1506</v>
      </c>
      <c r="O131" s="32">
        <f ca="1">O130+1</f>
        <v>306</v>
      </c>
      <c r="P131" s="32">
        <f ca="1">P130+1</f>
        <v>1506</v>
      </c>
    </row>
    <row r="132" spans="1:16" s="32" customFormat="1" hidden="1" x14ac:dyDescent="0.25">
      <c r="A132" s="117" t="s">
        <v>159</v>
      </c>
      <c r="B132" s="118"/>
      <c r="C132" s="118"/>
      <c r="D132" s="118"/>
      <c r="E132" s="118"/>
      <c r="F132" s="118"/>
      <c r="G132" s="118"/>
      <c r="H132" s="119"/>
      <c r="I132" s="33"/>
    </row>
    <row r="133" spans="1:16" s="32" customFormat="1" hidden="1" x14ac:dyDescent="0.25">
      <c r="A133" s="85" t="str">
        <f t="shared" ref="A133:A138" ca="1" si="8">N133</f>
        <v>201 to 501</v>
      </c>
      <c r="B133" s="86"/>
      <c r="C133" s="17"/>
      <c r="D133" s="17"/>
      <c r="E133" s="17">
        <v>0</v>
      </c>
      <c r="F133" s="17">
        <f t="shared" ref="F133:F138" si="9">D133*(($F$106)+1)+(IF(E133&lt;101,E133,IF(E133&lt;201,E133/2,IF(E133&lt;=301,E133/3,E133/4))))</f>
        <v>0</v>
      </c>
      <c r="G133" s="85" t="str">
        <f>A132</f>
        <v>2nd to 5th Floor</v>
      </c>
      <c r="H133" s="86"/>
      <c r="I133" s="33"/>
      <c r="N133" s="32" t="str">
        <f t="shared" ref="N133:N138" ca="1" si="10">O133&amp;""&amp;" to "&amp;""&amp;P133</f>
        <v>201 to 501</v>
      </c>
      <c r="O133" s="32">
        <f ca="1">(SUMPRODUCT(MID(0&amp;(LEFT(A132,SUM(LEN(A132)-LEN(SUBSTITUTE(A132,{"0","1","2"},""))))), LARGE(INDEX(ISNUMBER(--MID((LEFT(A132,SUM(LEN(A132)-LEN(SUBSTITUTE(A132,{"0","1","2"},""))))), ROW(INDIRECT("1:"&amp;LEN((LEFT(A132,SUM(LEN(A132)-LEN(SUBSTITUTE(A132,{"0","1","2"},"")))))))), 1)) * ROW(INDIRECT("1:"&amp;LEN((LEFT(A132,SUM(LEN(A132)-LEN(SUBSTITUTE(A132,{"0","1","2"},"")))))))), 0), ROW(INDIRECT("1:"&amp;LEN((LEFT(A132,SUM(LEN(A132)-LEN(SUBSTITUTE(A132,{"0","1","2"},"")))))))))+1, 1) * 10^ROW(INDIRECT("1:"&amp;LEN((LEFT(A132,SUM(LEN(A132)-LEN(SUBSTITUTE(A132,{"0","1","2"},""))))))))/10))*100+1</f>
        <v>201</v>
      </c>
      <c r="P133" s="32">
        <f ca="1">(SUMPRODUCT(MID(0&amp;(--TRIM(RIGHT(SUBSTITUTE(LEFT(A132,_xlfn.AGGREGATE(16,6,FIND({0,1,2,3,4,5,6,7,8,9},A132,ROW(INDIRECT("1:"&amp;LEN(A132)))),1))," ",REPT(" ",LEN(A132))),LEN(A132)))), LARGE(INDEX(ISNUMBER(--MID((--TRIM(RIGHT(SUBSTITUTE(LEFT(A132,_xlfn.AGGREGATE(16,6,FIND({0,1,2,3,4,5,6,7,8,9},A132,ROW(INDIRECT("1:"&amp;LEN(A132)))),1))," ",REPT(" ",LEN(A132))),LEN(A132)))), ROW(INDIRECT("1:"&amp;LEN((--TRIM(RIGHT(SUBSTITUTE(LEFT(A132,_xlfn.AGGREGATE(16,6,FIND({0,1,2,3,4,5,6,7,8,9},A132,ROW(INDIRECT("1:"&amp;LEN(A132)))),1))," ",REPT(" ",LEN(A132))),LEN(A132))))))), 1)) * ROW(INDIRECT("1:"&amp;LEN((--TRIM(RIGHT(SUBSTITUTE(LEFT(A132,_xlfn.AGGREGATE(16,6,FIND({0,1,2,3,4,5,6,7,8,9},A132,ROW(INDIRECT("1:"&amp;LEN(A132)))),1))," ",REPT(" ",LEN(A132))),LEN(A132))))))), 0), ROW(INDIRECT("1:"&amp;LEN((--TRIM(RIGHT(SUBSTITUTE(LEFT(A132,_xlfn.AGGREGATE(16,6,FIND({0,1,2,3,4,5,6,7,8,9},A132,ROW(INDIRECT("1:"&amp;LEN(A132)))),1))," ",REPT(" ",LEN(A132))),LEN(A132))))))))+1, 1) * 10^ROW(INDIRECT("1:"&amp;LEN((--TRIM(RIGHT(SUBSTITUTE(LEFT(A132,_xlfn.AGGREGATE(16,6,FIND({0,1,2,3,4,5,6,7,8,9},A132,ROW(INDIRECT("1:"&amp;LEN(A132)))),1))," ",REPT(" ",LEN(A132))),LEN(A132)))))))/10))*100+1</f>
        <v>501</v>
      </c>
    </row>
    <row r="134" spans="1:16" s="32" customFormat="1" hidden="1" x14ac:dyDescent="0.25">
      <c r="A134" s="85" t="str">
        <f t="shared" ca="1" si="8"/>
        <v>202 to 502</v>
      </c>
      <c r="B134" s="86"/>
      <c r="C134" s="17"/>
      <c r="D134" s="17"/>
      <c r="E134" s="17">
        <v>0</v>
      </c>
      <c r="F134" s="17">
        <f t="shared" si="9"/>
        <v>0</v>
      </c>
      <c r="G134" s="85" t="str">
        <f>G133</f>
        <v>2nd to 5th Floor</v>
      </c>
      <c r="H134" s="86"/>
      <c r="I134" s="33"/>
      <c r="N134" s="32" t="str">
        <f t="shared" ca="1" si="10"/>
        <v>202 to 502</v>
      </c>
      <c r="O134" s="32">
        <f t="shared" ref="O134:P137" ca="1" si="11">O133+1</f>
        <v>202</v>
      </c>
      <c r="P134" s="32">
        <f t="shared" ca="1" si="11"/>
        <v>502</v>
      </c>
    </row>
    <row r="135" spans="1:16" s="32" customFormat="1" hidden="1" x14ac:dyDescent="0.25">
      <c r="A135" s="85" t="str">
        <f t="shared" ca="1" si="8"/>
        <v>203 to 503</v>
      </c>
      <c r="B135" s="86"/>
      <c r="C135" s="17"/>
      <c r="D135" s="17"/>
      <c r="E135" s="17">
        <v>0</v>
      </c>
      <c r="F135" s="17">
        <f t="shared" si="9"/>
        <v>0</v>
      </c>
      <c r="G135" s="85" t="str">
        <f>G134</f>
        <v>2nd to 5th Floor</v>
      </c>
      <c r="H135" s="86"/>
      <c r="I135" s="33"/>
      <c r="N135" s="32" t="str">
        <f t="shared" ca="1" si="10"/>
        <v>203 to 503</v>
      </c>
      <c r="O135" s="32">
        <f t="shared" ca="1" si="11"/>
        <v>203</v>
      </c>
      <c r="P135" s="32">
        <f t="shared" ca="1" si="11"/>
        <v>503</v>
      </c>
    </row>
    <row r="136" spans="1:16" s="32" customFormat="1" hidden="1" x14ac:dyDescent="0.25">
      <c r="A136" s="85" t="str">
        <f t="shared" ca="1" si="8"/>
        <v>204 to 504</v>
      </c>
      <c r="B136" s="86"/>
      <c r="C136" s="17"/>
      <c r="D136" s="17"/>
      <c r="E136" s="17">
        <v>0</v>
      </c>
      <c r="F136" s="17">
        <f t="shared" si="9"/>
        <v>0</v>
      </c>
      <c r="G136" s="85" t="str">
        <f>G135</f>
        <v>2nd to 5th Floor</v>
      </c>
      <c r="H136" s="86"/>
      <c r="I136" s="33"/>
      <c r="N136" s="32" t="str">
        <f t="shared" ca="1" si="10"/>
        <v>204 to 504</v>
      </c>
      <c r="O136" s="32">
        <f t="shared" ca="1" si="11"/>
        <v>204</v>
      </c>
      <c r="P136" s="32">
        <f t="shared" ca="1" si="11"/>
        <v>504</v>
      </c>
    </row>
    <row r="137" spans="1:16" s="32" customFormat="1" hidden="1" x14ac:dyDescent="0.25">
      <c r="A137" s="85" t="str">
        <f t="shared" ca="1" si="8"/>
        <v>205 to 505</v>
      </c>
      <c r="B137" s="86"/>
      <c r="C137" s="17"/>
      <c r="D137" s="17"/>
      <c r="E137" s="17">
        <v>0</v>
      </c>
      <c r="F137" s="17">
        <f t="shared" si="9"/>
        <v>0</v>
      </c>
      <c r="G137" s="85" t="str">
        <f>G136</f>
        <v>2nd to 5th Floor</v>
      </c>
      <c r="H137" s="86"/>
      <c r="I137" s="33"/>
      <c r="N137" s="32" t="str">
        <f t="shared" ca="1" si="10"/>
        <v>205 to 505</v>
      </c>
      <c r="O137" s="32">
        <f t="shared" ca="1" si="11"/>
        <v>205</v>
      </c>
      <c r="P137" s="32">
        <f t="shared" ca="1" si="11"/>
        <v>505</v>
      </c>
    </row>
    <row r="138" spans="1:16" s="32" customFormat="1" hidden="1" x14ac:dyDescent="0.25">
      <c r="A138" s="85" t="str">
        <f t="shared" ca="1" si="8"/>
        <v>206 to 506</v>
      </c>
      <c r="B138" s="86"/>
      <c r="C138" s="17"/>
      <c r="D138" s="17"/>
      <c r="E138" s="17">
        <v>0</v>
      </c>
      <c r="F138" s="17">
        <f t="shared" si="9"/>
        <v>0</v>
      </c>
      <c r="G138" s="85" t="str">
        <f>G137</f>
        <v>2nd to 5th Floor</v>
      </c>
      <c r="H138" s="86"/>
      <c r="I138" s="33"/>
      <c r="N138" s="32" t="str">
        <f t="shared" ca="1" si="10"/>
        <v>206 to 506</v>
      </c>
      <c r="O138" s="32">
        <f ca="1">O137+1</f>
        <v>206</v>
      </c>
      <c r="P138" s="32">
        <f ca="1">P137+1</f>
        <v>506</v>
      </c>
    </row>
    <row r="139" spans="1:16" s="32" customFormat="1" hidden="1" x14ac:dyDescent="0.25">
      <c r="A139" s="117" t="s">
        <v>160</v>
      </c>
      <c r="B139" s="118"/>
      <c r="C139" s="118"/>
      <c r="D139" s="118"/>
      <c r="E139" s="118"/>
      <c r="F139" s="118"/>
      <c r="G139" s="118"/>
      <c r="H139" s="119"/>
      <c r="I139" s="33"/>
    </row>
    <row r="140" spans="1:16" s="32" customFormat="1" hidden="1" x14ac:dyDescent="0.25">
      <c r="A140" s="85" t="str">
        <f t="shared" ref="A140:A145" ca="1" si="12">N140</f>
        <v>201 &amp; 501</v>
      </c>
      <c r="B140" s="86"/>
      <c r="C140" s="17"/>
      <c r="D140" s="17"/>
      <c r="E140" s="17">
        <v>0</v>
      </c>
      <c r="F140" s="17">
        <f t="shared" ref="F140:F145" si="13">D140*(($F$106)+1)+(IF(E140&lt;101,E140,IF(E140&lt;201,E140/2,IF(E140&lt;=301,E140/3,E140/4))))</f>
        <v>0</v>
      </c>
      <c r="G140" s="85" t="str">
        <f>A139</f>
        <v>2nd &amp; 5th Floor</v>
      </c>
      <c r="H140" s="86"/>
      <c r="I140" s="33"/>
      <c r="N140" s="32" t="str">
        <f t="shared" ref="N140:N145" ca="1" si="14">O140&amp;""&amp;" &amp; "&amp;""&amp;P140</f>
        <v>201 &amp; 501</v>
      </c>
      <c r="O140" s="32">
        <f ca="1">(SUMPRODUCT(MID(0&amp;(LEFT(A139,SUM(LEN(A139)-LEN(SUBSTITUTE(A139,{"0","1","2"},""))))), LARGE(INDEX(ISNUMBER(--MID((LEFT(A139,SUM(LEN(A139)-LEN(SUBSTITUTE(A139,{"0","1","2"},""))))), ROW(INDIRECT("1:"&amp;LEN((LEFT(A139,SUM(LEN(A139)-LEN(SUBSTITUTE(A139,{"0","1","2"},"")))))))), 1)) * ROW(INDIRECT("1:"&amp;LEN((LEFT(A139,SUM(LEN(A139)-LEN(SUBSTITUTE(A139,{"0","1","2"},"")))))))), 0), ROW(INDIRECT("1:"&amp;LEN((LEFT(A139,SUM(LEN(A139)-LEN(SUBSTITUTE(A139,{"0","1","2"},"")))))))))+1, 1) * 10^ROW(INDIRECT("1:"&amp;LEN((LEFT(A139,SUM(LEN(A139)-LEN(SUBSTITUTE(A139,{"0","1","2"},""))))))))/10))*100+1</f>
        <v>201</v>
      </c>
      <c r="P140" s="32">
        <f ca="1">(SUMPRODUCT(MID(0&amp;(--TRIM(RIGHT(SUBSTITUTE(LEFT(A139,_xlfn.AGGREGATE(16,6,FIND({0,1,2,3,4,5,6,7,8,9},A139,ROW(INDIRECT("1:"&amp;LEN(A139)))),1))," ",REPT(" ",LEN(A139))),LEN(A139)))), LARGE(INDEX(ISNUMBER(--MID((--TRIM(RIGHT(SUBSTITUTE(LEFT(A139,_xlfn.AGGREGATE(16,6,FIND({0,1,2,3,4,5,6,7,8,9},A139,ROW(INDIRECT("1:"&amp;LEN(A139)))),1))," ",REPT(" ",LEN(A139))),LEN(A139)))), ROW(INDIRECT("1:"&amp;LEN((--TRIM(RIGHT(SUBSTITUTE(LEFT(A139,_xlfn.AGGREGATE(16,6,FIND({0,1,2,3,4,5,6,7,8,9},A139,ROW(INDIRECT("1:"&amp;LEN(A139)))),1))," ",REPT(" ",LEN(A139))),LEN(A139))))))), 1)) * ROW(INDIRECT("1:"&amp;LEN((--TRIM(RIGHT(SUBSTITUTE(LEFT(A139,_xlfn.AGGREGATE(16,6,FIND({0,1,2,3,4,5,6,7,8,9},A139,ROW(INDIRECT("1:"&amp;LEN(A139)))),1))," ",REPT(" ",LEN(A139))),LEN(A139))))))), 0), ROW(INDIRECT("1:"&amp;LEN((--TRIM(RIGHT(SUBSTITUTE(LEFT(A139,_xlfn.AGGREGATE(16,6,FIND({0,1,2,3,4,5,6,7,8,9},A139,ROW(INDIRECT("1:"&amp;LEN(A139)))),1))," ",REPT(" ",LEN(A139))),LEN(A139))))))))+1, 1) * 10^ROW(INDIRECT("1:"&amp;LEN((--TRIM(RIGHT(SUBSTITUTE(LEFT(A139,_xlfn.AGGREGATE(16,6,FIND({0,1,2,3,4,5,6,7,8,9},A139,ROW(INDIRECT("1:"&amp;LEN(A139)))),1))," ",REPT(" ",LEN(A139))),LEN(A139)))))))/10))*100+1</f>
        <v>501</v>
      </c>
    </row>
    <row r="141" spans="1:16" s="32" customFormat="1" hidden="1" x14ac:dyDescent="0.25">
      <c r="A141" s="85" t="str">
        <f t="shared" ca="1" si="12"/>
        <v>202 &amp; 502</v>
      </c>
      <c r="B141" s="86"/>
      <c r="C141" s="17"/>
      <c r="D141" s="17"/>
      <c r="E141" s="17">
        <v>0</v>
      </c>
      <c r="F141" s="17">
        <f t="shared" si="13"/>
        <v>0</v>
      </c>
      <c r="G141" s="85" t="str">
        <f>G140</f>
        <v>2nd &amp; 5th Floor</v>
      </c>
      <c r="H141" s="86"/>
      <c r="I141" s="33"/>
      <c r="N141" s="32" t="str">
        <f t="shared" ca="1" si="14"/>
        <v>202 &amp; 502</v>
      </c>
      <c r="O141" s="32">
        <f t="shared" ref="O141:P145" ca="1" si="15">O140+1</f>
        <v>202</v>
      </c>
      <c r="P141" s="32">
        <f t="shared" ca="1" si="15"/>
        <v>502</v>
      </c>
    </row>
    <row r="142" spans="1:16" s="32" customFormat="1" hidden="1" x14ac:dyDescent="0.25">
      <c r="A142" s="85" t="str">
        <f t="shared" ca="1" si="12"/>
        <v>203 &amp; 503</v>
      </c>
      <c r="B142" s="86"/>
      <c r="C142" s="17"/>
      <c r="D142" s="17"/>
      <c r="E142" s="17">
        <v>0</v>
      </c>
      <c r="F142" s="17">
        <f t="shared" si="13"/>
        <v>0</v>
      </c>
      <c r="G142" s="85" t="str">
        <f>G141</f>
        <v>2nd &amp; 5th Floor</v>
      </c>
      <c r="H142" s="86"/>
      <c r="I142" s="33"/>
      <c r="N142" s="32" t="str">
        <f t="shared" ca="1" si="14"/>
        <v>203 &amp; 503</v>
      </c>
      <c r="O142" s="32">
        <f t="shared" ca="1" si="15"/>
        <v>203</v>
      </c>
      <c r="P142" s="32">
        <f t="shared" ca="1" si="15"/>
        <v>503</v>
      </c>
    </row>
    <row r="143" spans="1:16" s="32" customFormat="1" hidden="1" x14ac:dyDescent="0.25">
      <c r="A143" s="85" t="str">
        <f t="shared" ca="1" si="12"/>
        <v>204 &amp; 504</v>
      </c>
      <c r="B143" s="86"/>
      <c r="C143" s="17"/>
      <c r="D143" s="17"/>
      <c r="E143" s="17">
        <v>0</v>
      </c>
      <c r="F143" s="17">
        <f t="shared" si="13"/>
        <v>0</v>
      </c>
      <c r="G143" s="85" t="str">
        <f>G142</f>
        <v>2nd &amp; 5th Floor</v>
      </c>
      <c r="H143" s="86"/>
      <c r="I143" s="33"/>
      <c r="N143" s="32" t="str">
        <f t="shared" ca="1" si="14"/>
        <v>204 &amp; 504</v>
      </c>
      <c r="O143" s="32">
        <f t="shared" ca="1" si="15"/>
        <v>204</v>
      </c>
      <c r="P143" s="32">
        <f t="shared" ca="1" si="15"/>
        <v>504</v>
      </c>
    </row>
    <row r="144" spans="1:16" s="32" customFormat="1" hidden="1" x14ac:dyDescent="0.25">
      <c r="A144" s="85" t="str">
        <f t="shared" ca="1" si="12"/>
        <v>205 &amp; 505</v>
      </c>
      <c r="B144" s="86"/>
      <c r="C144" s="17"/>
      <c r="D144" s="17"/>
      <c r="E144" s="17">
        <v>0</v>
      </c>
      <c r="F144" s="17">
        <f t="shared" si="13"/>
        <v>0</v>
      </c>
      <c r="G144" s="85" t="str">
        <f>G143</f>
        <v>2nd &amp; 5th Floor</v>
      </c>
      <c r="H144" s="86"/>
      <c r="I144" s="33"/>
      <c r="N144" s="32" t="str">
        <f t="shared" ca="1" si="14"/>
        <v>205 &amp; 505</v>
      </c>
      <c r="O144" s="32">
        <f t="shared" ca="1" si="15"/>
        <v>205</v>
      </c>
      <c r="P144" s="32">
        <f t="shared" ca="1" si="15"/>
        <v>505</v>
      </c>
    </row>
    <row r="145" spans="1:16" s="32" customFormat="1" hidden="1" x14ac:dyDescent="0.25">
      <c r="A145" s="85" t="str">
        <f t="shared" ca="1" si="12"/>
        <v>206 &amp; 506</v>
      </c>
      <c r="B145" s="86"/>
      <c r="C145" s="17"/>
      <c r="D145" s="17"/>
      <c r="E145" s="17">
        <v>0</v>
      </c>
      <c r="F145" s="17">
        <f t="shared" si="13"/>
        <v>0</v>
      </c>
      <c r="G145" s="85" t="str">
        <f>G144</f>
        <v>2nd &amp; 5th Floor</v>
      </c>
      <c r="H145" s="86"/>
      <c r="I145" s="33"/>
      <c r="N145" s="32" t="str">
        <f t="shared" ca="1" si="14"/>
        <v>206 &amp; 506</v>
      </c>
      <c r="O145" s="32">
        <f t="shared" ca="1" si="15"/>
        <v>206</v>
      </c>
      <c r="P145" s="32">
        <f t="shared" ca="1" si="15"/>
        <v>506</v>
      </c>
    </row>
    <row r="146" spans="1:16" s="31" customFormat="1" x14ac:dyDescent="0.25">
      <c r="A146" s="131" t="s">
        <v>75</v>
      </c>
      <c r="B146" s="131"/>
      <c r="C146" s="131"/>
      <c r="D146" s="131"/>
      <c r="E146" s="131"/>
      <c r="F146" s="131"/>
      <c r="G146" s="131"/>
      <c r="H146" s="131"/>
    </row>
    <row r="147" spans="1:16" s="31" customFormat="1" ht="217.15" customHeight="1" x14ac:dyDescent="0.25">
      <c r="A147" s="108" t="s">
        <v>204</v>
      </c>
      <c r="B147" s="109"/>
      <c r="C147" s="109"/>
      <c r="D147" s="109"/>
      <c r="E147" s="109"/>
      <c r="F147" s="109"/>
      <c r="G147" s="109"/>
      <c r="H147" s="110"/>
      <c r="I147" s="56" t="s">
        <v>200</v>
      </c>
    </row>
    <row r="148" spans="1:16" s="31" customFormat="1" ht="33" hidden="1" customHeight="1" x14ac:dyDescent="0.25">
      <c r="A148" s="19">
        <v>1</v>
      </c>
      <c r="B148" s="102" t="s">
        <v>133</v>
      </c>
      <c r="C148" s="103"/>
      <c r="D148" s="103"/>
      <c r="E148" s="103"/>
      <c r="F148" s="103"/>
      <c r="G148" s="103"/>
      <c r="H148" s="104"/>
    </row>
    <row r="149" spans="1:16" s="31" customFormat="1" hidden="1" x14ac:dyDescent="0.25">
      <c r="A149" s="19">
        <f t="shared" ref="A149:A155" si="16">A148+1</f>
        <v>2</v>
      </c>
      <c r="B149" s="105" t="str">
        <f>(IF(F116="Saleable area Loading :","We have considered Saleable area of Flats as per our Calculation.","We considered Saleable area of Flat as per Builder area Sheet."))</f>
        <v>We have considered Saleable area of Flats as per our Calculation.</v>
      </c>
      <c r="C149" s="106"/>
      <c r="D149" s="106"/>
      <c r="E149" s="106"/>
      <c r="F149" s="106"/>
      <c r="G149" s="106"/>
      <c r="H149" s="107"/>
    </row>
    <row r="150" spans="1:16" s="31" customFormat="1" hidden="1" x14ac:dyDescent="0.25">
      <c r="A150" s="19">
        <f t="shared" si="16"/>
        <v>3</v>
      </c>
      <c r="B150" s="105" t="str">
        <f>(IF(F105="Saleable area Loading :","We have considered Saleable area of Commercial as per our Calculation.","We considered Saleable area of Commercial as per Builder area Sheet."))</f>
        <v>We have considered Saleable area of Commercial as per our Calculation.</v>
      </c>
      <c r="C150" s="106"/>
      <c r="D150" s="106"/>
      <c r="E150" s="106"/>
      <c r="F150" s="106"/>
      <c r="G150" s="106"/>
      <c r="H150" s="107"/>
    </row>
    <row r="151" spans="1:16" s="31" customFormat="1" hidden="1" x14ac:dyDescent="0.25">
      <c r="A151" s="19">
        <f>A150+1</f>
        <v>4</v>
      </c>
      <c r="B151" s="99" t="s">
        <v>134</v>
      </c>
      <c r="C151" s="100"/>
      <c r="D151" s="100"/>
      <c r="E151" s="100"/>
      <c r="F151" s="100"/>
      <c r="G151" s="100"/>
      <c r="H151" s="101"/>
    </row>
    <row r="152" spans="1:16" s="31" customFormat="1" hidden="1" x14ac:dyDescent="0.25">
      <c r="A152" s="19">
        <f t="shared" si="16"/>
        <v>5</v>
      </c>
      <c r="B152" s="99" t="s">
        <v>135</v>
      </c>
      <c r="C152" s="100"/>
      <c r="D152" s="100"/>
      <c r="E152" s="100"/>
      <c r="F152" s="100"/>
      <c r="G152" s="100"/>
      <c r="H152" s="101"/>
    </row>
    <row r="153" spans="1:16" s="31" customFormat="1" hidden="1" x14ac:dyDescent="0.25">
      <c r="A153" s="19">
        <f t="shared" si="16"/>
        <v>6</v>
      </c>
      <c r="B153" s="99" t="s">
        <v>136</v>
      </c>
      <c r="C153" s="100"/>
      <c r="D153" s="100"/>
      <c r="E153" s="100"/>
      <c r="F153" s="100"/>
      <c r="G153" s="100"/>
      <c r="H153" s="101"/>
    </row>
    <row r="154" spans="1:16" s="31" customFormat="1" hidden="1" x14ac:dyDescent="0.25">
      <c r="A154" s="19">
        <f t="shared" si="16"/>
        <v>7</v>
      </c>
      <c r="B154" s="99" t="s">
        <v>137</v>
      </c>
      <c r="C154" s="100"/>
      <c r="D154" s="100"/>
      <c r="E154" s="100"/>
      <c r="F154" s="100"/>
      <c r="G154" s="100"/>
      <c r="H154" s="101"/>
    </row>
    <row r="155" spans="1:16" s="31" customFormat="1" hidden="1" x14ac:dyDescent="0.25">
      <c r="A155" s="19">
        <f t="shared" si="16"/>
        <v>8</v>
      </c>
      <c r="B155" s="102" t="s">
        <v>138</v>
      </c>
      <c r="C155" s="103"/>
      <c r="D155" s="103"/>
      <c r="E155" s="103"/>
      <c r="F155" s="103"/>
      <c r="G155" s="103"/>
      <c r="H155" s="104"/>
    </row>
    <row r="156" spans="1:16" hidden="1" x14ac:dyDescent="0.25">
      <c r="A156" s="97" t="s">
        <v>68</v>
      </c>
      <c r="B156" s="97"/>
      <c r="C156" s="97"/>
      <c r="D156" s="97"/>
      <c r="E156" s="97"/>
      <c r="F156" s="97"/>
      <c r="G156" s="97"/>
      <c r="H156" s="97"/>
    </row>
    <row r="157" spans="1:16" hidden="1" x14ac:dyDescent="0.25">
      <c r="A157" s="58" t="s">
        <v>69</v>
      </c>
      <c r="B157" s="58"/>
      <c r="C157" s="58"/>
      <c r="D157" s="58"/>
      <c r="E157" s="58"/>
      <c r="F157" s="58"/>
      <c r="G157" s="58"/>
      <c r="H157" s="58"/>
    </row>
    <row r="158" spans="1:16" ht="15.75" hidden="1" customHeight="1" x14ac:dyDescent="0.25">
      <c r="A158" s="84" t="s">
        <v>70</v>
      </c>
      <c r="B158" s="84"/>
      <c r="C158" s="84"/>
      <c r="D158" s="84"/>
      <c r="E158" s="84"/>
      <c r="F158" s="84"/>
      <c r="G158" s="84"/>
      <c r="H158" s="84"/>
    </row>
    <row r="159" spans="1:16" hidden="1" x14ac:dyDescent="0.25">
      <c r="A159" s="58" t="s">
        <v>71</v>
      </c>
      <c r="B159" s="58"/>
      <c r="C159" s="58"/>
      <c r="D159" s="58"/>
      <c r="E159" s="58"/>
      <c r="F159" s="58"/>
      <c r="G159" s="58"/>
      <c r="H159" s="58"/>
    </row>
    <row r="160" spans="1:16" hidden="1" x14ac:dyDescent="0.25">
      <c r="A160" s="58" t="s">
        <v>72</v>
      </c>
      <c r="B160" s="58"/>
      <c r="C160" s="58"/>
      <c r="D160" s="58"/>
      <c r="E160" s="58"/>
      <c r="F160" s="58"/>
      <c r="G160" s="58"/>
      <c r="H160" s="58"/>
    </row>
    <row r="161" spans="1:8" hidden="1" x14ac:dyDescent="0.25">
      <c r="A161" s="58" t="s">
        <v>139</v>
      </c>
      <c r="B161" s="58"/>
      <c r="C161" s="58"/>
      <c r="D161" s="58"/>
      <c r="E161" s="58"/>
      <c r="F161" s="58"/>
      <c r="G161" s="58"/>
      <c r="H161" s="58"/>
    </row>
    <row r="162" spans="1:8" ht="35.25" hidden="1" customHeight="1" x14ac:dyDescent="0.25">
      <c r="A162" s="74" t="s">
        <v>140</v>
      </c>
      <c r="B162" s="74"/>
      <c r="C162" s="74"/>
      <c r="D162" s="74"/>
      <c r="E162" s="74"/>
      <c r="F162" s="74"/>
      <c r="G162" s="74"/>
      <c r="H162" s="74"/>
    </row>
    <row r="163" spans="1:8" x14ac:dyDescent="0.25">
      <c r="A163" s="126" t="s">
        <v>86</v>
      </c>
      <c r="B163" s="126"/>
      <c r="C163" s="126" t="s">
        <v>201</v>
      </c>
      <c r="D163" s="126"/>
      <c r="E163" s="126" t="s">
        <v>112</v>
      </c>
      <c r="F163" s="126"/>
      <c r="G163" s="126" t="s">
        <v>203</v>
      </c>
      <c r="H163" s="126"/>
    </row>
    <row r="164" spans="1:8" x14ac:dyDescent="0.25">
      <c r="A164" s="125" t="s">
        <v>88</v>
      </c>
      <c r="B164" s="125"/>
      <c r="C164" s="125"/>
      <c r="D164" s="125"/>
      <c r="E164" s="125"/>
      <c r="F164" s="125"/>
      <c r="G164" s="125"/>
      <c r="H164" s="125"/>
    </row>
    <row r="165" spans="1:8" x14ac:dyDescent="0.25">
      <c r="A165" s="125"/>
      <c r="B165" s="125"/>
      <c r="C165" s="125"/>
      <c r="D165" s="125"/>
      <c r="E165" s="125"/>
      <c r="F165" s="125"/>
      <c r="G165" s="125"/>
      <c r="H165" s="125"/>
    </row>
    <row r="166" spans="1:8" x14ac:dyDescent="0.25">
      <c r="A166" s="125"/>
      <c r="B166" s="125"/>
      <c r="C166" s="125"/>
      <c r="D166" s="125"/>
      <c r="E166" s="125"/>
      <c r="F166" s="125"/>
      <c r="G166" s="125"/>
      <c r="H166" s="125"/>
    </row>
    <row r="167" spans="1:8" x14ac:dyDescent="0.25">
      <c r="A167" s="125"/>
      <c r="B167" s="125"/>
      <c r="C167" s="125"/>
      <c r="D167" s="125"/>
      <c r="E167" s="125"/>
      <c r="F167" s="125"/>
      <c r="G167" s="125"/>
      <c r="H167" s="125"/>
    </row>
    <row r="168" spans="1:8" x14ac:dyDescent="0.25">
      <c r="A168" s="34" t="s">
        <v>73</v>
      </c>
      <c r="B168" s="35"/>
      <c r="C168" s="35"/>
      <c r="D168" s="34" t="str">
        <f>E8</f>
        <v>Xrbia Warai / Neral (K1 to K5)</v>
      </c>
      <c r="F168" s="35"/>
      <c r="G168" s="35"/>
      <c r="H168" s="35"/>
    </row>
    <row r="169" spans="1:8" x14ac:dyDescent="0.25">
      <c r="A169" s="35"/>
      <c r="B169" s="35"/>
      <c r="C169" s="35"/>
      <c r="D169" s="35"/>
      <c r="E169" s="35"/>
      <c r="F169" s="35"/>
      <c r="G169" s="35"/>
      <c r="H169" s="35"/>
    </row>
    <row r="170" spans="1:8" x14ac:dyDescent="0.25">
      <c r="A170" s="35"/>
      <c r="B170" s="35"/>
      <c r="C170" s="35"/>
      <c r="D170" s="35"/>
      <c r="E170" s="35"/>
      <c r="F170" s="35"/>
      <c r="G170" s="35"/>
      <c r="H170" s="35"/>
    </row>
    <row r="171" spans="1:8" ht="15" customHeight="1" x14ac:dyDescent="0.25"/>
    <row r="212" spans="1:1" x14ac:dyDescent="0.25">
      <c r="A212" s="37"/>
    </row>
    <row r="213" spans="1:1" x14ac:dyDescent="0.25">
      <c r="A213" s="37" t="s">
        <v>202</v>
      </c>
    </row>
    <row r="256" spans="1:1" x14ac:dyDescent="0.25">
      <c r="A256" s="37" t="s">
        <v>74</v>
      </c>
    </row>
  </sheetData>
  <mergeCells count="313">
    <mergeCell ref="A9:D9"/>
    <mergeCell ref="E9:H9"/>
    <mergeCell ref="G131:H131"/>
    <mergeCell ref="G137:H137"/>
    <mergeCell ref="G141:H141"/>
    <mergeCell ref="A139:H139"/>
    <mergeCell ref="A104:H104"/>
    <mergeCell ref="E99:F99"/>
    <mergeCell ref="A124:B124"/>
    <mergeCell ref="A140:B140"/>
    <mergeCell ref="A141:B141"/>
    <mergeCell ref="G133:H133"/>
    <mergeCell ref="A136:B136"/>
    <mergeCell ref="A137:B137"/>
    <mergeCell ref="A130:B130"/>
    <mergeCell ref="A129:B129"/>
    <mergeCell ref="A126:B126"/>
    <mergeCell ref="G121:H121"/>
    <mergeCell ref="G134:H134"/>
    <mergeCell ref="A127:B127"/>
    <mergeCell ref="A103:H103"/>
    <mergeCell ref="F94:H94"/>
    <mergeCell ref="A98:B98"/>
    <mergeCell ref="C98:D98"/>
    <mergeCell ref="C99:D99"/>
    <mergeCell ref="G144:H144"/>
    <mergeCell ref="A145:B145"/>
    <mergeCell ref="A143:B143"/>
    <mergeCell ref="G143:H143"/>
    <mergeCell ref="L118:M118"/>
    <mergeCell ref="A115:H115"/>
    <mergeCell ref="A116:A117"/>
    <mergeCell ref="A138:B138"/>
    <mergeCell ref="G138:H138"/>
    <mergeCell ref="A123:B123"/>
    <mergeCell ref="A120:B120"/>
    <mergeCell ref="A121:B121"/>
    <mergeCell ref="A133:B133"/>
    <mergeCell ref="A134:B134"/>
    <mergeCell ref="A135:B135"/>
    <mergeCell ref="A122:B122"/>
    <mergeCell ref="A131:B131"/>
    <mergeCell ref="G123:H123"/>
    <mergeCell ref="G130:H130"/>
    <mergeCell ref="G129:H129"/>
    <mergeCell ref="L114:M114"/>
    <mergeCell ref="L113:M113"/>
    <mergeCell ref="G110:H110"/>
    <mergeCell ref="G108:H108"/>
    <mergeCell ref="G114:H114"/>
    <mergeCell ref="G113:H113"/>
    <mergeCell ref="G109:H109"/>
    <mergeCell ref="G112:H112"/>
    <mergeCell ref="G111:H111"/>
    <mergeCell ref="L112:M112"/>
    <mergeCell ref="L111:M111"/>
    <mergeCell ref="L110:M110"/>
    <mergeCell ref="L109:M109"/>
    <mergeCell ref="L108:M108"/>
    <mergeCell ref="A92:E92"/>
    <mergeCell ref="A107:H107"/>
    <mergeCell ref="E105:E106"/>
    <mergeCell ref="G105:H106"/>
    <mergeCell ref="C101:D101"/>
    <mergeCell ref="G101:H101"/>
    <mergeCell ref="A93:E93"/>
    <mergeCell ref="F93:H93"/>
    <mergeCell ref="C79:H79"/>
    <mergeCell ref="A80:B80"/>
    <mergeCell ref="E80:F80"/>
    <mergeCell ref="G80:H80"/>
    <mergeCell ref="A81:B81"/>
    <mergeCell ref="E81:F90"/>
    <mergeCell ref="G81:H90"/>
    <mergeCell ref="A82:B82"/>
    <mergeCell ref="D105:D106"/>
    <mergeCell ref="E98:F98"/>
    <mergeCell ref="F92:H92"/>
    <mergeCell ref="A91:H91"/>
    <mergeCell ref="A83:B83"/>
    <mergeCell ref="A84:B84"/>
    <mergeCell ref="A85:B85"/>
    <mergeCell ref="A94:E94"/>
    <mergeCell ref="A39:D39"/>
    <mergeCell ref="E39:H39"/>
    <mergeCell ref="F31:H31"/>
    <mergeCell ref="F32:H32"/>
    <mergeCell ref="C30:E30"/>
    <mergeCell ref="F33:H33"/>
    <mergeCell ref="F34:H34"/>
    <mergeCell ref="A36:B36"/>
    <mergeCell ref="E36:F36"/>
    <mergeCell ref="C36:D36"/>
    <mergeCell ref="G36:H36"/>
    <mergeCell ref="F30:H30"/>
    <mergeCell ref="A31:B31"/>
    <mergeCell ref="A30:B30"/>
    <mergeCell ref="C31:E31"/>
    <mergeCell ref="A32:B32"/>
    <mergeCell ref="C32:E32"/>
    <mergeCell ref="A35:H35"/>
    <mergeCell ref="A34:B34"/>
    <mergeCell ref="A38:H38"/>
    <mergeCell ref="C34:E34"/>
    <mergeCell ref="A37:B37"/>
    <mergeCell ref="C37:H37"/>
    <mergeCell ref="E24:H24"/>
    <mergeCell ref="A26:D26"/>
    <mergeCell ref="E26:H26"/>
    <mergeCell ref="A23:D23"/>
    <mergeCell ref="E23:H23"/>
    <mergeCell ref="A27:D27"/>
    <mergeCell ref="E27:H27"/>
    <mergeCell ref="A24:D24"/>
    <mergeCell ref="A33:B33"/>
    <mergeCell ref="C33:E33"/>
    <mergeCell ref="A28:D28"/>
    <mergeCell ref="E28:H28"/>
    <mergeCell ref="A29:D29"/>
    <mergeCell ref="E29:H29"/>
    <mergeCell ref="A25:D25"/>
    <mergeCell ref="E25:H25"/>
    <mergeCell ref="E20:H21"/>
    <mergeCell ref="E13:H13"/>
    <mergeCell ref="A14:B14"/>
    <mergeCell ref="C14:H14"/>
    <mergeCell ref="C15:H15"/>
    <mergeCell ref="A22:D22"/>
    <mergeCell ref="E22:H22"/>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G67:H76"/>
    <mergeCell ref="A1:H1"/>
    <mergeCell ref="A2:H2"/>
    <mergeCell ref="A3:D3"/>
    <mergeCell ref="E3:H3"/>
    <mergeCell ref="A4:D4"/>
    <mergeCell ref="A8:D8"/>
    <mergeCell ref="E8:H8"/>
    <mergeCell ref="A10:D10"/>
    <mergeCell ref="E10:H10"/>
    <mergeCell ref="E4:H4"/>
    <mergeCell ref="A11:D11"/>
    <mergeCell ref="E11:H11"/>
    <mergeCell ref="A5:D5"/>
    <mergeCell ref="E5:H5"/>
    <mergeCell ref="A6:D6"/>
    <mergeCell ref="E6:H6"/>
    <mergeCell ref="A7:D7"/>
    <mergeCell ref="E7:H7"/>
    <mergeCell ref="A15:B15"/>
    <mergeCell ref="A12:D12"/>
    <mergeCell ref="E12:H12"/>
    <mergeCell ref="A13:D13"/>
    <mergeCell ref="A20:D21"/>
    <mergeCell ref="A161:H161"/>
    <mergeCell ref="A41:D41"/>
    <mergeCell ref="E41:H41"/>
    <mergeCell ref="E42:H42"/>
    <mergeCell ref="E43:H43"/>
    <mergeCell ref="E44:H44"/>
    <mergeCell ref="A42:D42"/>
    <mergeCell ref="A43:D43"/>
    <mergeCell ref="A44:D44"/>
    <mergeCell ref="A45:H45"/>
    <mergeCell ref="D54:H54"/>
    <mergeCell ref="A54:C54"/>
    <mergeCell ref="G47:H47"/>
    <mergeCell ref="A48:B49"/>
    <mergeCell ref="A73:B73"/>
    <mergeCell ref="A66:B66"/>
    <mergeCell ref="A69:B69"/>
    <mergeCell ref="A50:B50"/>
    <mergeCell ref="C50:E50"/>
    <mergeCell ref="A47:B47"/>
    <mergeCell ref="A51:H51"/>
    <mergeCell ref="D60:H60"/>
    <mergeCell ref="A56:C56"/>
    <mergeCell ref="A57:C57"/>
    <mergeCell ref="A164:H167"/>
    <mergeCell ref="A163:B163"/>
    <mergeCell ref="E163:F163"/>
    <mergeCell ref="C163:D163"/>
    <mergeCell ref="G163:H163"/>
    <mergeCell ref="A97:H97"/>
    <mergeCell ref="A95:E95"/>
    <mergeCell ref="F95:H95"/>
    <mergeCell ref="A96:E96"/>
    <mergeCell ref="F96:H96"/>
    <mergeCell ref="A118:H118"/>
    <mergeCell ref="A102:B102"/>
    <mergeCell ref="A128:B128"/>
    <mergeCell ref="A99:B99"/>
    <mergeCell ref="A159:H159"/>
    <mergeCell ref="A100:H100"/>
    <mergeCell ref="A162:H162"/>
    <mergeCell ref="A160:H160"/>
    <mergeCell ref="A146:H146"/>
    <mergeCell ref="G135:H135"/>
    <mergeCell ref="C105:C106"/>
    <mergeCell ref="B116:B117"/>
    <mergeCell ref="A132:H132"/>
    <mergeCell ref="A112:B112"/>
    <mergeCell ref="G128:H128"/>
    <mergeCell ref="G126:H126"/>
    <mergeCell ref="G124:H124"/>
    <mergeCell ref="G99:H99"/>
    <mergeCell ref="A113:B113"/>
    <mergeCell ref="G48:H48"/>
    <mergeCell ref="A77:B77"/>
    <mergeCell ref="C77:H77"/>
    <mergeCell ref="A79:B79"/>
    <mergeCell ref="D52:H52"/>
    <mergeCell ref="C48:E48"/>
    <mergeCell ref="A55:C55"/>
    <mergeCell ref="D55:H55"/>
    <mergeCell ref="A70:B70"/>
    <mergeCell ref="E66:F66"/>
    <mergeCell ref="A59:C59"/>
    <mergeCell ref="D59:H59"/>
    <mergeCell ref="A62:C62"/>
    <mergeCell ref="D62:H62"/>
    <mergeCell ref="A60:C60"/>
    <mergeCell ref="A86:B86"/>
    <mergeCell ref="G98:H98"/>
    <mergeCell ref="G50:H50"/>
    <mergeCell ref="D56:H56"/>
    <mergeCell ref="A87:B87"/>
    <mergeCell ref="A88:B88"/>
    <mergeCell ref="A89:B89"/>
    <mergeCell ref="A75:B75"/>
    <mergeCell ref="A76:B76"/>
    <mergeCell ref="D57:H57"/>
    <mergeCell ref="A74:B74"/>
    <mergeCell ref="G127:H127"/>
    <mergeCell ref="G122:H122"/>
    <mergeCell ref="G119:H119"/>
    <mergeCell ref="G120:H120"/>
    <mergeCell ref="B105:B106"/>
    <mergeCell ref="A105:A106"/>
    <mergeCell ref="C116:C117"/>
    <mergeCell ref="C102:D102"/>
    <mergeCell ref="E102:F102"/>
    <mergeCell ref="G102:H102"/>
    <mergeCell ref="A125:H125"/>
    <mergeCell ref="A114:B114"/>
    <mergeCell ref="A108:B108"/>
    <mergeCell ref="A109:B109"/>
    <mergeCell ref="A110:B110"/>
    <mergeCell ref="A111:B111"/>
    <mergeCell ref="A90:B90"/>
    <mergeCell ref="A158:H158"/>
    <mergeCell ref="G136:H136"/>
    <mergeCell ref="A119:B119"/>
    <mergeCell ref="A101:B101"/>
    <mergeCell ref="D116:D117"/>
    <mergeCell ref="E116:E117"/>
    <mergeCell ref="G116:H117"/>
    <mergeCell ref="A156:H156"/>
    <mergeCell ref="A157:H157"/>
    <mergeCell ref="E101:F101"/>
    <mergeCell ref="B154:H154"/>
    <mergeCell ref="B155:H155"/>
    <mergeCell ref="B153:H153"/>
    <mergeCell ref="G145:H145"/>
    <mergeCell ref="B150:H150"/>
    <mergeCell ref="A142:B142"/>
    <mergeCell ref="B148:H148"/>
    <mergeCell ref="B149:H149"/>
    <mergeCell ref="B151:H151"/>
    <mergeCell ref="B152:H152"/>
    <mergeCell ref="G140:H140"/>
    <mergeCell ref="G142:H142"/>
    <mergeCell ref="A147:H147"/>
    <mergeCell ref="A144:B144"/>
    <mergeCell ref="E40:H40"/>
    <mergeCell ref="A40:D40"/>
    <mergeCell ref="A72:B72"/>
    <mergeCell ref="C49:H49"/>
    <mergeCell ref="A61:C61"/>
    <mergeCell ref="D61:H61"/>
    <mergeCell ref="A67:B67"/>
    <mergeCell ref="G66:H66"/>
    <mergeCell ref="A65:B65"/>
    <mergeCell ref="A63:B63"/>
    <mergeCell ref="C63:H63"/>
    <mergeCell ref="A71:B71"/>
    <mergeCell ref="A58:C58"/>
    <mergeCell ref="D58:H58"/>
    <mergeCell ref="C65:H65"/>
    <mergeCell ref="A68:B68"/>
    <mergeCell ref="A46:B46"/>
    <mergeCell ref="C46:E46"/>
    <mergeCell ref="G46:H46"/>
    <mergeCell ref="C47:E47"/>
    <mergeCell ref="A52:C52"/>
    <mergeCell ref="A53:C53"/>
    <mergeCell ref="D53:H53"/>
    <mergeCell ref="E67:F76"/>
  </mergeCells>
  <hyperlinks>
    <hyperlink ref="C37" r:id="rId1"/>
  </hyperlinks>
  <printOptions horizontalCentered="1"/>
  <pageMargins left="0.39370078740157483" right="0.39370078740157483" top="0.78740157480314965" bottom="0.78740157480314965" header="0.19685039370078741" footer="0.19685039370078741"/>
  <pageSetup paperSize="2" scale="94" fitToHeight="0" orientation="portrait" r:id="rId2"/>
  <headerFooter>
    <oddHeader>&amp;C&amp;G</oddHeader>
    <oddFooter>&amp;L&amp;"Times New Roman,Bold"&amp;12Ref No: &amp;F&amp;C&amp;G&amp;R&amp;"Times New Roman,Bold"&amp;12&amp;P</oddFooter>
  </headerFooter>
  <rowBreaks count="4" manualBreakCount="4">
    <brk id="76" max="16383" man="1"/>
    <brk id="167" max="16383" man="1"/>
    <brk id="212" max="16383" man="1"/>
    <brk id="255"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0" sqref="C20"/>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160" t="s">
        <v>113</v>
      </c>
      <c r="C3" s="160"/>
      <c r="D3" s="160"/>
      <c r="E3" s="160"/>
      <c r="F3" s="160"/>
      <c r="G3" s="160"/>
      <c r="H3" s="160"/>
    </row>
    <row r="4" spans="1:9" x14ac:dyDescent="0.25">
      <c r="A4" s="2"/>
      <c r="B4" s="3" t="s">
        <v>114</v>
      </c>
      <c r="C4" s="3" t="s">
        <v>115</v>
      </c>
      <c r="D4" s="3" t="s">
        <v>76</v>
      </c>
      <c r="E4" s="3" t="s">
        <v>116</v>
      </c>
      <c r="F4" s="3" t="s">
        <v>122</v>
      </c>
      <c r="G4" s="3" t="s">
        <v>123</v>
      </c>
      <c r="H4" s="3" t="s">
        <v>117</v>
      </c>
    </row>
    <row r="5" spans="1:9" ht="15" customHeight="1" x14ac:dyDescent="0.25">
      <c r="A5" s="2"/>
      <c r="B5" s="5" t="s">
        <v>118</v>
      </c>
      <c r="C5" s="6"/>
      <c r="D5" s="5"/>
      <c r="E5" s="5"/>
      <c r="F5" s="7">
        <f>E5*1.6</f>
        <v>0</v>
      </c>
      <c r="G5" s="7" t="e">
        <f>H5/F5</f>
        <v>#DIV/0!</v>
      </c>
      <c r="H5" s="8"/>
    </row>
    <row r="6" spans="1:9" x14ac:dyDescent="0.25">
      <c r="A6" s="2"/>
      <c r="B6" s="5" t="s">
        <v>118</v>
      </c>
      <c r="C6" s="9"/>
      <c r="D6" s="5"/>
      <c r="E6" s="5"/>
      <c r="F6" s="7">
        <f t="shared" ref="F6:F11" si="0">E6*1.6</f>
        <v>0</v>
      </c>
      <c r="G6" s="7" t="e">
        <f t="shared" ref="G6:G11" si="1">H6/F6</f>
        <v>#DIV/0!</v>
      </c>
      <c r="H6" s="8"/>
    </row>
    <row r="7" spans="1:9" ht="15" customHeight="1" x14ac:dyDescent="0.25">
      <c r="A7" s="2"/>
      <c r="B7" s="5" t="s">
        <v>118</v>
      </c>
      <c r="C7" s="6"/>
      <c r="D7" s="5"/>
      <c r="E7" s="5"/>
      <c r="F7" s="7">
        <f t="shared" si="0"/>
        <v>0</v>
      </c>
      <c r="G7" s="7" t="e">
        <f t="shared" si="1"/>
        <v>#DIV/0!</v>
      </c>
      <c r="H7" s="8"/>
    </row>
    <row r="8" spans="1:9" x14ac:dyDescent="0.25">
      <c r="A8" s="2"/>
      <c r="B8" s="5" t="s">
        <v>118</v>
      </c>
      <c r="C8" s="9"/>
      <c r="D8" s="5"/>
      <c r="E8" s="5"/>
      <c r="F8" s="7">
        <f t="shared" si="0"/>
        <v>0</v>
      </c>
      <c r="G8" s="7" t="e">
        <f t="shared" si="1"/>
        <v>#DIV/0!</v>
      </c>
      <c r="H8" s="8"/>
    </row>
    <row r="9" spans="1:9" ht="15" customHeight="1" x14ac:dyDescent="0.25">
      <c r="A9" s="2"/>
      <c r="B9" s="5" t="s">
        <v>118</v>
      </c>
      <c r="C9" s="9"/>
      <c r="D9" s="5"/>
      <c r="E9" s="5"/>
      <c r="F9" s="7">
        <f t="shared" si="0"/>
        <v>0</v>
      </c>
      <c r="G9" s="7" t="e">
        <f t="shared" si="1"/>
        <v>#DIV/0!</v>
      </c>
      <c r="H9" s="8"/>
    </row>
    <row r="10" spans="1:9" ht="15" customHeight="1" x14ac:dyDescent="0.25">
      <c r="A10" s="2"/>
      <c r="B10" s="5" t="s">
        <v>119</v>
      </c>
      <c r="C10" s="6"/>
      <c r="D10" s="5"/>
      <c r="E10" s="5"/>
      <c r="F10" s="7">
        <f t="shared" si="0"/>
        <v>0</v>
      </c>
      <c r="G10" s="7" t="e">
        <f t="shared" si="1"/>
        <v>#DIV/0!</v>
      </c>
      <c r="H10" s="8"/>
    </row>
    <row r="11" spans="1:9" ht="15" customHeight="1" x14ac:dyDescent="0.25">
      <c r="A11" s="2"/>
      <c r="B11" s="5" t="s">
        <v>119</v>
      </c>
      <c r="C11" s="6"/>
      <c r="D11" s="5"/>
      <c r="E11" s="5"/>
      <c r="F11" s="7">
        <f t="shared" si="0"/>
        <v>0</v>
      </c>
      <c r="G11" s="7" t="e">
        <f t="shared" si="1"/>
        <v>#DIV/0!</v>
      </c>
      <c r="H11" s="8"/>
    </row>
    <row r="12" spans="1:9" ht="15" customHeight="1" x14ac:dyDescent="0.25">
      <c r="A12" s="2"/>
      <c r="B12" s="10" t="s">
        <v>120</v>
      </c>
      <c r="C12" s="5"/>
      <c r="D12" s="5"/>
      <c r="E12" s="5"/>
      <c r="F12" s="5"/>
      <c r="G12" s="11" t="e">
        <f>AVERAGE(G5:G11)</f>
        <v>#DIV/0!</v>
      </c>
      <c r="H12" s="5"/>
    </row>
    <row r="13" spans="1:9" ht="15" customHeight="1" x14ac:dyDescent="0.25">
      <c r="B13" s="10" t="s">
        <v>121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G24" sqref="G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 &amp; OV Report</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2025-07-14T05:50:47Z</cp:lastPrinted>
  <dcterms:created xsi:type="dcterms:W3CDTF">2019-07-16T09:29:46Z</dcterms:created>
  <dcterms:modified xsi:type="dcterms:W3CDTF">2025-07-14T05:51:32Z</dcterms:modified>
</cp:coreProperties>
</file>