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FC3F06B6-C52A-4E70-9CFF-E4BF30EEB691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8" i="1" l="1"/>
  <c r="F448" i="1" s="1"/>
  <c r="D447" i="1"/>
  <c r="F447" i="1" s="1"/>
  <c r="D444" i="1"/>
  <c r="F444" i="1" s="1"/>
  <c r="D443" i="1"/>
  <c r="F443" i="1" s="1"/>
  <c r="D442" i="1"/>
  <c r="F442" i="1" s="1"/>
  <c r="A442" i="1"/>
  <c r="A443" i="1" s="1"/>
  <c r="A444" i="1" s="1"/>
  <c r="A445" i="1" s="1"/>
  <c r="A446" i="1" s="1"/>
  <c r="A447" i="1" s="1"/>
  <c r="A448" i="1" s="1"/>
  <c r="G441" i="1"/>
  <c r="D441" i="1"/>
  <c r="F441" i="1" s="1"/>
  <c r="I431" i="1"/>
  <c r="D439" i="1"/>
  <c r="F439" i="1" s="1"/>
  <c r="D438" i="1"/>
  <c r="F438" i="1" s="1"/>
  <c r="D437" i="1"/>
  <c r="F437" i="1" s="1"/>
  <c r="D436" i="1"/>
  <c r="F436" i="1" s="1"/>
  <c r="D435" i="1"/>
  <c r="F435" i="1" s="1"/>
  <c r="D434" i="1"/>
  <c r="F434" i="1" s="1"/>
  <c r="D433" i="1"/>
  <c r="F433" i="1" s="1"/>
  <c r="A433" i="1"/>
  <c r="A434" i="1" s="1"/>
  <c r="A435" i="1" s="1"/>
  <c r="A436" i="1" s="1"/>
  <c r="A437" i="1" s="1"/>
  <c r="A438" i="1" s="1"/>
  <c r="A439" i="1" s="1"/>
  <c r="G432" i="1"/>
  <c r="D432" i="1"/>
  <c r="F432" i="1" s="1"/>
  <c r="D430" i="1"/>
  <c r="F430" i="1" s="1"/>
  <c r="D429" i="1"/>
  <c r="F429" i="1" s="1"/>
  <c r="D428" i="1"/>
  <c r="F428" i="1" s="1"/>
  <c r="D427" i="1"/>
  <c r="F427" i="1" s="1"/>
  <c r="D426" i="1"/>
  <c r="F426" i="1" s="1"/>
  <c r="D425" i="1"/>
  <c r="F425" i="1" s="1"/>
  <c r="D424" i="1"/>
  <c r="F424" i="1" s="1"/>
  <c r="A424" i="1"/>
  <c r="A425" i="1" s="1"/>
  <c r="A426" i="1" s="1"/>
  <c r="A427" i="1" s="1"/>
  <c r="A428" i="1" s="1"/>
  <c r="A429" i="1" s="1"/>
  <c r="A430" i="1" s="1"/>
  <c r="G423" i="1"/>
  <c r="D423" i="1"/>
  <c r="F423" i="1" s="1"/>
  <c r="D421" i="1"/>
  <c r="F421" i="1" s="1"/>
  <c r="D420" i="1"/>
  <c r="F420" i="1" s="1"/>
  <c r="D419" i="1"/>
  <c r="F419" i="1" s="1"/>
  <c r="D418" i="1"/>
  <c r="F418" i="1" s="1"/>
  <c r="D417" i="1"/>
  <c r="F417" i="1" s="1"/>
  <c r="D416" i="1"/>
  <c r="F416" i="1" s="1"/>
  <c r="D415" i="1"/>
  <c r="F415" i="1" s="1"/>
  <c r="A415" i="1"/>
  <c r="A416" i="1" s="1"/>
  <c r="A417" i="1" s="1"/>
  <c r="A418" i="1" s="1"/>
  <c r="A419" i="1" s="1"/>
  <c r="A420" i="1" s="1"/>
  <c r="A421" i="1" s="1"/>
  <c r="G414" i="1"/>
  <c r="D414" i="1"/>
  <c r="F414" i="1" s="1"/>
  <c r="D412" i="1"/>
  <c r="F412" i="1" s="1"/>
  <c r="D411" i="1"/>
  <c r="F411" i="1" s="1"/>
  <c r="D408" i="1"/>
  <c r="F408" i="1" s="1"/>
  <c r="D407" i="1"/>
  <c r="F407" i="1" s="1"/>
  <c r="D406" i="1"/>
  <c r="F406" i="1" s="1"/>
  <c r="A406" i="1"/>
  <c r="A407" i="1" s="1"/>
  <c r="A408" i="1" s="1"/>
  <c r="A409" i="1" s="1"/>
  <c r="A410" i="1" s="1"/>
  <c r="A411" i="1" s="1"/>
  <c r="A412" i="1" s="1"/>
  <c r="G405" i="1"/>
  <c r="D405" i="1"/>
  <c r="F405" i="1" s="1"/>
  <c r="D262" i="1"/>
  <c r="D258" i="1"/>
  <c r="F258" i="1" s="1"/>
  <c r="D257" i="1"/>
  <c r="F257" i="1" s="1"/>
  <c r="A256" i="1"/>
  <c r="A257" i="1" s="1"/>
  <c r="A258" i="1" s="1"/>
  <c r="D253" i="1"/>
  <c r="F253" i="1" s="1"/>
  <c r="A253" i="1"/>
  <c r="G252" i="1"/>
  <c r="D252" i="1"/>
  <c r="F252" i="1" s="1"/>
  <c r="D246" i="1"/>
  <c r="F246" i="1" s="1"/>
  <c r="D250" i="1"/>
  <c r="F250" i="1" s="1"/>
  <c r="D249" i="1"/>
  <c r="F249" i="1" s="1"/>
  <c r="D248" i="1"/>
  <c r="F248" i="1" s="1"/>
  <c r="D247" i="1"/>
  <c r="F247" i="1" s="1"/>
  <c r="A248" i="1"/>
  <c r="A249" i="1" s="1"/>
  <c r="A250" i="1" s="1"/>
  <c r="D245" i="1"/>
  <c r="F245" i="1" s="1"/>
  <c r="A245" i="1"/>
  <c r="G244" i="1"/>
  <c r="D244" i="1"/>
  <c r="F244" i="1" s="1"/>
  <c r="C75" i="1" l="1"/>
  <c r="C76" i="1" s="1"/>
  <c r="C77" i="1" s="1"/>
  <c r="D266" i="1" l="1"/>
  <c r="F266" i="1" s="1"/>
  <c r="D265" i="1"/>
  <c r="F265" i="1" s="1"/>
  <c r="D264" i="1"/>
  <c r="F264" i="1" s="1"/>
  <c r="D263" i="1"/>
  <c r="F263" i="1" s="1"/>
  <c r="F262" i="1"/>
  <c r="D261" i="1"/>
  <c r="F261" i="1" s="1"/>
  <c r="A261" i="1"/>
  <c r="G260" i="1"/>
  <c r="D260" i="1"/>
  <c r="F260" i="1" s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A236" i="1"/>
  <c r="A237" i="1" s="1"/>
  <c r="A238" i="1" s="1"/>
  <c r="A239" i="1" s="1"/>
  <c r="A240" i="1" s="1"/>
  <c r="A241" i="1" s="1"/>
  <c r="A242" i="1" s="1"/>
  <c r="G235" i="1"/>
  <c r="D235" i="1"/>
  <c r="F235" i="1" s="1"/>
  <c r="D382" i="1"/>
  <c r="F382" i="1" s="1"/>
  <c r="D381" i="1"/>
  <c r="F381" i="1" s="1"/>
  <c r="D380" i="1"/>
  <c r="F380" i="1" s="1"/>
  <c r="D379" i="1"/>
  <c r="F379" i="1" s="1"/>
  <c r="D378" i="1"/>
  <c r="F378" i="1" s="1"/>
  <c r="D377" i="1"/>
  <c r="F377" i="1" s="1"/>
  <c r="D376" i="1"/>
  <c r="F376" i="1" s="1"/>
  <c r="A376" i="1"/>
  <c r="A377" i="1" s="1"/>
  <c r="A378" i="1" s="1"/>
  <c r="A379" i="1" s="1"/>
  <c r="A380" i="1" s="1"/>
  <c r="A381" i="1" s="1"/>
  <c r="A382" i="1" s="1"/>
  <c r="G375" i="1"/>
  <c r="D375" i="1"/>
  <c r="F375" i="1" s="1"/>
  <c r="D373" i="1"/>
  <c r="F373" i="1" s="1"/>
  <c r="D372" i="1"/>
  <c r="F372" i="1" s="1"/>
  <c r="D369" i="1"/>
  <c r="F369" i="1" s="1"/>
  <c r="D368" i="1"/>
  <c r="F368" i="1" s="1"/>
  <c r="D367" i="1"/>
  <c r="F367" i="1" s="1"/>
  <c r="A367" i="1"/>
  <c r="A368" i="1" s="1"/>
  <c r="A369" i="1" s="1"/>
  <c r="A370" i="1" s="1"/>
  <c r="A371" i="1" s="1"/>
  <c r="A372" i="1" s="1"/>
  <c r="A373" i="1" s="1"/>
  <c r="G366" i="1"/>
  <c r="D366" i="1"/>
  <c r="F366" i="1" s="1"/>
  <c r="D233" i="1"/>
  <c r="F233" i="1" s="1"/>
  <c r="D232" i="1"/>
  <c r="F232" i="1" s="1"/>
  <c r="D229" i="1"/>
  <c r="F229" i="1" s="1"/>
  <c r="D228" i="1"/>
  <c r="F228" i="1" s="1"/>
  <c r="D227" i="1"/>
  <c r="F227" i="1" s="1"/>
  <c r="A227" i="1"/>
  <c r="A228" i="1" s="1"/>
  <c r="A229" i="1" s="1"/>
  <c r="A230" i="1" s="1"/>
  <c r="A231" i="1" s="1"/>
  <c r="A232" i="1" s="1"/>
  <c r="A233" i="1" s="1"/>
  <c r="G226" i="1"/>
  <c r="D226" i="1"/>
  <c r="F226" i="1" s="1"/>
  <c r="D364" i="1"/>
  <c r="F36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A358" i="1"/>
  <c r="A359" i="1" s="1"/>
  <c r="A360" i="1" s="1"/>
  <c r="A361" i="1" s="1"/>
  <c r="A362" i="1" s="1"/>
  <c r="A363" i="1" s="1"/>
  <c r="A364" i="1" s="1"/>
  <c r="G357" i="1"/>
  <c r="D357" i="1"/>
  <c r="F357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A218" i="1"/>
  <c r="A219" i="1" s="1"/>
  <c r="A220" i="1" s="1"/>
  <c r="A221" i="1" s="1"/>
  <c r="A222" i="1" s="1"/>
  <c r="A223" i="1" s="1"/>
  <c r="A224" i="1" s="1"/>
  <c r="G217" i="1"/>
  <c r="D217" i="1"/>
  <c r="F217" i="1" s="1"/>
  <c r="D355" i="1"/>
  <c r="F355" i="1" s="1"/>
  <c r="D354" i="1"/>
  <c r="F354" i="1" s="1"/>
  <c r="D215" i="1"/>
  <c r="F215" i="1" s="1"/>
  <c r="D214" i="1"/>
  <c r="F214" i="1" s="1"/>
  <c r="D353" i="1"/>
  <c r="F353" i="1" s="1"/>
  <c r="D352" i="1"/>
  <c r="F352" i="1" s="1"/>
  <c r="D351" i="1"/>
  <c r="F351" i="1" s="1"/>
  <c r="D350" i="1"/>
  <c r="F350" i="1" s="1"/>
  <c r="D349" i="1"/>
  <c r="F349" i="1" s="1"/>
  <c r="A349" i="1"/>
  <c r="A350" i="1" s="1"/>
  <c r="A351" i="1" s="1"/>
  <c r="A352" i="1" s="1"/>
  <c r="A353" i="1" s="1"/>
  <c r="A354" i="1" s="1"/>
  <c r="A355" i="1" s="1"/>
  <c r="G348" i="1"/>
  <c r="D348" i="1"/>
  <c r="F348" i="1" s="1"/>
  <c r="D213" i="1"/>
  <c r="F213" i="1" s="1"/>
  <c r="D212" i="1"/>
  <c r="F212" i="1" s="1"/>
  <c r="D211" i="1"/>
  <c r="F211" i="1" s="1"/>
  <c r="D210" i="1"/>
  <c r="F210" i="1" s="1"/>
  <c r="D209" i="1"/>
  <c r="F209" i="1" s="1"/>
  <c r="A209" i="1"/>
  <c r="A210" i="1" s="1"/>
  <c r="A211" i="1" s="1"/>
  <c r="A212" i="1" s="1"/>
  <c r="A213" i="1" s="1"/>
  <c r="A214" i="1" s="1"/>
  <c r="A215" i="1" s="1"/>
  <c r="G208" i="1"/>
  <c r="D208" i="1"/>
  <c r="F208" i="1" s="1"/>
  <c r="D203" i="1"/>
  <c r="F203" i="1" s="1"/>
  <c r="D202" i="1"/>
  <c r="F202" i="1" s="1"/>
  <c r="D201" i="1"/>
  <c r="F201" i="1" s="1"/>
  <c r="D200" i="1"/>
  <c r="F200" i="1" s="1"/>
  <c r="D199" i="1"/>
  <c r="F199" i="1" s="1"/>
  <c r="A199" i="1"/>
  <c r="A200" i="1" s="1"/>
  <c r="A201" i="1" s="1"/>
  <c r="A202" i="1" s="1"/>
  <c r="A203" i="1" s="1"/>
  <c r="A204" i="1" s="1"/>
  <c r="A205" i="1" s="1"/>
  <c r="G198" i="1"/>
  <c r="D198" i="1"/>
  <c r="F198" i="1" s="1"/>
  <c r="D343" i="1"/>
  <c r="F343" i="1" s="1"/>
  <c r="D342" i="1"/>
  <c r="F342" i="1" s="1"/>
  <c r="D341" i="1"/>
  <c r="F341" i="1" s="1"/>
  <c r="D340" i="1"/>
  <c r="F340" i="1" s="1"/>
  <c r="D339" i="1"/>
  <c r="F339" i="1" s="1"/>
  <c r="A339" i="1"/>
  <c r="A340" i="1" s="1"/>
  <c r="A341" i="1" s="1"/>
  <c r="A342" i="1" s="1"/>
  <c r="A343" i="1" s="1"/>
  <c r="A344" i="1" s="1"/>
  <c r="A345" i="1" s="1"/>
  <c r="G338" i="1"/>
  <c r="D338" i="1"/>
  <c r="F338" i="1" s="1"/>
  <c r="D334" i="1"/>
  <c r="F334" i="1" s="1"/>
  <c r="D333" i="1"/>
  <c r="F333" i="1" s="1"/>
  <c r="D332" i="1"/>
  <c r="F332" i="1" s="1"/>
  <c r="D331" i="1"/>
  <c r="F331" i="1" s="1"/>
  <c r="D330" i="1"/>
  <c r="F330" i="1" s="1"/>
  <c r="A330" i="1"/>
  <c r="A331" i="1" s="1"/>
  <c r="A332" i="1" s="1"/>
  <c r="A333" i="1" s="1"/>
  <c r="A334" i="1" s="1"/>
  <c r="A335" i="1" s="1"/>
  <c r="A336" i="1" s="1"/>
  <c r="G329" i="1"/>
  <c r="D329" i="1"/>
  <c r="F329" i="1" s="1"/>
  <c r="D194" i="1"/>
  <c r="F194" i="1" s="1"/>
  <c r="D193" i="1"/>
  <c r="F193" i="1" s="1"/>
  <c r="D192" i="1"/>
  <c r="F192" i="1" s="1"/>
  <c r="D191" i="1"/>
  <c r="F191" i="1" s="1"/>
  <c r="D190" i="1"/>
  <c r="F190" i="1" s="1"/>
  <c r="A190" i="1"/>
  <c r="A191" i="1" s="1"/>
  <c r="A192" i="1" s="1"/>
  <c r="A193" i="1" s="1"/>
  <c r="A194" i="1" s="1"/>
  <c r="A195" i="1" s="1"/>
  <c r="A196" i="1" s="1"/>
  <c r="G189" i="1"/>
  <c r="D189" i="1"/>
  <c r="F189" i="1" s="1"/>
  <c r="D325" i="1"/>
  <c r="F325" i="1" s="1"/>
  <c r="D324" i="1"/>
  <c r="F324" i="1" s="1"/>
  <c r="D323" i="1"/>
  <c r="F323" i="1" s="1"/>
  <c r="D322" i="1"/>
  <c r="F322" i="1" s="1"/>
  <c r="D321" i="1"/>
  <c r="F321" i="1" s="1"/>
  <c r="A321" i="1"/>
  <c r="A322" i="1" s="1"/>
  <c r="A323" i="1" s="1"/>
  <c r="A324" i="1" s="1"/>
  <c r="A325" i="1" s="1"/>
  <c r="A326" i="1" s="1"/>
  <c r="A327" i="1" s="1"/>
  <c r="G320" i="1"/>
  <c r="D320" i="1"/>
  <c r="F320" i="1" s="1"/>
  <c r="D185" i="1"/>
  <c r="F185" i="1" s="1"/>
  <c r="D184" i="1"/>
  <c r="F184" i="1" s="1"/>
  <c r="D183" i="1"/>
  <c r="F183" i="1" s="1"/>
  <c r="D182" i="1"/>
  <c r="F182" i="1" s="1"/>
  <c r="D181" i="1"/>
  <c r="F181" i="1" s="1"/>
  <c r="A181" i="1"/>
  <c r="A182" i="1" s="1"/>
  <c r="A183" i="1" s="1"/>
  <c r="A184" i="1" s="1"/>
  <c r="A185" i="1" s="1"/>
  <c r="A186" i="1" s="1"/>
  <c r="A187" i="1" s="1"/>
  <c r="G180" i="1"/>
  <c r="D180" i="1"/>
  <c r="F180" i="1" s="1"/>
  <c r="D315" i="1"/>
  <c r="F315" i="1" s="1"/>
  <c r="D314" i="1"/>
  <c r="F314" i="1" s="1"/>
  <c r="D313" i="1"/>
  <c r="F313" i="1" s="1"/>
  <c r="D312" i="1"/>
  <c r="F312" i="1" s="1"/>
  <c r="A312" i="1"/>
  <c r="A313" i="1" s="1"/>
  <c r="A314" i="1" s="1"/>
  <c r="A315" i="1" s="1"/>
  <c r="A316" i="1" s="1"/>
  <c r="A317" i="1" s="1"/>
  <c r="A318" i="1" s="1"/>
  <c r="G311" i="1"/>
  <c r="D311" i="1"/>
  <c r="F311" i="1" s="1"/>
  <c r="D174" i="1"/>
  <c r="F174" i="1" s="1"/>
  <c r="D173" i="1"/>
  <c r="F173" i="1" s="1"/>
  <c r="D172" i="1"/>
  <c r="F172" i="1" s="1"/>
  <c r="A172" i="1"/>
  <c r="A173" i="1" s="1"/>
  <c r="A174" i="1" s="1"/>
  <c r="A175" i="1" s="1"/>
  <c r="A176" i="1" s="1"/>
  <c r="A177" i="1" s="1"/>
  <c r="A178" i="1" s="1"/>
  <c r="G171" i="1"/>
  <c r="D171" i="1"/>
  <c r="F171" i="1" s="1"/>
  <c r="D307" i="1"/>
  <c r="F307" i="1" s="1"/>
  <c r="D306" i="1"/>
  <c r="F306" i="1" s="1"/>
  <c r="D305" i="1"/>
  <c r="F305" i="1" s="1"/>
  <c r="D304" i="1"/>
  <c r="F304" i="1" s="1"/>
  <c r="D303" i="1"/>
  <c r="F303" i="1" s="1"/>
  <c r="A303" i="1"/>
  <c r="A304" i="1" s="1"/>
  <c r="A305" i="1" s="1"/>
  <c r="A306" i="1" s="1"/>
  <c r="A307" i="1" s="1"/>
  <c r="A308" i="1" s="1"/>
  <c r="A309" i="1" s="1"/>
  <c r="G302" i="1"/>
  <c r="D302" i="1"/>
  <c r="F302" i="1" s="1"/>
  <c r="D167" i="1"/>
  <c r="F167" i="1" s="1"/>
  <c r="D166" i="1"/>
  <c r="F166" i="1" s="1"/>
  <c r="D165" i="1"/>
  <c r="F165" i="1" s="1"/>
  <c r="D164" i="1"/>
  <c r="F164" i="1" s="1"/>
  <c r="D163" i="1"/>
  <c r="F163" i="1" s="1"/>
  <c r="A163" i="1"/>
  <c r="A164" i="1" s="1"/>
  <c r="A165" i="1" s="1"/>
  <c r="A166" i="1" s="1"/>
  <c r="A167" i="1" s="1"/>
  <c r="A168" i="1" s="1"/>
  <c r="A169" i="1" s="1"/>
  <c r="G162" i="1"/>
  <c r="D162" i="1"/>
  <c r="F162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A294" i="1"/>
  <c r="A295" i="1" s="1"/>
  <c r="A296" i="1" s="1"/>
  <c r="A297" i="1" s="1"/>
  <c r="A298" i="1" s="1"/>
  <c r="A299" i="1" s="1"/>
  <c r="A300" i="1" s="1"/>
  <c r="G293" i="1"/>
  <c r="I153" i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A154" i="1"/>
  <c r="A155" i="1" s="1"/>
  <c r="A156" i="1" s="1"/>
  <c r="A157" i="1" s="1"/>
  <c r="A158" i="1" s="1"/>
  <c r="A159" i="1" s="1"/>
  <c r="A160" i="1" s="1"/>
  <c r="G153" i="1"/>
  <c r="D147" i="1"/>
  <c r="D143" i="1"/>
  <c r="D144" i="1"/>
  <c r="D145" i="1"/>
  <c r="D146" i="1"/>
  <c r="D142" i="1"/>
  <c r="D141" i="1"/>
  <c r="D140" i="1"/>
  <c r="C89" i="1"/>
  <c r="C90" i="1" s="1"/>
  <c r="C91" i="1" s="1"/>
  <c r="F293" i="1" l="1"/>
  <c r="G117" i="1" s="1"/>
  <c r="C117" i="1"/>
  <c r="E117" i="1"/>
  <c r="F153" i="1"/>
  <c r="C116" i="1"/>
  <c r="E116" i="1"/>
  <c r="A264" i="1"/>
  <c r="A265" i="1" s="1"/>
  <c r="A266" i="1" s="1"/>
  <c r="D138" i="1"/>
  <c r="F138" i="1" s="1"/>
  <c r="D137" i="1"/>
  <c r="D136" i="1"/>
  <c r="D135" i="1"/>
  <c r="D134" i="1"/>
  <c r="D133" i="1"/>
  <c r="D132" i="1"/>
  <c r="D131" i="1"/>
  <c r="D130" i="1"/>
  <c r="D129" i="1"/>
  <c r="J153" i="1" l="1"/>
  <c r="G116" i="1"/>
  <c r="C112" i="1"/>
  <c r="E112" i="1"/>
  <c r="D401" i="1"/>
  <c r="F401" i="1" s="1"/>
  <c r="D400" i="1"/>
  <c r="F400" i="1" s="1"/>
  <c r="D399" i="1"/>
  <c r="F399" i="1" s="1"/>
  <c r="D398" i="1"/>
  <c r="F398" i="1" s="1"/>
  <c r="D394" i="1"/>
  <c r="F394" i="1" s="1"/>
  <c r="D393" i="1"/>
  <c r="F393" i="1" s="1"/>
  <c r="D392" i="1"/>
  <c r="F392" i="1" s="1"/>
  <c r="D391" i="1"/>
  <c r="F391" i="1" s="1"/>
  <c r="D389" i="1"/>
  <c r="F389" i="1" s="1"/>
  <c r="D388" i="1"/>
  <c r="F388" i="1" s="1"/>
  <c r="D387" i="1"/>
  <c r="F387" i="1" s="1"/>
  <c r="D386" i="1"/>
  <c r="F386" i="1" s="1"/>
  <c r="D385" i="1"/>
  <c r="F385" i="1" s="1"/>
  <c r="D384" i="1"/>
  <c r="F384" i="1" s="1"/>
  <c r="D287" i="1"/>
  <c r="F287" i="1" s="1"/>
  <c r="D286" i="1"/>
  <c r="F286" i="1" s="1"/>
  <c r="D283" i="1"/>
  <c r="F283" i="1" s="1"/>
  <c r="D282" i="1"/>
  <c r="F282" i="1" s="1"/>
  <c r="D280" i="1"/>
  <c r="F280" i="1" s="1"/>
  <c r="D279" i="1"/>
  <c r="F279" i="1" s="1"/>
  <c r="D276" i="1"/>
  <c r="F276" i="1" s="1"/>
  <c r="D275" i="1"/>
  <c r="F275" i="1" s="1"/>
  <c r="D273" i="1"/>
  <c r="F273" i="1" s="1"/>
  <c r="D272" i="1"/>
  <c r="F272" i="1" s="1"/>
  <c r="D271" i="1"/>
  <c r="D270" i="1"/>
  <c r="D269" i="1"/>
  <c r="D268" i="1"/>
  <c r="F147" i="1"/>
  <c r="F146" i="1"/>
  <c r="F145" i="1"/>
  <c r="F144" i="1"/>
  <c r="F143" i="1"/>
  <c r="F142" i="1"/>
  <c r="F141" i="1"/>
  <c r="F140" i="1"/>
  <c r="F137" i="1"/>
  <c r="F135" i="1"/>
  <c r="F134" i="1"/>
  <c r="I273" i="1"/>
  <c r="I270" i="1"/>
  <c r="A399" i="1"/>
  <c r="A400" i="1" s="1"/>
  <c r="A401" i="1" s="1"/>
  <c r="A402" i="1" s="1"/>
  <c r="A403" i="1" s="1"/>
  <c r="G398" i="1"/>
  <c r="A283" i="1"/>
  <c r="A284" i="1" s="1"/>
  <c r="A285" i="1" s="1"/>
  <c r="A286" i="1" s="1"/>
  <c r="A287" i="1" s="1"/>
  <c r="G282" i="1"/>
  <c r="A392" i="1"/>
  <c r="A393" i="1" s="1"/>
  <c r="A394" i="1" s="1"/>
  <c r="A395" i="1" s="1"/>
  <c r="A396" i="1" s="1"/>
  <c r="G391" i="1"/>
  <c r="A276" i="1"/>
  <c r="A277" i="1" s="1"/>
  <c r="A278" i="1" s="1"/>
  <c r="A279" i="1" s="1"/>
  <c r="A280" i="1" s="1"/>
  <c r="G275" i="1"/>
  <c r="A385" i="1"/>
  <c r="A386" i="1" s="1"/>
  <c r="A387" i="1" s="1"/>
  <c r="A388" i="1" s="1"/>
  <c r="A389" i="1" s="1"/>
  <c r="G384" i="1"/>
  <c r="G140" i="1"/>
  <c r="A141" i="1"/>
  <c r="A142" i="1" s="1"/>
  <c r="A143" i="1" s="1"/>
  <c r="A144" i="1" s="1"/>
  <c r="A145" i="1" s="1"/>
  <c r="A146" i="1" s="1"/>
  <c r="A147" i="1" s="1"/>
  <c r="F136" i="1"/>
  <c r="F133" i="1"/>
  <c r="C113" i="1" l="1"/>
  <c r="E113" i="1"/>
  <c r="F268" i="1"/>
  <c r="F129" i="1"/>
  <c r="E118" i="1" l="1"/>
  <c r="E119" i="1" s="1"/>
  <c r="C118" i="1"/>
  <c r="C119" i="1" s="1"/>
  <c r="J268" i="1"/>
  <c r="E42" i="1" l="1"/>
  <c r="E43" i="1" s="1"/>
  <c r="C14" i="1" l="1"/>
  <c r="E29" i="1" l="1"/>
  <c r="F269" i="1" l="1"/>
  <c r="F270" i="1"/>
  <c r="F271" i="1"/>
  <c r="A269" i="1"/>
  <c r="A270" i="1" s="1"/>
  <c r="A271" i="1" s="1"/>
  <c r="A272" i="1" s="1"/>
  <c r="A273" i="1" s="1"/>
  <c r="G268" i="1"/>
  <c r="G118" i="1" l="1"/>
  <c r="F109" i="1"/>
  <c r="F130" i="1" l="1"/>
  <c r="F131" i="1"/>
  <c r="F132" i="1"/>
  <c r="G112" i="1" l="1"/>
  <c r="G113" i="1" s="1"/>
  <c r="G119" i="1" s="1"/>
  <c r="B451" i="1"/>
  <c r="B45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79" i="1"/>
  <c r="A130" i="1"/>
  <c r="A131" i="1" s="1"/>
  <c r="A132" i="1" s="1"/>
  <c r="G129" i="1"/>
  <c r="C82" i="1"/>
  <c r="B83" i="1" s="1"/>
  <c r="C68" i="1"/>
  <c r="B69" i="1" s="1"/>
  <c r="D56" i="1"/>
  <c r="G49" i="1"/>
  <c r="C49" i="1"/>
  <c r="E26" i="1"/>
  <c r="E24" i="1"/>
  <c r="E7" i="1"/>
  <c r="E3" i="1"/>
  <c r="A133" i="1" l="1"/>
  <c r="A134" i="1" s="1"/>
  <c r="A135" i="1" s="1"/>
  <c r="A136" i="1" s="1"/>
  <c r="A137" i="1" s="1"/>
  <c r="A138" i="1" s="1"/>
  <c r="D62" i="1"/>
  <c r="H69" i="1"/>
  <c r="H83" i="1"/>
  <c r="J87" i="1" l="1"/>
  <c r="C86" i="1" s="1"/>
  <c r="D86" i="1" s="1"/>
  <c r="J85" i="1"/>
  <c r="J88" i="1"/>
  <c r="J89" i="1" s="1"/>
  <c r="D89" i="1"/>
  <c r="J82" i="1"/>
  <c r="J84" i="1" s="1"/>
  <c r="D93" i="1"/>
  <c r="D94" i="1"/>
  <c r="D90" i="1"/>
  <c r="J86" i="1"/>
  <c r="D95" i="1"/>
  <c r="D92" i="1"/>
  <c r="D91" i="1"/>
  <c r="D81" i="1"/>
  <c r="D75" i="1"/>
  <c r="J72" i="1"/>
  <c r="D79" i="1"/>
  <c r="J68" i="1"/>
  <c r="J70" i="1" s="1"/>
  <c r="J73" i="1"/>
  <c r="C72" i="1" s="1"/>
  <c r="D78" i="1"/>
  <c r="D80" i="1"/>
  <c r="J71" i="1"/>
  <c r="D77" i="1"/>
  <c r="D76" i="1"/>
  <c r="J74" i="1"/>
  <c r="J75" i="1" s="1"/>
  <c r="J80" i="1" s="1"/>
  <c r="J94" i="1"/>
  <c r="D88" i="1"/>
  <c r="D74" i="1"/>
  <c r="D72" i="1" l="1"/>
  <c r="J90" i="1"/>
  <c r="J91" i="1" s="1"/>
  <c r="J92" i="1" s="1"/>
  <c r="J93" i="1" s="1"/>
  <c r="J76" i="1"/>
  <c r="J77" i="1" s="1"/>
  <c r="J78" i="1" s="1"/>
  <c r="J79" i="1" s="1"/>
  <c r="J95" i="1" l="1"/>
  <c r="J81" i="1"/>
  <c r="C73" i="1" l="1"/>
  <c r="G72" i="1" s="1"/>
  <c r="D66" i="1" s="1"/>
  <c r="C87" i="1"/>
  <c r="J83" i="1" s="1"/>
  <c r="D67" i="1" l="1"/>
  <c r="F67" i="1"/>
  <c r="J69" i="1"/>
  <c r="D73" i="1"/>
  <c r="I69" i="1" s="1"/>
  <c r="E72" i="1"/>
  <c r="E86" i="1"/>
  <c r="G86" i="1"/>
  <c r="D87" i="1"/>
  <c r="I83" i="1" s="1"/>
  <c r="I70" i="1" l="1"/>
  <c r="I68" i="1" s="1"/>
  <c r="C70" i="1" s="1"/>
  <c r="I84" i="1"/>
  <c r="I82" i="1" s="1"/>
  <c r="C84" i="1" s="1"/>
</calcChain>
</file>

<file path=xl/sharedStrings.xml><?xml version="1.0" encoding="utf-8"?>
<sst xmlns="http://schemas.openxmlformats.org/spreadsheetml/2006/main" count="640" uniqueCount="277">
  <si>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</si>
  <si>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</si>
  <si>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</si>
  <si>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</si>
  <si>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</si>
  <si>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</si>
  <si>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</si>
  <si>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</si>
  <si>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</si>
  <si>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</si>
  <si>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</si>
  <si>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</si>
  <si>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</si>
  <si>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</si>
  <si>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</si>
  <si>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</si>
  <si>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</si>
  <si>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</si>
  <si>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</si>
  <si>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</si>
  <si>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</si>
  <si>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</si>
  <si>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</si>
  <si>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</si>
  <si>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</si>
  <si>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</si>
  <si>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</si>
  <si>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</si>
  <si>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</si>
  <si>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</si>
  <si>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</si>
  <si>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</si>
  <si>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</si>
  <si>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</si>
  <si>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</si>
  <si>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</si>
  <si>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</si>
  <si>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</si>
  <si>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</si>
  <si>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</si>
  <si>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</si>
  <si>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</si>
  <si>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</si>
  <si>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</si>
  <si>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</si>
  <si>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</si>
  <si>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</si>
  <si>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</si>
  <si>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</si>
  <si>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</si>
  <si>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</si>
  <si>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</si>
  <si>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</si>
  <si>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</si>
  <si>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</si>
  <si>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</si>
  <si>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</si>
  <si>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</si>
  <si>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</si>
  <si>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</si>
  <si>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</si>
  <si>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</si>
  <si>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</si>
  <si>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</si>
  <si>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</si>
  <si>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</si>
  <si>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</si>
  <si>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</si>
  <si>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</si>
  <si>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</si>
  <si>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</si>
  <si>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</si>
  <si>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</si>
  <si>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</si>
  <si>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</si>
  <si>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</si>
  <si>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</si>
  <si>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</si>
  <si>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</si>
  <si>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</si>
  <si>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</si>
  <si>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</si>
  <si>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</si>
  <si>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</si>
  <si>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</si>
  <si>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</si>
  <si>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</si>
  <si>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</si>
  <si>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</si>
  <si>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</si>
  <si>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</si>
  <si>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</si>
  <si>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</si>
  <si>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</si>
  <si>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</si>
  <si>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</si>
  <si>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</si>
  <si>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</si>
  <si>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</si>
  <si>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</si>
  <si>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</si>
  <si>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</si>
  <si>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</si>
  <si>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</si>
  <si>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</si>
  <si>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</si>
  <si>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</si>
  <si>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</si>
  <si>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</si>
  <si>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</si>
  <si>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</si>
  <si>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</si>
  <si>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</si>
  <si>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</si>
  <si>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</si>
  <si>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</si>
  <si>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</si>
  <si>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</si>
  <si>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</si>
  <si>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</si>
  <si>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</si>
  <si>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</si>
  <si>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</si>
  <si>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</si>
  <si>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</si>
  <si>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</si>
  <si>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</si>
  <si>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</si>
  <si>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</si>
  <si>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</si>
  <si>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</si>
  <si>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</si>
  <si>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</si>
  <si>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</si>
  <si>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</si>
  <si>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</si>
  <si>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</si>
  <si>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</si>
  <si>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</si>
  <si>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</si>
  <si>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</si>
  <si>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</si>
  <si>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</si>
  <si>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</si>
  <si>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</si>
  <si>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</si>
  <si>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</si>
  <si>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</si>
  <si>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</si>
  <si>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</si>
  <si>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</si>
  <si>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</si>
  <si>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</si>
  <si>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</si>
  <si>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</si>
  <si>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</si>
  <si>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</si>
  <si>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</si>
  <si>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</si>
  <si>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</si>
  <si>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</si>
  <si>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</si>
  <si>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</si>
  <si>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</si>
  <si>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</si>
  <si>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</si>
  <si>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</si>
  <si>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</si>
  <si>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</si>
  <si>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</si>
  <si>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</si>
  <si>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</si>
  <si>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</si>
  <si>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</si>
  <si>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</si>
  <si>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</si>
  <si>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</si>
  <si>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P51800048658</t>
  </si>
  <si>
    <t>Chandak Realtors Private Limited</t>
  </si>
  <si>
    <t>Chandak Treesourus</t>
  </si>
  <si>
    <t>022-26849311/26843912</t>
  </si>
  <si>
    <t>Tower 1 &amp; 2</t>
  </si>
  <si>
    <t>CTS No</t>
  </si>
  <si>
    <t>838(PT) &amp; 13</t>
  </si>
  <si>
    <t>Chinchavali</t>
  </si>
  <si>
    <t>Mumbai</t>
  </si>
  <si>
    <t>Malad</t>
  </si>
  <si>
    <t>Malad (West)</t>
  </si>
  <si>
    <t>Bombay Talkies Compound, Chincholi Bunder</t>
  </si>
  <si>
    <t>Chincholi Bunder Road</t>
  </si>
  <si>
    <t>Slum</t>
  </si>
  <si>
    <t>1.6 KM from Malad Railway Station</t>
  </si>
  <si>
    <t>02 Buildings</t>
  </si>
  <si>
    <t>As per RERA - 31/12/2028</t>
  </si>
  <si>
    <t>Tower 01</t>
  </si>
  <si>
    <t>3rd to 1st Basement Floor for Parking</t>
  </si>
  <si>
    <t>Rehab</t>
  </si>
  <si>
    <t>Rehab/ Sale</t>
  </si>
  <si>
    <t>Shop</t>
  </si>
  <si>
    <t>2nd to 6th &amp; 8th to 11th Floor for Residential &amp; Parking</t>
  </si>
  <si>
    <t>3BHK</t>
  </si>
  <si>
    <t>2BHK</t>
  </si>
  <si>
    <t>Tower 02</t>
  </si>
  <si>
    <t>7th Floor (Part Refuge Floor)</t>
  </si>
  <si>
    <t>Refuge Area</t>
  </si>
  <si>
    <t>12th Floor for Fitness Center &amp; Residential</t>
  </si>
  <si>
    <t>Fitness Center</t>
  </si>
  <si>
    <t>1st Podium Floor for Parking</t>
  </si>
  <si>
    <t>Community area, Outdoor gym, Game zone, Kids play area, Yoga &amp; Meditation zone, Sitout area, Power back up for lifts &amp; common area, Fire fighting system.</t>
  </si>
  <si>
    <t>Approved Plans, CC</t>
  </si>
  <si>
    <t>Ground Floor for Commercial, Parking, Double height Entrance Lobby</t>
  </si>
  <si>
    <t>1st Podium Floor for Commercial &amp; Parking</t>
  </si>
  <si>
    <t>https://goo.gl/maps/vDCuqqyjiSWvm8vG9</t>
  </si>
  <si>
    <t>19.1826396, 72.847</t>
  </si>
  <si>
    <t>Building</t>
  </si>
  <si>
    <t>Nanabhai Bhuleshwar Marg</t>
  </si>
  <si>
    <t>Vidya Vikas Universal College</t>
  </si>
  <si>
    <t>The First C.C. is re-endorsed and granted the C.C. for the work upto Top of entire three-level basements i.e. top of 1st Basement level as per approved amended plans dated 14/09/2023.</t>
  </si>
  <si>
    <t>P-7938/2021/(838)/P/N
Ward/MALAD-W/CC/1/Amend</t>
  </si>
  <si>
    <t>3rd Basement Floor for Electric Panel room &amp; Parking</t>
  </si>
  <si>
    <t>2nd &amp; 1st Basement Floor for Electric Panel room, Water tank, Pump Room &amp; Parking</t>
  </si>
  <si>
    <t>3rd to 1st Basement Floor Electric Panel room &amp; Parking</t>
  </si>
  <si>
    <t>Ground Floor for Parking &amp; Double height Entrance Lobby</t>
  </si>
  <si>
    <t>2nd Part Podium Floor for Residential &amp; Parking</t>
  </si>
  <si>
    <t>3rd to 6th Part Podium Floor for Residential &amp; Parking</t>
  </si>
  <si>
    <t>Society Office &amp; Refuge Area</t>
  </si>
  <si>
    <t>Parking Area</t>
  </si>
  <si>
    <t>Parking Below</t>
  </si>
  <si>
    <t>10th Part Podium Floor for Residential</t>
  </si>
  <si>
    <t>9th Part Podium Floor for Residential &amp; Parking</t>
  </si>
  <si>
    <t>8th Part Podium Floor for Residential &amp; Parking</t>
  </si>
  <si>
    <t>11th Podium Floor for Fitness Center &amp; Other Amenities</t>
  </si>
  <si>
    <t>12th Floor for Residential</t>
  </si>
  <si>
    <t>13th &amp; 16th to 20th Floor</t>
  </si>
  <si>
    <t>14th Floor (Part Refuge Area)</t>
  </si>
  <si>
    <t>15th Floor</t>
  </si>
  <si>
    <t>Tower 1 = 3B + Gr/Stilt + 1st to 9th Podium + 10th to 45th Floor</t>
  </si>
  <si>
    <t>Tower 2 = 3B + Gr/Stilt + 1st to 9th Podium + 10th to 45th Floor</t>
  </si>
  <si>
    <t>We have updated latest approved floor plans (On 04/07/2024).</t>
  </si>
  <si>
    <t>Validity of CC is expired on 20/12/2023. Please provide latest CC.</t>
  </si>
  <si>
    <t>We considered Gross carpet area = Net carpet.</t>
  </si>
  <si>
    <t>As per Plan</t>
  </si>
  <si>
    <t xml:space="preserve"> P-7938/2021/(838)/P/N Ward/MALAD-W/337/4/Amend</t>
  </si>
  <si>
    <t>Tower 1 = 3B + Gr/Stilt + 1st to 9th Part Podium Floor + 10th Floor + 11th Amenity Floor + 12th to 22nd Floor
Tower 2 = 3B + Gr/Stilt + 1st to 9th Part Podium Floor + 10th Floor + 11th Amenity Floor + 12th to 31st Floor</t>
  </si>
  <si>
    <t>Municipal Corporation of Greater Mumbai (MCGM)</t>
  </si>
  <si>
    <t>Other Plot</t>
  </si>
  <si>
    <t>18.30MT Wide Nanabhai Bhuleshwar Marg</t>
  </si>
  <si>
    <t>22nd Floor</t>
  </si>
  <si>
    <t>6BHK</t>
  </si>
  <si>
    <t>3 + 4</t>
  </si>
  <si>
    <t>13th &amp; 16th to 19th Floor</t>
  </si>
  <si>
    <t>20th Floor</t>
  </si>
  <si>
    <t>12BHK (Duplex With 21st Floor)</t>
  </si>
  <si>
    <t>12BHK (Duplex With 20th Floor)</t>
  </si>
  <si>
    <t>21st Floor (Part Refuge Area)</t>
  </si>
  <si>
    <t>23rd &amp; 24th Floor</t>
  </si>
  <si>
    <t>25th to 27th, 29th to 31st Floor</t>
  </si>
  <si>
    <t>28th Floor (Part Refuge Area)</t>
  </si>
  <si>
    <t>Flats - 339, Rehab Shops - 18</t>
  </si>
  <si>
    <t>Dated
Valid Upto 
Date</t>
  </si>
  <si>
    <t>7th Floor (Part Refuge Floor &amp; Parking)</t>
  </si>
  <si>
    <t>As per Revised approved plan, In Tower 1 flat no. 3 &amp; 4 are merged from 20th &amp; 22nd Floor.</t>
  </si>
  <si>
    <t>As per Revised approved plan dtd 09/01/2025, approved structure of Tower 1 is reduced to 22nd Floor.</t>
  </si>
  <si>
    <t>17000 to 20400</t>
  </si>
  <si>
    <t xml:space="preserve">Akash Mote </t>
  </si>
  <si>
    <t>Case T2 2206 2cr agr</t>
  </si>
  <si>
    <t xml:space="preserve">Recommended Rates / Other charges of the Property have been revised on 28/01/2025.
</t>
  </si>
  <si>
    <t>Mr. Anil : 9930735420</t>
  </si>
  <si>
    <t>Construction work is in process at the time of Visit. Internal photogharphs was not allowed.</t>
  </si>
  <si>
    <t>Sanket Salvi</t>
  </si>
  <si>
    <t>P-7938/2021/(838)/P/N
Ward/MALAD-W/FCC/4/Amend</t>
  </si>
  <si>
    <t>17/04/2025
20/12/2025</t>
  </si>
  <si>
    <t>We have updated latest CC from MCGM site (On 11/07/2025).</t>
  </si>
  <si>
    <t>We have updated latest approved plans from MCGM site (On 25/01/2025).</t>
  </si>
  <si>
    <t>Please provide revised approved plans.</t>
  </si>
  <si>
    <t>Kunal Kadam</t>
  </si>
  <si>
    <t>This C.C. is now granted for the work of building comprising of Tower-1 - comprises of three-level basements + part stilt &amp; part ground floor for shops + 1st floor (pt) for Shops + (pt) void for Double Height Entrance
Lobby/Parking + 2nd to 10th floor (pt) for Residential user &amp; (pt) for Podium + 11th (Amenity Floor) (pt) for Fitness Centre &amp; (pt) for Podium for swimming pool/L.O.S. + 12th to 17th &amp; 18th (pt) (excluding Flat No. 3, 4 &amp; 5) and
Tower-2 - comprises of three level basements + part stilt &amp; part ground floor for part for Electric meter room, D.G. set, OWC, sub-station &amp; Fire Control Room + 1st floor void for Double Height Entrance Lobby/Parking + 2nd to 10th floor (pt) for Residential user &amp; (pt) for Podium + 11th (Amenity Floor) (pt) for Fitness Centre &amp; (pt) for Podium for swimming pool/L.O.S. + 12th to 43rd residential floors as per approved amended plans dated 29/03/2025.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</si>
</sst>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Protection="1"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7" fillId="4" borderId="0" xfId="1" applyFont="1" applyFill="1"/>
    <xf numFmtId="0" fontId="12" fillId="3" borderId="0" xfId="1" applyFont="1" applyFill="1"/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5" fillId="2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14" fontId="15" fillId="2" borderId="0" xfId="1" applyNumberFormat="1" applyFont="1" applyFill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34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15" fillId="2" borderId="0" xfId="1" applyNumberFormat="1" applyFont="1" applyFill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3" fillId="3" borderId="7" xfId="0" applyNumberFormat="1" applyFont="1" applyFill="1" applyBorder="1" applyAlignment="1" applyProtection="1">
      <alignment vertical="top" wrapText="1"/>
      <protection locked="0"/>
    </xf>
    <xf numFmtId="1" fontId="13" fillId="3" borderId="20" xfId="0" applyNumberFormat="1" applyFont="1" applyFill="1" applyBorder="1" applyAlignment="1" applyProtection="1">
      <alignment vertical="top" wrapText="1"/>
      <protection locked="0"/>
    </xf>
    <xf numFmtId="1" fontId="13" fillId="3" borderId="8" xfId="0" applyNumberFormat="1" applyFont="1" applyFill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181839</xdr:colOff>
      <xdr:row>522</xdr:row>
      <xdr:rowOff>51954</xdr:rowOff>
    </xdr:from>
    <xdr:to>
      <xdr:col>7</xdr:col>
      <xdr:colOff>612816</xdr:colOff>
      <xdr:row>544</xdr:row>
      <xdr:rowOff>106332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1839" y="47694272"/>
          <a:ext cx="6120000" cy="44358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679839</xdr:colOff>
      <xdr:row>545</xdr:row>
      <xdr:rowOff>76508</xdr:rowOff>
    </xdr:from>
    <xdr:to>
      <xdr:col>6</xdr:col>
      <xdr:colOff>132134</xdr:colOff>
      <xdr:row>562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64699" y="104843888"/>
          <a:ext cx="3742355" cy="32991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387389</xdr:colOff>
      <xdr:row>525</xdr:row>
      <xdr:rowOff>35119</xdr:rowOff>
    </xdr:from>
    <xdr:to>
      <xdr:col>4</xdr:col>
      <xdr:colOff>22929</xdr:colOff>
      <xdr:row>532</xdr:row>
      <xdr:rowOff>84555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3459279">
          <a:off x="1938236" y="48282703"/>
          <a:ext cx="1443550" cy="1427972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429562</xdr:colOff>
      <xdr:row>526</xdr:row>
      <xdr:rowOff>120249</xdr:rowOff>
    </xdr:from>
    <xdr:to>
      <xdr:col>6</xdr:col>
      <xdr:colOff>133832</xdr:colOff>
      <xdr:row>534</xdr:row>
      <xdr:rowOff>25161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3459279">
          <a:off x="3662992" y="48676842"/>
          <a:ext cx="1498184" cy="126290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</xdr:col>
      <xdr:colOff>597475</xdr:colOff>
      <xdr:row>522</xdr:row>
      <xdr:rowOff>43295</xdr:rowOff>
    </xdr:from>
    <xdr:ext cx="771878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59475" y="47685613"/>
          <a:ext cx="771878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/>
            <a:t>Tower 01</a:t>
          </a:r>
        </a:p>
      </xdr:txBody>
    </xdr:sp>
    <xdr:clientData/>
  </xdr:oneCellAnchor>
  <xdr:oneCellAnchor>
    <xdr:from>
      <xdr:col>5</xdr:col>
      <xdr:colOff>588816</xdr:colOff>
      <xdr:row>522</xdr:row>
      <xdr:rowOff>181840</xdr:rowOff>
    </xdr:from>
    <xdr:ext cx="771878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19202" y="47824158"/>
          <a:ext cx="771878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/>
            <a:t>Tower 02</a:t>
          </a:r>
        </a:p>
      </xdr:txBody>
    </xdr:sp>
    <xdr:clientData/>
  </xdr:oneCellAnchor>
  <xdr:twoCellAnchor>
    <xdr:from>
      <xdr:col>2</xdr:col>
      <xdr:colOff>186778</xdr:colOff>
      <xdr:row>523</xdr:row>
      <xdr:rowOff>124341</xdr:rowOff>
    </xdr:from>
    <xdr:to>
      <xdr:col>2</xdr:col>
      <xdr:colOff>441614</xdr:colOff>
      <xdr:row>526</xdr:row>
      <xdr:rowOff>164522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stCxn id="13" idx="2"/>
        </xdr:cNvCxnSpPr>
      </xdr:nvCxnSpPr>
      <xdr:spPr>
        <a:xfrm>
          <a:off x="1745414" y="47965818"/>
          <a:ext cx="254836" cy="637659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658091</xdr:colOff>
      <xdr:row>524</xdr:row>
      <xdr:rowOff>63727</xdr:rowOff>
    </xdr:from>
    <xdr:to>
      <xdr:col>6</xdr:col>
      <xdr:colOff>195436</xdr:colOff>
      <xdr:row>527</xdr:row>
      <xdr:rowOff>121227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stCxn id="14" idx="2"/>
        </xdr:cNvCxnSpPr>
      </xdr:nvCxnSpPr>
      <xdr:spPr>
        <a:xfrm flipH="1">
          <a:off x="4788477" y="48104363"/>
          <a:ext cx="316664" cy="654978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744677</xdr:colOff>
      <xdr:row>587</xdr:row>
      <xdr:rowOff>69655</xdr:rowOff>
    </xdr:from>
    <xdr:to>
      <xdr:col>7</xdr:col>
      <xdr:colOff>95654</xdr:colOff>
      <xdr:row>605</xdr:row>
      <xdr:rowOff>99060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4677" y="113158075"/>
          <a:ext cx="5233617" cy="33974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744677</xdr:colOff>
      <xdr:row>564</xdr:row>
      <xdr:rowOff>95249</xdr:rowOff>
    </xdr:from>
    <xdr:to>
      <xdr:col>7</xdr:col>
      <xdr:colOff>95654</xdr:colOff>
      <xdr:row>586</xdr:row>
      <xdr:rowOff>5054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4677" y="61280385"/>
          <a:ext cx="5040000" cy="42913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831274</xdr:colOff>
      <xdr:row>591</xdr:row>
      <xdr:rowOff>164523</xdr:rowOff>
    </xdr:from>
    <xdr:to>
      <xdr:col>5</xdr:col>
      <xdr:colOff>632114</xdr:colOff>
      <xdr:row>598</xdr:row>
      <xdr:rowOff>51955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389910" y="66726955"/>
          <a:ext cx="2372590" cy="1281545"/>
        </a:xfrm>
        <a:prstGeom prst="round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9</xdr:col>
      <xdr:colOff>285750</xdr:colOff>
      <xdr:row>469</xdr:row>
      <xdr:rowOff>184150</xdr:rowOff>
    </xdr:from>
    <xdr:ext cx="771878" cy="280205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350250" y="47961550"/>
          <a:ext cx="771878" cy="2802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200"/>
            <a:t>Tower 2</a:t>
          </a:r>
        </a:p>
      </xdr:txBody>
    </xdr:sp>
    <xdr:clientData/>
  </xdr:oneCellAnchor>
  <xdr:twoCellAnchor>
    <xdr:from>
      <xdr:col>9</xdr:col>
      <xdr:colOff>671689</xdr:colOff>
      <xdr:row>471</xdr:row>
      <xdr:rowOff>70655</xdr:rowOff>
    </xdr:from>
    <xdr:to>
      <xdr:col>10</xdr:col>
      <xdr:colOff>152400</xdr:colOff>
      <xdr:row>475</xdr:row>
      <xdr:rowOff>63500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stCxn id="35" idx="2"/>
        </xdr:cNvCxnSpPr>
      </xdr:nvCxnSpPr>
      <xdr:spPr>
        <a:xfrm>
          <a:off x="8736189" y="48241755"/>
          <a:ext cx="280811" cy="77389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459443</xdr:colOff>
      <xdr:row>148</xdr:row>
      <xdr:rowOff>268941</xdr:rowOff>
    </xdr:from>
    <xdr:to>
      <xdr:col>21</xdr:col>
      <xdr:colOff>12884</xdr:colOff>
      <xdr:row>165</xdr:row>
      <xdr:rowOff>29720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AA696C-F662-4632-A441-AEF020DB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92472" y="40733382"/>
          <a:ext cx="9000000" cy="35931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818031</xdr:colOff>
      <xdr:row>166</xdr:row>
      <xdr:rowOff>89646</xdr:rowOff>
    </xdr:from>
    <xdr:to>
      <xdr:col>22</xdr:col>
      <xdr:colOff>54525</xdr:colOff>
      <xdr:row>188</xdr:row>
      <xdr:rowOff>72335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FF5E39-2E2D-4CBE-AC90-3FF106F3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51060" y="44588205"/>
          <a:ext cx="9288171" cy="44202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941295</xdr:colOff>
      <xdr:row>188</xdr:row>
      <xdr:rowOff>156883</xdr:rowOff>
    </xdr:from>
    <xdr:to>
      <xdr:col>18</xdr:col>
      <xdr:colOff>435783</xdr:colOff>
      <xdr:row>205</xdr:row>
      <xdr:rowOff>157360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C2B53B-06EC-47AC-BF3C-434426591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74324" y="49092971"/>
          <a:ext cx="7125694" cy="34294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526677</xdr:colOff>
      <xdr:row>189</xdr:row>
      <xdr:rowOff>179294</xdr:rowOff>
    </xdr:from>
    <xdr:to>
      <xdr:col>23</xdr:col>
      <xdr:colOff>425671</xdr:colOff>
      <xdr:row>204</xdr:row>
      <xdr:rowOff>68764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14F845B-E2EA-44AF-9D8B-98A76E6A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90912" y="49317088"/>
          <a:ext cx="2924583" cy="29150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259773</xdr:colOff>
      <xdr:row>292</xdr:row>
      <xdr:rowOff>155864</xdr:rowOff>
    </xdr:from>
    <xdr:to>
      <xdr:col>22</xdr:col>
      <xdr:colOff>158822</xdr:colOff>
      <xdr:row>307</xdr:row>
      <xdr:rowOff>191805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EDB4D30-DE17-44F6-8344-D90AC9A93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1728" y="67800682"/>
          <a:ext cx="8783276" cy="31532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86590</xdr:colOff>
      <xdr:row>309</xdr:row>
      <xdr:rowOff>51955</xdr:rowOff>
    </xdr:from>
    <xdr:to>
      <xdr:col>23</xdr:col>
      <xdr:colOff>465504</xdr:colOff>
      <xdr:row>326</xdr:row>
      <xdr:rowOff>120000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E6FE49B-2FA8-4C4C-85BC-FAC168F27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758545" y="71229682"/>
          <a:ext cx="9869277" cy="36009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1125682</xdr:colOff>
      <xdr:row>327</xdr:row>
      <xdr:rowOff>190499</xdr:rowOff>
    </xdr:from>
    <xdr:to>
      <xdr:col>18</xdr:col>
      <xdr:colOff>31218</xdr:colOff>
      <xdr:row>340</xdr:row>
      <xdr:rowOff>108604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EC23450-DD2D-4A07-A108-6ACF4B97F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37318" y="75108954"/>
          <a:ext cx="6525536" cy="26197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484909</xdr:colOff>
      <xdr:row>328</xdr:row>
      <xdr:rowOff>0</xdr:rowOff>
    </xdr:from>
    <xdr:to>
      <xdr:col>23</xdr:col>
      <xdr:colOff>83494</xdr:colOff>
      <xdr:row>340</xdr:row>
      <xdr:rowOff>2081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217B74F-25A9-4C53-9A7E-467FB2682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16545" y="75126273"/>
          <a:ext cx="2629267" cy="24958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571500</xdr:colOff>
      <xdr:row>47</xdr:row>
      <xdr:rowOff>114300</xdr:rowOff>
    </xdr:from>
    <xdr:to>
      <xdr:col>14</xdr:col>
      <xdr:colOff>248297</xdr:colOff>
      <xdr:row>48</xdr:row>
      <xdr:rowOff>142935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9EDFCE1-B396-4AE1-BBBE-636932C3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96125" y="10772775"/>
          <a:ext cx="4639322" cy="4286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121920</xdr:colOff>
      <xdr:row>480</xdr:row>
      <xdr:rowOff>77470</xdr:rowOff>
    </xdr:from>
    <xdr:to>
      <xdr:col>17</xdr:col>
      <xdr:colOff>110227</xdr:colOff>
      <xdr:row>512</xdr:row>
      <xdr:rowOff>23168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8054340" y="91807030"/>
          <a:ext cx="6000487" cy="6285538"/>
          <a:chOff x="342900" y="91782900"/>
          <a:chExt cx="6093197" cy="6244898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1496" y="9586779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" y="917829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9190" y="917829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6604" y="9586779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71712" y="9586779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5221790" y="92398850"/>
            <a:ext cx="771878" cy="28020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200"/>
              <a:t>Tower 2</a:t>
            </a: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1485900" y="92017850"/>
            <a:ext cx="771878" cy="28020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200"/>
              <a:t>Tower 1</a:t>
            </a:r>
          </a:p>
        </xdr:txBody>
      </xdr:sp>
    </xdr:grpSp>
    <xdr:clientData/>
  </xdr:twoCellAnchor>
  <xdr:twoCellAnchor>
    <xdr:from>
      <xdr:col>0</xdr:col>
      <xdr:colOff>411480</xdr:colOff>
      <xdr:row>480</xdr:row>
      <xdr:rowOff>7620</xdr:rowOff>
    </xdr:from>
    <xdr:to>
      <xdr:col>7</xdr:col>
      <xdr:colOff>342900</xdr:colOff>
      <xdr:row>520</xdr:row>
      <xdr:rowOff>91439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B53BD709-6400-6A3D-9E3B-5497064EBA3D}"/>
            </a:ext>
          </a:extLst>
        </xdr:cNvPr>
        <xdr:cNvGrpSpPr/>
      </xdr:nvGrpSpPr>
      <xdr:grpSpPr>
        <a:xfrm>
          <a:off x="411480" y="91737180"/>
          <a:ext cx="5814060" cy="7810499"/>
          <a:chOff x="320975" y="129996"/>
          <a:chExt cx="5933218" cy="8483661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D3D8D3FE-DB8E-5501-0D81-C96D25F3D7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0975" y="129997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3F0B33E9-DCA0-5613-2A55-AFCB9062B9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4193" y="4133829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8820E060-D601-1415-A7CC-3B64B2556C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12944" y="4133829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54FA87A7-A7EE-FD22-0FF0-E6F8FE4240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4193" y="129996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6AB5F95-B3BA-1291-B0A3-727BF08942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52381" y="681365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90410EB2-8992-DA8D-ECAF-D524659F1D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4193" y="681365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DCuqqyjiSWvm8vG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5"/>
  <sheetViews>
    <sheetView tabSelected="1" view="pageBreakPreview" topLeftCell="A53" zoomScaleNormal="100" zoomScaleSheetLayoutView="100" workbookViewId="0">
      <selection activeCell="L53" sqref="L53"/>
    </sheetView>
  </sheetViews>
  <sheetFormatPr defaultColWidth="9.21875" defaultRowHeight="15.6" x14ac:dyDescent="0.3"/>
  <cols>
    <col min="1" max="1" width="11.44140625" style="35" customWidth="1"/>
    <col min="2" max="2" width="12" style="35" customWidth="1"/>
    <col min="3" max="3" width="12.77734375" style="35" customWidth="1"/>
    <col min="4" max="4" width="14.21875" style="35" customWidth="1"/>
    <col min="5" max="7" width="11.77734375" style="35" customWidth="1"/>
    <col min="8" max="8" width="12.44140625" style="35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0.5546875" style="18" customWidth="1"/>
    <col min="13" max="13" width="11.77734375" style="18" customWidth="1"/>
    <col min="14" max="14" width="12.5546875" style="18" customWidth="1"/>
    <col min="15" max="15" width="9.77734375" style="18" customWidth="1"/>
    <col min="16" max="16" width="11.77734375" style="18" customWidth="1"/>
    <col min="17" max="247" width="9.21875" style="18"/>
    <col min="248" max="248" width="8.77734375" style="18" customWidth="1"/>
    <col min="249" max="249" width="9.77734375" style="18" customWidth="1"/>
    <col min="250" max="250" width="14.44140625" style="18" customWidth="1"/>
    <col min="251" max="251" width="7.21875" style="18" customWidth="1"/>
    <col min="252" max="252" width="5.5546875" style="18" customWidth="1"/>
    <col min="253" max="253" width="9" style="18" customWidth="1"/>
    <col min="254" max="255" width="9.77734375" style="18" customWidth="1"/>
    <col min="256" max="256" width="11.21875" style="18" customWidth="1"/>
    <col min="257" max="257" width="2.77734375" style="18" customWidth="1"/>
    <col min="258" max="258" width="3.5546875" style="18" customWidth="1"/>
    <col min="259" max="503" width="9.21875" style="18"/>
    <col min="504" max="504" width="8.77734375" style="18" customWidth="1"/>
    <col min="505" max="505" width="9.77734375" style="18" customWidth="1"/>
    <col min="506" max="506" width="14.44140625" style="18" customWidth="1"/>
    <col min="507" max="507" width="7.21875" style="18" customWidth="1"/>
    <col min="508" max="508" width="5.5546875" style="18" customWidth="1"/>
    <col min="509" max="509" width="9" style="18" customWidth="1"/>
    <col min="510" max="511" width="9.77734375" style="18" customWidth="1"/>
    <col min="512" max="512" width="11.21875" style="18" customWidth="1"/>
    <col min="513" max="513" width="2.77734375" style="18" customWidth="1"/>
    <col min="514" max="514" width="3.5546875" style="18" customWidth="1"/>
    <col min="515" max="759" width="9.21875" style="18"/>
    <col min="760" max="760" width="8.77734375" style="18" customWidth="1"/>
    <col min="761" max="761" width="9.77734375" style="18" customWidth="1"/>
    <col min="762" max="762" width="14.44140625" style="18" customWidth="1"/>
    <col min="763" max="763" width="7.21875" style="18" customWidth="1"/>
    <col min="764" max="764" width="5.5546875" style="18" customWidth="1"/>
    <col min="765" max="765" width="9" style="18" customWidth="1"/>
    <col min="766" max="767" width="9.77734375" style="18" customWidth="1"/>
    <col min="768" max="768" width="11.21875" style="18" customWidth="1"/>
    <col min="769" max="769" width="2.77734375" style="18" customWidth="1"/>
    <col min="770" max="770" width="3.5546875" style="18" customWidth="1"/>
    <col min="771" max="1015" width="9.21875" style="18"/>
    <col min="1016" max="1016" width="8.77734375" style="18" customWidth="1"/>
    <col min="1017" max="1017" width="9.77734375" style="18" customWidth="1"/>
    <col min="1018" max="1018" width="14.44140625" style="18" customWidth="1"/>
    <col min="1019" max="1019" width="7.21875" style="18" customWidth="1"/>
    <col min="1020" max="1020" width="5.5546875" style="18" customWidth="1"/>
    <col min="1021" max="1021" width="9" style="18" customWidth="1"/>
    <col min="1022" max="1023" width="9.77734375" style="18" customWidth="1"/>
    <col min="1024" max="1024" width="11.21875" style="18" customWidth="1"/>
    <col min="1025" max="1025" width="2.77734375" style="18" customWidth="1"/>
    <col min="1026" max="1026" width="3.5546875" style="18" customWidth="1"/>
    <col min="1027" max="1271" width="9.21875" style="18"/>
    <col min="1272" max="1272" width="8.77734375" style="18" customWidth="1"/>
    <col min="1273" max="1273" width="9.77734375" style="18" customWidth="1"/>
    <col min="1274" max="1274" width="14.44140625" style="18" customWidth="1"/>
    <col min="1275" max="1275" width="7.21875" style="18" customWidth="1"/>
    <col min="1276" max="1276" width="5.5546875" style="18" customWidth="1"/>
    <col min="1277" max="1277" width="9" style="18" customWidth="1"/>
    <col min="1278" max="1279" width="9.77734375" style="18" customWidth="1"/>
    <col min="1280" max="1280" width="11.21875" style="18" customWidth="1"/>
    <col min="1281" max="1281" width="2.77734375" style="18" customWidth="1"/>
    <col min="1282" max="1282" width="3.5546875" style="18" customWidth="1"/>
    <col min="1283" max="1527" width="9.21875" style="18"/>
    <col min="1528" max="1528" width="8.77734375" style="18" customWidth="1"/>
    <col min="1529" max="1529" width="9.77734375" style="18" customWidth="1"/>
    <col min="1530" max="1530" width="14.44140625" style="18" customWidth="1"/>
    <col min="1531" max="1531" width="7.21875" style="18" customWidth="1"/>
    <col min="1532" max="1532" width="5.5546875" style="18" customWidth="1"/>
    <col min="1533" max="1533" width="9" style="18" customWidth="1"/>
    <col min="1534" max="1535" width="9.77734375" style="18" customWidth="1"/>
    <col min="1536" max="1536" width="11.21875" style="18" customWidth="1"/>
    <col min="1537" max="1537" width="2.77734375" style="18" customWidth="1"/>
    <col min="1538" max="1538" width="3.5546875" style="18" customWidth="1"/>
    <col min="1539" max="1783" width="9.21875" style="18"/>
    <col min="1784" max="1784" width="8.77734375" style="18" customWidth="1"/>
    <col min="1785" max="1785" width="9.77734375" style="18" customWidth="1"/>
    <col min="1786" max="1786" width="14.44140625" style="18" customWidth="1"/>
    <col min="1787" max="1787" width="7.21875" style="18" customWidth="1"/>
    <col min="1788" max="1788" width="5.5546875" style="18" customWidth="1"/>
    <col min="1789" max="1789" width="9" style="18" customWidth="1"/>
    <col min="1790" max="1791" width="9.77734375" style="18" customWidth="1"/>
    <col min="1792" max="1792" width="11.21875" style="18" customWidth="1"/>
    <col min="1793" max="1793" width="2.77734375" style="18" customWidth="1"/>
    <col min="1794" max="1794" width="3.5546875" style="18" customWidth="1"/>
    <col min="1795" max="2039" width="9.21875" style="18"/>
    <col min="2040" max="2040" width="8.77734375" style="18" customWidth="1"/>
    <col min="2041" max="2041" width="9.77734375" style="18" customWidth="1"/>
    <col min="2042" max="2042" width="14.44140625" style="18" customWidth="1"/>
    <col min="2043" max="2043" width="7.21875" style="18" customWidth="1"/>
    <col min="2044" max="2044" width="5.5546875" style="18" customWidth="1"/>
    <col min="2045" max="2045" width="9" style="18" customWidth="1"/>
    <col min="2046" max="2047" width="9.77734375" style="18" customWidth="1"/>
    <col min="2048" max="2048" width="11.21875" style="18" customWidth="1"/>
    <col min="2049" max="2049" width="2.77734375" style="18" customWidth="1"/>
    <col min="2050" max="2050" width="3.5546875" style="18" customWidth="1"/>
    <col min="2051" max="2295" width="9.21875" style="18"/>
    <col min="2296" max="2296" width="8.77734375" style="18" customWidth="1"/>
    <col min="2297" max="2297" width="9.77734375" style="18" customWidth="1"/>
    <col min="2298" max="2298" width="14.44140625" style="18" customWidth="1"/>
    <col min="2299" max="2299" width="7.21875" style="18" customWidth="1"/>
    <col min="2300" max="2300" width="5.5546875" style="18" customWidth="1"/>
    <col min="2301" max="2301" width="9" style="18" customWidth="1"/>
    <col min="2302" max="2303" width="9.77734375" style="18" customWidth="1"/>
    <col min="2304" max="2304" width="11.21875" style="18" customWidth="1"/>
    <col min="2305" max="2305" width="2.77734375" style="18" customWidth="1"/>
    <col min="2306" max="2306" width="3.5546875" style="18" customWidth="1"/>
    <col min="2307" max="2551" width="9.21875" style="18"/>
    <col min="2552" max="2552" width="8.77734375" style="18" customWidth="1"/>
    <col min="2553" max="2553" width="9.77734375" style="18" customWidth="1"/>
    <col min="2554" max="2554" width="14.44140625" style="18" customWidth="1"/>
    <col min="2555" max="2555" width="7.21875" style="18" customWidth="1"/>
    <col min="2556" max="2556" width="5.5546875" style="18" customWidth="1"/>
    <col min="2557" max="2557" width="9" style="18" customWidth="1"/>
    <col min="2558" max="2559" width="9.77734375" style="18" customWidth="1"/>
    <col min="2560" max="2560" width="11.21875" style="18" customWidth="1"/>
    <col min="2561" max="2561" width="2.77734375" style="18" customWidth="1"/>
    <col min="2562" max="2562" width="3.5546875" style="18" customWidth="1"/>
    <col min="2563" max="2807" width="9.21875" style="18"/>
    <col min="2808" max="2808" width="8.77734375" style="18" customWidth="1"/>
    <col min="2809" max="2809" width="9.77734375" style="18" customWidth="1"/>
    <col min="2810" max="2810" width="14.44140625" style="18" customWidth="1"/>
    <col min="2811" max="2811" width="7.21875" style="18" customWidth="1"/>
    <col min="2812" max="2812" width="5.5546875" style="18" customWidth="1"/>
    <col min="2813" max="2813" width="9" style="18" customWidth="1"/>
    <col min="2814" max="2815" width="9.77734375" style="18" customWidth="1"/>
    <col min="2816" max="2816" width="11.21875" style="18" customWidth="1"/>
    <col min="2817" max="2817" width="2.77734375" style="18" customWidth="1"/>
    <col min="2818" max="2818" width="3.5546875" style="18" customWidth="1"/>
    <col min="2819" max="3063" width="9.21875" style="18"/>
    <col min="3064" max="3064" width="8.77734375" style="18" customWidth="1"/>
    <col min="3065" max="3065" width="9.77734375" style="18" customWidth="1"/>
    <col min="3066" max="3066" width="14.44140625" style="18" customWidth="1"/>
    <col min="3067" max="3067" width="7.21875" style="18" customWidth="1"/>
    <col min="3068" max="3068" width="5.5546875" style="18" customWidth="1"/>
    <col min="3069" max="3069" width="9" style="18" customWidth="1"/>
    <col min="3070" max="3071" width="9.77734375" style="18" customWidth="1"/>
    <col min="3072" max="3072" width="11.21875" style="18" customWidth="1"/>
    <col min="3073" max="3073" width="2.77734375" style="18" customWidth="1"/>
    <col min="3074" max="3074" width="3.5546875" style="18" customWidth="1"/>
    <col min="3075" max="3319" width="9.21875" style="18"/>
    <col min="3320" max="3320" width="8.77734375" style="18" customWidth="1"/>
    <col min="3321" max="3321" width="9.77734375" style="18" customWidth="1"/>
    <col min="3322" max="3322" width="14.44140625" style="18" customWidth="1"/>
    <col min="3323" max="3323" width="7.21875" style="18" customWidth="1"/>
    <col min="3324" max="3324" width="5.5546875" style="18" customWidth="1"/>
    <col min="3325" max="3325" width="9" style="18" customWidth="1"/>
    <col min="3326" max="3327" width="9.77734375" style="18" customWidth="1"/>
    <col min="3328" max="3328" width="11.21875" style="18" customWidth="1"/>
    <col min="3329" max="3329" width="2.77734375" style="18" customWidth="1"/>
    <col min="3330" max="3330" width="3.5546875" style="18" customWidth="1"/>
    <col min="3331" max="3575" width="9.21875" style="18"/>
    <col min="3576" max="3576" width="8.77734375" style="18" customWidth="1"/>
    <col min="3577" max="3577" width="9.77734375" style="18" customWidth="1"/>
    <col min="3578" max="3578" width="14.44140625" style="18" customWidth="1"/>
    <col min="3579" max="3579" width="7.21875" style="18" customWidth="1"/>
    <col min="3580" max="3580" width="5.5546875" style="18" customWidth="1"/>
    <col min="3581" max="3581" width="9" style="18" customWidth="1"/>
    <col min="3582" max="3583" width="9.77734375" style="18" customWidth="1"/>
    <col min="3584" max="3584" width="11.21875" style="18" customWidth="1"/>
    <col min="3585" max="3585" width="2.77734375" style="18" customWidth="1"/>
    <col min="3586" max="3586" width="3.5546875" style="18" customWidth="1"/>
    <col min="3587" max="3831" width="9.21875" style="18"/>
    <col min="3832" max="3832" width="8.77734375" style="18" customWidth="1"/>
    <col min="3833" max="3833" width="9.77734375" style="18" customWidth="1"/>
    <col min="3834" max="3834" width="14.44140625" style="18" customWidth="1"/>
    <col min="3835" max="3835" width="7.21875" style="18" customWidth="1"/>
    <col min="3836" max="3836" width="5.5546875" style="18" customWidth="1"/>
    <col min="3837" max="3837" width="9" style="18" customWidth="1"/>
    <col min="3838" max="3839" width="9.77734375" style="18" customWidth="1"/>
    <col min="3840" max="3840" width="11.21875" style="18" customWidth="1"/>
    <col min="3841" max="3841" width="2.77734375" style="18" customWidth="1"/>
    <col min="3842" max="3842" width="3.5546875" style="18" customWidth="1"/>
    <col min="3843" max="4087" width="9.21875" style="18"/>
    <col min="4088" max="4088" width="8.77734375" style="18" customWidth="1"/>
    <col min="4089" max="4089" width="9.77734375" style="18" customWidth="1"/>
    <col min="4090" max="4090" width="14.44140625" style="18" customWidth="1"/>
    <col min="4091" max="4091" width="7.21875" style="18" customWidth="1"/>
    <col min="4092" max="4092" width="5.5546875" style="18" customWidth="1"/>
    <col min="4093" max="4093" width="9" style="18" customWidth="1"/>
    <col min="4094" max="4095" width="9.77734375" style="18" customWidth="1"/>
    <col min="4096" max="4096" width="11.21875" style="18" customWidth="1"/>
    <col min="4097" max="4097" width="2.77734375" style="18" customWidth="1"/>
    <col min="4098" max="4098" width="3.5546875" style="18" customWidth="1"/>
    <col min="4099" max="4343" width="9.21875" style="18"/>
    <col min="4344" max="4344" width="8.77734375" style="18" customWidth="1"/>
    <col min="4345" max="4345" width="9.77734375" style="18" customWidth="1"/>
    <col min="4346" max="4346" width="14.44140625" style="18" customWidth="1"/>
    <col min="4347" max="4347" width="7.21875" style="18" customWidth="1"/>
    <col min="4348" max="4348" width="5.5546875" style="18" customWidth="1"/>
    <col min="4349" max="4349" width="9" style="18" customWidth="1"/>
    <col min="4350" max="4351" width="9.77734375" style="18" customWidth="1"/>
    <col min="4352" max="4352" width="11.21875" style="18" customWidth="1"/>
    <col min="4353" max="4353" width="2.77734375" style="18" customWidth="1"/>
    <col min="4354" max="4354" width="3.5546875" style="18" customWidth="1"/>
    <col min="4355" max="4599" width="9.21875" style="18"/>
    <col min="4600" max="4600" width="8.77734375" style="18" customWidth="1"/>
    <col min="4601" max="4601" width="9.77734375" style="18" customWidth="1"/>
    <col min="4602" max="4602" width="14.44140625" style="18" customWidth="1"/>
    <col min="4603" max="4603" width="7.21875" style="18" customWidth="1"/>
    <col min="4604" max="4604" width="5.5546875" style="18" customWidth="1"/>
    <col min="4605" max="4605" width="9" style="18" customWidth="1"/>
    <col min="4606" max="4607" width="9.77734375" style="18" customWidth="1"/>
    <col min="4608" max="4608" width="11.21875" style="18" customWidth="1"/>
    <col min="4609" max="4609" width="2.77734375" style="18" customWidth="1"/>
    <col min="4610" max="4610" width="3.5546875" style="18" customWidth="1"/>
    <col min="4611" max="4855" width="9.21875" style="18"/>
    <col min="4856" max="4856" width="8.77734375" style="18" customWidth="1"/>
    <col min="4857" max="4857" width="9.77734375" style="18" customWidth="1"/>
    <col min="4858" max="4858" width="14.44140625" style="18" customWidth="1"/>
    <col min="4859" max="4859" width="7.21875" style="18" customWidth="1"/>
    <col min="4860" max="4860" width="5.5546875" style="18" customWidth="1"/>
    <col min="4861" max="4861" width="9" style="18" customWidth="1"/>
    <col min="4862" max="4863" width="9.77734375" style="18" customWidth="1"/>
    <col min="4864" max="4864" width="11.21875" style="18" customWidth="1"/>
    <col min="4865" max="4865" width="2.77734375" style="18" customWidth="1"/>
    <col min="4866" max="4866" width="3.5546875" style="18" customWidth="1"/>
    <col min="4867" max="5111" width="9.21875" style="18"/>
    <col min="5112" max="5112" width="8.77734375" style="18" customWidth="1"/>
    <col min="5113" max="5113" width="9.77734375" style="18" customWidth="1"/>
    <col min="5114" max="5114" width="14.44140625" style="18" customWidth="1"/>
    <col min="5115" max="5115" width="7.21875" style="18" customWidth="1"/>
    <col min="5116" max="5116" width="5.5546875" style="18" customWidth="1"/>
    <col min="5117" max="5117" width="9" style="18" customWidth="1"/>
    <col min="5118" max="5119" width="9.77734375" style="18" customWidth="1"/>
    <col min="5120" max="5120" width="11.21875" style="18" customWidth="1"/>
    <col min="5121" max="5121" width="2.77734375" style="18" customWidth="1"/>
    <col min="5122" max="5122" width="3.5546875" style="18" customWidth="1"/>
    <col min="5123" max="5367" width="9.21875" style="18"/>
    <col min="5368" max="5368" width="8.77734375" style="18" customWidth="1"/>
    <col min="5369" max="5369" width="9.77734375" style="18" customWidth="1"/>
    <col min="5370" max="5370" width="14.44140625" style="18" customWidth="1"/>
    <col min="5371" max="5371" width="7.21875" style="18" customWidth="1"/>
    <col min="5372" max="5372" width="5.5546875" style="18" customWidth="1"/>
    <col min="5373" max="5373" width="9" style="18" customWidth="1"/>
    <col min="5374" max="5375" width="9.77734375" style="18" customWidth="1"/>
    <col min="5376" max="5376" width="11.21875" style="18" customWidth="1"/>
    <col min="5377" max="5377" width="2.77734375" style="18" customWidth="1"/>
    <col min="5378" max="5378" width="3.5546875" style="18" customWidth="1"/>
    <col min="5379" max="5623" width="9.21875" style="18"/>
    <col min="5624" max="5624" width="8.77734375" style="18" customWidth="1"/>
    <col min="5625" max="5625" width="9.77734375" style="18" customWidth="1"/>
    <col min="5626" max="5626" width="14.44140625" style="18" customWidth="1"/>
    <col min="5627" max="5627" width="7.21875" style="18" customWidth="1"/>
    <col min="5628" max="5628" width="5.5546875" style="18" customWidth="1"/>
    <col min="5629" max="5629" width="9" style="18" customWidth="1"/>
    <col min="5630" max="5631" width="9.77734375" style="18" customWidth="1"/>
    <col min="5632" max="5632" width="11.21875" style="18" customWidth="1"/>
    <col min="5633" max="5633" width="2.77734375" style="18" customWidth="1"/>
    <col min="5634" max="5634" width="3.5546875" style="18" customWidth="1"/>
    <col min="5635" max="5879" width="9.21875" style="18"/>
    <col min="5880" max="5880" width="8.77734375" style="18" customWidth="1"/>
    <col min="5881" max="5881" width="9.77734375" style="18" customWidth="1"/>
    <col min="5882" max="5882" width="14.44140625" style="18" customWidth="1"/>
    <col min="5883" max="5883" width="7.21875" style="18" customWidth="1"/>
    <col min="5884" max="5884" width="5.5546875" style="18" customWidth="1"/>
    <col min="5885" max="5885" width="9" style="18" customWidth="1"/>
    <col min="5886" max="5887" width="9.77734375" style="18" customWidth="1"/>
    <col min="5888" max="5888" width="11.21875" style="18" customWidth="1"/>
    <col min="5889" max="5889" width="2.77734375" style="18" customWidth="1"/>
    <col min="5890" max="5890" width="3.5546875" style="18" customWidth="1"/>
    <col min="5891" max="6135" width="9.21875" style="18"/>
    <col min="6136" max="6136" width="8.77734375" style="18" customWidth="1"/>
    <col min="6137" max="6137" width="9.77734375" style="18" customWidth="1"/>
    <col min="6138" max="6138" width="14.44140625" style="18" customWidth="1"/>
    <col min="6139" max="6139" width="7.21875" style="18" customWidth="1"/>
    <col min="6140" max="6140" width="5.5546875" style="18" customWidth="1"/>
    <col min="6141" max="6141" width="9" style="18" customWidth="1"/>
    <col min="6142" max="6143" width="9.77734375" style="18" customWidth="1"/>
    <col min="6144" max="6144" width="11.21875" style="18" customWidth="1"/>
    <col min="6145" max="6145" width="2.77734375" style="18" customWidth="1"/>
    <col min="6146" max="6146" width="3.5546875" style="18" customWidth="1"/>
    <col min="6147" max="6391" width="9.21875" style="18"/>
    <col min="6392" max="6392" width="8.77734375" style="18" customWidth="1"/>
    <col min="6393" max="6393" width="9.77734375" style="18" customWidth="1"/>
    <col min="6394" max="6394" width="14.44140625" style="18" customWidth="1"/>
    <col min="6395" max="6395" width="7.21875" style="18" customWidth="1"/>
    <col min="6396" max="6396" width="5.5546875" style="18" customWidth="1"/>
    <col min="6397" max="6397" width="9" style="18" customWidth="1"/>
    <col min="6398" max="6399" width="9.77734375" style="18" customWidth="1"/>
    <col min="6400" max="6400" width="11.21875" style="18" customWidth="1"/>
    <col min="6401" max="6401" width="2.77734375" style="18" customWidth="1"/>
    <col min="6402" max="6402" width="3.5546875" style="18" customWidth="1"/>
    <col min="6403" max="6647" width="9.21875" style="18"/>
    <col min="6648" max="6648" width="8.77734375" style="18" customWidth="1"/>
    <col min="6649" max="6649" width="9.77734375" style="18" customWidth="1"/>
    <col min="6650" max="6650" width="14.44140625" style="18" customWidth="1"/>
    <col min="6651" max="6651" width="7.21875" style="18" customWidth="1"/>
    <col min="6652" max="6652" width="5.5546875" style="18" customWidth="1"/>
    <col min="6653" max="6653" width="9" style="18" customWidth="1"/>
    <col min="6654" max="6655" width="9.77734375" style="18" customWidth="1"/>
    <col min="6656" max="6656" width="11.21875" style="18" customWidth="1"/>
    <col min="6657" max="6657" width="2.77734375" style="18" customWidth="1"/>
    <col min="6658" max="6658" width="3.5546875" style="18" customWidth="1"/>
    <col min="6659" max="6903" width="9.21875" style="18"/>
    <col min="6904" max="6904" width="8.77734375" style="18" customWidth="1"/>
    <col min="6905" max="6905" width="9.77734375" style="18" customWidth="1"/>
    <col min="6906" max="6906" width="14.44140625" style="18" customWidth="1"/>
    <col min="6907" max="6907" width="7.21875" style="18" customWidth="1"/>
    <col min="6908" max="6908" width="5.5546875" style="18" customWidth="1"/>
    <col min="6909" max="6909" width="9" style="18" customWidth="1"/>
    <col min="6910" max="6911" width="9.77734375" style="18" customWidth="1"/>
    <col min="6912" max="6912" width="11.21875" style="18" customWidth="1"/>
    <col min="6913" max="6913" width="2.77734375" style="18" customWidth="1"/>
    <col min="6914" max="6914" width="3.5546875" style="18" customWidth="1"/>
    <col min="6915" max="7159" width="9.21875" style="18"/>
    <col min="7160" max="7160" width="8.77734375" style="18" customWidth="1"/>
    <col min="7161" max="7161" width="9.77734375" style="18" customWidth="1"/>
    <col min="7162" max="7162" width="14.44140625" style="18" customWidth="1"/>
    <col min="7163" max="7163" width="7.21875" style="18" customWidth="1"/>
    <col min="7164" max="7164" width="5.5546875" style="18" customWidth="1"/>
    <col min="7165" max="7165" width="9" style="18" customWidth="1"/>
    <col min="7166" max="7167" width="9.77734375" style="18" customWidth="1"/>
    <col min="7168" max="7168" width="11.21875" style="18" customWidth="1"/>
    <col min="7169" max="7169" width="2.77734375" style="18" customWidth="1"/>
    <col min="7170" max="7170" width="3.5546875" style="18" customWidth="1"/>
    <col min="7171" max="7415" width="9.21875" style="18"/>
    <col min="7416" max="7416" width="8.77734375" style="18" customWidth="1"/>
    <col min="7417" max="7417" width="9.77734375" style="18" customWidth="1"/>
    <col min="7418" max="7418" width="14.44140625" style="18" customWidth="1"/>
    <col min="7419" max="7419" width="7.21875" style="18" customWidth="1"/>
    <col min="7420" max="7420" width="5.5546875" style="18" customWidth="1"/>
    <col min="7421" max="7421" width="9" style="18" customWidth="1"/>
    <col min="7422" max="7423" width="9.77734375" style="18" customWidth="1"/>
    <col min="7424" max="7424" width="11.21875" style="18" customWidth="1"/>
    <col min="7425" max="7425" width="2.77734375" style="18" customWidth="1"/>
    <col min="7426" max="7426" width="3.5546875" style="18" customWidth="1"/>
    <col min="7427" max="7671" width="9.21875" style="18"/>
    <col min="7672" max="7672" width="8.77734375" style="18" customWidth="1"/>
    <col min="7673" max="7673" width="9.77734375" style="18" customWidth="1"/>
    <col min="7674" max="7674" width="14.44140625" style="18" customWidth="1"/>
    <col min="7675" max="7675" width="7.21875" style="18" customWidth="1"/>
    <col min="7676" max="7676" width="5.5546875" style="18" customWidth="1"/>
    <col min="7677" max="7677" width="9" style="18" customWidth="1"/>
    <col min="7678" max="7679" width="9.77734375" style="18" customWidth="1"/>
    <col min="7680" max="7680" width="11.21875" style="18" customWidth="1"/>
    <col min="7681" max="7681" width="2.77734375" style="18" customWidth="1"/>
    <col min="7682" max="7682" width="3.5546875" style="18" customWidth="1"/>
    <col min="7683" max="7927" width="9.21875" style="18"/>
    <col min="7928" max="7928" width="8.77734375" style="18" customWidth="1"/>
    <col min="7929" max="7929" width="9.77734375" style="18" customWidth="1"/>
    <col min="7930" max="7930" width="14.44140625" style="18" customWidth="1"/>
    <col min="7931" max="7931" width="7.21875" style="18" customWidth="1"/>
    <col min="7932" max="7932" width="5.5546875" style="18" customWidth="1"/>
    <col min="7933" max="7933" width="9" style="18" customWidth="1"/>
    <col min="7934" max="7935" width="9.77734375" style="18" customWidth="1"/>
    <col min="7936" max="7936" width="11.21875" style="18" customWidth="1"/>
    <col min="7937" max="7937" width="2.77734375" style="18" customWidth="1"/>
    <col min="7938" max="7938" width="3.5546875" style="18" customWidth="1"/>
    <col min="7939" max="8183" width="9.21875" style="18"/>
    <col min="8184" max="8184" width="8.77734375" style="18" customWidth="1"/>
    <col min="8185" max="8185" width="9.77734375" style="18" customWidth="1"/>
    <col min="8186" max="8186" width="14.44140625" style="18" customWidth="1"/>
    <col min="8187" max="8187" width="7.21875" style="18" customWidth="1"/>
    <col min="8188" max="8188" width="5.5546875" style="18" customWidth="1"/>
    <col min="8189" max="8189" width="9" style="18" customWidth="1"/>
    <col min="8190" max="8191" width="9.77734375" style="18" customWidth="1"/>
    <col min="8192" max="8192" width="11.21875" style="18" customWidth="1"/>
    <col min="8193" max="8193" width="2.77734375" style="18" customWidth="1"/>
    <col min="8194" max="8194" width="3.5546875" style="18" customWidth="1"/>
    <col min="8195" max="8439" width="9.21875" style="18"/>
    <col min="8440" max="8440" width="8.77734375" style="18" customWidth="1"/>
    <col min="8441" max="8441" width="9.77734375" style="18" customWidth="1"/>
    <col min="8442" max="8442" width="14.44140625" style="18" customWidth="1"/>
    <col min="8443" max="8443" width="7.21875" style="18" customWidth="1"/>
    <col min="8444" max="8444" width="5.5546875" style="18" customWidth="1"/>
    <col min="8445" max="8445" width="9" style="18" customWidth="1"/>
    <col min="8446" max="8447" width="9.77734375" style="18" customWidth="1"/>
    <col min="8448" max="8448" width="11.21875" style="18" customWidth="1"/>
    <col min="8449" max="8449" width="2.77734375" style="18" customWidth="1"/>
    <col min="8450" max="8450" width="3.5546875" style="18" customWidth="1"/>
    <col min="8451" max="8695" width="9.21875" style="18"/>
    <col min="8696" max="8696" width="8.77734375" style="18" customWidth="1"/>
    <col min="8697" max="8697" width="9.77734375" style="18" customWidth="1"/>
    <col min="8698" max="8698" width="14.44140625" style="18" customWidth="1"/>
    <col min="8699" max="8699" width="7.21875" style="18" customWidth="1"/>
    <col min="8700" max="8700" width="5.5546875" style="18" customWidth="1"/>
    <col min="8701" max="8701" width="9" style="18" customWidth="1"/>
    <col min="8702" max="8703" width="9.77734375" style="18" customWidth="1"/>
    <col min="8704" max="8704" width="11.21875" style="18" customWidth="1"/>
    <col min="8705" max="8705" width="2.77734375" style="18" customWidth="1"/>
    <col min="8706" max="8706" width="3.5546875" style="18" customWidth="1"/>
    <col min="8707" max="8951" width="9.21875" style="18"/>
    <col min="8952" max="8952" width="8.77734375" style="18" customWidth="1"/>
    <col min="8953" max="8953" width="9.77734375" style="18" customWidth="1"/>
    <col min="8954" max="8954" width="14.44140625" style="18" customWidth="1"/>
    <col min="8955" max="8955" width="7.21875" style="18" customWidth="1"/>
    <col min="8956" max="8956" width="5.5546875" style="18" customWidth="1"/>
    <col min="8957" max="8957" width="9" style="18" customWidth="1"/>
    <col min="8958" max="8959" width="9.77734375" style="18" customWidth="1"/>
    <col min="8960" max="8960" width="11.21875" style="18" customWidth="1"/>
    <col min="8961" max="8961" width="2.77734375" style="18" customWidth="1"/>
    <col min="8962" max="8962" width="3.5546875" style="18" customWidth="1"/>
    <col min="8963" max="9207" width="9.21875" style="18"/>
    <col min="9208" max="9208" width="8.77734375" style="18" customWidth="1"/>
    <col min="9209" max="9209" width="9.77734375" style="18" customWidth="1"/>
    <col min="9210" max="9210" width="14.44140625" style="18" customWidth="1"/>
    <col min="9211" max="9211" width="7.21875" style="18" customWidth="1"/>
    <col min="9212" max="9212" width="5.5546875" style="18" customWidth="1"/>
    <col min="9213" max="9213" width="9" style="18" customWidth="1"/>
    <col min="9214" max="9215" width="9.77734375" style="18" customWidth="1"/>
    <col min="9216" max="9216" width="11.21875" style="18" customWidth="1"/>
    <col min="9217" max="9217" width="2.77734375" style="18" customWidth="1"/>
    <col min="9218" max="9218" width="3.5546875" style="18" customWidth="1"/>
    <col min="9219" max="9463" width="9.21875" style="18"/>
    <col min="9464" max="9464" width="8.77734375" style="18" customWidth="1"/>
    <col min="9465" max="9465" width="9.77734375" style="18" customWidth="1"/>
    <col min="9466" max="9466" width="14.44140625" style="18" customWidth="1"/>
    <col min="9467" max="9467" width="7.21875" style="18" customWidth="1"/>
    <col min="9468" max="9468" width="5.5546875" style="18" customWidth="1"/>
    <col min="9469" max="9469" width="9" style="18" customWidth="1"/>
    <col min="9470" max="9471" width="9.77734375" style="18" customWidth="1"/>
    <col min="9472" max="9472" width="11.21875" style="18" customWidth="1"/>
    <col min="9473" max="9473" width="2.77734375" style="18" customWidth="1"/>
    <col min="9474" max="9474" width="3.5546875" style="18" customWidth="1"/>
    <col min="9475" max="9719" width="9.21875" style="18"/>
    <col min="9720" max="9720" width="8.77734375" style="18" customWidth="1"/>
    <col min="9721" max="9721" width="9.77734375" style="18" customWidth="1"/>
    <col min="9722" max="9722" width="14.44140625" style="18" customWidth="1"/>
    <col min="9723" max="9723" width="7.21875" style="18" customWidth="1"/>
    <col min="9724" max="9724" width="5.5546875" style="18" customWidth="1"/>
    <col min="9725" max="9725" width="9" style="18" customWidth="1"/>
    <col min="9726" max="9727" width="9.77734375" style="18" customWidth="1"/>
    <col min="9728" max="9728" width="11.21875" style="18" customWidth="1"/>
    <col min="9729" max="9729" width="2.77734375" style="18" customWidth="1"/>
    <col min="9730" max="9730" width="3.5546875" style="18" customWidth="1"/>
    <col min="9731" max="9975" width="9.21875" style="18"/>
    <col min="9976" max="9976" width="8.77734375" style="18" customWidth="1"/>
    <col min="9977" max="9977" width="9.77734375" style="18" customWidth="1"/>
    <col min="9978" max="9978" width="14.44140625" style="18" customWidth="1"/>
    <col min="9979" max="9979" width="7.21875" style="18" customWidth="1"/>
    <col min="9980" max="9980" width="5.5546875" style="18" customWidth="1"/>
    <col min="9981" max="9981" width="9" style="18" customWidth="1"/>
    <col min="9982" max="9983" width="9.77734375" style="18" customWidth="1"/>
    <col min="9984" max="9984" width="11.21875" style="18" customWidth="1"/>
    <col min="9985" max="9985" width="2.77734375" style="18" customWidth="1"/>
    <col min="9986" max="9986" width="3.5546875" style="18" customWidth="1"/>
    <col min="9987" max="10231" width="9.21875" style="18"/>
    <col min="10232" max="10232" width="8.77734375" style="18" customWidth="1"/>
    <col min="10233" max="10233" width="9.77734375" style="18" customWidth="1"/>
    <col min="10234" max="10234" width="14.44140625" style="18" customWidth="1"/>
    <col min="10235" max="10235" width="7.21875" style="18" customWidth="1"/>
    <col min="10236" max="10236" width="5.5546875" style="18" customWidth="1"/>
    <col min="10237" max="10237" width="9" style="18" customWidth="1"/>
    <col min="10238" max="10239" width="9.77734375" style="18" customWidth="1"/>
    <col min="10240" max="10240" width="11.21875" style="18" customWidth="1"/>
    <col min="10241" max="10241" width="2.77734375" style="18" customWidth="1"/>
    <col min="10242" max="10242" width="3.5546875" style="18" customWidth="1"/>
    <col min="10243" max="10487" width="9.21875" style="18"/>
    <col min="10488" max="10488" width="8.77734375" style="18" customWidth="1"/>
    <col min="10489" max="10489" width="9.77734375" style="18" customWidth="1"/>
    <col min="10490" max="10490" width="14.44140625" style="18" customWidth="1"/>
    <col min="10491" max="10491" width="7.21875" style="18" customWidth="1"/>
    <col min="10492" max="10492" width="5.5546875" style="18" customWidth="1"/>
    <col min="10493" max="10493" width="9" style="18" customWidth="1"/>
    <col min="10494" max="10495" width="9.77734375" style="18" customWidth="1"/>
    <col min="10496" max="10496" width="11.21875" style="18" customWidth="1"/>
    <col min="10497" max="10497" width="2.77734375" style="18" customWidth="1"/>
    <col min="10498" max="10498" width="3.5546875" style="18" customWidth="1"/>
    <col min="10499" max="10743" width="9.21875" style="18"/>
    <col min="10744" max="10744" width="8.77734375" style="18" customWidth="1"/>
    <col min="10745" max="10745" width="9.77734375" style="18" customWidth="1"/>
    <col min="10746" max="10746" width="14.44140625" style="18" customWidth="1"/>
    <col min="10747" max="10747" width="7.21875" style="18" customWidth="1"/>
    <col min="10748" max="10748" width="5.5546875" style="18" customWidth="1"/>
    <col min="10749" max="10749" width="9" style="18" customWidth="1"/>
    <col min="10750" max="10751" width="9.77734375" style="18" customWidth="1"/>
    <col min="10752" max="10752" width="11.21875" style="18" customWidth="1"/>
    <col min="10753" max="10753" width="2.77734375" style="18" customWidth="1"/>
    <col min="10754" max="10754" width="3.5546875" style="18" customWidth="1"/>
    <col min="10755" max="10999" width="9.21875" style="18"/>
    <col min="11000" max="11000" width="8.77734375" style="18" customWidth="1"/>
    <col min="11001" max="11001" width="9.77734375" style="18" customWidth="1"/>
    <col min="11002" max="11002" width="14.44140625" style="18" customWidth="1"/>
    <col min="11003" max="11003" width="7.21875" style="18" customWidth="1"/>
    <col min="11004" max="11004" width="5.5546875" style="18" customWidth="1"/>
    <col min="11005" max="11005" width="9" style="18" customWidth="1"/>
    <col min="11006" max="11007" width="9.77734375" style="18" customWidth="1"/>
    <col min="11008" max="11008" width="11.21875" style="18" customWidth="1"/>
    <col min="11009" max="11009" width="2.77734375" style="18" customWidth="1"/>
    <col min="11010" max="11010" width="3.5546875" style="18" customWidth="1"/>
    <col min="11011" max="11255" width="9.21875" style="18"/>
    <col min="11256" max="11256" width="8.77734375" style="18" customWidth="1"/>
    <col min="11257" max="11257" width="9.77734375" style="18" customWidth="1"/>
    <col min="11258" max="11258" width="14.44140625" style="18" customWidth="1"/>
    <col min="11259" max="11259" width="7.21875" style="18" customWidth="1"/>
    <col min="11260" max="11260" width="5.5546875" style="18" customWidth="1"/>
    <col min="11261" max="11261" width="9" style="18" customWidth="1"/>
    <col min="11262" max="11263" width="9.77734375" style="18" customWidth="1"/>
    <col min="11264" max="11264" width="11.21875" style="18" customWidth="1"/>
    <col min="11265" max="11265" width="2.77734375" style="18" customWidth="1"/>
    <col min="11266" max="11266" width="3.5546875" style="18" customWidth="1"/>
    <col min="11267" max="11511" width="9.21875" style="18"/>
    <col min="11512" max="11512" width="8.77734375" style="18" customWidth="1"/>
    <col min="11513" max="11513" width="9.77734375" style="18" customWidth="1"/>
    <col min="11514" max="11514" width="14.44140625" style="18" customWidth="1"/>
    <col min="11515" max="11515" width="7.21875" style="18" customWidth="1"/>
    <col min="11516" max="11516" width="5.5546875" style="18" customWidth="1"/>
    <col min="11517" max="11517" width="9" style="18" customWidth="1"/>
    <col min="11518" max="11519" width="9.77734375" style="18" customWidth="1"/>
    <col min="11520" max="11520" width="11.21875" style="18" customWidth="1"/>
    <col min="11521" max="11521" width="2.77734375" style="18" customWidth="1"/>
    <col min="11522" max="11522" width="3.5546875" style="18" customWidth="1"/>
    <col min="11523" max="11767" width="9.21875" style="18"/>
    <col min="11768" max="11768" width="8.77734375" style="18" customWidth="1"/>
    <col min="11769" max="11769" width="9.77734375" style="18" customWidth="1"/>
    <col min="11770" max="11770" width="14.44140625" style="18" customWidth="1"/>
    <col min="11771" max="11771" width="7.21875" style="18" customWidth="1"/>
    <col min="11772" max="11772" width="5.5546875" style="18" customWidth="1"/>
    <col min="11773" max="11773" width="9" style="18" customWidth="1"/>
    <col min="11774" max="11775" width="9.77734375" style="18" customWidth="1"/>
    <col min="11776" max="11776" width="11.21875" style="18" customWidth="1"/>
    <col min="11777" max="11777" width="2.77734375" style="18" customWidth="1"/>
    <col min="11778" max="11778" width="3.5546875" style="18" customWidth="1"/>
    <col min="11779" max="12023" width="9.21875" style="18"/>
    <col min="12024" max="12024" width="8.77734375" style="18" customWidth="1"/>
    <col min="12025" max="12025" width="9.77734375" style="18" customWidth="1"/>
    <col min="12026" max="12026" width="14.44140625" style="18" customWidth="1"/>
    <col min="12027" max="12027" width="7.21875" style="18" customWidth="1"/>
    <col min="12028" max="12028" width="5.5546875" style="18" customWidth="1"/>
    <col min="12029" max="12029" width="9" style="18" customWidth="1"/>
    <col min="12030" max="12031" width="9.77734375" style="18" customWidth="1"/>
    <col min="12032" max="12032" width="11.21875" style="18" customWidth="1"/>
    <col min="12033" max="12033" width="2.77734375" style="18" customWidth="1"/>
    <col min="12034" max="12034" width="3.5546875" style="18" customWidth="1"/>
    <col min="12035" max="12279" width="9.21875" style="18"/>
    <col min="12280" max="12280" width="8.77734375" style="18" customWidth="1"/>
    <col min="12281" max="12281" width="9.77734375" style="18" customWidth="1"/>
    <col min="12282" max="12282" width="14.44140625" style="18" customWidth="1"/>
    <col min="12283" max="12283" width="7.21875" style="18" customWidth="1"/>
    <col min="12284" max="12284" width="5.5546875" style="18" customWidth="1"/>
    <col min="12285" max="12285" width="9" style="18" customWidth="1"/>
    <col min="12286" max="12287" width="9.77734375" style="18" customWidth="1"/>
    <col min="12288" max="12288" width="11.21875" style="18" customWidth="1"/>
    <col min="12289" max="12289" width="2.77734375" style="18" customWidth="1"/>
    <col min="12290" max="12290" width="3.5546875" style="18" customWidth="1"/>
    <col min="12291" max="12535" width="9.21875" style="18"/>
    <col min="12536" max="12536" width="8.77734375" style="18" customWidth="1"/>
    <col min="12537" max="12537" width="9.77734375" style="18" customWidth="1"/>
    <col min="12538" max="12538" width="14.44140625" style="18" customWidth="1"/>
    <col min="12539" max="12539" width="7.21875" style="18" customWidth="1"/>
    <col min="12540" max="12540" width="5.5546875" style="18" customWidth="1"/>
    <col min="12541" max="12541" width="9" style="18" customWidth="1"/>
    <col min="12542" max="12543" width="9.77734375" style="18" customWidth="1"/>
    <col min="12544" max="12544" width="11.21875" style="18" customWidth="1"/>
    <col min="12545" max="12545" width="2.77734375" style="18" customWidth="1"/>
    <col min="12546" max="12546" width="3.5546875" style="18" customWidth="1"/>
    <col min="12547" max="12791" width="9.21875" style="18"/>
    <col min="12792" max="12792" width="8.77734375" style="18" customWidth="1"/>
    <col min="12793" max="12793" width="9.77734375" style="18" customWidth="1"/>
    <col min="12794" max="12794" width="14.44140625" style="18" customWidth="1"/>
    <col min="12795" max="12795" width="7.21875" style="18" customWidth="1"/>
    <col min="12796" max="12796" width="5.5546875" style="18" customWidth="1"/>
    <col min="12797" max="12797" width="9" style="18" customWidth="1"/>
    <col min="12798" max="12799" width="9.77734375" style="18" customWidth="1"/>
    <col min="12800" max="12800" width="11.21875" style="18" customWidth="1"/>
    <col min="12801" max="12801" width="2.77734375" style="18" customWidth="1"/>
    <col min="12802" max="12802" width="3.5546875" style="18" customWidth="1"/>
    <col min="12803" max="13047" width="9.21875" style="18"/>
    <col min="13048" max="13048" width="8.77734375" style="18" customWidth="1"/>
    <col min="13049" max="13049" width="9.77734375" style="18" customWidth="1"/>
    <col min="13050" max="13050" width="14.44140625" style="18" customWidth="1"/>
    <col min="13051" max="13051" width="7.21875" style="18" customWidth="1"/>
    <col min="13052" max="13052" width="5.5546875" style="18" customWidth="1"/>
    <col min="13053" max="13053" width="9" style="18" customWidth="1"/>
    <col min="13054" max="13055" width="9.77734375" style="18" customWidth="1"/>
    <col min="13056" max="13056" width="11.21875" style="18" customWidth="1"/>
    <col min="13057" max="13057" width="2.77734375" style="18" customWidth="1"/>
    <col min="13058" max="13058" width="3.5546875" style="18" customWidth="1"/>
    <col min="13059" max="13303" width="9.21875" style="18"/>
    <col min="13304" max="13304" width="8.77734375" style="18" customWidth="1"/>
    <col min="13305" max="13305" width="9.77734375" style="18" customWidth="1"/>
    <col min="13306" max="13306" width="14.44140625" style="18" customWidth="1"/>
    <col min="13307" max="13307" width="7.21875" style="18" customWidth="1"/>
    <col min="13308" max="13308" width="5.5546875" style="18" customWidth="1"/>
    <col min="13309" max="13309" width="9" style="18" customWidth="1"/>
    <col min="13310" max="13311" width="9.77734375" style="18" customWidth="1"/>
    <col min="13312" max="13312" width="11.21875" style="18" customWidth="1"/>
    <col min="13313" max="13313" width="2.77734375" style="18" customWidth="1"/>
    <col min="13314" max="13314" width="3.5546875" style="18" customWidth="1"/>
    <col min="13315" max="13559" width="9.21875" style="18"/>
    <col min="13560" max="13560" width="8.77734375" style="18" customWidth="1"/>
    <col min="13561" max="13561" width="9.77734375" style="18" customWidth="1"/>
    <col min="13562" max="13562" width="14.44140625" style="18" customWidth="1"/>
    <col min="13563" max="13563" width="7.21875" style="18" customWidth="1"/>
    <col min="13564" max="13564" width="5.5546875" style="18" customWidth="1"/>
    <col min="13565" max="13565" width="9" style="18" customWidth="1"/>
    <col min="13566" max="13567" width="9.77734375" style="18" customWidth="1"/>
    <col min="13568" max="13568" width="11.21875" style="18" customWidth="1"/>
    <col min="13569" max="13569" width="2.77734375" style="18" customWidth="1"/>
    <col min="13570" max="13570" width="3.5546875" style="18" customWidth="1"/>
    <col min="13571" max="13815" width="9.21875" style="18"/>
    <col min="13816" max="13816" width="8.77734375" style="18" customWidth="1"/>
    <col min="13817" max="13817" width="9.77734375" style="18" customWidth="1"/>
    <col min="13818" max="13818" width="14.44140625" style="18" customWidth="1"/>
    <col min="13819" max="13819" width="7.21875" style="18" customWidth="1"/>
    <col min="13820" max="13820" width="5.5546875" style="18" customWidth="1"/>
    <col min="13821" max="13821" width="9" style="18" customWidth="1"/>
    <col min="13822" max="13823" width="9.77734375" style="18" customWidth="1"/>
    <col min="13824" max="13824" width="11.21875" style="18" customWidth="1"/>
    <col min="13825" max="13825" width="2.77734375" style="18" customWidth="1"/>
    <col min="13826" max="13826" width="3.5546875" style="18" customWidth="1"/>
    <col min="13827" max="14071" width="9.21875" style="18"/>
    <col min="14072" max="14072" width="8.77734375" style="18" customWidth="1"/>
    <col min="14073" max="14073" width="9.77734375" style="18" customWidth="1"/>
    <col min="14074" max="14074" width="14.44140625" style="18" customWidth="1"/>
    <col min="14075" max="14075" width="7.21875" style="18" customWidth="1"/>
    <col min="14076" max="14076" width="5.5546875" style="18" customWidth="1"/>
    <col min="14077" max="14077" width="9" style="18" customWidth="1"/>
    <col min="14078" max="14079" width="9.77734375" style="18" customWidth="1"/>
    <col min="14080" max="14080" width="11.21875" style="18" customWidth="1"/>
    <col min="14081" max="14081" width="2.77734375" style="18" customWidth="1"/>
    <col min="14082" max="14082" width="3.5546875" style="18" customWidth="1"/>
    <col min="14083" max="14327" width="9.21875" style="18"/>
    <col min="14328" max="14328" width="8.77734375" style="18" customWidth="1"/>
    <col min="14329" max="14329" width="9.77734375" style="18" customWidth="1"/>
    <col min="14330" max="14330" width="14.44140625" style="18" customWidth="1"/>
    <col min="14331" max="14331" width="7.21875" style="18" customWidth="1"/>
    <col min="14332" max="14332" width="5.5546875" style="18" customWidth="1"/>
    <col min="14333" max="14333" width="9" style="18" customWidth="1"/>
    <col min="14334" max="14335" width="9.77734375" style="18" customWidth="1"/>
    <col min="14336" max="14336" width="11.21875" style="18" customWidth="1"/>
    <col min="14337" max="14337" width="2.77734375" style="18" customWidth="1"/>
    <col min="14338" max="14338" width="3.5546875" style="18" customWidth="1"/>
    <col min="14339" max="14583" width="9.21875" style="18"/>
    <col min="14584" max="14584" width="8.77734375" style="18" customWidth="1"/>
    <col min="14585" max="14585" width="9.77734375" style="18" customWidth="1"/>
    <col min="14586" max="14586" width="14.44140625" style="18" customWidth="1"/>
    <col min="14587" max="14587" width="7.21875" style="18" customWidth="1"/>
    <col min="14588" max="14588" width="5.5546875" style="18" customWidth="1"/>
    <col min="14589" max="14589" width="9" style="18" customWidth="1"/>
    <col min="14590" max="14591" width="9.77734375" style="18" customWidth="1"/>
    <col min="14592" max="14592" width="11.21875" style="18" customWidth="1"/>
    <col min="14593" max="14593" width="2.77734375" style="18" customWidth="1"/>
    <col min="14594" max="14594" width="3.5546875" style="18" customWidth="1"/>
    <col min="14595" max="14839" width="9.21875" style="18"/>
    <col min="14840" max="14840" width="8.77734375" style="18" customWidth="1"/>
    <col min="14841" max="14841" width="9.77734375" style="18" customWidth="1"/>
    <col min="14842" max="14842" width="14.44140625" style="18" customWidth="1"/>
    <col min="14843" max="14843" width="7.21875" style="18" customWidth="1"/>
    <col min="14844" max="14844" width="5.5546875" style="18" customWidth="1"/>
    <col min="14845" max="14845" width="9" style="18" customWidth="1"/>
    <col min="14846" max="14847" width="9.77734375" style="18" customWidth="1"/>
    <col min="14848" max="14848" width="11.21875" style="18" customWidth="1"/>
    <col min="14849" max="14849" width="2.77734375" style="18" customWidth="1"/>
    <col min="14850" max="14850" width="3.5546875" style="18" customWidth="1"/>
    <col min="14851" max="15095" width="9.21875" style="18"/>
    <col min="15096" max="15096" width="8.77734375" style="18" customWidth="1"/>
    <col min="15097" max="15097" width="9.77734375" style="18" customWidth="1"/>
    <col min="15098" max="15098" width="14.44140625" style="18" customWidth="1"/>
    <col min="15099" max="15099" width="7.21875" style="18" customWidth="1"/>
    <col min="15100" max="15100" width="5.5546875" style="18" customWidth="1"/>
    <col min="15101" max="15101" width="9" style="18" customWidth="1"/>
    <col min="15102" max="15103" width="9.77734375" style="18" customWidth="1"/>
    <col min="15104" max="15104" width="11.21875" style="18" customWidth="1"/>
    <col min="15105" max="15105" width="2.77734375" style="18" customWidth="1"/>
    <col min="15106" max="15106" width="3.5546875" style="18" customWidth="1"/>
    <col min="15107" max="15351" width="9.21875" style="18"/>
    <col min="15352" max="15352" width="8.77734375" style="18" customWidth="1"/>
    <col min="15353" max="15353" width="9.77734375" style="18" customWidth="1"/>
    <col min="15354" max="15354" width="14.44140625" style="18" customWidth="1"/>
    <col min="15355" max="15355" width="7.21875" style="18" customWidth="1"/>
    <col min="15356" max="15356" width="5.5546875" style="18" customWidth="1"/>
    <col min="15357" max="15357" width="9" style="18" customWidth="1"/>
    <col min="15358" max="15359" width="9.77734375" style="18" customWidth="1"/>
    <col min="15360" max="15360" width="11.21875" style="18" customWidth="1"/>
    <col min="15361" max="15361" width="2.77734375" style="18" customWidth="1"/>
    <col min="15362" max="15362" width="3.5546875" style="18" customWidth="1"/>
    <col min="15363" max="15607" width="9.21875" style="18"/>
    <col min="15608" max="15608" width="8.77734375" style="18" customWidth="1"/>
    <col min="15609" max="15609" width="9.77734375" style="18" customWidth="1"/>
    <col min="15610" max="15610" width="14.44140625" style="18" customWidth="1"/>
    <col min="15611" max="15611" width="7.21875" style="18" customWidth="1"/>
    <col min="15612" max="15612" width="5.5546875" style="18" customWidth="1"/>
    <col min="15613" max="15613" width="9" style="18" customWidth="1"/>
    <col min="15614" max="15615" width="9.77734375" style="18" customWidth="1"/>
    <col min="15616" max="15616" width="11.21875" style="18" customWidth="1"/>
    <col min="15617" max="15617" width="2.77734375" style="18" customWidth="1"/>
    <col min="15618" max="15618" width="3.5546875" style="18" customWidth="1"/>
    <col min="15619" max="15863" width="9.21875" style="18"/>
    <col min="15864" max="15864" width="8.77734375" style="18" customWidth="1"/>
    <col min="15865" max="15865" width="9.77734375" style="18" customWidth="1"/>
    <col min="15866" max="15866" width="14.44140625" style="18" customWidth="1"/>
    <col min="15867" max="15867" width="7.21875" style="18" customWidth="1"/>
    <col min="15868" max="15868" width="5.5546875" style="18" customWidth="1"/>
    <col min="15869" max="15869" width="9" style="18" customWidth="1"/>
    <col min="15870" max="15871" width="9.77734375" style="18" customWidth="1"/>
    <col min="15872" max="15872" width="11.21875" style="18" customWidth="1"/>
    <col min="15873" max="15873" width="2.77734375" style="18" customWidth="1"/>
    <col min="15874" max="15874" width="3.5546875" style="18" customWidth="1"/>
    <col min="15875" max="16119" width="9.21875" style="18"/>
    <col min="16120" max="16120" width="8.77734375" style="18" customWidth="1"/>
    <col min="16121" max="16121" width="9.77734375" style="18" customWidth="1"/>
    <col min="16122" max="16122" width="14.44140625" style="18" customWidth="1"/>
    <col min="16123" max="16123" width="7.21875" style="18" customWidth="1"/>
    <col min="16124" max="16124" width="5.5546875" style="18" customWidth="1"/>
    <col min="16125" max="16125" width="9" style="18" customWidth="1"/>
    <col min="16126" max="16127" width="9.77734375" style="18" customWidth="1"/>
    <col min="16128" max="16128" width="11.21875" style="18" customWidth="1"/>
    <col min="16129" max="16129" width="2.77734375" style="18" customWidth="1"/>
    <col min="16130" max="16130" width="3.5546875" style="18" customWidth="1"/>
    <col min="16131" max="16384" width="9.21875" style="18"/>
  </cols>
  <sheetData>
    <row r="1" spans="1:8" ht="46.5" customHeight="1" x14ac:dyDescent="0.3">
      <c r="A1" s="150" t="s">
        <v>171</v>
      </c>
      <c r="B1" s="150"/>
      <c r="C1" s="150"/>
      <c r="D1" s="150"/>
      <c r="E1" s="150"/>
      <c r="F1" s="150"/>
      <c r="G1" s="150"/>
      <c r="H1" s="150"/>
    </row>
    <row r="2" spans="1:8" ht="16.5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</row>
    <row r="3" spans="1:8" x14ac:dyDescent="0.3">
      <c r="A3" s="137" t="s">
        <v>1</v>
      </c>
      <c r="B3" s="137"/>
      <c r="C3" s="137"/>
      <c r="D3" s="137"/>
      <c r="E3" s="137" t="str">
        <f ca="1">TEXT(TODAY(),"DD/MM/YYYY")</f>
        <v>11/07/2025</v>
      </c>
      <c r="F3" s="137"/>
      <c r="G3" s="137"/>
      <c r="H3" s="137"/>
    </row>
    <row r="4" spans="1:8" x14ac:dyDescent="0.3">
      <c r="A4" s="137" t="s">
        <v>2</v>
      </c>
      <c r="B4" s="137"/>
      <c r="C4" s="137"/>
      <c r="D4" s="137"/>
      <c r="E4" s="137" t="s">
        <v>176</v>
      </c>
      <c r="F4" s="137"/>
      <c r="G4" s="137"/>
      <c r="H4" s="137"/>
    </row>
    <row r="5" spans="1:8" x14ac:dyDescent="0.3">
      <c r="A5" s="137" t="s">
        <v>3</v>
      </c>
      <c r="B5" s="137"/>
      <c r="C5" s="137"/>
      <c r="D5" s="137"/>
      <c r="E5" s="151">
        <v>45848</v>
      </c>
      <c r="F5" s="152"/>
      <c r="G5" s="152"/>
      <c r="H5" s="152"/>
    </row>
    <row r="6" spans="1:8" ht="16.5" customHeight="1" x14ac:dyDescent="0.3">
      <c r="A6" s="137" t="s">
        <v>4</v>
      </c>
      <c r="B6" s="137"/>
      <c r="C6" s="137"/>
      <c r="D6" s="137"/>
      <c r="E6" s="137" t="s">
        <v>178</v>
      </c>
      <c r="F6" s="137"/>
      <c r="G6" s="137"/>
      <c r="H6" s="137"/>
    </row>
    <row r="7" spans="1:8" ht="15" customHeight="1" x14ac:dyDescent="0.3">
      <c r="A7" s="137" t="s">
        <v>5</v>
      </c>
      <c r="B7" s="137"/>
      <c r="C7" s="137"/>
      <c r="D7" s="137"/>
      <c r="E7" s="137" t="str">
        <f>E6</f>
        <v>Chandak Realtors Private Limited</v>
      </c>
      <c r="F7" s="137"/>
      <c r="G7" s="137"/>
      <c r="H7" s="137"/>
    </row>
    <row r="8" spans="1:8" x14ac:dyDescent="0.3">
      <c r="A8" s="137" t="s">
        <v>6</v>
      </c>
      <c r="B8" s="137"/>
      <c r="C8" s="137"/>
      <c r="D8" s="137"/>
      <c r="E8" s="100" t="s">
        <v>179</v>
      </c>
      <c r="F8" s="100"/>
      <c r="G8" s="100"/>
      <c r="H8" s="100"/>
    </row>
    <row r="9" spans="1:8" x14ac:dyDescent="0.3">
      <c r="A9" s="137" t="s">
        <v>174</v>
      </c>
      <c r="B9" s="137"/>
      <c r="C9" s="137"/>
      <c r="D9" s="137"/>
      <c r="E9" s="137" t="s">
        <v>180</v>
      </c>
      <c r="F9" s="137"/>
      <c r="G9" s="137"/>
      <c r="H9" s="137"/>
    </row>
    <row r="10" spans="1:8" x14ac:dyDescent="0.3">
      <c r="A10" s="137" t="s">
        <v>175</v>
      </c>
      <c r="B10" s="137"/>
      <c r="C10" s="137"/>
      <c r="D10" s="137"/>
      <c r="E10" s="137" t="s">
        <v>267</v>
      </c>
      <c r="F10" s="137"/>
      <c r="G10" s="137"/>
      <c r="H10" s="137"/>
    </row>
    <row r="11" spans="1:8" x14ac:dyDescent="0.3">
      <c r="A11" s="137" t="s">
        <v>7</v>
      </c>
      <c r="B11" s="137"/>
      <c r="C11" s="137"/>
      <c r="D11" s="137"/>
      <c r="E11" s="137" t="s">
        <v>181</v>
      </c>
      <c r="F11" s="137"/>
      <c r="G11" s="137"/>
      <c r="H11" s="137"/>
    </row>
    <row r="12" spans="1:8" s="20" customFormat="1" x14ac:dyDescent="0.3">
      <c r="A12" s="137" t="s">
        <v>8</v>
      </c>
      <c r="B12" s="137"/>
      <c r="C12" s="137"/>
      <c r="D12" s="137"/>
      <c r="E12" s="136" t="s">
        <v>209</v>
      </c>
      <c r="F12" s="136"/>
      <c r="G12" s="136"/>
      <c r="H12" s="136"/>
    </row>
    <row r="13" spans="1:8" x14ac:dyDescent="0.3">
      <c r="A13" s="101" t="s">
        <v>9</v>
      </c>
      <c r="B13" s="101"/>
      <c r="C13" s="101"/>
      <c r="D13" s="101"/>
      <c r="E13" s="136" t="s">
        <v>177</v>
      </c>
      <c r="F13" s="137"/>
      <c r="G13" s="137"/>
      <c r="H13" s="137"/>
    </row>
    <row r="14" spans="1:8" ht="48.75" customHeight="1" x14ac:dyDescent="0.3">
      <c r="A14" s="102" t="s">
        <v>10</v>
      </c>
      <c r="B14" s="102"/>
      <c r="C14" s="10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Chandak Treesourus, CTS No.838(PT) &amp; 13, near Vidya Vikas Universal College, Chincholi Bunder Road, Bombay Talkies Compound, Chincholi Bunder, Chinchavali, Malad (West), Malad, Mumbai - 400064.</v>
      </c>
      <c r="D14" s="102"/>
      <c r="E14" s="102"/>
      <c r="F14" s="102"/>
      <c r="G14" s="102"/>
      <c r="H14" s="102"/>
    </row>
    <row r="15" spans="1:8" x14ac:dyDescent="0.3">
      <c r="A15" s="136" t="s">
        <v>182</v>
      </c>
      <c r="B15" s="136"/>
      <c r="C15" s="136" t="s">
        <v>183</v>
      </c>
      <c r="D15" s="136"/>
      <c r="E15" s="136"/>
      <c r="F15" s="136"/>
      <c r="G15" s="136"/>
      <c r="H15" s="136"/>
    </row>
    <row r="16" spans="1:8" ht="15.75" customHeight="1" x14ac:dyDescent="0.3">
      <c r="A16" s="136" t="s">
        <v>169</v>
      </c>
      <c r="B16" s="136"/>
      <c r="C16" s="136" t="s">
        <v>188</v>
      </c>
      <c r="D16" s="136"/>
      <c r="E16" s="136"/>
      <c r="F16" s="136"/>
      <c r="G16" s="136"/>
      <c r="H16" s="136"/>
    </row>
    <row r="17" spans="1:8" ht="15.75" customHeight="1" x14ac:dyDescent="0.3">
      <c r="A17" s="102" t="s">
        <v>11</v>
      </c>
      <c r="B17" s="102"/>
      <c r="C17" s="137" t="s">
        <v>189</v>
      </c>
      <c r="D17" s="137"/>
      <c r="E17" s="102" t="s">
        <v>74</v>
      </c>
      <c r="F17" s="102"/>
      <c r="G17" s="136" t="s">
        <v>184</v>
      </c>
      <c r="H17" s="136"/>
    </row>
    <row r="18" spans="1:8" x14ac:dyDescent="0.3">
      <c r="A18" s="101" t="s">
        <v>13</v>
      </c>
      <c r="B18" s="101"/>
      <c r="C18" s="136" t="s">
        <v>187</v>
      </c>
      <c r="D18" s="136"/>
      <c r="E18" s="102" t="s">
        <v>12</v>
      </c>
      <c r="F18" s="102"/>
      <c r="G18" s="155" t="s">
        <v>185</v>
      </c>
      <c r="H18" s="155"/>
    </row>
    <row r="19" spans="1:8" x14ac:dyDescent="0.3">
      <c r="A19" s="101" t="s">
        <v>75</v>
      </c>
      <c r="B19" s="101"/>
      <c r="C19" s="136" t="s">
        <v>186</v>
      </c>
      <c r="D19" s="136"/>
      <c r="E19" s="102" t="s">
        <v>14</v>
      </c>
      <c r="F19" s="102"/>
      <c r="G19" s="136">
        <v>400064</v>
      </c>
      <c r="H19" s="136"/>
    </row>
    <row r="20" spans="1:8" ht="32.25" customHeight="1" x14ac:dyDescent="0.3">
      <c r="A20" s="101" t="s">
        <v>126</v>
      </c>
      <c r="B20" s="101"/>
      <c r="C20" s="136" t="s">
        <v>216</v>
      </c>
      <c r="D20" s="136"/>
      <c r="E20" s="102" t="s">
        <v>15</v>
      </c>
      <c r="F20" s="102"/>
      <c r="G20" s="136" t="s">
        <v>191</v>
      </c>
      <c r="H20" s="136"/>
    </row>
    <row r="21" spans="1:8" ht="15" customHeight="1" x14ac:dyDescent="0.3">
      <c r="A21" s="102" t="s">
        <v>78</v>
      </c>
      <c r="B21" s="102"/>
      <c r="C21" s="102"/>
      <c r="D21" s="102"/>
      <c r="E21" s="137" t="s">
        <v>16</v>
      </c>
      <c r="F21" s="137"/>
      <c r="G21" s="137"/>
      <c r="H21" s="137"/>
    </row>
    <row r="22" spans="1:8" ht="18.75" customHeight="1" x14ac:dyDescent="0.3">
      <c r="A22" s="102"/>
      <c r="B22" s="102"/>
      <c r="C22" s="102"/>
      <c r="D22" s="102"/>
      <c r="E22" s="137"/>
      <c r="F22" s="137"/>
      <c r="G22" s="137"/>
      <c r="H22" s="137"/>
    </row>
    <row r="23" spans="1:8" ht="15" customHeight="1" x14ac:dyDescent="0.3">
      <c r="A23" s="102" t="s">
        <v>17</v>
      </c>
      <c r="B23" s="102"/>
      <c r="C23" s="102"/>
      <c r="D23" s="102"/>
      <c r="E23" s="136" t="s">
        <v>18</v>
      </c>
      <c r="F23" s="136"/>
      <c r="G23" s="136"/>
      <c r="H23" s="136"/>
    </row>
    <row r="24" spans="1:8" ht="15" customHeight="1" x14ac:dyDescent="0.3">
      <c r="A24" s="101" t="s">
        <v>19</v>
      </c>
      <c r="B24" s="101"/>
      <c r="C24" s="101"/>
      <c r="D24" s="101"/>
      <c r="E24" s="136" t="str">
        <f>IF(AND(G18="Mumbai"),"Upper Class","Middle Class")</f>
        <v>Upper Class</v>
      </c>
      <c r="F24" s="136"/>
      <c r="G24" s="136"/>
      <c r="H24" s="136"/>
    </row>
    <row r="25" spans="1:8" x14ac:dyDescent="0.3">
      <c r="A25" s="101" t="s">
        <v>20</v>
      </c>
      <c r="B25" s="101"/>
      <c r="C25" s="101"/>
      <c r="D25" s="101"/>
      <c r="E25" s="136" t="s">
        <v>21</v>
      </c>
      <c r="F25" s="136"/>
      <c r="G25" s="136"/>
      <c r="H25" s="136"/>
    </row>
    <row r="26" spans="1:8" ht="15.75" customHeight="1" x14ac:dyDescent="0.3">
      <c r="A26" s="101" t="s">
        <v>22</v>
      </c>
      <c r="B26" s="101"/>
      <c r="C26" s="101"/>
      <c r="D26" s="101"/>
      <c r="E26" s="136" t="str">
        <f>IF(AND(G18="Mumbai"),"Developed","Developing")</f>
        <v>Developed</v>
      </c>
      <c r="F26" s="136"/>
      <c r="G26" s="136"/>
      <c r="H26" s="136"/>
    </row>
    <row r="27" spans="1:8" x14ac:dyDescent="0.3">
      <c r="A27" s="101" t="s">
        <v>23</v>
      </c>
      <c r="B27" s="101"/>
      <c r="C27" s="101"/>
      <c r="D27" s="101"/>
      <c r="E27" s="136" t="s">
        <v>24</v>
      </c>
      <c r="F27" s="136"/>
      <c r="G27" s="136"/>
      <c r="H27" s="136"/>
    </row>
    <row r="28" spans="1:8" ht="15.75" customHeight="1" x14ac:dyDescent="0.3">
      <c r="A28" s="101" t="s">
        <v>83</v>
      </c>
      <c r="B28" s="101"/>
      <c r="C28" s="101"/>
      <c r="D28" s="101"/>
      <c r="E28" s="136" t="s">
        <v>84</v>
      </c>
      <c r="F28" s="136"/>
      <c r="G28" s="136"/>
      <c r="H28" s="136"/>
    </row>
    <row r="29" spans="1:8" ht="15" customHeight="1" x14ac:dyDescent="0.3">
      <c r="A29" s="101" t="s">
        <v>32</v>
      </c>
      <c r="B29" s="101"/>
      <c r="C29" s="101"/>
      <c r="D29" s="101"/>
      <c r="E29" s="136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136"/>
      <c r="G29" s="136"/>
      <c r="H29" s="136"/>
    </row>
    <row r="30" spans="1:8" ht="15.75" customHeight="1" x14ac:dyDescent="0.3">
      <c r="A30" s="101" t="s">
        <v>95</v>
      </c>
      <c r="B30" s="101"/>
      <c r="C30" s="101"/>
      <c r="D30" s="101"/>
      <c r="E30" s="136" t="s">
        <v>33</v>
      </c>
      <c r="F30" s="136"/>
      <c r="G30" s="136"/>
      <c r="H30" s="136"/>
    </row>
    <row r="31" spans="1:8" s="19" customFormat="1" x14ac:dyDescent="0.3">
      <c r="A31" s="160" t="s">
        <v>96</v>
      </c>
      <c r="B31" s="160"/>
      <c r="C31" s="158" t="s">
        <v>241</v>
      </c>
      <c r="D31" s="158"/>
      <c r="E31" s="158"/>
      <c r="F31" s="159" t="s">
        <v>30</v>
      </c>
      <c r="G31" s="159"/>
      <c r="H31" s="159"/>
    </row>
    <row r="32" spans="1:8" s="19" customFormat="1" x14ac:dyDescent="0.3">
      <c r="A32" s="156" t="s">
        <v>25</v>
      </c>
      <c r="B32" s="156" t="s">
        <v>29</v>
      </c>
      <c r="C32" s="157" t="s">
        <v>245</v>
      </c>
      <c r="D32" s="157"/>
      <c r="E32" s="157"/>
      <c r="F32" s="170" t="s">
        <v>214</v>
      </c>
      <c r="G32" s="170"/>
      <c r="H32" s="170"/>
    </row>
    <row r="33" spans="1:8" x14ac:dyDescent="0.3">
      <c r="A33" s="156" t="s">
        <v>26</v>
      </c>
      <c r="B33" s="156" t="s">
        <v>29</v>
      </c>
      <c r="C33" s="161" t="s">
        <v>246</v>
      </c>
      <c r="D33" s="161"/>
      <c r="E33" s="161"/>
      <c r="F33" s="170" t="s">
        <v>215</v>
      </c>
      <c r="G33" s="170"/>
      <c r="H33" s="170"/>
    </row>
    <row r="34" spans="1:8" s="19" customFormat="1" x14ac:dyDescent="0.3">
      <c r="A34" s="156" t="s">
        <v>28</v>
      </c>
      <c r="B34" s="156" t="s">
        <v>29</v>
      </c>
      <c r="C34" s="157" t="s">
        <v>245</v>
      </c>
      <c r="D34" s="157"/>
      <c r="E34" s="157"/>
      <c r="F34" s="153" t="s">
        <v>190</v>
      </c>
      <c r="G34" s="154"/>
      <c r="H34" s="154"/>
    </row>
    <row r="35" spans="1:8" x14ac:dyDescent="0.3">
      <c r="A35" s="156" t="s">
        <v>27</v>
      </c>
      <c r="B35" s="156" t="s">
        <v>29</v>
      </c>
      <c r="C35" s="157" t="s">
        <v>245</v>
      </c>
      <c r="D35" s="157"/>
      <c r="E35" s="157"/>
      <c r="F35" s="170" t="s">
        <v>189</v>
      </c>
      <c r="G35" s="170"/>
      <c r="H35" s="170"/>
    </row>
    <row r="36" spans="1:8" x14ac:dyDescent="0.3">
      <c r="A36" s="101" t="s">
        <v>31</v>
      </c>
      <c r="B36" s="101"/>
      <c r="C36" s="101"/>
      <c r="D36" s="101"/>
      <c r="E36" s="101"/>
      <c r="F36" s="101"/>
      <c r="G36" s="101"/>
      <c r="H36" s="101"/>
    </row>
    <row r="37" spans="1:8" ht="15.75" customHeight="1" x14ac:dyDescent="0.3">
      <c r="A37" s="101" t="s">
        <v>172</v>
      </c>
      <c r="B37" s="101"/>
      <c r="C37" s="110" t="s">
        <v>213</v>
      </c>
      <c r="D37" s="110"/>
      <c r="E37" s="110"/>
      <c r="F37" s="110"/>
      <c r="G37" s="110"/>
      <c r="H37" s="110"/>
    </row>
    <row r="38" spans="1:8" x14ac:dyDescent="0.3">
      <c r="A38" s="101" t="s">
        <v>168</v>
      </c>
      <c r="B38" s="101"/>
      <c r="C38" s="171" t="s">
        <v>212</v>
      </c>
      <c r="D38" s="136"/>
      <c r="E38" s="136"/>
      <c r="F38" s="136"/>
      <c r="G38" s="136"/>
      <c r="H38" s="136"/>
    </row>
    <row r="39" spans="1:8" x14ac:dyDescent="0.3">
      <c r="A39" s="110" t="s">
        <v>34</v>
      </c>
      <c r="B39" s="110"/>
      <c r="C39" s="110"/>
      <c r="D39" s="110"/>
      <c r="E39" s="110"/>
      <c r="F39" s="110"/>
      <c r="G39" s="110"/>
      <c r="H39" s="110"/>
    </row>
    <row r="40" spans="1:8" x14ac:dyDescent="0.3">
      <c r="A40" s="101" t="s">
        <v>35</v>
      </c>
      <c r="B40" s="101"/>
      <c r="C40" s="101"/>
      <c r="D40" s="101"/>
      <c r="E40" s="189">
        <v>16075.9</v>
      </c>
      <c r="F40" s="189"/>
      <c r="G40" s="189"/>
      <c r="H40" s="189"/>
    </row>
    <row r="41" spans="1:8" x14ac:dyDescent="0.3">
      <c r="A41" s="101" t="s">
        <v>36</v>
      </c>
      <c r="B41" s="101"/>
      <c r="C41" s="101"/>
      <c r="D41" s="101"/>
      <c r="E41" s="127">
        <v>1</v>
      </c>
      <c r="F41" s="127"/>
      <c r="G41" s="127"/>
      <c r="H41" s="127"/>
    </row>
    <row r="42" spans="1:8" x14ac:dyDescent="0.3">
      <c r="A42" s="101" t="s">
        <v>37</v>
      </c>
      <c r="B42" s="101"/>
      <c r="C42" s="101"/>
      <c r="D42" s="101"/>
      <c r="E42" s="127">
        <f>E44/E40-E41</f>
        <v>0.97067722491431274</v>
      </c>
      <c r="F42" s="127"/>
      <c r="G42" s="127"/>
      <c r="H42" s="127"/>
    </row>
    <row r="43" spans="1:8" x14ac:dyDescent="0.3">
      <c r="A43" s="101" t="s">
        <v>38</v>
      </c>
      <c r="B43" s="101"/>
      <c r="C43" s="101"/>
      <c r="D43" s="101"/>
      <c r="E43" s="127">
        <f>E41+E42</f>
        <v>1.9706772249143127</v>
      </c>
      <c r="F43" s="127"/>
      <c r="G43" s="127"/>
      <c r="H43" s="127"/>
    </row>
    <row r="44" spans="1:8" x14ac:dyDescent="0.3">
      <c r="A44" s="101" t="s">
        <v>94</v>
      </c>
      <c r="B44" s="101"/>
      <c r="C44" s="101"/>
      <c r="D44" s="101"/>
      <c r="E44" s="177">
        <v>31680.41</v>
      </c>
      <c r="F44" s="177"/>
      <c r="G44" s="177"/>
      <c r="H44" s="177"/>
    </row>
    <row r="45" spans="1:8" x14ac:dyDescent="0.3">
      <c r="A45" s="137" t="s">
        <v>39</v>
      </c>
      <c r="B45" s="137"/>
      <c r="C45" s="137"/>
      <c r="D45" s="137"/>
      <c r="E45" s="137" t="s">
        <v>192</v>
      </c>
      <c r="F45" s="137"/>
      <c r="G45" s="137"/>
      <c r="H45" s="137"/>
    </row>
    <row r="46" spans="1:8" x14ac:dyDescent="0.3">
      <c r="A46" s="110" t="s">
        <v>40</v>
      </c>
      <c r="B46" s="110"/>
      <c r="C46" s="110"/>
      <c r="D46" s="110"/>
      <c r="E46" s="110"/>
      <c r="F46" s="110"/>
      <c r="G46" s="110"/>
      <c r="H46" s="110"/>
    </row>
    <row r="47" spans="1:8" ht="33.75" customHeight="1" x14ac:dyDescent="0.3">
      <c r="A47" s="133" t="s">
        <v>155</v>
      </c>
      <c r="B47" s="135"/>
      <c r="C47" s="172" t="s">
        <v>244</v>
      </c>
      <c r="D47" s="173"/>
      <c r="E47" s="173"/>
      <c r="F47" s="173"/>
      <c r="G47" s="173"/>
      <c r="H47" s="174"/>
    </row>
    <row r="48" spans="1:8" s="64" customFormat="1" ht="31.5" customHeight="1" x14ac:dyDescent="0.3">
      <c r="A48" s="133" t="s">
        <v>41</v>
      </c>
      <c r="B48" s="135"/>
      <c r="C48" s="138" t="s">
        <v>242</v>
      </c>
      <c r="D48" s="139"/>
      <c r="E48" s="140"/>
      <c r="F48" s="46" t="s">
        <v>42</v>
      </c>
      <c r="G48" s="162">
        <v>45666</v>
      </c>
      <c r="H48" s="163"/>
    </row>
    <row r="49" spans="1:14" s="64" customFormat="1" ht="31.5" customHeight="1" x14ac:dyDescent="0.3">
      <c r="A49" s="133" t="s">
        <v>43</v>
      </c>
      <c r="B49" s="135"/>
      <c r="C49" s="138" t="str">
        <f>C48</f>
        <v xml:space="preserve"> P-7938/2021/(838)/P/N Ward/MALAD-W/337/4/Amend</v>
      </c>
      <c r="D49" s="139"/>
      <c r="E49" s="140"/>
      <c r="F49" s="46" t="s">
        <v>42</v>
      </c>
      <c r="G49" s="162">
        <f>G48</f>
        <v>45666</v>
      </c>
      <c r="H49" s="163"/>
    </row>
    <row r="50" spans="1:14" s="20" customFormat="1" ht="32.25" hidden="1" customHeight="1" x14ac:dyDescent="0.3">
      <c r="A50" s="178" t="s">
        <v>159</v>
      </c>
      <c r="B50" s="179"/>
      <c r="C50" s="138" t="s">
        <v>218</v>
      </c>
      <c r="D50" s="139"/>
      <c r="E50" s="140"/>
      <c r="F50" s="46" t="s">
        <v>42</v>
      </c>
      <c r="G50" s="162">
        <v>45190</v>
      </c>
      <c r="H50" s="163"/>
    </row>
    <row r="51" spans="1:14" s="20" customFormat="1" ht="81" hidden="1" customHeight="1" x14ac:dyDescent="0.3">
      <c r="A51" s="180"/>
      <c r="B51" s="181"/>
      <c r="C51" s="133" t="s">
        <v>217</v>
      </c>
      <c r="D51" s="134"/>
      <c r="E51" s="135"/>
      <c r="F51" s="46" t="s">
        <v>125</v>
      </c>
      <c r="G51" s="175">
        <v>45555</v>
      </c>
      <c r="H51" s="176"/>
    </row>
    <row r="52" spans="1:14" s="65" customFormat="1" ht="48.75" customHeight="1" x14ac:dyDescent="0.3">
      <c r="A52" s="178" t="s">
        <v>159</v>
      </c>
      <c r="B52" s="179"/>
      <c r="C52" s="133" t="s">
        <v>270</v>
      </c>
      <c r="D52" s="134"/>
      <c r="E52" s="135"/>
      <c r="F52" s="46" t="s">
        <v>259</v>
      </c>
      <c r="G52" s="175" t="s">
        <v>271</v>
      </c>
      <c r="H52" s="176"/>
    </row>
    <row r="53" spans="1:14" s="65" customFormat="1" ht="192" customHeight="1" x14ac:dyDescent="0.3">
      <c r="A53" s="180"/>
      <c r="B53" s="181"/>
      <c r="C53" s="133" t="s">
        <v>276</v>
      </c>
      <c r="D53" s="134"/>
      <c r="E53" s="134"/>
      <c r="F53" s="134"/>
      <c r="G53" s="134"/>
      <c r="H53" s="135"/>
    </row>
    <row r="54" spans="1:14" x14ac:dyDescent="0.3">
      <c r="A54" s="141" t="s">
        <v>44</v>
      </c>
      <c r="B54" s="142"/>
      <c r="C54" s="141" t="s">
        <v>108</v>
      </c>
      <c r="D54" s="143"/>
      <c r="E54" s="142"/>
      <c r="F54" s="47" t="s">
        <v>42</v>
      </c>
      <c r="G54" s="191" t="s">
        <v>29</v>
      </c>
      <c r="H54" s="192"/>
    </row>
    <row r="55" spans="1:14" x14ac:dyDescent="0.3">
      <c r="A55" s="144" t="s">
        <v>46</v>
      </c>
      <c r="B55" s="144"/>
      <c r="C55" s="144"/>
      <c r="D55" s="144"/>
      <c r="E55" s="144"/>
      <c r="F55" s="144"/>
      <c r="G55" s="144"/>
      <c r="H55" s="144"/>
    </row>
    <row r="56" spans="1:14" x14ac:dyDescent="0.3">
      <c r="A56" s="102" t="s">
        <v>93</v>
      </c>
      <c r="B56" s="102"/>
      <c r="C56" s="102"/>
      <c r="D56" s="101">
        <f>E44</f>
        <v>31680.41</v>
      </c>
      <c r="E56" s="101"/>
      <c r="F56" s="101"/>
      <c r="G56" s="101"/>
      <c r="H56" s="101"/>
    </row>
    <row r="57" spans="1:14" x14ac:dyDescent="0.3">
      <c r="A57" s="136" t="s">
        <v>47</v>
      </c>
      <c r="B57" s="137"/>
      <c r="C57" s="137"/>
      <c r="D57" s="152" t="s">
        <v>258</v>
      </c>
      <c r="E57" s="152"/>
      <c r="F57" s="152"/>
      <c r="G57" s="152"/>
      <c r="H57" s="152"/>
      <c r="I57" s="21"/>
    </row>
    <row r="58" spans="1:14" s="20" customFormat="1" ht="64.05" customHeight="1" x14ac:dyDescent="0.3">
      <c r="A58" s="136" t="s">
        <v>48</v>
      </c>
      <c r="B58" s="136"/>
      <c r="C58" s="136"/>
      <c r="D58" s="136" t="s">
        <v>243</v>
      </c>
      <c r="E58" s="137"/>
      <c r="F58" s="137"/>
      <c r="G58" s="137"/>
      <c r="H58" s="137"/>
    </row>
    <row r="59" spans="1:14" ht="15.75" customHeight="1" x14ac:dyDescent="0.3">
      <c r="A59" s="136" t="s">
        <v>91</v>
      </c>
      <c r="B59" s="136"/>
      <c r="C59" s="136"/>
      <c r="D59" s="137" t="s">
        <v>236</v>
      </c>
      <c r="E59" s="137"/>
      <c r="F59" s="137"/>
      <c r="G59" s="137"/>
      <c r="H59" s="137"/>
    </row>
    <row r="60" spans="1:14" ht="15.75" customHeight="1" x14ac:dyDescent="0.3">
      <c r="A60" s="136"/>
      <c r="B60" s="136"/>
      <c r="C60" s="136"/>
      <c r="D60" s="137" t="s">
        <v>237</v>
      </c>
      <c r="E60" s="137"/>
      <c r="F60" s="137"/>
      <c r="G60" s="137"/>
      <c r="H60" s="137"/>
    </row>
    <row r="61" spans="1:14" ht="15.75" customHeight="1" x14ac:dyDescent="0.3">
      <c r="A61" s="101" t="s">
        <v>45</v>
      </c>
      <c r="B61" s="101"/>
      <c r="C61" s="101"/>
      <c r="D61" s="102" t="s">
        <v>193</v>
      </c>
      <c r="E61" s="102"/>
      <c r="F61" s="102"/>
      <c r="G61" s="102"/>
      <c r="H61" s="102"/>
      <c r="J61" s="22"/>
      <c r="K61" s="21"/>
      <c r="N61" s="21"/>
    </row>
    <row r="62" spans="1:14" ht="15.75" customHeight="1" x14ac:dyDescent="0.3">
      <c r="A62" s="101" t="s">
        <v>89</v>
      </c>
      <c r="B62" s="101"/>
      <c r="C62" s="101"/>
      <c r="D62" s="190" t="str">
        <f>(IF(G54="NA","60 Years After Completion",IF(G54&lt;&gt;"NA",""&amp;60-ROUNDDOWN((E3-G54)/360,0)&amp;" Years"," ")))</f>
        <v>60 Years After Completion</v>
      </c>
      <c r="E62" s="190"/>
      <c r="F62" s="190"/>
      <c r="G62" s="190"/>
      <c r="H62" s="190"/>
      <c r="N62" s="21"/>
    </row>
    <row r="63" spans="1:14" ht="15.75" customHeight="1" x14ac:dyDescent="0.3">
      <c r="A63" s="101" t="s">
        <v>90</v>
      </c>
      <c r="B63" s="101"/>
      <c r="C63" s="101"/>
      <c r="D63" s="102" t="s">
        <v>24</v>
      </c>
      <c r="E63" s="102"/>
      <c r="F63" s="102"/>
      <c r="G63" s="102"/>
      <c r="H63" s="102"/>
      <c r="J63" s="23"/>
      <c r="K63" s="23"/>
    </row>
    <row r="64" spans="1:14" ht="48" customHeight="1" x14ac:dyDescent="0.3">
      <c r="A64" s="101" t="s">
        <v>76</v>
      </c>
      <c r="B64" s="101"/>
      <c r="C64" s="101"/>
      <c r="D64" s="136" t="s">
        <v>208</v>
      </c>
      <c r="E64" s="102"/>
      <c r="F64" s="102"/>
      <c r="G64" s="102"/>
      <c r="H64" s="102"/>
    </row>
    <row r="65" spans="1:14" x14ac:dyDescent="0.3">
      <c r="A65" s="102" t="s">
        <v>152</v>
      </c>
      <c r="B65" s="102"/>
      <c r="C65" s="102"/>
      <c r="D65" s="102" t="s">
        <v>29</v>
      </c>
      <c r="E65" s="102"/>
      <c r="F65" s="102"/>
      <c r="G65" s="102"/>
      <c r="H65" s="102"/>
      <c r="I65" s="24"/>
      <c r="J65" s="24"/>
      <c r="K65" s="24"/>
      <c r="L65" s="24"/>
      <c r="M65" s="24"/>
      <c r="N65" s="24"/>
    </row>
    <row r="66" spans="1:14" ht="15.75" customHeight="1" x14ac:dyDescent="0.3">
      <c r="A66" s="167" t="s">
        <v>88</v>
      </c>
      <c r="B66" s="167"/>
      <c r="C66" s="167"/>
      <c r="D66" s="166" t="str">
        <f ca="1">(IF(G72&gt;95%,"Nothing",IF(G72&gt;0%,"Cement, Aggregate, Steel, etc",IF(G72=0%,"Work not yet Started"))))</f>
        <v>Cement, Aggregate, Steel, etc</v>
      </c>
      <c r="E66" s="166"/>
      <c r="F66" s="166"/>
      <c r="G66" s="166"/>
      <c r="H66" s="166"/>
      <c r="J66" s="23"/>
    </row>
    <row r="67" spans="1:14" ht="33.75" customHeight="1" thickBot="1" x14ac:dyDescent="0.35">
      <c r="A67" s="165" t="s">
        <v>121</v>
      </c>
      <c r="B67" s="165"/>
      <c r="C67" s="165"/>
      <c r="D67" s="166" t="str">
        <f ca="1">(IF(D66="Nothing","Yes",IF(D66="Cement, Aggregate, Steel, etc","Under Construction",IF(D66="Work not yet Started","Work not yet Started"))))</f>
        <v>Under Construction</v>
      </c>
      <c r="E67" s="166"/>
      <c r="F67" s="166" t="str">
        <f ca="1">(IF(D66="Nothing","Yes",IF(D66="Cement, Aggregate, Steel, etc","Under Construction",IF(D66="Work not yet Started","Work not yet Started"))))</f>
        <v>Under Construction</v>
      </c>
      <c r="G67" s="166"/>
      <c r="H67" s="166"/>
    </row>
    <row r="68" spans="1:14" ht="15.75" customHeight="1" x14ac:dyDescent="0.3">
      <c r="A68" s="128" t="s">
        <v>144</v>
      </c>
      <c r="B68" s="129"/>
      <c r="C68" s="130" t="str">
        <f>D59</f>
        <v>Tower 1 = 3B + Gr/Stilt + 1st to 9th Podium + 10th to 45th Floor</v>
      </c>
      <c r="D68" s="131"/>
      <c r="E68" s="131"/>
      <c r="F68" s="131"/>
      <c r="G68" s="131"/>
      <c r="H68" s="132"/>
      <c r="I68" s="36" t="str">
        <f ca="1">IF(D81=100%,"All work Completed. Possession granted to the Building.",IF(D80=100%,"All work Completed, Waiting for OC",I69&amp;""&amp;I70&amp;""&amp;J69&amp;""&amp;J68&amp;" "&amp;J70))</f>
        <v>Excavation, Plinth Completed, RCC upto 13 Slab, Brickwork upto 11 Floor, Internal Plaster upto 8.8 Floor, External Plaster upto 8.8 Floor Completed</v>
      </c>
      <c r="J68" s="37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13 Slab, Brickwork upto 11 Floor, Internal Plaster upto 8.8 Floor, External Plaster upto 8.8 Floor</v>
      </c>
    </row>
    <row r="69" spans="1:14" x14ac:dyDescent="0.3">
      <c r="A69" s="48" t="s">
        <v>146</v>
      </c>
      <c r="B69" s="49">
        <f>IF(AND(ISNUMBER(SEARCH("1B",C68))),1,IF(AND(ISNUMBER(SEARCH("2B",C68))),2,IF(AND(ISNUMBER(SEARCH("3B",C68))),3,IF(AND(ISNUMBER(SEARCH("4B",C68))),4,IF(ISNUMBER(SEARCH("5B",C68)),5,0)))))</f>
        <v>3</v>
      </c>
      <c r="C69" s="49" t="s">
        <v>73</v>
      </c>
      <c r="D69" s="49">
        <v>1</v>
      </c>
      <c r="E69" s="49" t="s">
        <v>72</v>
      </c>
      <c r="F69" s="49">
        <v>0</v>
      </c>
      <c r="G69" s="49" t="s">
        <v>82</v>
      </c>
      <c r="H69" s="50">
        <f ca="1">--TRIM(RIGHT(SUBSTITUTE(LEFT(C68,_xlfn.AGGREGATE(16,6,FIND({0,1,2,3,4,5,6,7,8,9},C68,ROW(INDIRECT("1:"&amp;LEN(C68)))),1))," ",REPT(" ",LEN(C68))),LEN(C68)))</f>
        <v>45</v>
      </c>
      <c r="I69" s="38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39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2.4" customHeight="1" x14ac:dyDescent="0.3">
      <c r="A70" s="99" t="s">
        <v>92</v>
      </c>
      <c r="B70" s="100"/>
      <c r="C70" s="168" t="str">
        <f ca="1">I68</f>
        <v>Excavation, Plinth Completed, RCC upto 13 Slab, Brickwork upto 11 Floor, Internal Plaster upto 8.8 Floor, External Plaster upto 8.8 Floor Completed</v>
      </c>
      <c r="D70" s="168"/>
      <c r="E70" s="168"/>
      <c r="F70" s="168"/>
      <c r="G70" s="168"/>
      <c r="H70" s="169"/>
      <c r="I70" s="38" t="str">
        <f ca="1">IF(I69&lt;&gt;""," Completed","")</f>
        <v xml:space="preserve"> Completed</v>
      </c>
      <c r="J70" s="39" t="str">
        <f ca="1">IF(J68&lt;&gt;"","Completed","")</f>
        <v>Completed</v>
      </c>
    </row>
    <row r="71" spans="1:14" ht="15.75" customHeight="1" x14ac:dyDescent="0.3">
      <c r="A71" s="97" t="s">
        <v>49</v>
      </c>
      <c r="B71" s="98"/>
      <c r="C71" s="51" t="s">
        <v>143</v>
      </c>
      <c r="D71" s="51" t="s">
        <v>85</v>
      </c>
      <c r="E71" s="98" t="s">
        <v>87</v>
      </c>
      <c r="F71" s="98"/>
      <c r="G71" s="98" t="s">
        <v>86</v>
      </c>
      <c r="H71" s="164"/>
      <c r="I71" s="14" t="s">
        <v>145</v>
      </c>
      <c r="J71" s="25">
        <f ca="1">H69*25%</f>
        <v>11.25</v>
      </c>
    </row>
    <row r="72" spans="1:14" x14ac:dyDescent="0.3">
      <c r="A72" s="97" t="s">
        <v>132</v>
      </c>
      <c r="B72" s="98"/>
      <c r="C72" s="51">
        <f ca="1">J73</f>
        <v>45</v>
      </c>
      <c r="D72" s="40">
        <f ca="1">((100/H69)*C72)/100</f>
        <v>1</v>
      </c>
      <c r="E72" s="193">
        <f ca="1">(((C73/H69*10)+(40/(D69+F69+H69)*C74)+(7.5/(H69)*C75)+(7.5/(H69)*C76)+(10/H69*C77)+(10/H69*C78)+(5/H69*C79)+(5/H69*C80)+(5/H69*C81))/100)</f>
        <v>0.26559903381642513</v>
      </c>
      <c r="F72" s="194"/>
      <c r="G72" s="193">
        <f ca="1">((((C72/H69)*20)+((C73/H69)*25)+(30/(H69+F69+D69)*C74)+(5/H69*C75)+(5/H69*C76)+(5/H69*C77)+(5/H69*C78)+(0/H69*C79)+(0/H69*C80)+(5/H69*C81))/100)</f>
        <v>0.56656038647342999</v>
      </c>
      <c r="H72" s="199"/>
      <c r="I72" s="14" t="s">
        <v>103</v>
      </c>
      <c r="J72" s="26">
        <f ca="1">H69*50%</f>
        <v>22.5</v>
      </c>
    </row>
    <row r="73" spans="1:14" x14ac:dyDescent="0.3">
      <c r="A73" s="97" t="s">
        <v>50</v>
      </c>
      <c r="B73" s="98"/>
      <c r="C73" s="52">
        <f ca="1">J81</f>
        <v>45</v>
      </c>
      <c r="D73" s="40">
        <f ca="1">((100/H69)*C73)/100</f>
        <v>1</v>
      </c>
      <c r="E73" s="195"/>
      <c r="F73" s="196"/>
      <c r="G73" s="195"/>
      <c r="H73" s="200"/>
      <c r="I73" s="14" t="s">
        <v>104</v>
      </c>
      <c r="J73" s="26">
        <f ca="1">H69</f>
        <v>45</v>
      </c>
    </row>
    <row r="74" spans="1:14" ht="15.75" customHeight="1" x14ac:dyDescent="0.3">
      <c r="A74" s="97" t="s">
        <v>133</v>
      </c>
      <c r="B74" s="98"/>
      <c r="C74" s="51">
        <v>13</v>
      </c>
      <c r="D74" s="40">
        <f ca="1">((100/(D69+F69+H69))*C74)/100</f>
        <v>0.28260869565217389</v>
      </c>
      <c r="E74" s="195"/>
      <c r="F74" s="196"/>
      <c r="G74" s="195"/>
      <c r="H74" s="200"/>
      <c r="I74" s="14" t="s">
        <v>105</v>
      </c>
      <c r="J74" s="27">
        <f ca="1">(IF(B69&gt;1,(H69/(B69+2)),H69/4))</f>
        <v>9</v>
      </c>
    </row>
    <row r="75" spans="1:14" ht="15.75" customHeight="1" x14ac:dyDescent="0.3">
      <c r="A75" s="97" t="s">
        <v>140</v>
      </c>
      <c r="B75" s="98" t="s">
        <v>134</v>
      </c>
      <c r="C75" s="51">
        <f>C74-2</f>
        <v>11</v>
      </c>
      <c r="D75" s="40">
        <f ca="1">((100/H69)*C75)/100</f>
        <v>0.24444444444444446</v>
      </c>
      <c r="E75" s="195"/>
      <c r="F75" s="196"/>
      <c r="G75" s="195"/>
      <c r="H75" s="200"/>
      <c r="I75" s="14" t="s">
        <v>106</v>
      </c>
      <c r="J75" s="27">
        <f ca="1">(IF(B69&gt;1,(H69/(B69+2)+J74),H69/4+J74))</f>
        <v>18</v>
      </c>
    </row>
    <row r="76" spans="1:14" ht="15.75" customHeight="1" x14ac:dyDescent="0.3">
      <c r="A76" s="97" t="s">
        <v>141</v>
      </c>
      <c r="B76" s="98" t="s">
        <v>134</v>
      </c>
      <c r="C76" s="52">
        <f>C75*0.8</f>
        <v>8.8000000000000007</v>
      </c>
      <c r="D76" s="40">
        <f ca="1">((100/H69)*C76)/100</f>
        <v>0.19555555555555557</v>
      </c>
      <c r="E76" s="195"/>
      <c r="F76" s="196"/>
      <c r="G76" s="195"/>
      <c r="H76" s="200"/>
      <c r="I76" s="14" t="s">
        <v>150</v>
      </c>
      <c r="J76" s="27">
        <f ca="1">(IF(B69&gt;1,(H69/(B69+2)+J75),0))</f>
        <v>27</v>
      </c>
    </row>
    <row r="77" spans="1:14" ht="15" customHeight="1" x14ac:dyDescent="0.3">
      <c r="A77" s="97" t="s">
        <v>139</v>
      </c>
      <c r="B77" s="98" t="s">
        <v>136</v>
      </c>
      <c r="C77" s="52">
        <f>C76</f>
        <v>8.8000000000000007</v>
      </c>
      <c r="D77" s="40">
        <f ca="1">((100/(H69))*C77)/100</f>
        <v>0.19555555555555557</v>
      </c>
      <c r="E77" s="195"/>
      <c r="F77" s="196"/>
      <c r="G77" s="195"/>
      <c r="H77" s="200"/>
      <c r="I77" s="14" t="s">
        <v>147</v>
      </c>
      <c r="J77" s="27">
        <f ca="1">(IF(B69&gt;2,(H69/(B69+2)+J76),0))</f>
        <v>36</v>
      </c>
    </row>
    <row r="78" spans="1:14" ht="15.75" customHeight="1" x14ac:dyDescent="0.3">
      <c r="A78" s="97" t="s">
        <v>135</v>
      </c>
      <c r="B78" s="98" t="s">
        <v>135</v>
      </c>
      <c r="C78" s="51">
        <v>0</v>
      </c>
      <c r="D78" s="40">
        <f ca="1">((100/H69)*C78)/100</f>
        <v>0</v>
      </c>
      <c r="E78" s="195"/>
      <c r="F78" s="196"/>
      <c r="G78" s="195"/>
      <c r="H78" s="200"/>
      <c r="I78" s="14" t="s">
        <v>148</v>
      </c>
      <c r="J78" s="28">
        <f>(IF(B69&gt;3,(H69/(B69+2)+J77),0))</f>
        <v>0</v>
      </c>
    </row>
    <row r="79" spans="1:14" ht="15.75" customHeight="1" x14ac:dyDescent="0.3">
      <c r="A79" s="97" t="s">
        <v>142</v>
      </c>
      <c r="B79" s="98"/>
      <c r="C79" s="51">
        <v>0</v>
      </c>
      <c r="D79" s="40">
        <f ca="1">((100/H69)*C79)/100</f>
        <v>0</v>
      </c>
      <c r="E79" s="195"/>
      <c r="F79" s="196"/>
      <c r="G79" s="195"/>
      <c r="H79" s="200"/>
      <c r="I79" s="14" t="s">
        <v>149</v>
      </c>
      <c r="J79" s="27">
        <f>(IF(B69&gt;4,(H69/(B69+2)+J78),0))</f>
        <v>0</v>
      </c>
    </row>
    <row r="80" spans="1:14" ht="15.75" customHeight="1" x14ac:dyDescent="0.3">
      <c r="A80" s="97" t="s">
        <v>137</v>
      </c>
      <c r="B80" s="98" t="s">
        <v>137</v>
      </c>
      <c r="C80" s="51">
        <v>0</v>
      </c>
      <c r="D80" s="40">
        <f ca="1">((100/(H69))*C80)/100</f>
        <v>0</v>
      </c>
      <c r="E80" s="195"/>
      <c r="F80" s="196"/>
      <c r="G80" s="195"/>
      <c r="H80" s="200"/>
      <c r="I80" s="14" t="s">
        <v>151</v>
      </c>
      <c r="J80" s="27">
        <f>(IF(B69=1,(H69/(B69+3)+J75),IF(B69=0,(H69/4+J75),IF(B69&gt;1,0))))</f>
        <v>0</v>
      </c>
    </row>
    <row r="81" spans="1:13" ht="16.2" thickBot="1" x14ac:dyDescent="0.35">
      <c r="A81" s="215" t="s">
        <v>138</v>
      </c>
      <c r="B81" s="216"/>
      <c r="C81" s="53">
        <v>0</v>
      </c>
      <c r="D81" s="41">
        <f ca="1">((100/(H69))*C81)/100</f>
        <v>0</v>
      </c>
      <c r="E81" s="197"/>
      <c r="F81" s="198"/>
      <c r="G81" s="197"/>
      <c r="H81" s="201"/>
      <c r="I81" s="15" t="s">
        <v>107</v>
      </c>
      <c r="J81" s="29">
        <f ca="1">(IF(B69&gt;1.5,(H69/(B69+2)+J75+MAX(0,J76-J75)+MAX(0,J77-J76)+MAX(0,J78-J77)+MAX(0,J79-J78)+MAX(0,J80-J79)),IF(B69=1,(H69/(B69+3)+J80),IF(B69=0,H69/4+J80))))</f>
        <v>45</v>
      </c>
    </row>
    <row r="82" spans="1:13" ht="15.75" customHeight="1" x14ac:dyDescent="0.3">
      <c r="A82" s="128" t="s">
        <v>144</v>
      </c>
      <c r="B82" s="129"/>
      <c r="C82" s="130" t="str">
        <f>D60</f>
        <v>Tower 2 = 3B + Gr/Stilt + 1st to 9th Podium + 10th to 45th Floor</v>
      </c>
      <c r="D82" s="131"/>
      <c r="E82" s="131"/>
      <c r="F82" s="131"/>
      <c r="G82" s="131"/>
      <c r="H82" s="132"/>
      <c r="I82" s="36" t="str">
        <f ca="1">IF(D95=100%,"All work Completed. Possession granted to the Building.",IF(D94=100%,"All work Completed, Waiting for OC",I83&amp;""&amp;I84&amp;""&amp;J83&amp;""&amp;J82&amp;" "&amp;J84))</f>
        <v>Excavation, Plinth Completed, RCC upto 33 Slab, Brickwork upto 32 Floor, Internal Plaster upto 25.6 Floor, External Plaster upto 25.6 Floor Completed</v>
      </c>
      <c r="J82" s="37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33 Slab, Brickwork upto 32 Floor, Internal Plaster upto 25.6 Floor, External Plaster upto 25.6 Floor</v>
      </c>
    </row>
    <row r="83" spans="1:13" x14ac:dyDescent="0.3">
      <c r="A83" s="48" t="s">
        <v>146</v>
      </c>
      <c r="B83" s="49">
        <f>IF(AND(ISNUMBER(SEARCH("1B",C82))),1,IF(AND(ISNUMBER(SEARCH("2B",C82))),2,IF(AND(ISNUMBER(SEARCH("3B",C82))),3,IF(AND(ISNUMBER(SEARCH("4B",C82))),4,IF(ISNUMBER(SEARCH("5B",C82)),5,0)))))</f>
        <v>3</v>
      </c>
      <c r="C83" s="49" t="s">
        <v>73</v>
      </c>
      <c r="D83" s="49">
        <v>1</v>
      </c>
      <c r="E83" s="49" t="s">
        <v>72</v>
      </c>
      <c r="F83" s="49">
        <v>0</v>
      </c>
      <c r="G83" s="49" t="s">
        <v>82</v>
      </c>
      <c r="H83" s="50">
        <f ca="1">--TRIM(RIGHT(SUBSTITUTE(LEFT(C82,_xlfn.AGGREGATE(16,6,FIND({0,1,2,3,4,5,6,7,8,9},C82,ROW(INDIRECT("1:"&amp;LEN(C82)))),1))," ",REPT(" ",LEN(C82))),LEN(C82)))</f>
        <v>45</v>
      </c>
      <c r="I83" s="38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39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3" ht="36" customHeight="1" x14ac:dyDescent="0.3">
      <c r="A84" s="99" t="s">
        <v>92</v>
      </c>
      <c r="B84" s="100"/>
      <c r="C84" s="168" t="str">
        <f ca="1">(IF($G$54="NA",I82,"All work Completed. OC Received."))</f>
        <v>Excavation, Plinth Completed, RCC upto 33 Slab, Brickwork upto 32 Floor, Internal Plaster upto 25.6 Floor, External Plaster upto 25.6 Floor Completed</v>
      </c>
      <c r="D84" s="168"/>
      <c r="E84" s="168"/>
      <c r="F84" s="168"/>
      <c r="G84" s="168"/>
      <c r="H84" s="169"/>
      <c r="I84" s="38" t="str">
        <f ca="1">IF(I83&lt;&gt;""," Completed","")</f>
        <v xml:space="preserve"> Completed</v>
      </c>
      <c r="J84" s="39" t="str">
        <f ca="1">IF(J82&lt;&gt;"","Completed","")</f>
        <v>Completed</v>
      </c>
    </row>
    <row r="85" spans="1:13" ht="15.75" customHeight="1" x14ac:dyDescent="0.3">
      <c r="A85" s="97" t="s">
        <v>49</v>
      </c>
      <c r="B85" s="98"/>
      <c r="C85" s="51" t="s">
        <v>143</v>
      </c>
      <c r="D85" s="51" t="s">
        <v>85</v>
      </c>
      <c r="E85" s="98" t="s">
        <v>87</v>
      </c>
      <c r="F85" s="98"/>
      <c r="G85" s="98" t="s">
        <v>86</v>
      </c>
      <c r="H85" s="164"/>
      <c r="I85" s="14" t="s">
        <v>145</v>
      </c>
      <c r="J85" s="25">
        <f ca="1">H83*25%</f>
        <v>11.25</v>
      </c>
    </row>
    <row r="86" spans="1:13" x14ac:dyDescent="0.3">
      <c r="A86" s="182" t="s">
        <v>132</v>
      </c>
      <c r="B86" s="161"/>
      <c r="C86" s="54">
        <f ca="1">J87</f>
        <v>45</v>
      </c>
      <c r="D86" s="16">
        <f ca="1">((100/H83)*C86)/100</f>
        <v>1</v>
      </c>
      <c r="E86" s="183">
        <f ca="1">(((C87/H83*10)+(40/(D83+F83+H83)*C88)+(7.5/(H83)*C89)+(7.5/(H83)*C90)+(10/H83*C91)+(10/H83*C92)+(5/H83*C93)+(5/H83*C94)+(5/H83*C95))/100)</f>
        <v>0.53984541062801938</v>
      </c>
      <c r="F86" s="184"/>
      <c r="G86" s="183">
        <f ca="1">((((C86/H83)*20)+((C87/H83)*25)+(30/(H83+F83+D83)*C88)+(5/H83*C89)+(5/H83*C90)+(5/H83*C91)+(5/H83*C92)+(0/H83*C93)+(0/H83*C94)+(5/H83*C95))/100)</f>
        <v>0.75766183574879231</v>
      </c>
      <c r="H86" s="205"/>
      <c r="I86" s="14" t="s">
        <v>103</v>
      </c>
      <c r="J86" s="26">
        <f ca="1">H83*50%</f>
        <v>22.5</v>
      </c>
    </row>
    <row r="87" spans="1:13" x14ac:dyDescent="0.3">
      <c r="A87" s="182" t="s">
        <v>50</v>
      </c>
      <c r="B87" s="161"/>
      <c r="C87" s="55">
        <f ca="1">J95</f>
        <v>45</v>
      </c>
      <c r="D87" s="16">
        <f ca="1">((100/H83)*C87)/100</f>
        <v>1</v>
      </c>
      <c r="E87" s="185"/>
      <c r="F87" s="186"/>
      <c r="G87" s="185"/>
      <c r="H87" s="206"/>
      <c r="I87" s="14" t="s">
        <v>104</v>
      </c>
      <c r="J87" s="26">
        <f ca="1">H83</f>
        <v>45</v>
      </c>
    </row>
    <row r="88" spans="1:13" ht="15.75" customHeight="1" x14ac:dyDescent="0.3">
      <c r="A88" s="182" t="s">
        <v>133</v>
      </c>
      <c r="B88" s="161"/>
      <c r="C88" s="54">
        <v>33</v>
      </c>
      <c r="D88" s="16">
        <f ca="1">((100/(D83+F83+H83))*C88)/100</f>
        <v>0.71739130434782605</v>
      </c>
      <c r="E88" s="185"/>
      <c r="F88" s="186"/>
      <c r="G88" s="185"/>
      <c r="H88" s="206"/>
      <c r="I88" s="14" t="s">
        <v>105</v>
      </c>
      <c r="J88" s="27">
        <f ca="1">(IF(B83&gt;1,(H83/(B83+2)),H83/4))</f>
        <v>9</v>
      </c>
    </row>
    <row r="89" spans="1:13" ht="15.75" customHeight="1" x14ac:dyDescent="0.3">
      <c r="A89" s="182" t="s">
        <v>140</v>
      </c>
      <c r="B89" s="161" t="s">
        <v>134</v>
      </c>
      <c r="C89" s="54">
        <f>C88-1</f>
        <v>32</v>
      </c>
      <c r="D89" s="16">
        <f ca="1">((100/H83)*C89)/100</f>
        <v>0.71111111111111114</v>
      </c>
      <c r="E89" s="185"/>
      <c r="F89" s="186"/>
      <c r="G89" s="185"/>
      <c r="H89" s="206"/>
      <c r="I89" s="14" t="s">
        <v>106</v>
      </c>
      <c r="J89" s="27">
        <f ca="1">(IF(B83&gt;1,(H83/(B83+2)+J88),H83/4+J88))</f>
        <v>18</v>
      </c>
    </row>
    <row r="90" spans="1:13" ht="15.75" customHeight="1" x14ac:dyDescent="0.3">
      <c r="A90" s="182" t="s">
        <v>141</v>
      </c>
      <c r="B90" s="161" t="s">
        <v>134</v>
      </c>
      <c r="C90" s="52">
        <f>C89*0.8</f>
        <v>25.6</v>
      </c>
      <c r="D90" s="16">
        <f ca="1">((100/H83)*C90)/100</f>
        <v>0.56888888888888889</v>
      </c>
      <c r="E90" s="185"/>
      <c r="F90" s="186"/>
      <c r="G90" s="185"/>
      <c r="H90" s="206"/>
      <c r="I90" s="14" t="s">
        <v>150</v>
      </c>
      <c r="J90" s="27">
        <f ca="1">(IF(B83&gt;1,(H83/(B83+2)+J89),0))</f>
        <v>27</v>
      </c>
    </row>
    <row r="91" spans="1:13" ht="15" customHeight="1" x14ac:dyDescent="0.3">
      <c r="A91" s="182" t="s">
        <v>139</v>
      </c>
      <c r="B91" s="161" t="s">
        <v>136</v>
      </c>
      <c r="C91" s="52">
        <f>C90</f>
        <v>25.6</v>
      </c>
      <c r="D91" s="16">
        <f ca="1">((100/(H83))*C91)/100</f>
        <v>0.56888888888888889</v>
      </c>
      <c r="E91" s="185"/>
      <c r="F91" s="186"/>
      <c r="G91" s="185"/>
      <c r="H91" s="206"/>
      <c r="I91" s="14" t="s">
        <v>147</v>
      </c>
      <c r="J91" s="27">
        <f ca="1">(IF(B83&gt;2,(H83/(B83+2)+J90),0))</f>
        <v>36</v>
      </c>
    </row>
    <row r="92" spans="1:13" ht="15.75" customHeight="1" x14ac:dyDescent="0.3">
      <c r="A92" s="182" t="s">
        <v>135</v>
      </c>
      <c r="B92" s="161" t="s">
        <v>135</v>
      </c>
      <c r="C92" s="54">
        <v>0</v>
      </c>
      <c r="D92" s="16">
        <f ca="1">((100/H83)*C92)/100</f>
        <v>0</v>
      </c>
      <c r="E92" s="185"/>
      <c r="F92" s="186"/>
      <c r="G92" s="185"/>
      <c r="H92" s="206"/>
      <c r="I92" s="14" t="s">
        <v>148</v>
      </c>
      <c r="J92" s="28">
        <f>(IF(B83&gt;3,(H83/(B83+2)+J91),0))</f>
        <v>0</v>
      </c>
    </row>
    <row r="93" spans="1:13" ht="15.75" customHeight="1" x14ac:dyDescent="0.3">
      <c r="A93" s="182" t="s">
        <v>142</v>
      </c>
      <c r="B93" s="161"/>
      <c r="C93" s="54">
        <v>0</v>
      </c>
      <c r="D93" s="16">
        <f ca="1">((100/H83)*C93)/100</f>
        <v>0</v>
      </c>
      <c r="E93" s="185"/>
      <c r="F93" s="186"/>
      <c r="G93" s="185"/>
      <c r="H93" s="206"/>
      <c r="I93" s="14" t="s">
        <v>149</v>
      </c>
      <c r="J93" s="27">
        <f>(IF(B83&gt;4,(H83/(B83+2)+J92),0))</f>
        <v>0</v>
      </c>
    </row>
    <row r="94" spans="1:13" ht="15.75" customHeight="1" x14ac:dyDescent="0.3">
      <c r="A94" s="182" t="s">
        <v>137</v>
      </c>
      <c r="B94" s="161" t="s">
        <v>137</v>
      </c>
      <c r="C94" s="54">
        <v>0</v>
      </c>
      <c r="D94" s="16">
        <f ca="1">((100/(H83))*C94)/100</f>
        <v>0</v>
      </c>
      <c r="E94" s="185"/>
      <c r="F94" s="186"/>
      <c r="G94" s="185"/>
      <c r="H94" s="206"/>
      <c r="I94" s="14" t="s">
        <v>151</v>
      </c>
      <c r="J94" s="27">
        <f>(IF(B83=1,(H83/(B83+3)+J89),IF(B83=0,(H83/4+J89),IF(B83&gt;1,0))))</f>
        <v>0</v>
      </c>
    </row>
    <row r="95" spans="1:13" ht="16.2" thickBot="1" x14ac:dyDescent="0.35">
      <c r="A95" s="217" t="s">
        <v>138</v>
      </c>
      <c r="B95" s="218"/>
      <c r="C95" s="56">
        <v>0</v>
      </c>
      <c r="D95" s="17">
        <f ca="1">((100/(H83))*C95)/100</f>
        <v>0</v>
      </c>
      <c r="E95" s="187"/>
      <c r="F95" s="188"/>
      <c r="G95" s="187"/>
      <c r="H95" s="207"/>
      <c r="I95" s="15" t="s">
        <v>107</v>
      </c>
      <c r="J95" s="29">
        <f ca="1">(IF(B83&gt;1.5,(H83/(B83+2)+J89+MAX(0,J90-J89)+MAX(0,J91-J90)+MAX(0,J92-J91)+MAX(0,J93-J92)+MAX(0,J94-J93)),IF(B83=1,(H83/(B83+3)+J94),IF(B83=0,H83/4+J94))))</f>
        <v>45</v>
      </c>
    </row>
    <row r="96" spans="1:13" x14ac:dyDescent="0.3">
      <c r="A96" s="204" t="s">
        <v>161</v>
      </c>
      <c r="B96" s="204"/>
      <c r="C96" s="204"/>
      <c r="D96" s="204"/>
      <c r="E96" s="204"/>
      <c r="F96" s="208" t="s">
        <v>166</v>
      </c>
      <c r="G96" s="208"/>
      <c r="H96" s="208"/>
      <c r="I96" s="44"/>
      <c r="J96" s="44"/>
      <c r="K96" s="44"/>
      <c r="L96" s="44"/>
      <c r="M96" s="44"/>
    </row>
    <row r="97" spans="1:13" x14ac:dyDescent="0.3">
      <c r="A97" s="101" t="s">
        <v>164</v>
      </c>
      <c r="B97" s="101"/>
      <c r="C97" s="101"/>
      <c r="D97" s="101"/>
      <c r="E97" s="101"/>
      <c r="F97" s="109">
        <v>20400</v>
      </c>
      <c r="G97" s="109"/>
      <c r="H97" s="109"/>
      <c r="I97" s="67" t="s">
        <v>263</v>
      </c>
      <c r="J97" s="68" t="s">
        <v>264</v>
      </c>
      <c r="K97" s="224" t="s">
        <v>265</v>
      </c>
      <c r="L97" s="224"/>
      <c r="M97" s="69">
        <v>45685</v>
      </c>
    </row>
    <row r="98" spans="1:13" hidden="1" x14ac:dyDescent="0.3">
      <c r="A98" s="101" t="s">
        <v>163</v>
      </c>
      <c r="B98" s="101"/>
      <c r="C98" s="101"/>
      <c r="D98" s="101"/>
      <c r="E98" s="101"/>
      <c r="F98" s="109">
        <v>32000</v>
      </c>
      <c r="G98" s="109"/>
      <c r="H98" s="109"/>
      <c r="I98" s="44"/>
      <c r="J98" s="44"/>
      <c r="K98" s="44"/>
      <c r="L98" s="44"/>
      <c r="M98" s="44"/>
    </row>
    <row r="99" spans="1:13" hidden="1" x14ac:dyDescent="0.3">
      <c r="A99" s="101" t="s">
        <v>165</v>
      </c>
      <c r="B99" s="101"/>
      <c r="C99" s="101"/>
      <c r="D99" s="101"/>
      <c r="E99" s="101"/>
      <c r="F99" s="109"/>
      <c r="G99" s="109"/>
      <c r="H99" s="109"/>
      <c r="I99" s="44"/>
      <c r="J99" s="44"/>
      <c r="K99" s="44"/>
      <c r="L99" s="44"/>
      <c r="M99" s="44"/>
    </row>
    <row r="100" spans="1:13" s="30" customFormat="1" hidden="1" x14ac:dyDescent="0.25">
      <c r="A100" s="101" t="s">
        <v>162</v>
      </c>
      <c r="B100" s="101"/>
      <c r="C100" s="101"/>
      <c r="D100" s="101"/>
      <c r="E100" s="101"/>
      <c r="F100" s="109"/>
      <c r="G100" s="109"/>
      <c r="H100" s="109"/>
      <c r="I100" s="45"/>
      <c r="J100" s="45"/>
      <c r="K100" s="45"/>
      <c r="L100" s="45"/>
      <c r="M100" s="45"/>
    </row>
    <row r="101" spans="1:13" s="30" customFormat="1" hidden="1" x14ac:dyDescent="0.25">
      <c r="A101" s="101" t="s">
        <v>97</v>
      </c>
      <c r="B101" s="101"/>
      <c r="C101" s="101"/>
      <c r="D101" s="101"/>
      <c r="E101" s="101"/>
      <c r="F101" s="109"/>
      <c r="G101" s="109"/>
      <c r="H101" s="109"/>
      <c r="I101" s="45"/>
      <c r="J101" s="45"/>
      <c r="K101" s="45"/>
      <c r="L101" s="45"/>
      <c r="M101" s="45"/>
    </row>
    <row r="102" spans="1:13" s="30" customFormat="1" hidden="1" x14ac:dyDescent="0.25">
      <c r="A102" s="101" t="s">
        <v>98</v>
      </c>
      <c r="B102" s="101"/>
      <c r="C102" s="101"/>
      <c r="D102" s="101"/>
      <c r="E102" s="101"/>
      <c r="F102" s="109"/>
      <c r="G102" s="109"/>
      <c r="H102" s="109"/>
    </row>
    <row r="103" spans="1:13" s="30" customFormat="1" hidden="1" x14ac:dyDescent="0.25">
      <c r="A103" s="101" t="s">
        <v>167</v>
      </c>
      <c r="B103" s="101"/>
      <c r="C103" s="101"/>
      <c r="D103" s="101"/>
      <c r="E103" s="101"/>
      <c r="F103" s="109"/>
      <c r="G103" s="109"/>
      <c r="H103" s="109"/>
    </row>
    <row r="104" spans="1:13" s="30" customFormat="1" hidden="1" x14ac:dyDescent="0.25">
      <c r="A104" s="101" t="s">
        <v>99</v>
      </c>
      <c r="B104" s="101"/>
      <c r="C104" s="101"/>
      <c r="D104" s="101"/>
      <c r="E104" s="101"/>
      <c r="F104" s="109"/>
      <c r="G104" s="109"/>
      <c r="H104" s="109"/>
    </row>
    <row r="105" spans="1:13" s="30" customFormat="1" hidden="1" x14ac:dyDescent="0.25">
      <c r="A105" s="101" t="s">
        <v>100</v>
      </c>
      <c r="B105" s="101"/>
      <c r="C105" s="101"/>
      <c r="D105" s="101"/>
      <c r="E105" s="101"/>
      <c r="F105" s="109"/>
      <c r="G105" s="109"/>
      <c r="H105" s="109"/>
    </row>
    <row r="106" spans="1:13" s="30" customFormat="1" hidden="1" x14ac:dyDescent="0.25">
      <c r="A106" s="101" t="s">
        <v>101</v>
      </c>
      <c r="B106" s="101"/>
      <c r="C106" s="101"/>
      <c r="D106" s="101"/>
      <c r="E106" s="101"/>
      <c r="F106" s="109"/>
      <c r="G106" s="109"/>
      <c r="H106" s="109"/>
    </row>
    <row r="107" spans="1:13" s="30" customFormat="1" hidden="1" x14ac:dyDescent="0.25">
      <c r="A107" s="101" t="s">
        <v>102</v>
      </c>
      <c r="B107" s="101"/>
      <c r="C107" s="101"/>
      <c r="D107" s="101"/>
      <c r="E107" s="101"/>
      <c r="F107" s="109"/>
      <c r="G107" s="109"/>
      <c r="H107" s="109"/>
    </row>
    <row r="108" spans="1:13" x14ac:dyDescent="0.3">
      <c r="A108" s="101" t="s">
        <v>51</v>
      </c>
      <c r="B108" s="101"/>
      <c r="C108" s="101"/>
      <c r="D108" s="101"/>
      <c r="E108" s="101"/>
      <c r="F108" s="109">
        <v>1000000</v>
      </c>
      <c r="G108" s="109"/>
      <c r="H108" s="109"/>
    </row>
    <row r="109" spans="1:13" s="31" customFormat="1" x14ac:dyDescent="0.3">
      <c r="A109" s="110" t="s">
        <v>52</v>
      </c>
      <c r="B109" s="110"/>
      <c r="C109" s="110"/>
      <c r="D109" s="110"/>
      <c r="E109" s="110"/>
      <c r="F109" s="109">
        <f>F97*0.8</f>
        <v>16320</v>
      </c>
      <c r="G109" s="109"/>
      <c r="H109" s="109"/>
    </row>
    <row r="110" spans="1:13" s="32" customFormat="1" ht="15.75" customHeight="1" x14ac:dyDescent="0.3">
      <c r="A110" s="108" t="s">
        <v>77</v>
      </c>
      <c r="B110" s="108"/>
      <c r="C110" s="108"/>
      <c r="D110" s="108"/>
      <c r="E110" s="108"/>
      <c r="F110" s="108"/>
      <c r="G110" s="108"/>
      <c r="H110" s="108"/>
    </row>
    <row r="111" spans="1:13" s="32" customFormat="1" ht="15.75" customHeight="1" x14ac:dyDescent="0.3">
      <c r="A111" s="203" t="s">
        <v>53</v>
      </c>
      <c r="B111" s="203"/>
      <c r="C111" s="202" t="s">
        <v>80</v>
      </c>
      <c r="D111" s="202"/>
      <c r="E111" s="112" t="s">
        <v>54</v>
      </c>
      <c r="F111" s="112"/>
      <c r="G111" s="203" t="s">
        <v>55</v>
      </c>
      <c r="H111" s="203"/>
    </row>
    <row r="112" spans="1:13" s="32" customFormat="1" x14ac:dyDescent="0.3">
      <c r="A112" s="111" t="s">
        <v>194</v>
      </c>
      <c r="B112" s="111"/>
      <c r="C112" s="220">
        <f>COUNT(D129:D138)+COUNT(D140:D147)</f>
        <v>18</v>
      </c>
      <c r="D112" s="221"/>
      <c r="E112" s="103">
        <f>SUM(D129:D138)+SUM(D140:D147)</f>
        <v>7266.8393693999997</v>
      </c>
      <c r="F112" s="104"/>
      <c r="G112" s="103">
        <f>SUM(F129:F138)+SUM(F140:F147)</f>
        <v>11626.942991039999</v>
      </c>
      <c r="H112" s="104"/>
    </row>
    <row r="113" spans="1:10" s="32" customFormat="1" x14ac:dyDescent="0.3">
      <c r="A113" s="108" t="s">
        <v>154</v>
      </c>
      <c r="B113" s="108"/>
      <c r="C113" s="225">
        <f>SUM(C112)</f>
        <v>18</v>
      </c>
      <c r="D113" s="202"/>
      <c r="E113" s="214">
        <f>SUM(E112)</f>
        <v>7266.8393693999997</v>
      </c>
      <c r="F113" s="112"/>
      <c r="G113" s="203">
        <f>SUM(G112)</f>
        <v>11626.942991039999</v>
      </c>
      <c r="H113" s="203"/>
    </row>
    <row r="114" spans="1:10" s="32" customFormat="1" x14ac:dyDescent="0.3">
      <c r="A114" s="108" t="s">
        <v>71</v>
      </c>
      <c r="B114" s="108"/>
      <c r="C114" s="108"/>
      <c r="D114" s="108"/>
      <c r="E114" s="108"/>
      <c r="F114" s="108"/>
      <c r="G114" s="108"/>
      <c r="H114" s="108"/>
    </row>
    <row r="115" spans="1:10" s="32" customFormat="1" ht="15.75" customHeight="1" x14ac:dyDescent="0.3">
      <c r="A115" s="203" t="s">
        <v>53</v>
      </c>
      <c r="B115" s="203"/>
      <c r="C115" s="202" t="s">
        <v>80</v>
      </c>
      <c r="D115" s="202"/>
      <c r="E115" s="112" t="s">
        <v>54</v>
      </c>
      <c r="F115" s="112"/>
      <c r="G115" s="203" t="s">
        <v>55</v>
      </c>
      <c r="H115" s="203"/>
    </row>
    <row r="116" spans="1:10" s="32" customFormat="1" x14ac:dyDescent="0.3">
      <c r="A116" s="111" t="s">
        <v>194</v>
      </c>
      <c r="B116" s="111"/>
      <c r="C116" s="103">
        <f>COUNT(D153:D158)+COUNT(D162:D167)*4+COUNT(D171:D174)+COUNT(D180:D185)+COUNT(D189:D194)+COUNT(D198:D203)+COUNT(D208:D215)+COUNT(D217:D224)*5+COUNT(D226:D229,D232:D233)+COUNT(D235:D242)+COUNT(D244:D250)+COUNT(D252:D253,D257:D258)+COUNT(D260:D266)</f>
        <v>132</v>
      </c>
      <c r="D116" s="103"/>
      <c r="E116" s="103">
        <f>SUM(D153:D158)+SUM(D162:D167)*4+SUM(D171:D174)+SUM(D180:D185)+SUM(D189:D194)+SUM(D198:D203)+SUM(D208:D215)+SUM(D217:D224)*5+SUM(D226:D229,D232:D233)+SUM(D235:D242)+SUM(D244:D250)+SUM(D252:D253,D257:D258)+SUM(D260:D266)</f>
        <v>115357.27671000001</v>
      </c>
      <c r="F116" s="103"/>
      <c r="G116" s="103">
        <f>SUM(F153:F158)+SUM(F162:F167)*4+SUM(F171:F174)+SUM(F180:F185)+SUM(F189:F194)+SUM(F198:F203)+SUM(F208:F215)+SUM(F217:F224)*5+SUM(F226:F229,F232:F233)+SUM(F235:F242)+SUM(F244:F250)+SUM(F252:F253,F257:F258)+SUM(F260:F266)</f>
        <v>173035.91506500004</v>
      </c>
      <c r="H116" s="103"/>
    </row>
    <row r="117" spans="1:10" s="32" customFormat="1" x14ac:dyDescent="0.3">
      <c r="A117" s="111" t="s">
        <v>202</v>
      </c>
      <c r="B117" s="111"/>
      <c r="C117" s="103">
        <f>COUNT(D293:D298)+COUNT(D302:D307)*4+COUNT(D311:D315)+COUNT(D320:D325)+COUNT(D329:D334)+COUNT(D338:D343)+COUNT(D348:D355)+COUNT(D357:D364)*6+COUNT(D366:D369,D372:D373)+COUNT(D375:D382)+COUNT(D405:D408,D411:D412)+COUNT(D414:D421)+COUNT(D423:D430)*2+COUNT(D432:D439)*6+COUNT(D441:D444,D447:D448)</f>
        <v>207</v>
      </c>
      <c r="D117" s="103"/>
      <c r="E117" s="103">
        <f>SUM(D293:D298)+SUM(D302:D307)*4+SUM(D311:D315)+SUM(D320:D325)+SUM(D329:D334)+SUM(D338:D343)+SUM(D348:D355)+SUM(D357:D364)*6+SUM(D366:D369,D372:D373)+SUM(D375:D382)+SUM(D405:D408,D411:D412)+SUM(D414:D421)+SUM(D423:D430)*2+SUM(D432:D439)*6+SUM(D441:D444,D447:D448)</f>
        <v>158002.81847999999</v>
      </c>
      <c r="F117" s="103"/>
      <c r="G117" s="103">
        <f>SUM(F293:F298)+SUM(F302:F307)*4+SUM(F311:F315)+SUM(F320:F325)+SUM(F329:F334)+SUM(F338:F343)+SUM(F348:F355)+SUM(F357:F364)*6+SUM(F366:F369,F372:F373)+SUM(F375:F382)+SUM(F405:F408,F411:F412)+SUM(F414:F421)+SUM(F423:F430)*2+SUM(F432:F439)*6+SUM(F441:F444,F447:F448)</f>
        <v>237004.22772</v>
      </c>
      <c r="H117" s="103"/>
    </row>
    <row r="118" spans="1:10" s="32" customFormat="1" ht="16.2" thickBot="1" x14ac:dyDescent="0.35">
      <c r="A118" s="213" t="s">
        <v>154</v>
      </c>
      <c r="B118" s="213"/>
      <c r="C118" s="222">
        <f>SUM(C116:C117)</f>
        <v>339</v>
      </c>
      <c r="D118" s="223"/>
      <c r="E118" s="113">
        <f>SUM(E116:E117)</f>
        <v>273360.09519000002</v>
      </c>
      <c r="F118" s="114"/>
      <c r="G118" s="115">
        <f>SUM(G116:G117)</f>
        <v>410040.14278500003</v>
      </c>
      <c r="H118" s="115"/>
    </row>
    <row r="119" spans="1:10" s="32" customFormat="1" ht="16.2" thickBot="1" x14ac:dyDescent="0.35">
      <c r="A119" s="226" t="s">
        <v>173</v>
      </c>
      <c r="B119" s="227"/>
      <c r="C119" s="228">
        <f>C113+C118</f>
        <v>357</v>
      </c>
      <c r="D119" s="228"/>
      <c r="E119" s="116">
        <f>E113+E118</f>
        <v>280626.93455940002</v>
      </c>
      <c r="F119" s="116"/>
      <c r="G119" s="117">
        <f>G113+G118</f>
        <v>421667.08577604004</v>
      </c>
      <c r="H119" s="118"/>
    </row>
    <row r="120" spans="1:10" s="31" customFormat="1" x14ac:dyDescent="0.3">
      <c r="A120" s="208" t="s">
        <v>56</v>
      </c>
      <c r="B120" s="208"/>
      <c r="C120" s="208"/>
      <c r="D120" s="208"/>
      <c r="E120" s="208"/>
      <c r="F120" s="208"/>
      <c r="G120" s="208"/>
      <c r="H120" s="208"/>
    </row>
    <row r="121" spans="1:10" x14ac:dyDescent="0.3">
      <c r="A121" s="119" t="s">
        <v>57</v>
      </c>
      <c r="B121" s="119"/>
      <c r="C121" s="119"/>
      <c r="D121" s="119"/>
      <c r="E121" s="119"/>
      <c r="F121" s="119"/>
      <c r="G121" s="119"/>
      <c r="H121" s="119"/>
    </row>
    <row r="122" spans="1:10" ht="47.25" customHeight="1" x14ac:dyDescent="0.3">
      <c r="A122" s="125" t="s">
        <v>122</v>
      </c>
      <c r="B122" s="125" t="s">
        <v>197</v>
      </c>
      <c r="C122" s="125" t="s">
        <v>58</v>
      </c>
      <c r="D122" s="125" t="s">
        <v>59</v>
      </c>
      <c r="E122" s="209" t="s">
        <v>160</v>
      </c>
      <c r="F122" s="57" t="s">
        <v>153</v>
      </c>
      <c r="G122" s="121" t="s">
        <v>61</v>
      </c>
      <c r="H122" s="122"/>
    </row>
    <row r="123" spans="1:10" s="34" customFormat="1" x14ac:dyDescent="0.3">
      <c r="A123" s="126"/>
      <c r="B123" s="126"/>
      <c r="C123" s="126"/>
      <c r="D123" s="126"/>
      <c r="E123" s="210"/>
      <c r="F123" s="13">
        <v>0.6</v>
      </c>
      <c r="G123" s="123"/>
      <c r="H123" s="124"/>
    </row>
    <row r="124" spans="1:10" s="34" customFormat="1" x14ac:dyDescent="0.3">
      <c r="A124" s="105" t="s">
        <v>194</v>
      </c>
      <c r="B124" s="106"/>
      <c r="C124" s="106"/>
      <c r="D124" s="106"/>
      <c r="E124" s="106"/>
      <c r="F124" s="106"/>
      <c r="G124" s="106"/>
      <c r="H124" s="107"/>
      <c r="J124" s="33"/>
    </row>
    <row r="125" spans="1:10" s="34" customFormat="1" x14ac:dyDescent="0.3">
      <c r="A125" s="73" t="s">
        <v>219</v>
      </c>
      <c r="B125" s="74"/>
      <c r="C125" s="74"/>
      <c r="D125" s="74"/>
      <c r="E125" s="74"/>
      <c r="F125" s="74"/>
      <c r="G125" s="74"/>
      <c r="H125" s="75"/>
      <c r="J125" s="33"/>
    </row>
    <row r="126" spans="1:10" s="34" customFormat="1" x14ac:dyDescent="0.3">
      <c r="A126" s="73" t="s">
        <v>220</v>
      </c>
      <c r="B126" s="74"/>
      <c r="C126" s="74"/>
      <c r="D126" s="74"/>
      <c r="E126" s="74"/>
      <c r="F126" s="74"/>
      <c r="G126" s="74"/>
      <c r="H126" s="75"/>
      <c r="J126" s="33"/>
    </row>
    <row r="127" spans="1:10" s="34" customFormat="1" x14ac:dyDescent="0.3">
      <c r="A127" s="73" t="s">
        <v>195</v>
      </c>
      <c r="B127" s="74"/>
      <c r="C127" s="74"/>
      <c r="D127" s="74"/>
      <c r="E127" s="74"/>
      <c r="F127" s="74"/>
      <c r="G127" s="74"/>
      <c r="H127" s="75"/>
      <c r="J127" s="33"/>
    </row>
    <row r="128" spans="1:10" s="34" customFormat="1" x14ac:dyDescent="0.3">
      <c r="A128" s="73" t="s">
        <v>210</v>
      </c>
      <c r="B128" s="74"/>
      <c r="C128" s="74"/>
      <c r="D128" s="74"/>
      <c r="E128" s="74"/>
      <c r="F128" s="74"/>
      <c r="G128" s="74"/>
      <c r="H128" s="75"/>
      <c r="J128" s="33"/>
    </row>
    <row r="129" spans="1:14" s="34" customFormat="1" ht="15.75" customHeight="1" x14ac:dyDescent="0.3">
      <c r="A129" s="58">
        <v>1</v>
      </c>
      <c r="B129" s="58" t="s">
        <v>196</v>
      </c>
      <c r="C129" s="58" t="s">
        <v>198</v>
      </c>
      <c r="D129" s="43">
        <f>(2.68*5.45+1.45*1.15+1.13*1.25)*10.764</f>
        <v>190.37210400000004</v>
      </c>
      <c r="E129" s="43">
        <v>0</v>
      </c>
      <c r="F129" s="58">
        <f>(D129+E129)*(($F$123)+1)</f>
        <v>304.59536640000005</v>
      </c>
      <c r="G129" s="84" t="str">
        <f>A128</f>
        <v>Ground Floor for Commercial, Parking, Double height Entrance Lobby</v>
      </c>
      <c r="H129" s="85"/>
      <c r="I129" s="33"/>
      <c r="J129" s="43">
        <v>10.763999999999999</v>
      </c>
      <c r="L129" s="90"/>
      <c r="M129" s="90"/>
      <c r="N129" s="33"/>
    </row>
    <row r="130" spans="1:14" s="34" customFormat="1" x14ac:dyDescent="0.3">
      <c r="A130" s="58">
        <f t="shared" ref="A130:A138" si="0">A129+1</f>
        <v>2</v>
      </c>
      <c r="B130" s="58" t="s">
        <v>196</v>
      </c>
      <c r="C130" s="58" t="s">
        <v>198</v>
      </c>
      <c r="D130" s="43">
        <f>(4.02*7.33+2.62*1.25+1.45*1.15)*10.764</f>
        <v>370.37955239999991</v>
      </c>
      <c r="E130" s="43">
        <v>0</v>
      </c>
      <c r="F130" s="58">
        <f t="shared" ref="F130:F132" si="1">(D130+E130)*(($F$123)+1)</f>
        <v>592.60728383999992</v>
      </c>
      <c r="G130" s="86"/>
      <c r="H130" s="87"/>
      <c r="I130" s="33"/>
      <c r="L130" s="90"/>
      <c r="M130" s="90"/>
      <c r="N130" s="33"/>
    </row>
    <row r="131" spans="1:14" s="34" customFormat="1" x14ac:dyDescent="0.3">
      <c r="A131" s="58">
        <f t="shared" si="0"/>
        <v>3</v>
      </c>
      <c r="B131" s="58" t="s">
        <v>196</v>
      </c>
      <c r="C131" s="58" t="s">
        <v>198</v>
      </c>
      <c r="D131" s="43">
        <f>(4.6*5.19+3.07*7.07+3.31*1.86+4.65*2.14+3.24*1.21+1.32*2.78+1.59*1.15)*10.764</f>
        <v>765.37422000000004</v>
      </c>
      <c r="E131" s="43">
        <v>0</v>
      </c>
      <c r="F131" s="58">
        <f t="shared" si="1"/>
        <v>1224.5987520000001</v>
      </c>
      <c r="G131" s="86"/>
      <c r="H131" s="87"/>
      <c r="I131" s="33"/>
      <c r="L131" s="90"/>
      <c r="M131" s="90"/>
      <c r="N131" s="33"/>
    </row>
    <row r="132" spans="1:14" s="34" customFormat="1" x14ac:dyDescent="0.3">
      <c r="A132" s="58">
        <f t="shared" si="0"/>
        <v>4</v>
      </c>
      <c r="B132" s="58" t="s">
        <v>196</v>
      </c>
      <c r="C132" s="58" t="s">
        <v>198</v>
      </c>
      <c r="D132" s="43">
        <f>(3.17*4.1+3.2*0.5+3.05*1.74+4.39*3.3+2.57*0.45+4.57*1.73+4.49*3.28+1.36*2.15+1.1*1.73)*10.764</f>
        <v>678.21595919999982</v>
      </c>
      <c r="E132" s="43">
        <v>0</v>
      </c>
      <c r="F132" s="58">
        <f t="shared" si="1"/>
        <v>1085.1455347199997</v>
      </c>
      <c r="G132" s="86"/>
      <c r="H132" s="87"/>
      <c r="I132" s="33"/>
      <c r="L132" s="90"/>
      <c r="M132" s="90"/>
      <c r="N132" s="33"/>
    </row>
    <row r="133" spans="1:14" s="34" customFormat="1" x14ac:dyDescent="0.3">
      <c r="A133" s="58">
        <f t="shared" si="0"/>
        <v>5</v>
      </c>
      <c r="B133" s="58" t="s">
        <v>196</v>
      </c>
      <c r="C133" s="58" t="s">
        <v>198</v>
      </c>
      <c r="D133" s="43">
        <f>(6.53*2.65+1.97*1.42+1.45*1.15+1.35*1.1+1.15*1.45+0.9*2.2)*10.764</f>
        <v>289.57205160000001</v>
      </c>
      <c r="E133" s="43">
        <v>0</v>
      </c>
      <c r="F133" s="58">
        <f>(D133+E133)*(($F$123)+1)</f>
        <v>463.31528256000001</v>
      </c>
      <c r="G133" s="86"/>
      <c r="H133" s="87"/>
      <c r="I133" s="33"/>
      <c r="L133" s="90"/>
      <c r="M133" s="90"/>
      <c r="N133" s="33"/>
    </row>
    <row r="134" spans="1:14" s="34" customFormat="1" x14ac:dyDescent="0.3">
      <c r="A134" s="58">
        <f t="shared" si="0"/>
        <v>6</v>
      </c>
      <c r="B134" s="58" t="s">
        <v>196</v>
      </c>
      <c r="C134" s="58" t="s">
        <v>198</v>
      </c>
      <c r="D134" s="43">
        <f>(4.69*1.95+4.36*3.5+1.45*1.15+0.5*2.25*2.55)*10.764</f>
        <v>311.528997</v>
      </c>
      <c r="E134" s="43">
        <v>0</v>
      </c>
      <c r="F134" s="58">
        <f t="shared" ref="F134:F136" si="2">(D134+E134)*(($F$123)+1)</f>
        <v>498.44639520000004</v>
      </c>
      <c r="G134" s="86"/>
      <c r="H134" s="87"/>
      <c r="I134" s="33"/>
      <c r="L134" s="90"/>
      <c r="M134" s="90"/>
      <c r="N134" s="33"/>
    </row>
    <row r="135" spans="1:14" s="34" customFormat="1" x14ac:dyDescent="0.3">
      <c r="A135" s="58">
        <f t="shared" si="0"/>
        <v>7</v>
      </c>
      <c r="B135" s="58" t="s">
        <v>196</v>
      </c>
      <c r="C135" s="58" t="s">
        <v>198</v>
      </c>
      <c r="D135" s="43">
        <f>(6.27*5.91+6.5*1.95+3.91*3.05+0.5*3.5*2.65+1.45*1.15+0.5*1.5*2.25)*10.764</f>
        <v>749.69860679999999</v>
      </c>
      <c r="E135" s="43">
        <v>0</v>
      </c>
      <c r="F135" s="58">
        <f t="shared" si="2"/>
        <v>1199.5177708799999</v>
      </c>
      <c r="G135" s="86"/>
      <c r="H135" s="87"/>
      <c r="I135" s="33"/>
      <c r="L135" s="90"/>
      <c r="M135" s="90"/>
      <c r="N135" s="33"/>
    </row>
    <row r="136" spans="1:14" s="34" customFormat="1" x14ac:dyDescent="0.3">
      <c r="A136" s="58">
        <f t="shared" si="0"/>
        <v>8</v>
      </c>
      <c r="B136" s="58" t="s">
        <v>196</v>
      </c>
      <c r="C136" s="58" t="s">
        <v>198</v>
      </c>
      <c r="D136" s="43">
        <f>(2.55*1.47+2.09*2.08+1.45*1.15+1.2*5.05+6.27*3.58+1.96*3.32+4*3.1)*10.764</f>
        <v>615.45322799999997</v>
      </c>
      <c r="E136" s="43">
        <v>0</v>
      </c>
      <c r="F136" s="58">
        <f t="shared" si="2"/>
        <v>984.72516480000002</v>
      </c>
      <c r="G136" s="86"/>
      <c r="H136" s="87"/>
      <c r="I136" s="33"/>
      <c r="L136" s="90"/>
      <c r="M136" s="90"/>
      <c r="N136" s="33"/>
    </row>
    <row r="137" spans="1:14" s="34" customFormat="1" x14ac:dyDescent="0.3">
      <c r="A137" s="58">
        <f t="shared" si="0"/>
        <v>9</v>
      </c>
      <c r="B137" s="58" t="s">
        <v>196</v>
      </c>
      <c r="C137" s="58" t="s">
        <v>198</v>
      </c>
      <c r="D137" s="43">
        <f>(1.9*6.74+1.9*1)*10.764</f>
        <v>158.29538399999998</v>
      </c>
      <c r="E137" s="43">
        <v>0</v>
      </c>
      <c r="F137" s="58">
        <f t="shared" ref="F137" si="3">(D137+E137)*(($F$123)+1)</f>
        <v>253.27261439999998</v>
      </c>
      <c r="G137" s="86"/>
      <c r="H137" s="87"/>
      <c r="I137" s="33"/>
      <c r="L137" s="90"/>
      <c r="M137" s="90"/>
      <c r="N137" s="33"/>
    </row>
    <row r="138" spans="1:14" s="34" customFormat="1" x14ac:dyDescent="0.3">
      <c r="A138" s="58">
        <f t="shared" si="0"/>
        <v>10</v>
      </c>
      <c r="B138" s="58" t="s">
        <v>196</v>
      </c>
      <c r="C138" s="58" t="s">
        <v>198</v>
      </c>
      <c r="D138" s="43">
        <f>(2.9*6.74+1.3*1)*10.764</f>
        <v>224.38634399999998</v>
      </c>
      <c r="E138" s="43">
        <v>0</v>
      </c>
      <c r="F138" s="58">
        <f t="shared" ref="F138" si="4">(D138+E138)*(($F$123)+1)</f>
        <v>359.01815039999997</v>
      </c>
      <c r="G138" s="88"/>
      <c r="H138" s="89"/>
      <c r="I138" s="33"/>
      <c r="L138" s="90"/>
      <c r="M138" s="90"/>
      <c r="N138" s="33"/>
    </row>
    <row r="139" spans="1:14" s="34" customFormat="1" x14ac:dyDescent="0.3">
      <c r="A139" s="73" t="s">
        <v>211</v>
      </c>
      <c r="B139" s="74"/>
      <c r="C139" s="74"/>
      <c r="D139" s="74"/>
      <c r="E139" s="74"/>
      <c r="F139" s="74"/>
      <c r="G139" s="74"/>
      <c r="H139" s="75"/>
      <c r="I139" s="34">
        <v>1</v>
      </c>
      <c r="J139" s="33"/>
    </row>
    <row r="140" spans="1:14" s="34" customFormat="1" ht="15.75" customHeight="1" x14ac:dyDescent="0.3">
      <c r="A140" s="58">
        <v>1</v>
      </c>
      <c r="B140" s="58" t="s">
        <v>196</v>
      </c>
      <c r="C140" s="58" t="s">
        <v>198</v>
      </c>
      <c r="D140" s="43">
        <f>(5.85*2.03+1.2*1.58+1.45*1.15+2.94*1.29)*10.764</f>
        <v>207.0089424</v>
      </c>
      <c r="E140" s="43">
        <v>0</v>
      </c>
      <c r="F140" s="58">
        <f>(D140+E140)*(($F$123)+1)</f>
        <v>331.21430784</v>
      </c>
      <c r="G140" s="84" t="str">
        <f>A139</f>
        <v>1st Podium Floor for Commercial &amp; Parking</v>
      </c>
      <c r="H140" s="85"/>
      <c r="I140" s="33"/>
      <c r="L140" s="90"/>
      <c r="M140" s="90"/>
      <c r="N140" s="33"/>
    </row>
    <row r="141" spans="1:14" s="34" customFormat="1" x14ac:dyDescent="0.3">
      <c r="A141" s="58">
        <f t="shared" ref="A141:A147" si="5">A140+1</f>
        <v>2</v>
      </c>
      <c r="B141" s="58" t="s">
        <v>196</v>
      </c>
      <c r="C141" s="58" t="s">
        <v>198</v>
      </c>
      <c r="D141" s="43">
        <f>(1.5*4.5+4.32*3.36+1.45*1.15+2.9*1.15)*10.764</f>
        <v>282.7455228</v>
      </c>
      <c r="E141" s="43">
        <v>0</v>
      </c>
      <c r="F141" s="58">
        <f t="shared" ref="F141:F143" si="6">(D141+E141)*(($F$123)+1)</f>
        <v>452.39283648000003</v>
      </c>
      <c r="G141" s="86"/>
      <c r="H141" s="87"/>
      <c r="I141" s="33"/>
      <c r="L141" s="90"/>
      <c r="M141" s="90"/>
      <c r="N141" s="33"/>
    </row>
    <row r="142" spans="1:14" s="34" customFormat="1" x14ac:dyDescent="0.3">
      <c r="A142" s="58">
        <f t="shared" si="5"/>
        <v>3</v>
      </c>
      <c r="B142" s="58" t="s">
        <v>196</v>
      </c>
      <c r="C142" s="58" t="s">
        <v>198</v>
      </c>
      <c r="D142" s="43">
        <f>(3.35*5.23+1.2*1.7+1.15*1.45)*10.764</f>
        <v>228.49819199999999</v>
      </c>
      <c r="E142" s="43">
        <v>0</v>
      </c>
      <c r="F142" s="58">
        <f t="shared" si="6"/>
        <v>365.59710719999998</v>
      </c>
      <c r="G142" s="86"/>
      <c r="H142" s="87"/>
      <c r="I142" s="33"/>
      <c r="L142" s="90"/>
      <c r="M142" s="90"/>
      <c r="N142" s="33"/>
    </row>
    <row r="143" spans="1:14" s="34" customFormat="1" x14ac:dyDescent="0.3">
      <c r="A143" s="58">
        <f t="shared" si="5"/>
        <v>4</v>
      </c>
      <c r="B143" s="58" t="s">
        <v>196</v>
      </c>
      <c r="C143" s="58" t="s">
        <v>198</v>
      </c>
      <c r="D143" s="43">
        <f>(3.35*5.23+1.2*1.7+1.15*1.45)*10.764</f>
        <v>228.49819199999999</v>
      </c>
      <c r="E143" s="43">
        <v>0</v>
      </c>
      <c r="F143" s="58">
        <f t="shared" si="6"/>
        <v>365.59710719999998</v>
      </c>
      <c r="G143" s="86"/>
      <c r="H143" s="87"/>
      <c r="I143" s="33"/>
      <c r="L143" s="90"/>
      <c r="M143" s="90"/>
      <c r="N143" s="33"/>
    </row>
    <row r="144" spans="1:14" s="34" customFormat="1" x14ac:dyDescent="0.3">
      <c r="A144" s="58">
        <f t="shared" si="5"/>
        <v>5</v>
      </c>
      <c r="B144" s="58" t="s">
        <v>196</v>
      </c>
      <c r="C144" s="58" t="s">
        <v>198</v>
      </c>
      <c r="D144" s="43">
        <f>(6.12*4.35+6.06*3.73+1.8*1.28+1.15*1.45)*10.764</f>
        <v>572.6157371999999</v>
      </c>
      <c r="E144" s="43">
        <v>0</v>
      </c>
      <c r="F144" s="58">
        <f>(D144+E144)*(($F$123)+1)</f>
        <v>916.18517951999991</v>
      </c>
      <c r="G144" s="86"/>
      <c r="H144" s="87"/>
      <c r="I144" s="33"/>
      <c r="L144" s="90"/>
      <c r="M144" s="90"/>
      <c r="N144" s="33"/>
    </row>
    <row r="145" spans="1:14" s="34" customFormat="1" x14ac:dyDescent="0.3">
      <c r="A145" s="58">
        <f t="shared" si="5"/>
        <v>6</v>
      </c>
      <c r="B145" s="58" t="s">
        <v>196</v>
      </c>
      <c r="C145" s="58" t="s">
        <v>198</v>
      </c>
      <c r="D145" s="43">
        <f>(4.42*2.15+1.15*1.45+4.56*1.29)*10.764</f>
        <v>183.55741560000001</v>
      </c>
      <c r="E145" s="43">
        <v>0</v>
      </c>
      <c r="F145" s="58">
        <f t="shared" ref="F145:F147" si="7">(D145+E145)*(($F$123)+1)</f>
        <v>293.69186496000003</v>
      </c>
      <c r="G145" s="86"/>
      <c r="H145" s="87"/>
      <c r="I145" s="33"/>
      <c r="L145" s="90"/>
      <c r="M145" s="90"/>
      <c r="N145" s="33"/>
    </row>
    <row r="146" spans="1:14" s="34" customFormat="1" x14ac:dyDescent="0.3">
      <c r="A146" s="58">
        <f t="shared" si="5"/>
        <v>7</v>
      </c>
      <c r="B146" s="58" t="s">
        <v>196</v>
      </c>
      <c r="C146" s="58" t="s">
        <v>198</v>
      </c>
      <c r="D146" s="43">
        <f>(4.88*2.8+1.45*1.15+2.29*1.1+0.94*1.1)*10.764</f>
        <v>203.27275799999998</v>
      </c>
      <c r="E146" s="43">
        <v>0</v>
      </c>
      <c r="F146" s="58">
        <f t="shared" si="7"/>
        <v>325.23641279999998</v>
      </c>
      <c r="G146" s="86"/>
      <c r="H146" s="87"/>
      <c r="I146" s="33"/>
      <c r="L146" s="90"/>
      <c r="M146" s="90"/>
      <c r="N146" s="33"/>
    </row>
    <row r="147" spans="1:14" s="34" customFormat="1" x14ac:dyDescent="0.3">
      <c r="A147" s="58">
        <f t="shared" si="5"/>
        <v>8</v>
      </c>
      <c r="B147" s="58" t="s">
        <v>196</v>
      </c>
      <c r="C147" s="58" t="s">
        <v>198</v>
      </c>
      <c r="D147" s="43">
        <f>(6.27*5.91+4.36*3.5+6.24*1.96+6.34*1.95+3.91*3.95+1.37*0.9)*10.764</f>
        <v>1007.3661624000001</v>
      </c>
      <c r="E147" s="43">
        <v>0</v>
      </c>
      <c r="F147" s="58">
        <f t="shared" si="7"/>
        <v>1611.7858598400003</v>
      </c>
      <c r="G147" s="88"/>
      <c r="H147" s="89"/>
      <c r="I147" s="33"/>
      <c r="L147" s="90"/>
      <c r="M147" s="90"/>
      <c r="N147" s="33"/>
    </row>
    <row r="148" spans="1:14" s="34" customFormat="1" x14ac:dyDescent="0.3">
      <c r="A148" s="212"/>
      <c r="B148" s="212"/>
      <c r="C148" s="212"/>
      <c r="D148" s="212"/>
      <c r="E148" s="212"/>
      <c r="F148" s="212"/>
      <c r="G148" s="212"/>
      <c r="H148" s="212"/>
      <c r="I148" s="33"/>
      <c r="N148" s="33"/>
    </row>
    <row r="149" spans="1:14" ht="47.25" customHeight="1" x14ac:dyDescent="0.3">
      <c r="A149" s="120" t="s">
        <v>123</v>
      </c>
      <c r="B149" s="120" t="s">
        <v>124</v>
      </c>
      <c r="C149" s="120" t="s">
        <v>58</v>
      </c>
      <c r="D149" s="120" t="s">
        <v>59</v>
      </c>
      <c r="E149" s="146" t="s">
        <v>60</v>
      </c>
      <c r="F149" s="71" t="s">
        <v>153</v>
      </c>
      <c r="G149" s="120" t="s">
        <v>61</v>
      </c>
      <c r="H149" s="120"/>
      <c r="I149" s="33"/>
    </row>
    <row r="150" spans="1:14" s="34" customFormat="1" x14ac:dyDescent="0.3">
      <c r="A150" s="120"/>
      <c r="B150" s="120"/>
      <c r="C150" s="120"/>
      <c r="D150" s="120"/>
      <c r="E150" s="146"/>
      <c r="F150" s="72">
        <v>0.5</v>
      </c>
      <c r="G150" s="120"/>
      <c r="H150" s="120"/>
      <c r="I150" s="33"/>
    </row>
    <row r="151" spans="1:14" s="34" customFormat="1" x14ac:dyDescent="0.3">
      <c r="A151" s="211" t="s">
        <v>194</v>
      </c>
      <c r="B151" s="211"/>
      <c r="C151" s="211"/>
      <c r="D151" s="211"/>
      <c r="E151" s="211"/>
      <c r="F151" s="211"/>
      <c r="G151" s="211"/>
      <c r="H151" s="211"/>
      <c r="J151" s="33"/>
    </row>
    <row r="152" spans="1:14" s="34" customFormat="1" x14ac:dyDescent="0.3">
      <c r="A152" s="219" t="s">
        <v>223</v>
      </c>
      <c r="B152" s="219"/>
      <c r="C152" s="219"/>
      <c r="D152" s="219"/>
      <c r="E152" s="219"/>
      <c r="F152" s="219"/>
      <c r="G152" s="219"/>
      <c r="H152" s="219"/>
      <c r="I152" s="34">
        <v>1</v>
      </c>
      <c r="J152" s="33"/>
    </row>
    <row r="153" spans="1:14" s="34" customFormat="1" ht="15.75" customHeight="1" x14ac:dyDescent="0.3">
      <c r="A153" s="82">
        <v>1</v>
      </c>
      <c r="B153" s="83"/>
      <c r="C153" s="58" t="s">
        <v>201</v>
      </c>
      <c r="D153" s="43">
        <f>(69.22)*10.764</f>
        <v>745.08407999999997</v>
      </c>
      <c r="E153" s="43">
        <v>0</v>
      </c>
      <c r="F153" s="58">
        <f t="shared" ref="F153:F158" si="8">D153*(($F$150)+1)+(IF(E153&lt;101,E153,IF(E153&lt;201,E153/2,IF(E153&lt;=301,E153/3,E153/4))))</f>
        <v>1117.6261199999999</v>
      </c>
      <c r="G153" s="84" t="str">
        <f>A152</f>
        <v>2nd Part Podium Floor for Residential &amp; Parking</v>
      </c>
      <c r="H153" s="85"/>
      <c r="I153" s="33">
        <f>3.21*6.17+3.04*2.12+3.04*3.95+3.35*3.65+2.55*0.82+0.77*1.32+2.22*1.22+1.22*2.34+2.58*0.9+2.06*1.76+1.51*1.02</f>
        <v>66.64439999999999</v>
      </c>
      <c r="J153" s="33">
        <f>29500000/F153</f>
        <v>26395.231349818492</v>
      </c>
      <c r="L153" s="90"/>
      <c r="M153" s="90"/>
      <c r="N153" s="33"/>
    </row>
    <row r="154" spans="1:14" s="34" customFormat="1" x14ac:dyDescent="0.3">
      <c r="A154" s="82">
        <f t="shared" ref="A154:A160" si="9">A153+1</f>
        <v>2</v>
      </c>
      <c r="B154" s="83"/>
      <c r="C154" s="58" t="s">
        <v>201</v>
      </c>
      <c r="D154" s="43">
        <f>(68.64)*10.764</f>
        <v>738.84096</v>
      </c>
      <c r="E154" s="43">
        <v>0</v>
      </c>
      <c r="F154" s="58">
        <f t="shared" si="8"/>
        <v>1108.26144</v>
      </c>
      <c r="G154" s="86"/>
      <c r="H154" s="87"/>
      <c r="I154" s="33"/>
      <c r="L154" s="90"/>
      <c r="M154" s="90"/>
      <c r="N154" s="33"/>
    </row>
    <row r="155" spans="1:14" s="34" customFormat="1" x14ac:dyDescent="0.3">
      <c r="A155" s="82">
        <f t="shared" si="9"/>
        <v>3</v>
      </c>
      <c r="B155" s="83"/>
      <c r="C155" s="58" t="s">
        <v>200</v>
      </c>
      <c r="D155" s="43">
        <f>(99.42)*10.764</f>
        <v>1070.15688</v>
      </c>
      <c r="E155" s="43">
        <v>0</v>
      </c>
      <c r="F155" s="58">
        <f t="shared" si="8"/>
        <v>1605.23532</v>
      </c>
      <c r="G155" s="86"/>
      <c r="H155" s="87"/>
      <c r="I155" s="33"/>
      <c r="L155" s="90"/>
      <c r="M155" s="90"/>
      <c r="N155" s="33"/>
    </row>
    <row r="156" spans="1:14" s="34" customFormat="1" x14ac:dyDescent="0.3">
      <c r="A156" s="82">
        <f t="shared" si="9"/>
        <v>4</v>
      </c>
      <c r="B156" s="83"/>
      <c r="C156" s="58" t="s">
        <v>200</v>
      </c>
      <c r="D156" s="43">
        <f>(95.76)*10.764</f>
        <v>1030.76064</v>
      </c>
      <c r="E156" s="43">
        <v>0</v>
      </c>
      <c r="F156" s="58">
        <f t="shared" si="8"/>
        <v>1546.14096</v>
      </c>
      <c r="G156" s="86"/>
      <c r="H156" s="87"/>
      <c r="I156" s="33"/>
      <c r="L156" s="90"/>
      <c r="M156" s="90"/>
      <c r="N156" s="33"/>
    </row>
    <row r="157" spans="1:14" s="34" customFormat="1" x14ac:dyDescent="0.3">
      <c r="A157" s="82">
        <f t="shared" si="9"/>
        <v>5</v>
      </c>
      <c r="B157" s="83"/>
      <c r="C157" s="58" t="s">
        <v>201</v>
      </c>
      <c r="D157" s="43">
        <f>(67.24)*10.764</f>
        <v>723.77135999999985</v>
      </c>
      <c r="E157" s="43">
        <v>0</v>
      </c>
      <c r="F157" s="58">
        <f t="shared" si="8"/>
        <v>1085.6570399999998</v>
      </c>
      <c r="G157" s="86"/>
      <c r="H157" s="87"/>
      <c r="I157" s="33"/>
      <c r="L157" s="90"/>
      <c r="M157" s="90"/>
      <c r="N157" s="33"/>
    </row>
    <row r="158" spans="1:14" s="34" customFormat="1" x14ac:dyDescent="0.3">
      <c r="A158" s="82">
        <f t="shared" si="9"/>
        <v>6</v>
      </c>
      <c r="B158" s="83"/>
      <c r="C158" s="58" t="s">
        <v>201</v>
      </c>
      <c r="D158" s="43">
        <f>(67.12)*10.764</f>
        <v>722.47968000000003</v>
      </c>
      <c r="E158" s="43">
        <v>0</v>
      </c>
      <c r="F158" s="58">
        <f t="shared" si="8"/>
        <v>1083.7195200000001</v>
      </c>
      <c r="G158" s="86"/>
      <c r="H158" s="87"/>
      <c r="I158" s="33"/>
      <c r="L158" s="90"/>
      <c r="M158" s="90"/>
      <c r="N158" s="33"/>
    </row>
    <row r="159" spans="1:14" s="34" customFormat="1" x14ac:dyDescent="0.3">
      <c r="A159" s="82">
        <f t="shared" si="9"/>
        <v>7</v>
      </c>
      <c r="B159" s="83"/>
      <c r="C159" s="84" t="s">
        <v>226</v>
      </c>
      <c r="D159" s="91"/>
      <c r="E159" s="91"/>
      <c r="F159" s="85"/>
      <c r="G159" s="86"/>
      <c r="H159" s="87"/>
      <c r="I159" s="33"/>
      <c r="L159" s="90"/>
      <c r="M159" s="90"/>
      <c r="N159" s="33"/>
    </row>
    <row r="160" spans="1:14" s="34" customFormat="1" x14ac:dyDescent="0.3">
      <c r="A160" s="82">
        <f t="shared" si="9"/>
        <v>8</v>
      </c>
      <c r="B160" s="83"/>
      <c r="C160" s="88"/>
      <c r="D160" s="92"/>
      <c r="E160" s="92"/>
      <c r="F160" s="89"/>
      <c r="G160" s="88"/>
      <c r="H160" s="89"/>
      <c r="I160" s="33"/>
      <c r="L160" s="90"/>
      <c r="M160" s="90"/>
      <c r="N160" s="33"/>
    </row>
    <row r="161" spans="1:14" s="34" customFormat="1" x14ac:dyDescent="0.3">
      <c r="A161" s="73" t="s">
        <v>224</v>
      </c>
      <c r="B161" s="74"/>
      <c r="C161" s="74"/>
      <c r="D161" s="74"/>
      <c r="E161" s="74"/>
      <c r="F161" s="74"/>
      <c r="G161" s="74"/>
      <c r="H161" s="75"/>
      <c r="I161" s="34">
        <v>4</v>
      </c>
      <c r="J161" s="33"/>
    </row>
    <row r="162" spans="1:14" s="34" customFormat="1" ht="15.75" customHeight="1" x14ac:dyDescent="0.3">
      <c r="A162" s="82">
        <v>1</v>
      </c>
      <c r="B162" s="83"/>
      <c r="C162" s="58" t="s">
        <v>201</v>
      </c>
      <c r="D162" s="43">
        <f>(69.22)*10.764</f>
        <v>745.08407999999997</v>
      </c>
      <c r="E162" s="43">
        <v>0</v>
      </c>
      <c r="F162" s="58">
        <f t="shared" ref="F162:F167" si="10">D162*(($F$150)+1)+(IF(E162&lt;101,E162,IF(E162&lt;201,E162/2,IF(E162&lt;=301,E162/3,E162/4))))</f>
        <v>1117.6261199999999</v>
      </c>
      <c r="G162" s="84" t="str">
        <f>A161</f>
        <v>3rd to 6th Part Podium Floor for Residential &amp; Parking</v>
      </c>
      <c r="H162" s="85"/>
      <c r="I162" s="33"/>
      <c r="J162" s="33"/>
      <c r="L162" s="90"/>
      <c r="M162" s="90"/>
      <c r="N162" s="33"/>
    </row>
    <row r="163" spans="1:14" s="34" customFormat="1" x14ac:dyDescent="0.3">
      <c r="A163" s="82">
        <f t="shared" ref="A163:A169" si="11">A162+1</f>
        <v>2</v>
      </c>
      <c r="B163" s="83"/>
      <c r="C163" s="58" t="s">
        <v>201</v>
      </c>
      <c r="D163" s="43">
        <f>(68.64)*10.764</f>
        <v>738.84096</v>
      </c>
      <c r="E163" s="43">
        <v>0</v>
      </c>
      <c r="F163" s="58">
        <f t="shared" si="10"/>
        <v>1108.26144</v>
      </c>
      <c r="G163" s="86"/>
      <c r="H163" s="87"/>
      <c r="I163" s="33"/>
      <c r="L163" s="90"/>
      <c r="M163" s="90"/>
      <c r="N163" s="33"/>
    </row>
    <row r="164" spans="1:14" s="34" customFormat="1" x14ac:dyDescent="0.3">
      <c r="A164" s="82">
        <f t="shared" si="11"/>
        <v>3</v>
      </c>
      <c r="B164" s="83"/>
      <c r="C164" s="58" t="s">
        <v>200</v>
      </c>
      <c r="D164" s="43">
        <f>(99.42)*10.764</f>
        <v>1070.15688</v>
      </c>
      <c r="E164" s="43">
        <v>0</v>
      </c>
      <c r="F164" s="58">
        <f t="shared" si="10"/>
        <v>1605.23532</v>
      </c>
      <c r="G164" s="86"/>
      <c r="H164" s="87"/>
      <c r="I164" s="33"/>
      <c r="L164" s="90"/>
      <c r="M164" s="90"/>
      <c r="N164" s="33"/>
    </row>
    <row r="165" spans="1:14" s="34" customFormat="1" x14ac:dyDescent="0.3">
      <c r="A165" s="82">
        <f t="shared" si="11"/>
        <v>4</v>
      </c>
      <c r="B165" s="83"/>
      <c r="C165" s="58" t="s">
        <v>200</v>
      </c>
      <c r="D165" s="43">
        <f>(95.76)*10.764</f>
        <v>1030.76064</v>
      </c>
      <c r="E165" s="43">
        <v>0</v>
      </c>
      <c r="F165" s="58">
        <f t="shared" si="10"/>
        <v>1546.14096</v>
      </c>
      <c r="G165" s="86"/>
      <c r="H165" s="87"/>
      <c r="I165" s="33"/>
      <c r="L165" s="90"/>
      <c r="M165" s="90"/>
      <c r="N165" s="33"/>
    </row>
    <row r="166" spans="1:14" s="34" customFormat="1" x14ac:dyDescent="0.3">
      <c r="A166" s="82">
        <f t="shared" si="11"/>
        <v>5</v>
      </c>
      <c r="B166" s="83"/>
      <c r="C166" s="58" t="s">
        <v>201</v>
      </c>
      <c r="D166" s="43">
        <f>(67.24)*10.764</f>
        <v>723.77135999999985</v>
      </c>
      <c r="E166" s="43">
        <v>0</v>
      </c>
      <c r="F166" s="58">
        <f t="shared" si="10"/>
        <v>1085.6570399999998</v>
      </c>
      <c r="G166" s="86"/>
      <c r="H166" s="87"/>
      <c r="I166" s="33"/>
      <c r="L166" s="90"/>
      <c r="M166" s="90"/>
      <c r="N166" s="33"/>
    </row>
    <row r="167" spans="1:14" s="34" customFormat="1" x14ac:dyDescent="0.3">
      <c r="A167" s="82">
        <f t="shared" si="11"/>
        <v>6</v>
      </c>
      <c r="B167" s="83"/>
      <c r="C167" s="58" t="s">
        <v>201</v>
      </c>
      <c r="D167" s="43">
        <f>(67.12)*10.764</f>
        <v>722.47968000000003</v>
      </c>
      <c r="E167" s="43">
        <v>0</v>
      </c>
      <c r="F167" s="58">
        <f t="shared" si="10"/>
        <v>1083.7195200000001</v>
      </c>
      <c r="G167" s="86"/>
      <c r="H167" s="87"/>
      <c r="I167" s="33"/>
      <c r="L167" s="90"/>
      <c r="M167" s="90"/>
      <c r="N167" s="33"/>
    </row>
    <row r="168" spans="1:14" s="34" customFormat="1" x14ac:dyDescent="0.3">
      <c r="A168" s="82">
        <f t="shared" si="11"/>
        <v>7</v>
      </c>
      <c r="B168" s="83"/>
      <c r="C168" s="84" t="s">
        <v>226</v>
      </c>
      <c r="D168" s="91"/>
      <c r="E168" s="91"/>
      <c r="F168" s="85"/>
      <c r="G168" s="86"/>
      <c r="H168" s="87"/>
      <c r="I168" s="33"/>
      <c r="L168" s="90"/>
      <c r="M168" s="90"/>
      <c r="N168" s="33"/>
    </row>
    <row r="169" spans="1:14" s="34" customFormat="1" x14ac:dyDescent="0.3">
      <c r="A169" s="82">
        <f t="shared" si="11"/>
        <v>8</v>
      </c>
      <c r="B169" s="83"/>
      <c r="C169" s="88"/>
      <c r="D169" s="92"/>
      <c r="E169" s="92"/>
      <c r="F169" s="89"/>
      <c r="G169" s="88"/>
      <c r="H169" s="89"/>
      <c r="I169" s="33"/>
      <c r="L169" s="90"/>
      <c r="M169" s="90"/>
      <c r="N169" s="33"/>
    </row>
    <row r="170" spans="1:14" s="34" customFormat="1" x14ac:dyDescent="0.3">
      <c r="A170" s="73" t="s">
        <v>260</v>
      </c>
      <c r="B170" s="74"/>
      <c r="C170" s="74"/>
      <c r="D170" s="74"/>
      <c r="E170" s="74"/>
      <c r="F170" s="74"/>
      <c r="G170" s="74"/>
      <c r="H170" s="75"/>
      <c r="I170" s="34">
        <v>1</v>
      </c>
      <c r="J170" s="33"/>
    </row>
    <row r="171" spans="1:14" s="34" customFormat="1" ht="15.75" customHeight="1" x14ac:dyDescent="0.3">
      <c r="A171" s="82">
        <v>1</v>
      </c>
      <c r="B171" s="83"/>
      <c r="C171" s="58" t="s">
        <v>201</v>
      </c>
      <c r="D171" s="43">
        <f>(69.22)*10.764</f>
        <v>745.08407999999997</v>
      </c>
      <c r="E171" s="43">
        <v>0</v>
      </c>
      <c r="F171" s="58">
        <f t="shared" ref="F171:F174" si="12">D171*(($F$150)+1)+(IF(E171&lt;101,E171,IF(E171&lt;201,E171/2,IF(E171&lt;=301,E171/3,E171/4))))</f>
        <v>1117.6261199999999</v>
      </c>
      <c r="G171" s="84" t="str">
        <f>A170</f>
        <v>7th Floor (Part Refuge Floor &amp; Parking)</v>
      </c>
      <c r="H171" s="85"/>
      <c r="I171" s="33"/>
      <c r="J171" s="33"/>
      <c r="L171" s="90"/>
      <c r="M171" s="90"/>
      <c r="N171" s="33"/>
    </row>
    <row r="172" spans="1:14" s="34" customFormat="1" x14ac:dyDescent="0.3">
      <c r="A172" s="82">
        <f t="shared" ref="A172:A178" si="13">A171+1</f>
        <v>2</v>
      </c>
      <c r="B172" s="83"/>
      <c r="C172" s="58" t="s">
        <v>201</v>
      </c>
      <c r="D172" s="43">
        <f>(68.64)*10.764</f>
        <v>738.84096</v>
      </c>
      <c r="E172" s="43">
        <v>0</v>
      </c>
      <c r="F172" s="58">
        <f t="shared" si="12"/>
        <v>1108.26144</v>
      </c>
      <c r="G172" s="86"/>
      <c r="H172" s="87"/>
      <c r="I172" s="33"/>
      <c r="L172" s="90"/>
      <c r="M172" s="90"/>
      <c r="N172" s="33"/>
    </row>
    <row r="173" spans="1:14" s="34" customFormat="1" x14ac:dyDescent="0.3">
      <c r="A173" s="82">
        <f t="shared" si="13"/>
        <v>3</v>
      </c>
      <c r="B173" s="83"/>
      <c r="C173" s="58" t="s">
        <v>200</v>
      </c>
      <c r="D173" s="43">
        <f>(99.42)*10.764</f>
        <v>1070.15688</v>
      </c>
      <c r="E173" s="43">
        <v>0</v>
      </c>
      <c r="F173" s="58">
        <f t="shared" si="12"/>
        <v>1605.23532</v>
      </c>
      <c r="G173" s="86"/>
      <c r="H173" s="87"/>
      <c r="I173" s="33"/>
      <c r="L173" s="90"/>
      <c r="M173" s="90"/>
      <c r="N173" s="33"/>
    </row>
    <row r="174" spans="1:14" s="34" customFormat="1" x14ac:dyDescent="0.3">
      <c r="A174" s="82">
        <f t="shared" si="13"/>
        <v>4</v>
      </c>
      <c r="B174" s="83"/>
      <c r="C174" s="58" t="s">
        <v>200</v>
      </c>
      <c r="D174" s="43">
        <f>(95.76)*10.764</f>
        <v>1030.76064</v>
      </c>
      <c r="E174" s="43">
        <v>0</v>
      </c>
      <c r="F174" s="58">
        <f t="shared" si="12"/>
        <v>1546.14096</v>
      </c>
      <c r="G174" s="86"/>
      <c r="H174" s="87"/>
      <c r="I174" s="33"/>
      <c r="L174" s="90"/>
      <c r="M174" s="90"/>
      <c r="N174" s="33"/>
    </row>
    <row r="175" spans="1:14" s="34" customFormat="1" x14ac:dyDescent="0.3">
      <c r="A175" s="82">
        <f t="shared" si="13"/>
        <v>5</v>
      </c>
      <c r="B175" s="83"/>
      <c r="C175" s="84" t="s">
        <v>225</v>
      </c>
      <c r="D175" s="91"/>
      <c r="E175" s="91"/>
      <c r="F175" s="85"/>
      <c r="G175" s="86"/>
      <c r="H175" s="87"/>
      <c r="I175" s="33"/>
      <c r="L175" s="90"/>
      <c r="M175" s="90"/>
      <c r="N175" s="33"/>
    </row>
    <row r="176" spans="1:14" s="34" customFormat="1" x14ac:dyDescent="0.3">
      <c r="A176" s="82">
        <f t="shared" si="13"/>
        <v>6</v>
      </c>
      <c r="B176" s="83"/>
      <c r="C176" s="88"/>
      <c r="D176" s="92"/>
      <c r="E176" s="92"/>
      <c r="F176" s="89"/>
      <c r="G176" s="86"/>
      <c r="H176" s="87"/>
      <c r="I176" s="33"/>
      <c r="L176" s="90"/>
      <c r="M176" s="90"/>
      <c r="N176" s="33"/>
    </row>
    <row r="177" spans="1:14" s="34" customFormat="1" x14ac:dyDescent="0.3">
      <c r="A177" s="82">
        <f t="shared" si="13"/>
        <v>7</v>
      </c>
      <c r="B177" s="83"/>
      <c r="C177" s="84" t="s">
        <v>226</v>
      </c>
      <c r="D177" s="91"/>
      <c r="E177" s="91"/>
      <c r="F177" s="85"/>
      <c r="G177" s="86"/>
      <c r="H177" s="87"/>
      <c r="I177" s="33"/>
      <c r="L177" s="90"/>
      <c r="M177" s="90"/>
      <c r="N177" s="33"/>
    </row>
    <row r="178" spans="1:14" s="34" customFormat="1" x14ac:dyDescent="0.3">
      <c r="A178" s="82">
        <f t="shared" si="13"/>
        <v>8</v>
      </c>
      <c r="B178" s="83"/>
      <c r="C178" s="88"/>
      <c r="D178" s="92"/>
      <c r="E178" s="92"/>
      <c r="F178" s="89"/>
      <c r="G178" s="88"/>
      <c r="H178" s="89"/>
      <c r="I178" s="33"/>
      <c r="L178" s="90"/>
      <c r="M178" s="90"/>
      <c r="N178" s="33"/>
    </row>
    <row r="179" spans="1:14" s="34" customFormat="1" x14ac:dyDescent="0.3">
      <c r="A179" s="73" t="s">
        <v>230</v>
      </c>
      <c r="B179" s="74"/>
      <c r="C179" s="74"/>
      <c r="D179" s="74"/>
      <c r="E179" s="74"/>
      <c r="F179" s="74"/>
      <c r="G179" s="74"/>
      <c r="H179" s="75"/>
      <c r="I179" s="34">
        <v>1</v>
      </c>
      <c r="J179" s="33"/>
    </row>
    <row r="180" spans="1:14" s="34" customFormat="1" ht="15.75" customHeight="1" x14ac:dyDescent="0.3">
      <c r="A180" s="82">
        <v>1</v>
      </c>
      <c r="B180" s="83"/>
      <c r="C180" s="58" t="s">
        <v>201</v>
      </c>
      <c r="D180" s="43">
        <f>(69.22)*10.764</f>
        <v>745.08407999999997</v>
      </c>
      <c r="E180" s="43">
        <v>0</v>
      </c>
      <c r="F180" s="58">
        <f t="shared" ref="F180:F185" si="14">D180*(($F$150)+1)+(IF(E180&lt;101,E180,IF(E180&lt;201,E180/2,IF(E180&lt;=301,E180/3,E180/4))))</f>
        <v>1117.6261199999999</v>
      </c>
      <c r="G180" s="84" t="str">
        <f>A179</f>
        <v>8th Part Podium Floor for Residential &amp; Parking</v>
      </c>
      <c r="H180" s="85"/>
      <c r="I180" s="33"/>
      <c r="J180" s="33"/>
      <c r="L180" s="90"/>
      <c r="M180" s="90"/>
      <c r="N180" s="33"/>
    </row>
    <row r="181" spans="1:14" s="34" customFormat="1" x14ac:dyDescent="0.3">
      <c r="A181" s="82">
        <f t="shared" ref="A181:A187" si="15">A180+1</f>
        <v>2</v>
      </c>
      <c r="B181" s="83"/>
      <c r="C181" s="58" t="s">
        <v>201</v>
      </c>
      <c r="D181" s="43">
        <f>(68.64)*10.764</f>
        <v>738.84096</v>
      </c>
      <c r="E181" s="43">
        <v>0</v>
      </c>
      <c r="F181" s="58">
        <f t="shared" si="14"/>
        <v>1108.26144</v>
      </c>
      <c r="G181" s="86"/>
      <c r="H181" s="87"/>
      <c r="I181" s="33"/>
      <c r="L181" s="90"/>
      <c r="M181" s="90"/>
      <c r="N181" s="33"/>
    </row>
    <row r="182" spans="1:14" s="34" customFormat="1" x14ac:dyDescent="0.3">
      <c r="A182" s="82">
        <f t="shared" si="15"/>
        <v>3</v>
      </c>
      <c r="B182" s="83"/>
      <c r="C182" s="58" t="s">
        <v>200</v>
      </c>
      <c r="D182" s="43">
        <f>(99.42)*10.764</f>
        <v>1070.15688</v>
      </c>
      <c r="E182" s="43">
        <v>0</v>
      </c>
      <c r="F182" s="58">
        <f t="shared" si="14"/>
        <v>1605.23532</v>
      </c>
      <c r="G182" s="86"/>
      <c r="H182" s="87"/>
      <c r="I182" s="33"/>
      <c r="L182" s="90"/>
      <c r="M182" s="90"/>
      <c r="N182" s="33"/>
    </row>
    <row r="183" spans="1:14" s="34" customFormat="1" x14ac:dyDescent="0.3">
      <c r="A183" s="82">
        <f t="shared" si="15"/>
        <v>4</v>
      </c>
      <c r="B183" s="83"/>
      <c r="C183" s="58" t="s">
        <v>200</v>
      </c>
      <c r="D183" s="43">
        <f>(95.76)*10.764</f>
        <v>1030.76064</v>
      </c>
      <c r="E183" s="43">
        <v>0</v>
      </c>
      <c r="F183" s="58">
        <f t="shared" si="14"/>
        <v>1546.14096</v>
      </c>
      <c r="G183" s="86"/>
      <c r="H183" s="87"/>
      <c r="I183" s="33"/>
      <c r="L183" s="90"/>
      <c r="M183" s="90"/>
      <c r="N183" s="33"/>
    </row>
    <row r="184" spans="1:14" s="34" customFormat="1" x14ac:dyDescent="0.3">
      <c r="A184" s="82">
        <f t="shared" si="15"/>
        <v>5</v>
      </c>
      <c r="B184" s="83"/>
      <c r="C184" s="58" t="s">
        <v>201</v>
      </c>
      <c r="D184" s="43">
        <f>(67.24)*10.764</f>
        <v>723.77135999999985</v>
      </c>
      <c r="E184" s="43">
        <v>0</v>
      </c>
      <c r="F184" s="58">
        <f t="shared" si="14"/>
        <v>1085.6570399999998</v>
      </c>
      <c r="G184" s="86"/>
      <c r="H184" s="87"/>
      <c r="I184" s="33"/>
      <c r="L184" s="90"/>
      <c r="M184" s="90"/>
      <c r="N184" s="33"/>
    </row>
    <row r="185" spans="1:14" s="34" customFormat="1" x14ac:dyDescent="0.3">
      <c r="A185" s="82">
        <f t="shared" si="15"/>
        <v>6</v>
      </c>
      <c r="B185" s="83"/>
      <c r="C185" s="58" t="s">
        <v>201</v>
      </c>
      <c r="D185" s="43">
        <f>(67.12)*10.764</f>
        <v>722.47968000000003</v>
      </c>
      <c r="E185" s="43">
        <v>0</v>
      </c>
      <c r="F185" s="58">
        <f t="shared" si="14"/>
        <v>1083.7195200000001</v>
      </c>
      <c r="G185" s="86"/>
      <c r="H185" s="87"/>
      <c r="I185" s="33"/>
      <c r="L185" s="90"/>
      <c r="M185" s="90"/>
      <c r="N185" s="33"/>
    </row>
    <row r="186" spans="1:14" s="34" customFormat="1" x14ac:dyDescent="0.3">
      <c r="A186" s="82">
        <f t="shared" si="15"/>
        <v>7</v>
      </c>
      <c r="B186" s="83"/>
      <c r="C186" s="84" t="s">
        <v>226</v>
      </c>
      <c r="D186" s="91"/>
      <c r="E186" s="91"/>
      <c r="F186" s="85"/>
      <c r="G186" s="86"/>
      <c r="H186" s="87"/>
      <c r="I186" s="33"/>
      <c r="L186" s="90"/>
      <c r="M186" s="90"/>
      <c r="N186" s="33"/>
    </row>
    <row r="187" spans="1:14" s="34" customFormat="1" x14ac:dyDescent="0.3">
      <c r="A187" s="82">
        <f t="shared" si="15"/>
        <v>8</v>
      </c>
      <c r="B187" s="83"/>
      <c r="C187" s="88"/>
      <c r="D187" s="92"/>
      <c r="E187" s="92"/>
      <c r="F187" s="89"/>
      <c r="G187" s="88"/>
      <c r="H187" s="89"/>
      <c r="I187" s="33"/>
      <c r="L187" s="90"/>
      <c r="M187" s="90"/>
      <c r="N187" s="33"/>
    </row>
    <row r="188" spans="1:14" s="34" customFormat="1" x14ac:dyDescent="0.3">
      <c r="A188" s="219" t="s">
        <v>229</v>
      </c>
      <c r="B188" s="219"/>
      <c r="C188" s="219"/>
      <c r="D188" s="219"/>
      <c r="E188" s="219"/>
      <c r="F188" s="219"/>
      <c r="G188" s="219"/>
      <c r="H188" s="219"/>
      <c r="I188" s="34">
        <v>1</v>
      </c>
      <c r="J188" s="33"/>
    </row>
    <row r="189" spans="1:14" s="34" customFormat="1" ht="15.75" customHeight="1" x14ac:dyDescent="0.3">
      <c r="A189" s="212">
        <v>1</v>
      </c>
      <c r="B189" s="212"/>
      <c r="C189" s="58" t="s">
        <v>201</v>
      </c>
      <c r="D189" s="43">
        <f>(69.22)*10.764</f>
        <v>745.08407999999997</v>
      </c>
      <c r="E189" s="43">
        <v>0</v>
      </c>
      <c r="F189" s="58">
        <f t="shared" ref="F189:F194" si="16">D189*(($F$150)+1)+(IF(E189&lt;101,E189,IF(E189&lt;201,E189/2,IF(E189&lt;=301,E189/3,E189/4))))</f>
        <v>1117.6261199999999</v>
      </c>
      <c r="G189" s="212" t="str">
        <f>A188</f>
        <v>9th Part Podium Floor for Residential &amp; Parking</v>
      </c>
      <c r="H189" s="212"/>
      <c r="I189" s="33"/>
      <c r="J189" s="33"/>
      <c r="L189" s="90"/>
      <c r="M189" s="90"/>
      <c r="N189" s="33"/>
    </row>
    <row r="190" spans="1:14" s="34" customFormat="1" x14ac:dyDescent="0.3">
      <c r="A190" s="212">
        <f t="shared" ref="A190:A196" si="17">A189+1</f>
        <v>2</v>
      </c>
      <c r="B190" s="212"/>
      <c r="C190" s="58" t="s">
        <v>201</v>
      </c>
      <c r="D190" s="43">
        <f>(68.64)*10.764</f>
        <v>738.84096</v>
      </c>
      <c r="E190" s="43">
        <v>0</v>
      </c>
      <c r="F190" s="58">
        <f t="shared" si="16"/>
        <v>1108.26144</v>
      </c>
      <c r="G190" s="212"/>
      <c r="H190" s="212"/>
      <c r="I190" s="33"/>
      <c r="L190" s="90"/>
      <c r="M190" s="90"/>
      <c r="N190" s="33"/>
    </row>
    <row r="191" spans="1:14" s="34" customFormat="1" x14ac:dyDescent="0.3">
      <c r="A191" s="212">
        <f t="shared" si="17"/>
        <v>3</v>
      </c>
      <c r="B191" s="212"/>
      <c r="C191" s="58" t="s">
        <v>200</v>
      </c>
      <c r="D191" s="43">
        <f>(99.42)*10.764</f>
        <v>1070.15688</v>
      </c>
      <c r="E191" s="43">
        <v>0</v>
      </c>
      <c r="F191" s="58">
        <f t="shared" si="16"/>
        <v>1605.23532</v>
      </c>
      <c r="G191" s="212"/>
      <c r="H191" s="212"/>
      <c r="I191" s="33"/>
      <c r="L191" s="90"/>
      <c r="M191" s="90"/>
      <c r="N191" s="33"/>
    </row>
    <row r="192" spans="1:14" s="34" customFormat="1" x14ac:dyDescent="0.3">
      <c r="A192" s="212">
        <f t="shared" si="17"/>
        <v>4</v>
      </c>
      <c r="B192" s="212"/>
      <c r="C192" s="58" t="s">
        <v>200</v>
      </c>
      <c r="D192" s="43">
        <f>(95.76)*10.764</f>
        <v>1030.76064</v>
      </c>
      <c r="E192" s="43">
        <v>0</v>
      </c>
      <c r="F192" s="58">
        <f t="shared" si="16"/>
        <v>1546.14096</v>
      </c>
      <c r="G192" s="212"/>
      <c r="H192" s="212"/>
      <c r="I192" s="33"/>
      <c r="L192" s="90"/>
      <c r="M192" s="90"/>
      <c r="N192" s="33"/>
    </row>
    <row r="193" spans="1:14" s="34" customFormat="1" x14ac:dyDescent="0.3">
      <c r="A193" s="212">
        <f t="shared" si="17"/>
        <v>5</v>
      </c>
      <c r="B193" s="212"/>
      <c r="C193" s="58" t="s">
        <v>201</v>
      </c>
      <c r="D193" s="43">
        <f>(67.24)*10.764</f>
        <v>723.77135999999985</v>
      </c>
      <c r="E193" s="43">
        <v>0</v>
      </c>
      <c r="F193" s="58">
        <f t="shared" si="16"/>
        <v>1085.6570399999998</v>
      </c>
      <c r="G193" s="212"/>
      <c r="H193" s="212"/>
      <c r="I193" s="33"/>
      <c r="L193" s="90"/>
      <c r="M193" s="90"/>
      <c r="N193" s="33"/>
    </row>
    <row r="194" spans="1:14" s="34" customFormat="1" x14ac:dyDescent="0.3">
      <c r="A194" s="212">
        <f t="shared" si="17"/>
        <v>6</v>
      </c>
      <c r="B194" s="212"/>
      <c r="C194" s="58" t="s">
        <v>201</v>
      </c>
      <c r="D194" s="43">
        <f>(67.12)*10.764</f>
        <v>722.47968000000003</v>
      </c>
      <c r="E194" s="43">
        <v>0</v>
      </c>
      <c r="F194" s="58">
        <f t="shared" si="16"/>
        <v>1083.7195200000001</v>
      </c>
      <c r="G194" s="212"/>
      <c r="H194" s="212"/>
      <c r="I194" s="33"/>
      <c r="L194" s="90"/>
      <c r="M194" s="90"/>
      <c r="N194" s="33"/>
    </row>
    <row r="195" spans="1:14" s="34" customFormat="1" x14ac:dyDescent="0.3">
      <c r="A195" s="212">
        <f t="shared" si="17"/>
        <v>7</v>
      </c>
      <c r="B195" s="212"/>
      <c r="C195" s="212" t="s">
        <v>226</v>
      </c>
      <c r="D195" s="212"/>
      <c r="E195" s="212"/>
      <c r="F195" s="212"/>
      <c r="G195" s="212"/>
      <c r="H195" s="212"/>
      <c r="I195" s="33"/>
      <c r="L195" s="90"/>
      <c r="M195" s="90"/>
      <c r="N195" s="33"/>
    </row>
    <row r="196" spans="1:14" s="34" customFormat="1" x14ac:dyDescent="0.3">
      <c r="A196" s="212">
        <f t="shared" si="17"/>
        <v>8</v>
      </c>
      <c r="B196" s="212"/>
      <c r="C196" s="212"/>
      <c r="D196" s="212"/>
      <c r="E196" s="212"/>
      <c r="F196" s="212"/>
      <c r="G196" s="212"/>
      <c r="H196" s="212"/>
      <c r="I196" s="33"/>
      <c r="L196" s="90"/>
      <c r="M196" s="90"/>
      <c r="N196" s="33"/>
    </row>
    <row r="197" spans="1:14" s="34" customFormat="1" x14ac:dyDescent="0.3">
      <c r="A197" s="219" t="s">
        <v>228</v>
      </c>
      <c r="B197" s="219"/>
      <c r="C197" s="219"/>
      <c r="D197" s="219"/>
      <c r="E197" s="219"/>
      <c r="F197" s="219"/>
      <c r="G197" s="219"/>
      <c r="H197" s="219"/>
      <c r="I197" s="34">
        <v>1</v>
      </c>
      <c r="J197" s="33"/>
    </row>
    <row r="198" spans="1:14" s="34" customFormat="1" ht="15.75" customHeight="1" x14ac:dyDescent="0.3">
      <c r="A198" s="82">
        <v>1</v>
      </c>
      <c r="B198" s="83"/>
      <c r="C198" s="58" t="s">
        <v>201</v>
      </c>
      <c r="D198" s="43">
        <f>(69.22)*10.764</f>
        <v>745.08407999999997</v>
      </c>
      <c r="E198" s="43">
        <v>0</v>
      </c>
      <c r="F198" s="58">
        <f t="shared" ref="F198:F203" si="18">D198*(($F$150)+1)+(IF(E198&lt;101,E198,IF(E198&lt;201,E198/2,IF(E198&lt;=301,E198/3,E198/4))))</f>
        <v>1117.6261199999999</v>
      </c>
      <c r="G198" s="84" t="str">
        <f>A197</f>
        <v>10th Part Podium Floor for Residential</v>
      </c>
      <c r="H198" s="85"/>
      <c r="I198" s="33"/>
      <c r="J198" s="33"/>
      <c r="L198" s="90"/>
      <c r="M198" s="90"/>
      <c r="N198" s="33"/>
    </row>
    <row r="199" spans="1:14" s="34" customFormat="1" x14ac:dyDescent="0.3">
      <c r="A199" s="82">
        <f t="shared" ref="A199:A205" si="19">A198+1</f>
        <v>2</v>
      </c>
      <c r="B199" s="83"/>
      <c r="C199" s="58" t="s">
        <v>201</v>
      </c>
      <c r="D199" s="43">
        <f>(68.64)*10.764</f>
        <v>738.84096</v>
      </c>
      <c r="E199" s="43">
        <v>0</v>
      </c>
      <c r="F199" s="58">
        <f t="shared" si="18"/>
        <v>1108.26144</v>
      </c>
      <c r="G199" s="86"/>
      <c r="H199" s="87"/>
      <c r="I199" s="33"/>
      <c r="L199" s="90"/>
      <c r="M199" s="90"/>
      <c r="N199" s="33"/>
    </row>
    <row r="200" spans="1:14" s="34" customFormat="1" x14ac:dyDescent="0.3">
      <c r="A200" s="82">
        <f t="shared" si="19"/>
        <v>3</v>
      </c>
      <c r="B200" s="83"/>
      <c r="C200" s="58" t="s">
        <v>200</v>
      </c>
      <c r="D200" s="43">
        <f>(99.42)*10.764</f>
        <v>1070.15688</v>
      </c>
      <c r="E200" s="43">
        <v>0</v>
      </c>
      <c r="F200" s="58">
        <f t="shared" si="18"/>
        <v>1605.23532</v>
      </c>
      <c r="G200" s="86"/>
      <c r="H200" s="87"/>
      <c r="I200" s="33"/>
      <c r="L200" s="90"/>
      <c r="M200" s="90"/>
      <c r="N200" s="33"/>
    </row>
    <row r="201" spans="1:14" s="34" customFormat="1" x14ac:dyDescent="0.3">
      <c r="A201" s="82">
        <f t="shared" si="19"/>
        <v>4</v>
      </c>
      <c r="B201" s="83"/>
      <c r="C201" s="58" t="s">
        <v>200</v>
      </c>
      <c r="D201" s="43">
        <f>(95.76)*10.764</f>
        <v>1030.76064</v>
      </c>
      <c r="E201" s="43">
        <v>0</v>
      </c>
      <c r="F201" s="58">
        <f t="shared" si="18"/>
        <v>1546.14096</v>
      </c>
      <c r="G201" s="86"/>
      <c r="H201" s="87"/>
      <c r="I201" s="33"/>
      <c r="L201" s="90"/>
      <c r="M201" s="90"/>
      <c r="N201" s="33"/>
    </row>
    <row r="202" spans="1:14" s="34" customFormat="1" x14ac:dyDescent="0.3">
      <c r="A202" s="82">
        <f t="shared" si="19"/>
        <v>5</v>
      </c>
      <c r="B202" s="83"/>
      <c r="C202" s="58" t="s">
        <v>201</v>
      </c>
      <c r="D202" s="43">
        <f>(67.24)*10.764</f>
        <v>723.77135999999985</v>
      </c>
      <c r="E202" s="43">
        <v>0</v>
      </c>
      <c r="F202" s="58">
        <f t="shared" si="18"/>
        <v>1085.6570399999998</v>
      </c>
      <c r="G202" s="86"/>
      <c r="H202" s="87"/>
      <c r="I202" s="33"/>
      <c r="L202" s="90"/>
      <c r="M202" s="90"/>
      <c r="N202" s="33"/>
    </row>
    <row r="203" spans="1:14" s="34" customFormat="1" x14ac:dyDescent="0.3">
      <c r="A203" s="82">
        <f t="shared" si="19"/>
        <v>6</v>
      </c>
      <c r="B203" s="83"/>
      <c r="C203" s="58" t="s">
        <v>201</v>
      </c>
      <c r="D203" s="43">
        <f>(67.12)*10.764</f>
        <v>722.47968000000003</v>
      </c>
      <c r="E203" s="43">
        <v>0</v>
      </c>
      <c r="F203" s="58">
        <f t="shared" si="18"/>
        <v>1083.7195200000001</v>
      </c>
      <c r="G203" s="86"/>
      <c r="H203" s="87"/>
      <c r="I203" s="33"/>
      <c r="L203" s="90"/>
      <c r="M203" s="90"/>
      <c r="N203" s="33"/>
    </row>
    <row r="204" spans="1:14" s="34" customFormat="1" x14ac:dyDescent="0.3">
      <c r="A204" s="82">
        <f t="shared" si="19"/>
        <v>7</v>
      </c>
      <c r="B204" s="83"/>
      <c r="C204" s="84" t="s">
        <v>227</v>
      </c>
      <c r="D204" s="91"/>
      <c r="E204" s="91"/>
      <c r="F204" s="85"/>
      <c r="G204" s="86"/>
      <c r="H204" s="87"/>
      <c r="I204" s="33"/>
      <c r="L204" s="90"/>
      <c r="M204" s="90"/>
      <c r="N204" s="33"/>
    </row>
    <row r="205" spans="1:14" s="34" customFormat="1" x14ac:dyDescent="0.3">
      <c r="A205" s="82">
        <f t="shared" si="19"/>
        <v>8</v>
      </c>
      <c r="B205" s="83"/>
      <c r="C205" s="88"/>
      <c r="D205" s="92"/>
      <c r="E205" s="92"/>
      <c r="F205" s="89"/>
      <c r="G205" s="88"/>
      <c r="H205" s="89"/>
      <c r="I205" s="33"/>
      <c r="L205" s="90"/>
      <c r="M205" s="90"/>
      <c r="N205" s="33"/>
    </row>
    <row r="206" spans="1:14" s="34" customFormat="1" x14ac:dyDescent="0.3">
      <c r="A206" s="73" t="s">
        <v>231</v>
      </c>
      <c r="B206" s="74"/>
      <c r="C206" s="74"/>
      <c r="D206" s="74"/>
      <c r="E206" s="74"/>
      <c r="F206" s="74"/>
      <c r="G206" s="74"/>
      <c r="H206" s="75"/>
      <c r="I206" s="34">
        <v>1</v>
      </c>
      <c r="J206" s="33"/>
    </row>
    <row r="207" spans="1:14" s="34" customFormat="1" x14ac:dyDescent="0.3">
      <c r="A207" s="73" t="s">
        <v>232</v>
      </c>
      <c r="B207" s="74"/>
      <c r="C207" s="74"/>
      <c r="D207" s="74"/>
      <c r="E207" s="74"/>
      <c r="F207" s="74"/>
      <c r="G207" s="74"/>
      <c r="H207" s="75"/>
      <c r="I207" s="34">
        <v>1</v>
      </c>
      <c r="J207" s="33"/>
    </row>
    <row r="208" spans="1:14" s="34" customFormat="1" ht="15.75" customHeight="1" x14ac:dyDescent="0.3">
      <c r="A208" s="82">
        <v>1</v>
      </c>
      <c r="B208" s="83"/>
      <c r="C208" s="58" t="s">
        <v>201</v>
      </c>
      <c r="D208" s="43">
        <f>(69.22)*10.764</f>
        <v>745.08407999999997</v>
      </c>
      <c r="E208" s="43">
        <v>0</v>
      </c>
      <c r="F208" s="58">
        <f t="shared" ref="F208:F215" si="20">D208*(($F$150)+1)+(IF(E208&lt;101,E208,IF(E208&lt;201,E208/2,IF(E208&lt;=301,E208/3,E208/4))))</f>
        <v>1117.6261199999999</v>
      </c>
      <c r="G208" s="84" t="str">
        <f>A207</f>
        <v>12th Floor for Residential</v>
      </c>
      <c r="H208" s="85"/>
      <c r="I208" s="33"/>
      <c r="J208" s="33"/>
      <c r="L208" s="90"/>
      <c r="M208" s="90"/>
      <c r="N208" s="33"/>
    </row>
    <row r="209" spans="1:14" s="34" customFormat="1" x14ac:dyDescent="0.3">
      <c r="A209" s="82">
        <f t="shared" ref="A209:A215" si="21">A208+1</f>
        <v>2</v>
      </c>
      <c r="B209" s="83"/>
      <c r="C209" s="58" t="s">
        <v>201</v>
      </c>
      <c r="D209" s="43">
        <f>(68.64)*10.764</f>
        <v>738.84096</v>
      </c>
      <c r="E209" s="43">
        <v>0</v>
      </c>
      <c r="F209" s="58">
        <f t="shared" si="20"/>
        <v>1108.26144</v>
      </c>
      <c r="G209" s="86"/>
      <c r="H209" s="87"/>
      <c r="I209" s="33"/>
      <c r="L209" s="90"/>
      <c r="M209" s="90"/>
      <c r="N209" s="33"/>
    </row>
    <row r="210" spans="1:14" s="34" customFormat="1" x14ac:dyDescent="0.3">
      <c r="A210" s="82">
        <f t="shared" si="21"/>
        <v>3</v>
      </c>
      <c r="B210" s="83"/>
      <c r="C210" s="58" t="s">
        <v>200</v>
      </c>
      <c r="D210" s="43">
        <f>(99.42)*10.764</f>
        <v>1070.15688</v>
      </c>
      <c r="E210" s="43">
        <v>0</v>
      </c>
      <c r="F210" s="58">
        <f t="shared" si="20"/>
        <v>1605.23532</v>
      </c>
      <c r="G210" s="86"/>
      <c r="H210" s="87"/>
      <c r="I210" s="33"/>
      <c r="L210" s="90"/>
      <c r="M210" s="90"/>
      <c r="N210" s="33"/>
    </row>
    <row r="211" spans="1:14" s="34" customFormat="1" x14ac:dyDescent="0.3">
      <c r="A211" s="82">
        <f t="shared" si="21"/>
        <v>4</v>
      </c>
      <c r="B211" s="83"/>
      <c r="C211" s="58" t="s">
        <v>200</v>
      </c>
      <c r="D211" s="43">
        <f>(95.76)*10.764</f>
        <v>1030.76064</v>
      </c>
      <c r="E211" s="43">
        <v>0</v>
      </c>
      <c r="F211" s="58">
        <f t="shared" si="20"/>
        <v>1546.14096</v>
      </c>
      <c r="G211" s="86"/>
      <c r="H211" s="87"/>
      <c r="I211" s="33"/>
      <c r="L211" s="90"/>
      <c r="M211" s="90"/>
      <c r="N211" s="33"/>
    </row>
    <row r="212" spans="1:14" s="34" customFormat="1" x14ac:dyDescent="0.3">
      <c r="A212" s="82">
        <f t="shared" si="21"/>
        <v>5</v>
      </c>
      <c r="B212" s="83"/>
      <c r="C212" s="58" t="s">
        <v>201</v>
      </c>
      <c r="D212" s="43">
        <f>(67.24)*10.764</f>
        <v>723.77135999999985</v>
      </c>
      <c r="E212" s="43">
        <v>0</v>
      </c>
      <c r="F212" s="58">
        <f t="shared" si="20"/>
        <v>1085.6570399999998</v>
      </c>
      <c r="G212" s="86"/>
      <c r="H212" s="87"/>
      <c r="I212" s="33"/>
      <c r="L212" s="90"/>
      <c r="M212" s="90"/>
      <c r="N212" s="33"/>
    </row>
    <row r="213" spans="1:14" s="34" customFormat="1" x14ac:dyDescent="0.3">
      <c r="A213" s="82">
        <f t="shared" si="21"/>
        <v>6</v>
      </c>
      <c r="B213" s="83"/>
      <c r="C213" s="58" t="s">
        <v>201</v>
      </c>
      <c r="D213" s="43">
        <f>(67.12)*10.764</f>
        <v>722.47968000000003</v>
      </c>
      <c r="E213" s="43">
        <v>0</v>
      </c>
      <c r="F213" s="58">
        <f t="shared" si="20"/>
        <v>1083.7195200000001</v>
      </c>
      <c r="G213" s="86"/>
      <c r="H213" s="87"/>
      <c r="I213" s="33"/>
      <c r="L213" s="90"/>
      <c r="M213" s="90"/>
      <c r="N213" s="33"/>
    </row>
    <row r="214" spans="1:14" s="34" customFormat="1" x14ac:dyDescent="0.3">
      <c r="A214" s="82">
        <f t="shared" si="21"/>
        <v>7</v>
      </c>
      <c r="B214" s="83"/>
      <c r="C214" s="58" t="s">
        <v>200</v>
      </c>
      <c r="D214" s="58">
        <f>(94.84)*10.764</f>
        <v>1020.85776</v>
      </c>
      <c r="E214" s="43">
        <v>0</v>
      </c>
      <c r="F214" s="58">
        <f t="shared" si="20"/>
        <v>1531.28664</v>
      </c>
      <c r="G214" s="86"/>
      <c r="H214" s="87"/>
      <c r="I214" s="33"/>
      <c r="L214" s="90"/>
      <c r="M214" s="90"/>
      <c r="N214" s="33"/>
    </row>
    <row r="215" spans="1:14" s="34" customFormat="1" x14ac:dyDescent="0.3">
      <c r="A215" s="82">
        <f t="shared" si="21"/>
        <v>8</v>
      </c>
      <c r="B215" s="83"/>
      <c r="C215" s="58" t="s">
        <v>201</v>
      </c>
      <c r="D215" s="58">
        <f>(68.04)*10.764</f>
        <v>732.38256000000001</v>
      </c>
      <c r="E215" s="43">
        <v>0</v>
      </c>
      <c r="F215" s="58">
        <f t="shared" si="20"/>
        <v>1098.57384</v>
      </c>
      <c r="G215" s="88"/>
      <c r="H215" s="89"/>
      <c r="I215" s="33"/>
      <c r="L215" s="90"/>
      <c r="M215" s="90"/>
      <c r="N215" s="33"/>
    </row>
    <row r="216" spans="1:14" s="34" customFormat="1" x14ac:dyDescent="0.3">
      <c r="A216" s="73" t="s">
        <v>250</v>
      </c>
      <c r="B216" s="74"/>
      <c r="C216" s="74"/>
      <c r="D216" s="74"/>
      <c r="E216" s="74"/>
      <c r="F216" s="74"/>
      <c r="G216" s="74"/>
      <c r="H216" s="75"/>
      <c r="I216" s="34">
        <v>5</v>
      </c>
      <c r="J216" s="33"/>
    </row>
    <row r="217" spans="1:14" s="34" customFormat="1" ht="15.75" customHeight="1" x14ac:dyDescent="0.3">
      <c r="A217" s="82">
        <v>1</v>
      </c>
      <c r="B217" s="83"/>
      <c r="C217" s="58" t="s">
        <v>201</v>
      </c>
      <c r="D217" s="43">
        <f>(69.22)*10.764</f>
        <v>745.08407999999997</v>
      </c>
      <c r="E217" s="43">
        <v>0</v>
      </c>
      <c r="F217" s="58">
        <f t="shared" ref="F217:F224" si="22">D217*(($F$150)+1)+(IF(E217&lt;101,E217,IF(E217&lt;201,E217/2,IF(E217&lt;=301,E217/3,E217/4))))</f>
        <v>1117.6261199999999</v>
      </c>
      <c r="G217" s="84" t="str">
        <f>A216</f>
        <v>13th &amp; 16th to 19th Floor</v>
      </c>
      <c r="H217" s="85"/>
      <c r="I217" s="33"/>
      <c r="J217" s="33"/>
      <c r="L217" s="90"/>
      <c r="M217" s="90"/>
      <c r="N217" s="33"/>
    </row>
    <row r="218" spans="1:14" s="34" customFormat="1" x14ac:dyDescent="0.3">
      <c r="A218" s="82">
        <f t="shared" ref="A218:A224" si="23">A217+1</f>
        <v>2</v>
      </c>
      <c r="B218" s="83"/>
      <c r="C218" s="58" t="s">
        <v>201</v>
      </c>
      <c r="D218" s="43">
        <f>(68.64)*10.764</f>
        <v>738.84096</v>
      </c>
      <c r="E218" s="43">
        <v>0</v>
      </c>
      <c r="F218" s="58">
        <f t="shared" si="22"/>
        <v>1108.26144</v>
      </c>
      <c r="G218" s="86"/>
      <c r="H218" s="87"/>
      <c r="I218" s="33"/>
      <c r="L218" s="90"/>
      <c r="M218" s="90"/>
      <c r="N218" s="33"/>
    </row>
    <row r="219" spans="1:14" s="34" customFormat="1" x14ac:dyDescent="0.3">
      <c r="A219" s="82">
        <f t="shared" si="23"/>
        <v>3</v>
      </c>
      <c r="B219" s="83"/>
      <c r="C219" s="58" t="s">
        <v>200</v>
      </c>
      <c r="D219" s="43">
        <f>(99.42)*10.764</f>
        <v>1070.15688</v>
      </c>
      <c r="E219" s="43">
        <v>0</v>
      </c>
      <c r="F219" s="58">
        <f t="shared" si="22"/>
        <v>1605.23532</v>
      </c>
      <c r="G219" s="86"/>
      <c r="H219" s="87"/>
      <c r="I219" s="33"/>
      <c r="L219" s="90"/>
      <c r="M219" s="90"/>
      <c r="N219" s="33"/>
    </row>
    <row r="220" spans="1:14" s="34" customFormat="1" x14ac:dyDescent="0.3">
      <c r="A220" s="82">
        <f t="shared" si="23"/>
        <v>4</v>
      </c>
      <c r="B220" s="83"/>
      <c r="C220" s="58" t="s">
        <v>200</v>
      </c>
      <c r="D220" s="43">
        <f>(95.76)*10.764</f>
        <v>1030.76064</v>
      </c>
      <c r="E220" s="43">
        <v>0</v>
      </c>
      <c r="F220" s="58">
        <f t="shared" si="22"/>
        <v>1546.14096</v>
      </c>
      <c r="G220" s="86"/>
      <c r="H220" s="87"/>
      <c r="I220" s="33"/>
      <c r="L220" s="90"/>
      <c r="M220" s="90"/>
      <c r="N220" s="33"/>
    </row>
    <row r="221" spans="1:14" s="34" customFormat="1" x14ac:dyDescent="0.3">
      <c r="A221" s="82">
        <f t="shared" si="23"/>
        <v>5</v>
      </c>
      <c r="B221" s="83"/>
      <c r="C221" s="58" t="s">
        <v>201</v>
      </c>
      <c r="D221" s="43">
        <f>(67.24)*10.764</f>
        <v>723.77135999999985</v>
      </c>
      <c r="E221" s="43">
        <v>0</v>
      </c>
      <c r="F221" s="58">
        <f t="shared" si="22"/>
        <v>1085.6570399999998</v>
      </c>
      <c r="G221" s="86"/>
      <c r="H221" s="87"/>
      <c r="I221" s="33"/>
      <c r="L221" s="90"/>
      <c r="M221" s="90"/>
      <c r="N221" s="33"/>
    </row>
    <row r="222" spans="1:14" s="34" customFormat="1" x14ac:dyDescent="0.3">
      <c r="A222" s="82">
        <f t="shared" si="23"/>
        <v>6</v>
      </c>
      <c r="B222" s="83"/>
      <c r="C222" s="58" t="s">
        <v>201</v>
      </c>
      <c r="D222" s="43">
        <f>(67.12)*10.764</f>
        <v>722.47968000000003</v>
      </c>
      <c r="E222" s="43">
        <v>0</v>
      </c>
      <c r="F222" s="58">
        <f t="shared" si="22"/>
        <v>1083.7195200000001</v>
      </c>
      <c r="G222" s="86"/>
      <c r="H222" s="87"/>
      <c r="I222" s="33"/>
      <c r="L222" s="90"/>
      <c r="M222" s="90"/>
      <c r="N222" s="33"/>
    </row>
    <row r="223" spans="1:14" s="34" customFormat="1" x14ac:dyDescent="0.3">
      <c r="A223" s="82">
        <f t="shared" si="23"/>
        <v>7</v>
      </c>
      <c r="B223" s="83"/>
      <c r="C223" s="58" t="s">
        <v>200</v>
      </c>
      <c r="D223" s="58">
        <f>(94.84)*10.764</f>
        <v>1020.85776</v>
      </c>
      <c r="E223" s="43">
        <v>0</v>
      </c>
      <c r="F223" s="58">
        <f t="shared" si="22"/>
        <v>1531.28664</v>
      </c>
      <c r="G223" s="86"/>
      <c r="H223" s="87"/>
      <c r="I223" s="33"/>
      <c r="L223" s="90"/>
      <c r="M223" s="90"/>
      <c r="N223" s="33"/>
    </row>
    <row r="224" spans="1:14" s="34" customFormat="1" x14ac:dyDescent="0.3">
      <c r="A224" s="82">
        <f t="shared" si="23"/>
        <v>8</v>
      </c>
      <c r="B224" s="83"/>
      <c r="C224" s="58" t="s">
        <v>201</v>
      </c>
      <c r="D224" s="58">
        <f>(68.04)*10.764</f>
        <v>732.38256000000001</v>
      </c>
      <c r="E224" s="43">
        <v>0</v>
      </c>
      <c r="F224" s="58">
        <f t="shared" si="22"/>
        <v>1098.57384</v>
      </c>
      <c r="G224" s="88"/>
      <c r="H224" s="89"/>
      <c r="I224" s="33"/>
      <c r="L224" s="90"/>
      <c r="M224" s="90"/>
      <c r="N224" s="33"/>
    </row>
    <row r="225" spans="1:14" s="34" customFormat="1" x14ac:dyDescent="0.3">
      <c r="A225" s="73" t="s">
        <v>234</v>
      </c>
      <c r="B225" s="74"/>
      <c r="C225" s="74"/>
      <c r="D225" s="74"/>
      <c r="E225" s="74"/>
      <c r="F225" s="74"/>
      <c r="G225" s="74"/>
      <c r="H225" s="75"/>
      <c r="I225" s="34">
        <v>1</v>
      </c>
      <c r="J225" s="33"/>
    </row>
    <row r="226" spans="1:14" s="34" customFormat="1" ht="15.75" customHeight="1" x14ac:dyDescent="0.3">
      <c r="A226" s="82">
        <v>1</v>
      </c>
      <c r="B226" s="83"/>
      <c r="C226" s="58" t="s">
        <v>201</v>
      </c>
      <c r="D226" s="43">
        <f>(69.22)*10.764</f>
        <v>745.08407999999997</v>
      </c>
      <c r="E226" s="43">
        <v>0</v>
      </c>
      <c r="F226" s="58">
        <f t="shared" ref="F226:F233" si="24">D226*(($F$150)+1)+(IF(E226&lt;101,E226,IF(E226&lt;201,E226/2,IF(E226&lt;=301,E226/3,E226/4))))</f>
        <v>1117.6261199999999</v>
      </c>
      <c r="G226" s="84" t="str">
        <f>A225</f>
        <v>14th Floor (Part Refuge Area)</v>
      </c>
      <c r="H226" s="85"/>
      <c r="I226" s="33"/>
      <c r="J226" s="33"/>
      <c r="L226" s="90"/>
      <c r="M226" s="90"/>
      <c r="N226" s="33"/>
    </row>
    <row r="227" spans="1:14" s="34" customFormat="1" x14ac:dyDescent="0.3">
      <c r="A227" s="82">
        <f t="shared" ref="A227:A233" si="25">A226+1</f>
        <v>2</v>
      </c>
      <c r="B227" s="83"/>
      <c r="C227" s="58" t="s">
        <v>201</v>
      </c>
      <c r="D227" s="43">
        <f>(68.64)*10.764</f>
        <v>738.84096</v>
      </c>
      <c r="E227" s="43">
        <v>0</v>
      </c>
      <c r="F227" s="58">
        <f t="shared" si="24"/>
        <v>1108.26144</v>
      </c>
      <c r="G227" s="86"/>
      <c r="H227" s="87"/>
      <c r="I227" s="33"/>
      <c r="L227" s="90"/>
      <c r="M227" s="90"/>
      <c r="N227" s="33"/>
    </row>
    <row r="228" spans="1:14" s="34" customFormat="1" x14ac:dyDescent="0.3">
      <c r="A228" s="82">
        <f t="shared" si="25"/>
        <v>3</v>
      </c>
      <c r="B228" s="83"/>
      <c r="C228" s="58" t="s">
        <v>200</v>
      </c>
      <c r="D228" s="43">
        <f>(99.42)*10.764</f>
        <v>1070.15688</v>
      </c>
      <c r="E228" s="43">
        <v>0</v>
      </c>
      <c r="F228" s="58">
        <f t="shared" si="24"/>
        <v>1605.23532</v>
      </c>
      <c r="G228" s="86"/>
      <c r="H228" s="87"/>
      <c r="I228" s="33"/>
      <c r="L228" s="90"/>
      <c r="M228" s="90"/>
      <c r="N228" s="33"/>
    </row>
    <row r="229" spans="1:14" s="34" customFormat="1" x14ac:dyDescent="0.3">
      <c r="A229" s="82">
        <f t="shared" si="25"/>
        <v>4</v>
      </c>
      <c r="B229" s="83"/>
      <c r="C229" s="58" t="s">
        <v>200</v>
      </c>
      <c r="D229" s="43">
        <f>(95.76)*10.764</f>
        <v>1030.76064</v>
      </c>
      <c r="E229" s="43">
        <v>0</v>
      </c>
      <c r="F229" s="58">
        <f t="shared" si="24"/>
        <v>1546.14096</v>
      </c>
      <c r="G229" s="86"/>
      <c r="H229" s="87"/>
      <c r="I229" s="33"/>
      <c r="L229" s="90"/>
      <c r="M229" s="90"/>
      <c r="N229" s="33"/>
    </row>
    <row r="230" spans="1:14" s="34" customFormat="1" x14ac:dyDescent="0.3">
      <c r="A230" s="82">
        <f t="shared" si="25"/>
        <v>5</v>
      </c>
      <c r="B230" s="83"/>
      <c r="C230" s="84" t="s">
        <v>204</v>
      </c>
      <c r="D230" s="91"/>
      <c r="E230" s="91"/>
      <c r="F230" s="85"/>
      <c r="G230" s="86"/>
      <c r="H230" s="87"/>
      <c r="I230" s="33"/>
      <c r="L230" s="90"/>
      <c r="M230" s="90"/>
      <c r="N230" s="33"/>
    </row>
    <row r="231" spans="1:14" s="34" customFormat="1" x14ac:dyDescent="0.3">
      <c r="A231" s="82">
        <f t="shared" si="25"/>
        <v>6</v>
      </c>
      <c r="B231" s="83"/>
      <c r="C231" s="88"/>
      <c r="D231" s="92"/>
      <c r="E231" s="92"/>
      <c r="F231" s="89"/>
      <c r="G231" s="86"/>
      <c r="H231" s="87"/>
      <c r="I231" s="33"/>
      <c r="L231" s="90"/>
      <c r="M231" s="90"/>
      <c r="N231" s="33"/>
    </row>
    <row r="232" spans="1:14" s="34" customFormat="1" x14ac:dyDescent="0.3">
      <c r="A232" s="82">
        <f t="shared" si="25"/>
        <v>7</v>
      </c>
      <c r="B232" s="83"/>
      <c r="C232" s="58" t="s">
        <v>200</v>
      </c>
      <c r="D232" s="58">
        <f>(94.84)*10.764</f>
        <v>1020.85776</v>
      </c>
      <c r="E232" s="43">
        <v>0</v>
      </c>
      <c r="F232" s="58">
        <f t="shared" si="24"/>
        <v>1531.28664</v>
      </c>
      <c r="G232" s="86"/>
      <c r="H232" s="87"/>
      <c r="I232" s="33"/>
      <c r="L232" s="90"/>
      <c r="M232" s="90"/>
      <c r="N232" s="33"/>
    </row>
    <row r="233" spans="1:14" s="34" customFormat="1" x14ac:dyDescent="0.3">
      <c r="A233" s="82">
        <f t="shared" si="25"/>
        <v>8</v>
      </c>
      <c r="B233" s="83"/>
      <c r="C233" s="58" t="s">
        <v>201</v>
      </c>
      <c r="D233" s="58">
        <f>(68.04)*10.764</f>
        <v>732.38256000000001</v>
      </c>
      <c r="E233" s="43">
        <v>0</v>
      </c>
      <c r="F233" s="58">
        <f t="shared" si="24"/>
        <v>1098.57384</v>
      </c>
      <c r="G233" s="88"/>
      <c r="H233" s="89"/>
      <c r="I233" s="33"/>
      <c r="L233" s="90"/>
      <c r="M233" s="90"/>
      <c r="N233" s="33"/>
    </row>
    <row r="234" spans="1:14" s="34" customFormat="1" x14ac:dyDescent="0.3">
      <c r="A234" s="219" t="s">
        <v>235</v>
      </c>
      <c r="B234" s="219"/>
      <c r="C234" s="219"/>
      <c r="D234" s="219"/>
      <c r="E234" s="219"/>
      <c r="F234" s="219"/>
      <c r="G234" s="219"/>
      <c r="H234" s="219"/>
      <c r="I234" s="34">
        <v>1</v>
      </c>
      <c r="J234" s="33"/>
    </row>
    <row r="235" spans="1:14" s="34" customFormat="1" ht="15.75" customHeight="1" x14ac:dyDescent="0.3">
      <c r="A235" s="212">
        <v>1</v>
      </c>
      <c r="B235" s="212"/>
      <c r="C235" s="58" t="s">
        <v>201</v>
      </c>
      <c r="D235" s="43">
        <f>(69.22)*10.764</f>
        <v>745.08407999999997</v>
      </c>
      <c r="E235" s="43">
        <v>0</v>
      </c>
      <c r="F235" s="58">
        <f t="shared" ref="F235:F242" si="26">D235*(($F$150)+1)+(IF(E235&lt;101,E235,IF(E235&lt;201,E235/2,IF(E235&lt;=301,E235/3,E235/4))))</f>
        <v>1117.6261199999999</v>
      </c>
      <c r="G235" s="212" t="str">
        <f>A234</f>
        <v>15th Floor</v>
      </c>
      <c r="H235" s="212"/>
      <c r="I235" s="33"/>
      <c r="J235" s="33"/>
      <c r="L235" s="90"/>
      <c r="M235" s="90"/>
      <c r="N235" s="33"/>
    </row>
    <row r="236" spans="1:14" s="34" customFormat="1" x14ac:dyDescent="0.3">
      <c r="A236" s="212">
        <f t="shared" ref="A236:A242" si="27">A235+1</f>
        <v>2</v>
      </c>
      <c r="B236" s="212"/>
      <c r="C236" s="58" t="s">
        <v>201</v>
      </c>
      <c r="D236" s="43">
        <f>(68.64)*10.764</f>
        <v>738.84096</v>
      </c>
      <c r="E236" s="43">
        <v>0</v>
      </c>
      <c r="F236" s="58">
        <f t="shared" si="26"/>
        <v>1108.26144</v>
      </c>
      <c r="G236" s="212"/>
      <c r="H236" s="212"/>
      <c r="I236" s="33"/>
      <c r="L236" s="90"/>
      <c r="M236" s="90"/>
      <c r="N236" s="33"/>
    </row>
    <row r="237" spans="1:14" s="34" customFormat="1" x14ac:dyDescent="0.3">
      <c r="A237" s="212">
        <f t="shared" si="27"/>
        <v>3</v>
      </c>
      <c r="B237" s="212"/>
      <c r="C237" s="58" t="s">
        <v>200</v>
      </c>
      <c r="D237" s="43">
        <f>(99.42)*10.764</f>
        <v>1070.15688</v>
      </c>
      <c r="E237" s="43">
        <v>0</v>
      </c>
      <c r="F237" s="58">
        <f t="shared" si="26"/>
        <v>1605.23532</v>
      </c>
      <c r="G237" s="212"/>
      <c r="H237" s="212"/>
      <c r="I237" s="33"/>
      <c r="L237" s="90"/>
      <c r="M237" s="90"/>
      <c r="N237" s="33"/>
    </row>
    <row r="238" spans="1:14" s="34" customFormat="1" x14ac:dyDescent="0.3">
      <c r="A238" s="212">
        <f t="shared" si="27"/>
        <v>4</v>
      </c>
      <c r="B238" s="212"/>
      <c r="C238" s="58" t="s">
        <v>200</v>
      </c>
      <c r="D238" s="43">
        <f>(95.76)*10.764</f>
        <v>1030.76064</v>
      </c>
      <c r="E238" s="43">
        <v>0</v>
      </c>
      <c r="F238" s="58">
        <f t="shared" si="26"/>
        <v>1546.14096</v>
      </c>
      <c r="G238" s="212"/>
      <c r="H238" s="212"/>
      <c r="I238" s="33"/>
      <c r="L238" s="90"/>
      <c r="M238" s="90"/>
      <c r="N238" s="33"/>
    </row>
    <row r="239" spans="1:14" s="34" customFormat="1" x14ac:dyDescent="0.3">
      <c r="A239" s="212">
        <f t="shared" si="27"/>
        <v>5</v>
      </c>
      <c r="B239" s="212"/>
      <c r="C239" s="58" t="s">
        <v>201</v>
      </c>
      <c r="D239" s="43">
        <f>(67.24)*10.764</f>
        <v>723.77135999999985</v>
      </c>
      <c r="E239" s="43">
        <v>0</v>
      </c>
      <c r="F239" s="58">
        <f t="shared" si="26"/>
        <v>1085.6570399999998</v>
      </c>
      <c r="G239" s="212"/>
      <c r="H239" s="212"/>
      <c r="I239" s="33"/>
      <c r="L239" s="90"/>
      <c r="M239" s="90"/>
      <c r="N239" s="33"/>
    </row>
    <row r="240" spans="1:14" s="34" customFormat="1" x14ac:dyDescent="0.3">
      <c r="A240" s="212">
        <f t="shared" si="27"/>
        <v>6</v>
      </c>
      <c r="B240" s="212"/>
      <c r="C240" s="58" t="s">
        <v>201</v>
      </c>
      <c r="D240" s="43">
        <f>(67.12)*10.764</f>
        <v>722.47968000000003</v>
      </c>
      <c r="E240" s="43">
        <v>0</v>
      </c>
      <c r="F240" s="58">
        <f t="shared" si="26"/>
        <v>1083.7195200000001</v>
      </c>
      <c r="G240" s="212"/>
      <c r="H240" s="212"/>
      <c r="I240" s="33"/>
      <c r="L240" s="90"/>
      <c r="M240" s="90"/>
      <c r="N240" s="33"/>
    </row>
    <row r="241" spans="1:14" s="34" customFormat="1" x14ac:dyDescent="0.3">
      <c r="A241" s="212">
        <f t="shared" si="27"/>
        <v>7</v>
      </c>
      <c r="B241" s="212"/>
      <c r="C241" s="58" t="s">
        <v>200</v>
      </c>
      <c r="D241" s="58">
        <f>(94.84)*10.764</f>
        <v>1020.85776</v>
      </c>
      <c r="E241" s="43">
        <v>0</v>
      </c>
      <c r="F241" s="58">
        <f t="shared" si="26"/>
        <v>1531.28664</v>
      </c>
      <c r="G241" s="212"/>
      <c r="H241" s="212"/>
      <c r="I241" s="33"/>
      <c r="L241" s="90"/>
      <c r="M241" s="90"/>
      <c r="N241" s="33"/>
    </row>
    <row r="242" spans="1:14" s="34" customFormat="1" x14ac:dyDescent="0.3">
      <c r="A242" s="212">
        <f t="shared" si="27"/>
        <v>8</v>
      </c>
      <c r="B242" s="212"/>
      <c r="C242" s="58" t="s">
        <v>201</v>
      </c>
      <c r="D242" s="58">
        <f>(68.04)*10.764</f>
        <v>732.38256000000001</v>
      </c>
      <c r="E242" s="43">
        <v>0</v>
      </c>
      <c r="F242" s="58">
        <f t="shared" si="26"/>
        <v>1098.57384</v>
      </c>
      <c r="G242" s="212"/>
      <c r="H242" s="212"/>
      <c r="I242" s="33"/>
      <c r="L242" s="90"/>
      <c r="M242" s="90"/>
      <c r="N242" s="33"/>
    </row>
    <row r="243" spans="1:14" s="34" customFormat="1" x14ac:dyDescent="0.3">
      <c r="A243" s="73" t="s">
        <v>251</v>
      </c>
      <c r="B243" s="74"/>
      <c r="C243" s="74"/>
      <c r="D243" s="74"/>
      <c r="E243" s="74"/>
      <c r="F243" s="74"/>
      <c r="G243" s="74"/>
      <c r="H243" s="75"/>
      <c r="I243" s="34">
        <v>1</v>
      </c>
      <c r="J243" s="33"/>
    </row>
    <row r="244" spans="1:14" s="34" customFormat="1" ht="15.75" customHeight="1" x14ac:dyDescent="0.3">
      <c r="A244" s="82">
        <v>1</v>
      </c>
      <c r="B244" s="83"/>
      <c r="C244" s="58" t="s">
        <v>201</v>
      </c>
      <c r="D244" s="43">
        <f>(69.22)*10.764</f>
        <v>745.08407999999997</v>
      </c>
      <c r="E244" s="43">
        <v>0</v>
      </c>
      <c r="F244" s="58">
        <f t="shared" ref="F244:F250" si="28">D244*(($F$150)+1)+(IF(E244&lt;101,E244,IF(E244&lt;201,E244/2,IF(E244&lt;=301,E244/3,E244/4))))</f>
        <v>1117.6261199999999</v>
      </c>
      <c r="G244" s="84" t="str">
        <f>A243</f>
        <v>20th Floor</v>
      </c>
      <c r="H244" s="85"/>
      <c r="I244" s="33"/>
      <c r="J244" s="33"/>
      <c r="L244" s="90"/>
      <c r="M244" s="90"/>
      <c r="N244" s="33"/>
    </row>
    <row r="245" spans="1:14" s="34" customFormat="1" x14ac:dyDescent="0.3">
      <c r="A245" s="82">
        <f t="shared" ref="A245:A250" si="29">A244+1</f>
        <v>2</v>
      </c>
      <c r="B245" s="83"/>
      <c r="C245" s="58" t="s">
        <v>201</v>
      </c>
      <c r="D245" s="43">
        <f>(68.64)*10.764</f>
        <v>738.84096</v>
      </c>
      <c r="E245" s="43">
        <v>0</v>
      </c>
      <c r="F245" s="58">
        <f t="shared" si="28"/>
        <v>1108.26144</v>
      </c>
      <c r="G245" s="86"/>
      <c r="H245" s="87"/>
      <c r="I245" s="33"/>
      <c r="L245" s="90"/>
      <c r="M245" s="90"/>
      <c r="N245" s="33"/>
    </row>
    <row r="246" spans="1:14" s="34" customFormat="1" ht="63" customHeight="1" x14ac:dyDescent="0.3">
      <c r="A246" s="82" t="s">
        <v>249</v>
      </c>
      <c r="B246" s="83"/>
      <c r="C246" s="58" t="s">
        <v>252</v>
      </c>
      <c r="D246" s="43">
        <f>(389.17)*10.764</f>
        <v>4189.0258800000001</v>
      </c>
      <c r="E246" s="43">
        <v>0</v>
      </c>
      <c r="F246" s="58">
        <f t="shared" si="28"/>
        <v>6283.5388199999998</v>
      </c>
      <c r="G246" s="86"/>
      <c r="H246" s="87"/>
      <c r="I246" s="33"/>
      <c r="L246" s="90"/>
      <c r="M246" s="90"/>
      <c r="N246" s="33"/>
    </row>
    <row r="247" spans="1:14" s="34" customFormat="1" x14ac:dyDescent="0.3">
      <c r="A247" s="82">
        <v>5</v>
      </c>
      <c r="B247" s="83"/>
      <c r="C247" s="58" t="s">
        <v>201</v>
      </c>
      <c r="D247" s="43">
        <f>(67.24)*10.764</f>
        <v>723.77135999999985</v>
      </c>
      <c r="E247" s="43">
        <v>0</v>
      </c>
      <c r="F247" s="58">
        <f t="shared" si="28"/>
        <v>1085.6570399999998</v>
      </c>
      <c r="G247" s="86"/>
      <c r="H247" s="87"/>
      <c r="I247" s="33"/>
      <c r="L247" s="90"/>
      <c r="M247" s="90"/>
      <c r="N247" s="33"/>
    </row>
    <row r="248" spans="1:14" s="34" customFormat="1" x14ac:dyDescent="0.3">
      <c r="A248" s="82">
        <f t="shared" si="29"/>
        <v>6</v>
      </c>
      <c r="B248" s="83"/>
      <c r="C248" s="58" t="s">
        <v>201</v>
      </c>
      <c r="D248" s="43">
        <f>(67.12)*10.764</f>
        <v>722.47968000000003</v>
      </c>
      <c r="E248" s="43">
        <v>0</v>
      </c>
      <c r="F248" s="58">
        <f t="shared" si="28"/>
        <v>1083.7195200000001</v>
      </c>
      <c r="G248" s="86"/>
      <c r="H248" s="87"/>
      <c r="I248" s="33"/>
      <c r="L248" s="90"/>
      <c r="M248" s="90"/>
      <c r="N248" s="33"/>
    </row>
    <row r="249" spans="1:14" s="34" customFormat="1" x14ac:dyDescent="0.3">
      <c r="A249" s="82">
        <f t="shared" si="29"/>
        <v>7</v>
      </c>
      <c r="B249" s="83"/>
      <c r="C249" s="58" t="s">
        <v>200</v>
      </c>
      <c r="D249" s="58">
        <f>(94.84)*10.764</f>
        <v>1020.85776</v>
      </c>
      <c r="E249" s="43">
        <v>0</v>
      </c>
      <c r="F249" s="58">
        <f t="shared" si="28"/>
        <v>1531.28664</v>
      </c>
      <c r="G249" s="86"/>
      <c r="H249" s="87"/>
      <c r="I249" s="33"/>
      <c r="L249" s="90"/>
      <c r="M249" s="90"/>
      <c r="N249" s="33"/>
    </row>
    <row r="250" spans="1:14" s="34" customFormat="1" x14ac:dyDescent="0.3">
      <c r="A250" s="82">
        <f t="shared" si="29"/>
        <v>8</v>
      </c>
      <c r="B250" s="83"/>
      <c r="C250" s="58" t="s">
        <v>201</v>
      </c>
      <c r="D250" s="58">
        <f>(68.04)*10.764</f>
        <v>732.38256000000001</v>
      </c>
      <c r="E250" s="43">
        <v>0</v>
      </c>
      <c r="F250" s="58">
        <f t="shared" si="28"/>
        <v>1098.57384</v>
      </c>
      <c r="G250" s="88"/>
      <c r="H250" s="89"/>
      <c r="I250" s="33"/>
      <c r="L250" s="90"/>
      <c r="M250" s="90"/>
      <c r="N250" s="33"/>
    </row>
    <row r="251" spans="1:14" s="34" customFormat="1" x14ac:dyDescent="0.3">
      <c r="A251" s="73" t="s">
        <v>254</v>
      </c>
      <c r="B251" s="74"/>
      <c r="C251" s="74"/>
      <c r="D251" s="74"/>
      <c r="E251" s="74"/>
      <c r="F251" s="74"/>
      <c r="G251" s="74"/>
      <c r="H251" s="75"/>
      <c r="I251" s="34">
        <v>1</v>
      </c>
      <c r="J251" s="33"/>
    </row>
    <row r="252" spans="1:14" s="34" customFormat="1" ht="15.75" customHeight="1" x14ac:dyDescent="0.3">
      <c r="A252" s="82">
        <v>1</v>
      </c>
      <c r="B252" s="83"/>
      <c r="C252" s="58" t="s">
        <v>201</v>
      </c>
      <c r="D252" s="43">
        <f>(69.22)*10.764</f>
        <v>745.08407999999997</v>
      </c>
      <c r="E252" s="43">
        <v>0</v>
      </c>
      <c r="F252" s="58">
        <f t="shared" ref="F252:F258" si="30">D252*(($F$150)+1)+(IF(E252&lt;101,E252,IF(E252&lt;201,E252/2,IF(E252&lt;=301,E252/3,E252/4))))</f>
        <v>1117.6261199999999</v>
      </c>
      <c r="G252" s="84" t="str">
        <f>A251</f>
        <v>21st Floor (Part Refuge Area)</v>
      </c>
      <c r="H252" s="85"/>
      <c r="I252" s="33"/>
      <c r="J252" s="33"/>
      <c r="L252" s="90"/>
      <c r="M252" s="90"/>
      <c r="N252" s="33"/>
    </row>
    <row r="253" spans="1:14" s="34" customFormat="1" x14ac:dyDescent="0.3">
      <c r="A253" s="82">
        <f t="shared" ref="A253:A258" si="31">A252+1</f>
        <v>2</v>
      </c>
      <c r="B253" s="83"/>
      <c r="C253" s="58" t="s">
        <v>201</v>
      </c>
      <c r="D253" s="43">
        <f>(68.64)*10.764</f>
        <v>738.84096</v>
      </c>
      <c r="E253" s="43">
        <v>0</v>
      </c>
      <c r="F253" s="58">
        <f t="shared" si="30"/>
        <v>1108.26144</v>
      </c>
      <c r="G253" s="86"/>
      <c r="H253" s="87"/>
      <c r="I253" s="33"/>
      <c r="L253" s="90"/>
      <c r="M253" s="90"/>
      <c r="N253" s="33"/>
    </row>
    <row r="254" spans="1:14" s="34" customFormat="1" x14ac:dyDescent="0.3">
      <c r="A254" s="82" t="s">
        <v>249</v>
      </c>
      <c r="B254" s="83"/>
      <c r="C254" s="82" t="s">
        <v>253</v>
      </c>
      <c r="D254" s="147"/>
      <c r="E254" s="147"/>
      <c r="F254" s="83"/>
      <c r="G254" s="86"/>
      <c r="H254" s="87"/>
      <c r="I254" s="33"/>
      <c r="L254" s="90"/>
      <c r="M254" s="90"/>
      <c r="N254" s="33"/>
    </row>
    <row r="255" spans="1:14" s="34" customFormat="1" x14ac:dyDescent="0.3">
      <c r="A255" s="82">
        <v>5</v>
      </c>
      <c r="B255" s="83"/>
      <c r="C255" s="84" t="s">
        <v>204</v>
      </c>
      <c r="D255" s="91"/>
      <c r="E255" s="91"/>
      <c r="F255" s="85"/>
      <c r="G255" s="86"/>
      <c r="H255" s="87"/>
      <c r="I255" s="33"/>
      <c r="L255" s="90"/>
      <c r="M255" s="90"/>
      <c r="N255" s="33"/>
    </row>
    <row r="256" spans="1:14" s="34" customFormat="1" x14ac:dyDescent="0.3">
      <c r="A256" s="82">
        <f t="shared" si="31"/>
        <v>6</v>
      </c>
      <c r="B256" s="83"/>
      <c r="C256" s="88"/>
      <c r="D256" s="92"/>
      <c r="E256" s="92"/>
      <c r="F256" s="89"/>
      <c r="G256" s="86"/>
      <c r="H256" s="87"/>
      <c r="I256" s="33"/>
      <c r="L256" s="90"/>
      <c r="M256" s="90"/>
      <c r="N256" s="33"/>
    </row>
    <row r="257" spans="1:14" s="34" customFormat="1" x14ac:dyDescent="0.3">
      <c r="A257" s="82">
        <f t="shared" si="31"/>
        <v>7</v>
      </c>
      <c r="B257" s="83"/>
      <c r="C257" s="58" t="s">
        <v>200</v>
      </c>
      <c r="D257" s="58">
        <f>(94.84)*10.764</f>
        <v>1020.85776</v>
      </c>
      <c r="E257" s="43">
        <v>0</v>
      </c>
      <c r="F257" s="58">
        <f t="shared" si="30"/>
        <v>1531.28664</v>
      </c>
      <c r="G257" s="86"/>
      <c r="H257" s="87"/>
      <c r="I257" s="33"/>
      <c r="L257" s="90"/>
      <c r="M257" s="90"/>
      <c r="N257" s="33"/>
    </row>
    <row r="258" spans="1:14" s="34" customFormat="1" x14ac:dyDescent="0.3">
      <c r="A258" s="82">
        <f t="shared" si="31"/>
        <v>8</v>
      </c>
      <c r="B258" s="83"/>
      <c r="C258" s="58" t="s">
        <v>201</v>
      </c>
      <c r="D258" s="58">
        <f>(68.04)*10.764</f>
        <v>732.38256000000001</v>
      </c>
      <c r="E258" s="43">
        <v>0</v>
      </c>
      <c r="F258" s="58">
        <f t="shared" si="30"/>
        <v>1098.57384</v>
      </c>
      <c r="G258" s="88"/>
      <c r="H258" s="89"/>
      <c r="I258" s="33"/>
      <c r="L258" s="90"/>
      <c r="M258" s="90"/>
      <c r="N258" s="33"/>
    </row>
    <row r="259" spans="1:14" s="34" customFormat="1" x14ac:dyDescent="0.3">
      <c r="A259" s="73" t="s">
        <v>247</v>
      </c>
      <c r="B259" s="74"/>
      <c r="C259" s="74"/>
      <c r="D259" s="74"/>
      <c r="E259" s="74"/>
      <c r="F259" s="74"/>
      <c r="G259" s="74"/>
      <c r="H259" s="75"/>
      <c r="I259" s="34">
        <v>1</v>
      </c>
      <c r="J259" s="33"/>
    </row>
    <row r="260" spans="1:14" s="34" customFormat="1" ht="15.75" customHeight="1" x14ac:dyDescent="0.3">
      <c r="A260" s="82">
        <v>1</v>
      </c>
      <c r="B260" s="83"/>
      <c r="C260" s="58" t="s">
        <v>201</v>
      </c>
      <c r="D260" s="43">
        <f>(69.22)*10.764</f>
        <v>745.08407999999997</v>
      </c>
      <c r="E260" s="43">
        <v>0</v>
      </c>
      <c r="F260" s="58">
        <f t="shared" ref="F260:F266" si="32">D260*(($F$150)+1)+(IF(E260&lt;101,E260,IF(E260&lt;201,E260/2,IF(E260&lt;=301,E260/3,E260/4))))</f>
        <v>1117.6261199999999</v>
      </c>
      <c r="G260" s="84" t="str">
        <f>A259</f>
        <v>22nd Floor</v>
      </c>
      <c r="H260" s="85"/>
      <c r="I260" s="33"/>
      <c r="J260" s="33"/>
      <c r="L260" s="90"/>
      <c r="M260" s="90"/>
      <c r="N260" s="33"/>
    </row>
    <row r="261" spans="1:14" s="34" customFormat="1" x14ac:dyDescent="0.3">
      <c r="A261" s="82">
        <f t="shared" ref="A261:A266" si="33">A260+1</f>
        <v>2</v>
      </c>
      <c r="B261" s="83"/>
      <c r="C261" s="58" t="s">
        <v>201</v>
      </c>
      <c r="D261" s="43">
        <f>(68.64)*10.764</f>
        <v>738.84096</v>
      </c>
      <c r="E261" s="43">
        <v>0</v>
      </c>
      <c r="F261" s="58">
        <f t="shared" si="32"/>
        <v>1108.26144</v>
      </c>
      <c r="G261" s="86"/>
      <c r="H261" s="87"/>
      <c r="I261" s="33"/>
      <c r="L261" s="90"/>
      <c r="M261" s="90"/>
      <c r="N261" s="33"/>
    </row>
    <row r="262" spans="1:14" s="34" customFormat="1" x14ac:dyDescent="0.3">
      <c r="A262" s="82" t="s">
        <v>249</v>
      </c>
      <c r="B262" s="83"/>
      <c r="C262" s="66" t="s">
        <v>248</v>
      </c>
      <c r="D262" s="43">
        <f>(6.85*5.3+2.78*(2.75+2.75)+3.04*(3.95+3.95)+3.42*(3.8+3.8)+3.35*(4.56+3.37)+1.22*(2.28+2.27+2.28+2.27)+1.26*(2.27+2.27)+(1.89*2.43+2.7*1.07+0.98*1.32+2.15*0.97)*2+4.55*2.2)*10.764</f>
        <v>1902.2409899999998</v>
      </c>
      <c r="E262" s="43">
        <v>0</v>
      </c>
      <c r="F262" s="58">
        <f t="shared" si="32"/>
        <v>2853.3614849999994</v>
      </c>
      <c r="G262" s="86"/>
      <c r="H262" s="87"/>
      <c r="I262" s="33"/>
      <c r="L262" s="90"/>
      <c r="M262" s="90"/>
      <c r="N262" s="33"/>
    </row>
    <row r="263" spans="1:14" s="34" customFormat="1" x14ac:dyDescent="0.3">
      <c r="A263" s="82">
        <v>5</v>
      </c>
      <c r="B263" s="83"/>
      <c r="C263" s="58" t="s">
        <v>201</v>
      </c>
      <c r="D263" s="43">
        <f>(67.24)*10.764</f>
        <v>723.77135999999985</v>
      </c>
      <c r="E263" s="43">
        <v>0</v>
      </c>
      <c r="F263" s="58">
        <f t="shared" si="32"/>
        <v>1085.6570399999998</v>
      </c>
      <c r="G263" s="86"/>
      <c r="H263" s="87"/>
      <c r="I263" s="33"/>
      <c r="L263" s="90"/>
      <c r="M263" s="90"/>
      <c r="N263" s="33"/>
    </row>
    <row r="264" spans="1:14" s="34" customFormat="1" x14ac:dyDescent="0.3">
      <c r="A264" s="82">
        <f t="shared" si="33"/>
        <v>6</v>
      </c>
      <c r="B264" s="83"/>
      <c r="C264" s="58" t="s">
        <v>201</v>
      </c>
      <c r="D264" s="43">
        <f>(67.12)*10.764</f>
        <v>722.47968000000003</v>
      </c>
      <c r="E264" s="43">
        <v>0</v>
      </c>
      <c r="F264" s="58">
        <f t="shared" si="32"/>
        <v>1083.7195200000001</v>
      </c>
      <c r="G264" s="86"/>
      <c r="H264" s="87"/>
      <c r="I264" s="33"/>
      <c r="L264" s="90"/>
      <c r="M264" s="90"/>
      <c r="N264" s="33"/>
    </row>
    <row r="265" spans="1:14" s="34" customFormat="1" x14ac:dyDescent="0.3">
      <c r="A265" s="82">
        <f t="shared" si="33"/>
        <v>7</v>
      </c>
      <c r="B265" s="83"/>
      <c r="C265" s="58" t="s">
        <v>200</v>
      </c>
      <c r="D265" s="58">
        <f>(94.84)*10.764</f>
        <v>1020.85776</v>
      </c>
      <c r="E265" s="43">
        <v>0</v>
      </c>
      <c r="F265" s="58">
        <f t="shared" si="32"/>
        <v>1531.28664</v>
      </c>
      <c r="G265" s="86"/>
      <c r="H265" s="87"/>
      <c r="I265" s="33"/>
      <c r="L265" s="90"/>
      <c r="M265" s="90"/>
      <c r="N265" s="33"/>
    </row>
    <row r="266" spans="1:14" s="34" customFormat="1" x14ac:dyDescent="0.3">
      <c r="A266" s="82">
        <f t="shared" si="33"/>
        <v>8</v>
      </c>
      <c r="B266" s="83"/>
      <c r="C266" s="58" t="s">
        <v>201</v>
      </c>
      <c r="D266" s="58">
        <f>(68.04)*10.764</f>
        <v>732.38256000000001</v>
      </c>
      <c r="E266" s="43">
        <v>0</v>
      </c>
      <c r="F266" s="58">
        <f t="shared" si="32"/>
        <v>1098.57384</v>
      </c>
      <c r="G266" s="88"/>
      <c r="H266" s="89"/>
      <c r="I266" s="33"/>
      <c r="L266" s="90"/>
      <c r="M266" s="90"/>
      <c r="N266" s="33"/>
    </row>
    <row r="267" spans="1:14" s="34" customFormat="1" hidden="1" x14ac:dyDescent="0.3">
      <c r="A267" s="73" t="s">
        <v>199</v>
      </c>
      <c r="B267" s="74"/>
      <c r="C267" s="74"/>
      <c r="D267" s="74"/>
      <c r="E267" s="74"/>
      <c r="F267" s="74"/>
      <c r="G267" s="74"/>
      <c r="H267" s="75"/>
      <c r="J267" s="33"/>
    </row>
    <row r="268" spans="1:14" s="34" customFormat="1" ht="15.75" hidden="1" customHeight="1" x14ac:dyDescent="0.3">
      <c r="A268" s="82">
        <v>1</v>
      </c>
      <c r="B268" s="83"/>
      <c r="C268" s="58" t="s">
        <v>200</v>
      </c>
      <c r="D268" s="43">
        <f>(98.76)*10.764</f>
        <v>1063.0526399999999</v>
      </c>
      <c r="E268" s="43">
        <v>0</v>
      </c>
      <c r="F268" s="58">
        <f t="shared" ref="F268:F273" si="34">D268*(($F$150)+1)+(IF(E268&lt;101,E268,IF(E268&lt;201,E268/2,IF(E268&lt;=301,E268/3,E268/4))))</f>
        <v>1594.5789599999998</v>
      </c>
      <c r="G268" s="84" t="str">
        <f>A267</f>
        <v>2nd to 6th &amp; 8th to 11th Floor for Residential &amp; Parking</v>
      </c>
      <c r="H268" s="85"/>
      <c r="I268" s="33"/>
      <c r="J268" s="33">
        <f>29500000/F268</f>
        <v>18500.181389575089</v>
      </c>
      <c r="L268" s="90"/>
      <c r="M268" s="90"/>
      <c r="N268" s="33"/>
    </row>
    <row r="269" spans="1:14" s="34" customFormat="1" hidden="1" x14ac:dyDescent="0.3">
      <c r="A269" s="82">
        <f t="shared" ref="A269:A273" si="35">A268+1</f>
        <v>2</v>
      </c>
      <c r="B269" s="83"/>
      <c r="C269" s="58" t="s">
        <v>200</v>
      </c>
      <c r="D269" s="43">
        <f>(95.01)*10.764</f>
        <v>1022.68764</v>
      </c>
      <c r="E269" s="43">
        <v>0</v>
      </c>
      <c r="F269" s="58">
        <f t="shared" si="34"/>
        <v>1534.0314599999999</v>
      </c>
      <c r="G269" s="86"/>
      <c r="H269" s="87"/>
      <c r="I269" s="33"/>
      <c r="L269" s="90"/>
      <c r="M269" s="90"/>
      <c r="N269" s="33"/>
    </row>
    <row r="270" spans="1:14" s="34" customFormat="1" hidden="1" x14ac:dyDescent="0.3">
      <c r="A270" s="82">
        <f t="shared" si="35"/>
        <v>3</v>
      </c>
      <c r="B270" s="83"/>
      <c r="C270" s="58" t="s">
        <v>201</v>
      </c>
      <c r="D270" s="43">
        <f>(67.37)*10.764</f>
        <v>725.17068000000006</v>
      </c>
      <c r="E270" s="43">
        <v>0</v>
      </c>
      <c r="F270" s="58">
        <f t="shared" si="34"/>
        <v>1087.75602</v>
      </c>
      <c r="G270" s="86"/>
      <c r="H270" s="87"/>
      <c r="I270" s="33">
        <f>3.21*6.25+3.04*2.12+1.83*0.88+3.04*3.93+3.35*3.7+2.27*1.22+1.22*2.32+2.5*0.9+1.77*1.76</f>
        <v>63.424900000000001</v>
      </c>
      <c r="L270" s="90"/>
      <c r="M270" s="90"/>
      <c r="N270" s="33"/>
    </row>
    <row r="271" spans="1:14" s="34" customFormat="1" hidden="1" x14ac:dyDescent="0.3">
      <c r="A271" s="82">
        <f t="shared" si="35"/>
        <v>4</v>
      </c>
      <c r="B271" s="83"/>
      <c r="C271" s="58" t="s">
        <v>201</v>
      </c>
      <c r="D271" s="43">
        <f>(67.19)*10.764</f>
        <v>723.23315999999988</v>
      </c>
      <c r="E271" s="43">
        <v>0</v>
      </c>
      <c r="F271" s="58">
        <f t="shared" si="34"/>
        <v>1084.8497399999999</v>
      </c>
      <c r="G271" s="86"/>
      <c r="H271" s="87"/>
      <c r="I271" s="33"/>
      <c r="L271" s="90"/>
      <c r="M271" s="90"/>
      <c r="N271" s="33"/>
    </row>
    <row r="272" spans="1:14" s="34" customFormat="1" hidden="1" x14ac:dyDescent="0.3">
      <c r="A272" s="82">
        <f t="shared" si="35"/>
        <v>5</v>
      </c>
      <c r="B272" s="83"/>
      <c r="C272" s="58" t="s">
        <v>201</v>
      </c>
      <c r="D272" s="43">
        <f>(69.45)*10.764</f>
        <v>747.5598</v>
      </c>
      <c r="E272" s="43">
        <v>0</v>
      </c>
      <c r="F272" s="58">
        <f t="shared" si="34"/>
        <v>1121.3397</v>
      </c>
      <c r="G272" s="86"/>
      <c r="H272" s="87"/>
      <c r="I272" s="33"/>
      <c r="L272" s="90"/>
      <c r="M272" s="90"/>
      <c r="N272" s="33"/>
    </row>
    <row r="273" spans="1:14" s="34" customFormat="1" hidden="1" x14ac:dyDescent="0.3">
      <c r="A273" s="82">
        <f t="shared" si="35"/>
        <v>6</v>
      </c>
      <c r="B273" s="83"/>
      <c r="C273" s="58" t="s">
        <v>201</v>
      </c>
      <c r="D273" s="43">
        <f>(68.75)*10.764</f>
        <v>740.02499999999998</v>
      </c>
      <c r="E273" s="43">
        <v>0</v>
      </c>
      <c r="F273" s="58">
        <f t="shared" si="34"/>
        <v>1110.0374999999999</v>
      </c>
      <c r="G273" s="88"/>
      <c r="H273" s="89"/>
      <c r="I273" s="33">
        <f>3.21*6.17+3.04*2.13+1.87*0.91+3.04*3.82+3.35*3.65+2.28*1.22+1.22*2.34+2.7*0.9+1.3*0.9+2.06*1.76</f>
        <v>64.684899999999999</v>
      </c>
      <c r="L273" s="90"/>
      <c r="M273" s="90"/>
      <c r="N273" s="33"/>
    </row>
    <row r="274" spans="1:14" s="34" customFormat="1" hidden="1" x14ac:dyDescent="0.3">
      <c r="A274" s="73" t="s">
        <v>203</v>
      </c>
      <c r="B274" s="74"/>
      <c r="C274" s="74"/>
      <c r="D274" s="74"/>
      <c r="E274" s="74"/>
      <c r="F274" s="74"/>
      <c r="G274" s="74"/>
      <c r="H274" s="75"/>
      <c r="J274" s="33"/>
    </row>
    <row r="275" spans="1:14" s="34" customFormat="1" ht="15.75" hidden="1" customHeight="1" x14ac:dyDescent="0.3">
      <c r="A275" s="82">
        <v>1</v>
      </c>
      <c r="B275" s="83"/>
      <c r="C275" s="58" t="s">
        <v>200</v>
      </c>
      <c r="D275" s="43">
        <f>(98.76)*10.764</f>
        <v>1063.0526399999999</v>
      </c>
      <c r="E275" s="43">
        <v>0</v>
      </c>
      <c r="F275" s="58">
        <f>D275*(($F$150)+1)+(IF(E275&lt;101,E275,IF(E275&lt;201,E275/2,IF(E275&lt;=301,E275/3,E275/4))))</f>
        <v>1594.5789599999998</v>
      </c>
      <c r="G275" s="84" t="str">
        <f>A274</f>
        <v>7th Floor (Part Refuge Floor)</v>
      </c>
      <c r="H275" s="85"/>
      <c r="I275" s="33"/>
      <c r="L275" s="90"/>
      <c r="M275" s="90"/>
      <c r="N275" s="33"/>
    </row>
    <row r="276" spans="1:14" s="34" customFormat="1" hidden="1" x14ac:dyDescent="0.3">
      <c r="A276" s="82">
        <f t="shared" ref="A276:A280" si="36">A275+1</f>
        <v>2</v>
      </c>
      <c r="B276" s="83"/>
      <c r="C276" s="58" t="s">
        <v>200</v>
      </c>
      <c r="D276" s="43">
        <f>(95.01)*10.764</f>
        <v>1022.68764</v>
      </c>
      <c r="E276" s="43">
        <v>0</v>
      </c>
      <c r="F276" s="58">
        <f>D276*(($F$150)+1)+(IF(E276&lt;101,E276,IF(E276&lt;201,E276/2,IF(E276&lt;=301,E276/3,E276/4))))</f>
        <v>1534.0314599999999</v>
      </c>
      <c r="G276" s="86"/>
      <c r="H276" s="87"/>
      <c r="I276" s="33"/>
      <c r="L276" s="90"/>
      <c r="M276" s="90"/>
      <c r="N276" s="33"/>
    </row>
    <row r="277" spans="1:14" s="34" customFormat="1" hidden="1" x14ac:dyDescent="0.3">
      <c r="A277" s="82">
        <f t="shared" si="36"/>
        <v>3</v>
      </c>
      <c r="B277" s="83"/>
      <c r="C277" s="84" t="s">
        <v>204</v>
      </c>
      <c r="D277" s="91"/>
      <c r="E277" s="91"/>
      <c r="F277" s="85"/>
      <c r="G277" s="86"/>
      <c r="H277" s="87"/>
      <c r="I277" s="33"/>
      <c r="L277" s="90"/>
      <c r="M277" s="90"/>
      <c r="N277" s="33"/>
    </row>
    <row r="278" spans="1:14" s="34" customFormat="1" hidden="1" x14ac:dyDescent="0.3">
      <c r="A278" s="82">
        <f t="shared" si="36"/>
        <v>4</v>
      </c>
      <c r="B278" s="83"/>
      <c r="C278" s="88"/>
      <c r="D278" s="92"/>
      <c r="E278" s="92"/>
      <c r="F278" s="89"/>
      <c r="G278" s="86"/>
      <c r="H278" s="87"/>
      <c r="I278" s="33"/>
      <c r="L278" s="90"/>
      <c r="M278" s="90"/>
      <c r="N278" s="33"/>
    </row>
    <row r="279" spans="1:14" s="34" customFormat="1" hidden="1" x14ac:dyDescent="0.3">
      <c r="A279" s="82">
        <f t="shared" si="36"/>
        <v>5</v>
      </c>
      <c r="B279" s="83"/>
      <c r="C279" s="58" t="s">
        <v>201</v>
      </c>
      <c r="D279" s="43">
        <f>(69.45)*10.764</f>
        <v>747.5598</v>
      </c>
      <c r="E279" s="43">
        <v>0</v>
      </c>
      <c r="F279" s="58">
        <f>D279*(($F$150)+1)+(IF(E279&lt;101,E279,IF(E279&lt;201,E279/2,IF(E279&lt;=301,E279/3,E279/4))))</f>
        <v>1121.3397</v>
      </c>
      <c r="G279" s="86"/>
      <c r="H279" s="87"/>
      <c r="I279" s="33"/>
      <c r="L279" s="90"/>
      <c r="M279" s="90"/>
      <c r="N279" s="33"/>
    </row>
    <row r="280" spans="1:14" s="34" customFormat="1" hidden="1" x14ac:dyDescent="0.3">
      <c r="A280" s="82">
        <f t="shared" si="36"/>
        <v>6</v>
      </c>
      <c r="B280" s="83"/>
      <c r="C280" s="58" t="s">
        <v>201</v>
      </c>
      <c r="D280" s="43">
        <f>(68.75)*10.764</f>
        <v>740.02499999999998</v>
      </c>
      <c r="E280" s="43">
        <v>0</v>
      </c>
      <c r="F280" s="58">
        <f>D280*(($F$150)+1)+(IF(E280&lt;101,E280,IF(E280&lt;201,E280/2,IF(E280&lt;=301,E280/3,E280/4))))</f>
        <v>1110.0374999999999</v>
      </c>
      <c r="G280" s="88"/>
      <c r="H280" s="89"/>
      <c r="I280" s="33"/>
      <c r="L280" s="90"/>
      <c r="M280" s="90"/>
      <c r="N280" s="33"/>
    </row>
    <row r="281" spans="1:14" s="34" customFormat="1" hidden="1" x14ac:dyDescent="0.3">
      <c r="A281" s="73" t="s">
        <v>205</v>
      </c>
      <c r="B281" s="74"/>
      <c r="C281" s="74"/>
      <c r="D281" s="74"/>
      <c r="E281" s="74"/>
      <c r="F281" s="74"/>
      <c r="G281" s="74"/>
      <c r="H281" s="75"/>
      <c r="J281" s="33"/>
    </row>
    <row r="282" spans="1:14" s="34" customFormat="1" ht="15.75" hidden="1" customHeight="1" x14ac:dyDescent="0.3">
      <c r="A282" s="82">
        <v>1</v>
      </c>
      <c r="B282" s="83"/>
      <c r="C282" s="58" t="s">
        <v>200</v>
      </c>
      <c r="D282" s="43">
        <f>(98.76)*10.764</f>
        <v>1063.0526399999999</v>
      </c>
      <c r="E282" s="43">
        <v>0</v>
      </c>
      <c r="F282" s="58">
        <f>D282*(($F$150)+1)+(IF(E282&lt;101,E282,IF(E282&lt;201,E282/2,IF(E282&lt;=301,E282/3,E282/4))))</f>
        <v>1594.5789599999998</v>
      </c>
      <c r="G282" s="84" t="str">
        <f>A281</f>
        <v>12th Floor for Fitness Center &amp; Residential</v>
      </c>
      <c r="H282" s="85"/>
      <c r="I282" s="33"/>
      <c r="L282" s="90"/>
      <c r="M282" s="90"/>
      <c r="N282" s="33"/>
    </row>
    <row r="283" spans="1:14" s="34" customFormat="1" hidden="1" x14ac:dyDescent="0.3">
      <c r="A283" s="82">
        <f t="shared" ref="A283:A287" si="37">A282+1</f>
        <v>2</v>
      </c>
      <c r="B283" s="83"/>
      <c r="C283" s="58" t="s">
        <v>200</v>
      </c>
      <c r="D283" s="43">
        <f>(95.01)*10.764</f>
        <v>1022.68764</v>
      </c>
      <c r="E283" s="43">
        <v>0</v>
      </c>
      <c r="F283" s="58">
        <f>D283*(($F$150)+1)+(IF(E283&lt;101,E283,IF(E283&lt;201,E283/2,IF(E283&lt;=301,E283/3,E283/4))))</f>
        <v>1534.0314599999999</v>
      </c>
      <c r="G283" s="86"/>
      <c r="H283" s="87"/>
      <c r="I283" s="33"/>
      <c r="L283" s="90"/>
      <c r="M283" s="90"/>
      <c r="N283" s="33"/>
    </row>
    <row r="284" spans="1:14" s="34" customFormat="1" hidden="1" x14ac:dyDescent="0.3">
      <c r="A284" s="82">
        <f t="shared" si="37"/>
        <v>3</v>
      </c>
      <c r="B284" s="83"/>
      <c r="C284" s="84" t="s">
        <v>206</v>
      </c>
      <c r="D284" s="91"/>
      <c r="E284" s="91"/>
      <c r="F284" s="85"/>
      <c r="G284" s="86"/>
      <c r="H284" s="87"/>
      <c r="I284" s="33"/>
      <c r="L284" s="90"/>
      <c r="M284" s="90"/>
      <c r="N284" s="33"/>
    </row>
    <row r="285" spans="1:14" s="34" customFormat="1" hidden="1" x14ac:dyDescent="0.3">
      <c r="A285" s="82">
        <f t="shared" si="37"/>
        <v>4</v>
      </c>
      <c r="B285" s="83"/>
      <c r="C285" s="88"/>
      <c r="D285" s="92"/>
      <c r="E285" s="92"/>
      <c r="F285" s="89"/>
      <c r="G285" s="86"/>
      <c r="H285" s="87"/>
      <c r="I285" s="33"/>
      <c r="L285" s="90"/>
      <c r="M285" s="90"/>
      <c r="N285" s="33"/>
    </row>
    <row r="286" spans="1:14" s="34" customFormat="1" hidden="1" x14ac:dyDescent="0.3">
      <c r="A286" s="82">
        <f t="shared" si="37"/>
        <v>5</v>
      </c>
      <c r="B286" s="83"/>
      <c r="C286" s="58" t="s">
        <v>201</v>
      </c>
      <c r="D286" s="43">
        <f>(69.45)*10.764</f>
        <v>747.5598</v>
      </c>
      <c r="E286" s="43">
        <v>0</v>
      </c>
      <c r="F286" s="58">
        <f>D286*(($F$150)+1)+(IF(E286&lt;101,E286,IF(E286&lt;201,E286/2,IF(E286&lt;=301,E286/3,E286/4))))</f>
        <v>1121.3397</v>
      </c>
      <c r="G286" s="86"/>
      <c r="H286" s="87"/>
      <c r="I286" s="33"/>
      <c r="L286" s="90"/>
      <c r="M286" s="90"/>
      <c r="N286" s="33"/>
    </row>
    <row r="287" spans="1:14" s="34" customFormat="1" hidden="1" x14ac:dyDescent="0.3">
      <c r="A287" s="82">
        <f t="shared" si="37"/>
        <v>6</v>
      </c>
      <c r="B287" s="83"/>
      <c r="C287" s="58" t="s">
        <v>201</v>
      </c>
      <c r="D287" s="43">
        <f>(68.75)*10.764</f>
        <v>740.02499999999998</v>
      </c>
      <c r="E287" s="43">
        <v>0</v>
      </c>
      <c r="F287" s="58">
        <f>D287*(($F$150)+1)+(IF(E287&lt;101,E287,IF(E287&lt;201,E287/2,IF(E287&lt;=301,E287/3,E287/4))))</f>
        <v>1110.0374999999999</v>
      </c>
      <c r="G287" s="88"/>
      <c r="H287" s="89"/>
      <c r="I287" s="33"/>
      <c r="L287" s="90"/>
      <c r="M287" s="90"/>
      <c r="N287" s="33"/>
    </row>
    <row r="288" spans="1:14" s="34" customFormat="1" x14ac:dyDescent="0.3">
      <c r="A288" s="94" t="s">
        <v>202</v>
      </c>
      <c r="B288" s="95"/>
      <c r="C288" s="95"/>
      <c r="D288" s="95"/>
      <c r="E288" s="95"/>
      <c r="F288" s="95"/>
      <c r="G288" s="95"/>
      <c r="H288" s="96"/>
      <c r="J288" s="33"/>
    </row>
    <row r="289" spans="1:14" s="34" customFormat="1" x14ac:dyDescent="0.3">
      <c r="A289" s="73" t="s">
        <v>221</v>
      </c>
      <c r="B289" s="74"/>
      <c r="C289" s="74"/>
      <c r="D289" s="74"/>
      <c r="E289" s="74"/>
      <c r="F289" s="74"/>
      <c r="G289" s="74"/>
      <c r="H289" s="75"/>
      <c r="J289" s="33"/>
    </row>
    <row r="290" spans="1:14" s="34" customFormat="1" ht="15.6" customHeight="1" x14ac:dyDescent="0.3">
      <c r="A290" s="73" t="s">
        <v>222</v>
      </c>
      <c r="B290" s="74"/>
      <c r="C290" s="74"/>
      <c r="D290" s="74"/>
      <c r="E290" s="74"/>
      <c r="F290" s="74"/>
      <c r="G290" s="74"/>
      <c r="H290" s="75"/>
      <c r="J290" s="33"/>
    </row>
    <row r="291" spans="1:14" s="34" customFormat="1" x14ac:dyDescent="0.3">
      <c r="A291" s="73" t="s">
        <v>207</v>
      </c>
      <c r="B291" s="74"/>
      <c r="C291" s="74"/>
      <c r="D291" s="74"/>
      <c r="E291" s="74"/>
      <c r="F291" s="74"/>
      <c r="G291" s="74"/>
      <c r="H291" s="75"/>
      <c r="I291" s="34">
        <v>1</v>
      </c>
      <c r="J291" s="33"/>
    </row>
    <row r="292" spans="1:14" s="34" customFormat="1" x14ac:dyDescent="0.3">
      <c r="A292" s="73" t="s">
        <v>223</v>
      </c>
      <c r="B292" s="74"/>
      <c r="C292" s="74"/>
      <c r="D292" s="74"/>
      <c r="E292" s="74"/>
      <c r="F292" s="74"/>
      <c r="G292" s="74"/>
      <c r="H292" s="75"/>
      <c r="I292" s="34">
        <v>1</v>
      </c>
      <c r="J292" s="33"/>
    </row>
    <row r="293" spans="1:14" s="34" customFormat="1" ht="15.75" customHeight="1" x14ac:dyDescent="0.3">
      <c r="A293" s="82">
        <v>1</v>
      </c>
      <c r="B293" s="83"/>
      <c r="C293" s="58" t="s">
        <v>201</v>
      </c>
      <c r="D293" s="43">
        <f>(69.32)*10.764</f>
        <v>746.16047999999989</v>
      </c>
      <c r="E293" s="43">
        <v>0</v>
      </c>
      <c r="F293" s="58">
        <f t="shared" ref="F293:F298" si="38">D293*(($F$150)+1)+(IF(E293&lt;101,E293,IF(E293&lt;201,E293/2,IF(E293&lt;=301,E293/3,E293/4))))</f>
        <v>1119.2407199999998</v>
      </c>
      <c r="G293" s="84" t="str">
        <f>A292</f>
        <v>2nd Part Podium Floor for Residential &amp; Parking</v>
      </c>
      <c r="H293" s="85"/>
      <c r="I293" s="33"/>
      <c r="J293" s="33"/>
      <c r="L293" s="90"/>
      <c r="M293" s="90"/>
      <c r="N293" s="33"/>
    </row>
    <row r="294" spans="1:14" s="34" customFormat="1" x14ac:dyDescent="0.3">
      <c r="A294" s="82">
        <f t="shared" ref="A294:A300" si="39">A293+1</f>
        <v>2</v>
      </c>
      <c r="B294" s="83"/>
      <c r="C294" s="58" t="s">
        <v>201</v>
      </c>
      <c r="D294" s="43">
        <f>(68.64)*10.764</f>
        <v>738.84096</v>
      </c>
      <c r="E294" s="43">
        <v>0</v>
      </c>
      <c r="F294" s="58">
        <f t="shared" si="38"/>
        <v>1108.26144</v>
      </c>
      <c r="G294" s="86"/>
      <c r="H294" s="87"/>
      <c r="I294" s="33"/>
      <c r="L294" s="90"/>
      <c r="M294" s="90"/>
      <c r="N294" s="33"/>
    </row>
    <row r="295" spans="1:14" s="34" customFormat="1" x14ac:dyDescent="0.3">
      <c r="A295" s="82">
        <f t="shared" si="39"/>
        <v>3</v>
      </c>
      <c r="B295" s="83"/>
      <c r="C295" s="58" t="s">
        <v>201</v>
      </c>
      <c r="D295" s="43">
        <f>(68.67)*10.764</f>
        <v>739.16387999999995</v>
      </c>
      <c r="E295" s="43">
        <v>0</v>
      </c>
      <c r="F295" s="58">
        <f t="shared" si="38"/>
        <v>1108.7458199999999</v>
      </c>
      <c r="G295" s="86"/>
      <c r="H295" s="87"/>
      <c r="I295" s="33"/>
      <c r="L295" s="90"/>
      <c r="M295" s="90"/>
      <c r="N295" s="33"/>
    </row>
    <row r="296" spans="1:14" s="34" customFormat="1" x14ac:dyDescent="0.3">
      <c r="A296" s="82">
        <f t="shared" si="39"/>
        <v>4</v>
      </c>
      <c r="B296" s="83"/>
      <c r="C296" s="58" t="s">
        <v>201</v>
      </c>
      <c r="D296" s="43">
        <f>(69.36)*10.764</f>
        <v>746.59103999999991</v>
      </c>
      <c r="E296" s="43">
        <v>0</v>
      </c>
      <c r="F296" s="58">
        <f t="shared" si="38"/>
        <v>1119.8865599999999</v>
      </c>
      <c r="G296" s="86"/>
      <c r="H296" s="87"/>
      <c r="I296" s="33"/>
      <c r="L296" s="90"/>
      <c r="M296" s="90"/>
      <c r="N296" s="33"/>
    </row>
    <row r="297" spans="1:14" s="34" customFormat="1" x14ac:dyDescent="0.3">
      <c r="A297" s="82">
        <f t="shared" si="39"/>
        <v>5</v>
      </c>
      <c r="B297" s="83"/>
      <c r="C297" s="58" t="s">
        <v>201</v>
      </c>
      <c r="D297" s="43">
        <f>(67.26)*10.764</f>
        <v>723.98663999999997</v>
      </c>
      <c r="E297" s="43">
        <v>0</v>
      </c>
      <c r="F297" s="58">
        <f t="shared" si="38"/>
        <v>1085.9799599999999</v>
      </c>
      <c r="G297" s="86"/>
      <c r="H297" s="87"/>
      <c r="I297" s="33"/>
      <c r="J297" s="33"/>
      <c r="L297" s="90"/>
      <c r="M297" s="90"/>
      <c r="N297" s="33"/>
    </row>
    <row r="298" spans="1:14" s="34" customFormat="1" x14ac:dyDescent="0.3">
      <c r="A298" s="82">
        <f t="shared" si="39"/>
        <v>6</v>
      </c>
      <c r="B298" s="83"/>
      <c r="C298" s="58" t="s">
        <v>201</v>
      </c>
      <c r="D298" s="43">
        <f>(66.75)*10.764</f>
        <v>718.49699999999996</v>
      </c>
      <c r="E298" s="43">
        <v>0</v>
      </c>
      <c r="F298" s="58">
        <f t="shared" si="38"/>
        <v>1077.7455</v>
      </c>
      <c r="G298" s="86"/>
      <c r="H298" s="87"/>
      <c r="I298" s="33"/>
      <c r="L298" s="90"/>
      <c r="M298" s="90"/>
      <c r="N298" s="33"/>
    </row>
    <row r="299" spans="1:14" s="34" customFormat="1" x14ac:dyDescent="0.3">
      <c r="A299" s="82">
        <f t="shared" si="39"/>
        <v>7</v>
      </c>
      <c r="B299" s="83"/>
      <c r="C299" s="84" t="s">
        <v>226</v>
      </c>
      <c r="D299" s="91"/>
      <c r="E299" s="91"/>
      <c r="F299" s="85"/>
      <c r="G299" s="86"/>
      <c r="H299" s="87"/>
      <c r="I299" s="33"/>
      <c r="J299" s="33"/>
      <c r="L299" s="90"/>
      <c r="M299" s="90"/>
      <c r="N299" s="33"/>
    </row>
    <row r="300" spans="1:14" s="34" customFormat="1" x14ac:dyDescent="0.3">
      <c r="A300" s="82">
        <f t="shared" si="39"/>
        <v>8</v>
      </c>
      <c r="B300" s="83"/>
      <c r="C300" s="88"/>
      <c r="D300" s="92"/>
      <c r="E300" s="92"/>
      <c r="F300" s="89"/>
      <c r="G300" s="88"/>
      <c r="H300" s="89"/>
      <c r="I300" s="33"/>
      <c r="L300" s="90"/>
      <c r="M300" s="90"/>
      <c r="N300" s="33"/>
    </row>
    <row r="301" spans="1:14" s="34" customFormat="1" x14ac:dyDescent="0.3">
      <c r="A301" s="73" t="s">
        <v>224</v>
      </c>
      <c r="B301" s="74"/>
      <c r="C301" s="74"/>
      <c r="D301" s="74"/>
      <c r="E301" s="74"/>
      <c r="F301" s="74"/>
      <c r="G301" s="74"/>
      <c r="H301" s="75"/>
      <c r="I301" s="34">
        <v>4</v>
      </c>
      <c r="J301" s="33"/>
    </row>
    <row r="302" spans="1:14" s="34" customFormat="1" ht="15.75" customHeight="1" x14ac:dyDescent="0.3">
      <c r="A302" s="82">
        <v>1</v>
      </c>
      <c r="B302" s="83"/>
      <c r="C302" s="58" t="s">
        <v>201</v>
      </c>
      <c r="D302" s="43">
        <f>(69.32)*10.764</f>
        <v>746.16047999999989</v>
      </c>
      <c r="E302" s="43">
        <v>0</v>
      </c>
      <c r="F302" s="58">
        <f t="shared" ref="F302:F307" si="40">D302*(($F$150)+1)+(IF(E302&lt;101,E302,IF(E302&lt;201,E302/2,IF(E302&lt;=301,E302/3,E302/4))))</f>
        <v>1119.2407199999998</v>
      </c>
      <c r="G302" s="84" t="str">
        <f>A301</f>
        <v>3rd to 6th Part Podium Floor for Residential &amp; Parking</v>
      </c>
      <c r="H302" s="85"/>
      <c r="I302" s="33"/>
      <c r="J302" s="33"/>
      <c r="L302" s="90"/>
      <c r="M302" s="90"/>
      <c r="N302" s="33"/>
    </row>
    <row r="303" spans="1:14" s="34" customFormat="1" x14ac:dyDescent="0.3">
      <c r="A303" s="82">
        <f t="shared" ref="A303:A309" si="41">A302+1</f>
        <v>2</v>
      </c>
      <c r="B303" s="83"/>
      <c r="C303" s="58" t="s">
        <v>201</v>
      </c>
      <c r="D303" s="43">
        <f>(68.64)*10.764</f>
        <v>738.84096</v>
      </c>
      <c r="E303" s="43">
        <v>0</v>
      </c>
      <c r="F303" s="58">
        <f t="shared" si="40"/>
        <v>1108.26144</v>
      </c>
      <c r="G303" s="86"/>
      <c r="H303" s="87"/>
      <c r="I303" s="33"/>
      <c r="L303" s="90"/>
      <c r="M303" s="90"/>
      <c r="N303" s="33"/>
    </row>
    <row r="304" spans="1:14" s="34" customFormat="1" x14ac:dyDescent="0.3">
      <c r="A304" s="82">
        <f t="shared" si="41"/>
        <v>3</v>
      </c>
      <c r="B304" s="83"/>
      <c r="C304" s="58" t="s">
        <v>201</v>
      </c>
      <c r="D304" s="43">
        <f>(68.67)*10.764</f>
        <v>739.16387999999995</v>
      </c>
      <c r="E304" s="43">
        <v>0</v>
      </c>
      <c r="F304" s="58">
        <f t="shared" si="40"/>
        <v>1108.7458199999999</v>
      </c>
      <c r="G304" s="86"/>
      <c r="H304" s="87"/>
      <c r="I304" s="33"/>
      <c r="L304" s="90"/>
      <c r="M304" s="90"/>
      <c r="N304" s="33"/>
    </row>
    <row r="305" spans="1:14" s="34" customFormat="1" x14ac:dyDescent="0.3">
      <c r="A305" s="82">
        <f t="shared" si="41"/>
        <v>4</v>
      </c>
      <c r="B305" s="83"/>
      <c r="C305" s="58" t="s">
        <v>201</v>
      </c>
      <c r="D305" s="43">
        <f>(69.36)*10.764</f>
        <v>746.59103999999991</v>
      </c>
      <c r="E305" s="43">
        <v>0</v>
      </c>
      <c r="F305" s="58">
        <f t="shared" si="40"/>
        <v>1119.8865599999999</v>
      </c>
      <c r="G305" s="86"/>
      <c r="H305" s="87"/>
      <c r="I305" s="33"/>
      <c r="L305" s="90"/>
      <c r="M305" s="90"/>
      <c r="N305" s="33"/>
    </row>
    <row r="306" spans="1:14" s="34" customFormat="1" x14ac:dyDescent="0.3">
      <c r="A306" s="82">
        <f t="shared" si="41"/>
        <v>5</v>
      </c>
      <c r="B306" s="83"/>
      <c r="C306" s="58" t="s">
        <v>201</v>
      </c>
      <c r="D306" s="43">
        <f>(67.26)*10.764</f>
        <v>723.98663999999997</v>
      </c>
      <c r="E306" s="43">
        <v>0</v>
      </c>
      <c r="F306" s="58">
        <f t="shared" si="40"/>
        <v>1085.9799599999999</v>
      </c>
      <c r="G306" s="86"/>
      <c r="H306" s="87"/>
      <c r="I306" s="33"/>
      <c r="J306" s="33"/>
      <c r="L306" s="90"/>
      <c r="M306" s="90"/>
      <c r="N306" s="33"/>
    </row>
    <row r="307" spans="1:14" s="34" customFormat="1" x14ac:dyDescent="0.3">
      <c r="A307" s="82">
        <f t="shared" si="41"/>
        <v>6</v>
      </c>
      <c r="B307" s="83"/>
      <c r="C307" s="58" t="s">
        <v>201</v>
      </c>
      <c r="D307" s="43">
        <f>(66.75)*10.764</f>
        <v>718.49699999999996</v>
      </c>
      <c r="E307" s="43">
        <v>0</v>
      </c>
      <c r="F307" s="58">
        <f t="shared" si="40"/>
        <v>1077.7455</v>
      </c>
      <c r="G307" s="86"/>
      <c r="H307" s="87"/>
      <c r="I307" s="33"/>
      <c r="L307" s="90"/>
      <c r="M307" s="90"/>
      <c r="N307" s="33"/>
    </row>
    <row r="308" spans="1:14" s="34" customFormat="1" x14ac:dyDescent="0.3">
      <c r="A308" s="82">
        <f t="shared" si="41"/>
        <v>7</v>
      </c>
      <c r="B308" s="83"/>
      <c r="C308" s="84" t="s">
        <v>226</v>
      </c>
      <c r="D308" s="91"/>
      <c r="E308" s="91"/>
      <c r="F308" s="85"/>
      <c r="G308" s="86"/>
      <c r="H308" s="87"/>
      <c r="I308" s="33"/>
      <c r="J308" s="33"/>
      <c r="L308" s="90"/>
      <c r="M308" s="90"/>
      <c r="N308" s="33"/>
    </row>
    <row r="309" spans="1:14" s="34" customFormat="1" x14ac:dyDescent="0.3">
      <c r="A309" s="82">
        <f t="shared" si="41"/>
        <v>8</v>
      </c>
      <c r="B309" s="83"/>
      <c r="C309" s="88"/>
      <c r="D309" s="92"/>
      <c r="E309" s="92"/>
      <c r="F309" s="89"/>
      <c r="G309" s="88"/>
      <c r="H309" s="89"/>
      <c r="I309" s="33"/>
      <c r="L309" s="90"/>
      <c r="M309" s="90"/>
      <c r="N309" s="33"/>
    </row>
    <row r="310" spans="1:14" s="34" customFormat="1" x14ac:dyDescent="0.3">
      <c r="A310" s="73" t="s">
        <v>260</v>
      </c>
      <c r="B310" s="74"/>
      <c r="C310" s="74"/>
      <c r="D310" s="74"/>
      <c r="E310" s="74"/>
      <c r="F310" s="74"/>
      <c r="G310" s="74"/>
      <c r="H310" s="75"/>
      <c r="I310" s="34">
        <v>1</v>
      </c>
      <c r="J310" s="33"/>
    </row>
    <row r="311" spans="1:14" s="34" customFormat="1" ht="15.75" customHeight="1" x14ac:dyDescent="0.3">
      <c r="A311" s="82">
        <v>1</v>
      </c>
      <c r="B311" s="83"/>
      <c r="C311" s="58" t="s">
        <v>201</v>
      </c>
      <c r="D311" s="43">
        <f>(69.32)*10.764</f>
        <v>746.16047999999989</v>
      </c>
      <c r="E311" s="43">
        <v>0</v>
      </c>
      <c r="F311" s="58">
        <f t="shared" ref="F311:F315" si="42">D311*(($F$150)+1)+(IF(E311&lt;101,E311,IF(E311&lt;201,E311/2,IF(E311&lt;=301,E311/3,E311/4))))</f>
        <v>1119.2407199999998</v>
      </c>
      <c r="G311" s="84" t="str">
        <f>A310</f>
        <v>7th Floor (Part Refuge Floor &amp; Parking)</v>
      </c>
      <c r="H311" s="85"/>
      <c r="I311" s="33"/>
      <c r="J311" s="33"/>
      <c r="L311" s="90"/>
      <c r="M311" s="90"/>
      <c r="N311" s="33"/>
    </row>
    <row r="312" spans="1:14" s="34" customFormat="1" x14ac:dyDescent="0.3">
      <c r="A312" s="82">
        <f t="shared" ref="A312:A318" si="43">A311+1</f>
        <v>2</v>
      </c>
      <c r="B312" s="83"/>
      <c r="C312" s="58" t="s">
        <v>201</v>
      </c>
      <c r="D312" s="43">
        <f>(68.64)*10.764</f>
        <v>738.84096</v>
      </c>
      <c r="E312" s="43">
        <v>0</v>
      </c>
      <c r="F312" s="58">
        <f t="shared" si="42"/>
        <v>1108.26144</v>
      </c>
      <c r="G312" s="86"/>
      <c r="H312" s="87"/>
      <c r="I312" s="33"/>
      <c r="L312" s="90"/>
      <c r="M312" s="90"/>
      <c r="N312" s="33"/>
    </row>
    <row r="313" spans="1:14" s="34" customFormat="1" x14ac:dyDescent="0.3">
      <c r="A313" s="82">
        <f t="shared" si="43"/>
        <v>3</v>
      </c>
      <c r="B313" s="83"/>
      <c r="C313" s="58" t="s">
        <v>201</v>
      </c>
      <c r="D313" s="43">
        <f>(68.67)*10.764</f>
        <v>739.16387999999995</v>
      </c>
      <c r="E313" s="43">
        <v>0</v>
      </c>
      <c r="F313" s="58">
        <f t="shared" si="42"/>
        <v>1108.7458199999999</v>
      </c>
      <c r="G313" s="86"/>
      <c r="H313" s="87"/>
      <c r="I313" s="33"/>
      <c r="L313" s="90"/>
      <c r="M313" s="90"/>
      <c r="N313" s="33"/>
    </row>
    <row r="314" spans="1:14" s="34" customFormat="1" x14ac:dyDescent="0.3">
      <c r="A314" s="82">
        <f t="shared" si="43"/>
        <v>4</v>
      </c>
      <c r="B314" s="83"/>
      <c r="C314" s="58" t="s">
        <v>201</v>
      </c>
      <c r="D314" s="43">
        <f>(69.36)*10.764</f>
        <v>746.59103999999991</v>
      </c>
      <c r="E314" s="43">
        <v>0</v>
      </c>
      <c r="F314" s="58">
        <f t="shared" si="42"/>
        <v>1119.8865599999999</v>
      </c>
      <c r="G314" s="86"/>
      <c r="H314" s="87"/>
      <c r="I314" s="33"/>
      <c r="L314" s="90"/>
      <c r="M314" s="90"/>
      <c r="N314" s="33"/>
    </row>
    <row r="315" spans="1:14" s="34" customFormat="1" x14ac:dyDescent="0.3">
      <c r="A315" s="82">
        <f t="shared" si="43"/>
        <v>5</v>
      </c>
      <c r="B315" s="83"/>
      <c r="C315" s="58" t="s">
        <v>201</v>
      </c>
      <c r="D315" s="43">
        <f>(67.26)*10.764</f>
        <v>723.98663999999997</v>
      </c>
      <c r="E315" s="43">
        <v>0</v>
      </c>
      <c r="F315" s="58">
        <f t="shared" si="42"/>
        <v>1085.9799599999999</v>
      </c>
      <c r="G315" s="86"/>
      <c r="H315" s="87"/>
      <c r="I315" s="33"/>
      <c r="J315" s="33"/>
      <c r="L315" s="90"/>
      <c r="M315" s="90"/>
      <c r="N315" s="33"/>
    </row>
    <row r="316" spans="1:14" s="34" customFormat="1" x14ac:dyDescent="0.3">
      <c r="A316" s="82">
        <f t="shared" si="43"/>
        <v>6</v>
      </c>
      <c r="B316" s="83"/>
      <c r="C316" s="82" t="s">
        <v>204</v>
      </c>
      <c r="D316" s="147"/>
      <c r="E316" s="147"/>
      <c r="F316" s="83"/>
      <c r="G316" s="86"/>
      <c r="H316" s="87"/>
      <c r="I316" s="33"/>
      <c r="L316" s="90"/>
      <c r="M316" s="90"/>
      <c r="N316" s="33"/>
    </row>
    <row r="317" spans="1:14" s="34" customFormat="1" x14ac:dyDescent="0.3">
      <c r="A317" s="82">
        <f t="shared" si="43"/>
        <v>7</v>
      </c>
      <c r="B317" s="83"/>
      <c r="C317" s="84" t="s">
        <v>226</v>
      </c>
      <c r="D317" s="91"/>
      <c r="E317" s="91"/>
      <c r="F317" s="85"/>
      <c r="G317" s="86"/>
      <c r="H317" s="87"/>
      <c r="I317" s="33"/>
      <c r="J317" s="33"/>
      <c r="L317" s="90"/>
      <c r="M317" s="90"/>
      <c r="N317" s="33"/>
    </row>
    <row r="318" spans="1:14" s="34" customFormat="1" x14ac:dyDescent="0.3">
      <c r="A318" s="82">
        <f t="shared" si="43"/>
        <v>8</v>
      </c>
      <c r="B318" s="83"/>
      <c r="C318" s="88"/>
      <c r="D318" s="92"/>
      <c r="E318" s="92"/>
      <c r="F318" s="89"/>
      <c r="G318" s="88"/>
      <c r="H318" s="89"/>
      <c r="I318" s="33"/>
      <c r="L318" s="90"/>
      <c r="M318" s="90"/>
      <c r="N318" s="33"/>
    </row>
    <row r="319" spans="1:14" s="34" customFormat="1" x14ac:dyDescent="0.3">
      <c r="A319" s="73" t="s">
        <v>230</v>
      </c>
      <c r="B319" s="74"/>
      <c r="C319" s="74"/>
      <c r="D319" s="74"/>
      <c r="E319" s="74"/>
      <c r="F319" s="74"/>
      <c r="G319" s="74"/>
      <c r="H319" s="75"/>
      <c r="I319" s="34">
        <v>1</v>
      </c>
      <c r="J319" s="33"/>
    </row>
    <row r="320" spans="1:14" s="34" customFormat="1" ht="15.75" customHeight="1" x14ac:dyDescent="0.3">
      <c r="A320" s="82">
        <v>1</v>
      </c>
      <c r="B320" s="83"/>
      <c r="C320" s="58" t="s">
        <v>201</v>
      </c>
      <c r="D320" s="43">
        <f>(69.32)*10.764</f>
        <v>746.16047999999989</v>
      </c>
      <c r="E320" s="43">
        <v>0</v>
      </c>
      <c r="F320" s="58">
        <f t="shared" ref="F320:F325" si="44">D320*(($F$150)+1)+(IF(E320&lt;101,E320,IF(E320&lt;201,E320/2,IF(E320&lt;=301,E320/3,E320/4))))</f>
        <v>1119.2407199999998</v>
      </c>
      <c r="G320" s="84" t="str">
        <f>A319</f>
        <v>8th Part Podium Floor for Residential &amp; Parking</v>
      </c>
      <c r="H320" s="85"/>
      <c r="I320" s="33"/>
      <c r="J320" s="33"/>
      <c r="L320" s="90"/>
      <c r="M320" s="90"/>
      <c r="N320" s="33"/>
    </row>
    <row r="321" spans="1:14" s="34" customFormat="1" x14ac:dyDescent="0.3">
      <c r="A321" s="82">
        <f t="shared" ref="A321:A327" si="45">A320+1</f>
        <v>2</v>
      </c>
      <c r="B321" s="83"/>
      <c r="C321" s="58" t="s">
        <v>201</v>
      </c>
      <c r="D321" s="43">
        <f>(68.64)*10.764</f>
        <v>738.84096</v>
      </c>
      <c r="E321" s="43">
        <v>0</v>
      </c>
      <c r="F321" s="58">
        <f t="shared" si="44"/>
        <v>1108.26144</v>
      </c>
      <c r="G321" s="86"/>
      <c r="H321" s="87"/>
      <c r="I321" s="33"/>
      <c r="L321" s="90"/>
      <c r="M321" s="90"/>
      <c r="N321" s="33"/>
    </row>
    <row r="322" spans="1:14" s="34" customFormat="1" x14ac:dyDescent="0.3">
      <c r="A322" s="82">
        <f t="shared" si="45"/>
        <v>3</v>
      </c>
      <c r="B322" s="83"/>
      <c r="C322" s="58" t="s">
        <v>201</v>
      </c>
      <c r="D322" s="43">
        <f>(68.67)*10.764</f>
        <v>739.16387999999995</v>
      </c>
      <c r="E322" s="43">
        <v>0</v>
      </c>
      <c r="F322" s="58">
        <f t="shared" si="44"/>
        <v>1108.7458199999999</v>
      </c>
      <c r="G322" s="86"/>
      <c r="H322" s="87"/>
      <c r="I322" s="33"/>
      <c r="L322" s="90"/>
      <c r="M322" s="90"/>
      <c r="N322" s="33"/>
    </row>
    <row r="323" spans="1:14" s="34" customFormat="1" x14ac:dyDescent="0.3">
      <c r="A323" s="82">
        <f t="shared" si="45"/>
        <v>4</v>
      </c>
      <c r="B323" s="83"/>
      <c r="C323" s="58" t="s">
        <v>201</v>
      </c>
      <c r="D323" s="43">
        <f>(69.36)*10.764</f>
        <v>746.59103999999991</v>
      </c>
      <c r="E323" s="43">
        <v>0</v>
      </c>
      <c r="F323" s="58">
        <f t="shared" si="44"/>
        <v>1119.8865599999999</v>
      </c>
      <c r="G323" s="86"/>
      <c r="H323" s="87"/>
      <c r="I323" s="33"/>
      <c r="L323" s="90"/>
      <c r="M323" s="90"/>
      <c r="N323" s="33"/>
    </row>
    <row r="324" spans="1:14" s="34" customFormat="1" x14ac:dyDescent="0.3">
      <c r="A324" s="82">
        <f t="shared" si="45"/>
        <v>5</v>
      </c>
      <c r="B324" s="83"/>
      <c r="C324" s="58" t="s">
        <v>201</v>
      </c>
      <c r="D324" s="43">
        <f>(67.26)*10.764</f>
        <v>723.98663999999997</v>
      </c>
      <c r="E324" s="43">
        <v>0</v>
      </c>
      <c r="F324" s="58">
        <f t="shared" si="44"/>
        <v>1085.9799599999999</v>
      </c>
      <c r="G324" s="86"/>
      <c r="H324" s="87"/>
      <c r="I324" s="33"/>
      <c r="J324" s="33"/>
      <c r="L324" s="90"/>
      <c r="M324" s="90"/>
      <c r="N324" s="33"/>
    </row>
    <row r="325" spans="1:14" s="34" customFormat="1" x14ac:dyDescent="0.3">
      <c r="A325" s="82">
        <f t="shared" si="45"/>
        <v>6</v>
      </c>
      <c r="B325" s="83"/>
      <c r="C325" s="58" t="s">
        <v>201</v>
      </c>
      <c r="D325" s="43">
        <f>(66.75)*10.764</f>
        <v>718.49699999999996</v>
      </c>
      <c r="E325" s="43">
        <v>0</v>
      </c>
      <c r="F325" s="58">
        <f t="shared" si="44"/>
        <v>1077.7455</v>
      </c>
      <c r="G325" s="86"/>
      <c r="H325" s="87"/>
      <c r="I325" s="33"/>
      <c r="L325" s="90"/>
      <c r="M325" s="90"/>
      <c r="N325" s="33"/>
    </row>
    <row r="326" spans="1:14" s="34" customFormat="1" x14ac:dyDescent="0.3">
      <c r="A326" s="82">
        <f t="shared" si="45"/>
        <v>7</v>
      </c>
      <c r="B326" s="83"/>
      <c r="C326" s="84" t="s">
        <v>226</v>
      </c>
      <c r="D326" s="91"/>
      <c r="E326" s="91"/>
      <c r="F326" s="85"/>
      <c r="G326" s="86"/>
      <c r="H326" s="87"/>
      <c r="I326" s="33"/>
      <c r="J326" s="33"/>
      <c r="L326" s="90"/>
      <c r="M326" s="90"/>
      <c r="N326" s="33"/>
    </row>
    <row r="327" spans="1:14" s="34" customFormat="1" x14ac:dyDescent="0.3">
      <c r="A327" s="82">
        <f t="shared" si="45"/>
        <v>8</v>
      </c>
      <c r="B327" s="83"/>
      <c r="C327" s="88"/>
      <c r="D327" s="92"/>
      <c r="E327" s="92"/>
      <c r="F327" s="89"/>
      <c r="G327" s="88"/>
      <c r="H327" s="89"/>
      <c r="I327" s="33"/>
      <c r="L327" s="90"/>
      <c r="M327" s="90"/>
      <c r="N327" s="33"/>
    </row>
    <row r="328" spans="1:14" s="34" customFormat="1" x14ac:dyDescent="0.3">
      <c r="A328" s="73" t="s">
        <v>229</v>
      </c>
      <c r="B328" s="74"/>
      <c r="C328" s="74"/>
      <c r="D328" s="74"/>
      <c r="E328" s="74"/>
      <c r="F328" s="74"/>
      <c r="G328" s="74"/>
      <c r="H328" s="75"/>
      <c r="I328" s="34">
        <v>1</v>
      </c>
      <c r="J328" s="33"/>
    </row>
    <row r="329" spans="1:14" s="34" customFormat="1" ht="15.75" customHeight="1" x14ac:dyDescent="0.3">
      <c r="A329" s="82">
        <v>1</v>
      </c>
      <c r="B329" s="83"/>
      <c r="C329" s="58" t="s">
        <v>201</v>
      </c>
      <c r="D329" s="43">
        <f>(69.32)*10.764</f>
        <v>746.16047999999989</v>
      </c>
      <c r="E329" s="43">
        <v>0</v>
      </c>
      <c r="F329" s="58">
        <f t="shared" ref="F329:F334" si="46">D329*(($F$150)+1)+(IF(E329&lt;101,E329,IF(E329&lt;201,E329/2,IF(E329&lt;=301,E329/3,E329/4))))</f>
        <v>1119.2407199999998</v>
      </c>
      <c r="G329" s="84" t="str">
        <f>A328</f>
        <v>9th Part Podium Floor for Residential &amp; Parking</v>
      </c>
      <c r="H329" s="85"/>
      <c r="I329" s="33"/>
      <c r="J329" s="33"/>
      <c r="L329" s="90"/>
      <c r="M329" s="90"/>
      <c r="N329" s="33"/>
    </row>
    <row r="330" spans="1:14" s="34" customFormat="1" x14ac:dyDescent="0.3">
      <c r="A330" s="82">
        <f t="shared" ref="A330:A336" si="47">A329+1</f>
        <v>2</v>
      </c>
      <c r="B330" s="83"/>
      <c r="C330" s="58" t="s">
        <v>201</v>
      </c>
      <c r="D330" s="43">
        <f>(68.64)*10.764</f>
        <v>738.84096</v>
      </c>
      <c r="E330" s="43">
        <v>0</v>
      </c>
      <c r="F330" s="58">
        <f t="shared" si="46"/>
        <v>1108.26144</v>
      </c>
      <c r="G330" s="86"/>
      <c r="H330" s="87"/>
      <c r="I330" s="33"/>
      <c r="L330" s="90"/>
      <c r="M330" s="90"/>
      <c r="N330" s="33"/>
    </row>
    <row r="331" spans="1:14" s="34" customFormat="1" x14ac:dyDescent="0.3">
      <c r="A331" s="82">
        <f t="shared" si="47"/>
        <v>3</v>
      </c>
      <c r="B331" s="83"/>
      <c r="C331" s="58" t="s">
        <v>201</v>
      </c>
      <c r="D331" s="43">
        <f>(68.67)*10.764</f>
        <v>739.16387999999995</v>
      </c>
      <c r="E331" s="43">
        <v>0</v>
      </c>
      <c r="F331" s="58">
        <f t="shared" si="46"/>
        <v>1108.7458199999999</v>
      </c>
      <c r="G331" s="86"/>
      <c r="H331" s="87"/>
      <c r="I331" s="33"/>
      <c r="L331" s="90"/>
      <c r="M331" s="90"/>
      <c r="N331" s="33"/>
    </row>
    <row r="332" spans="1:14" s="34" customFormat="1" x14ac:dyDescent="0.3">
      <c r="A332" s="82">
        <f t="shared" si="47"/>
        <v>4</v>
      </c>
      <c r="B332" s="83"/>
      <c r="C332" s="58" t="s">
        <v>201</v>
      </c>
      <c r="D332" s="43">
        <f>(69.36)*10.764</f>
        <v>746.59103999999991</v>
      </c>
      <c r="E332" s="43">
        <v>0</v>
      </c>
      <c r="F332" s="58">
        <f t="shared" si="46"/>
        <v>1119.8865599999999</v>
      </c>
      <c r="G332" s="86"/>
      <c r="H332" s="87"/>
      <c r="I332" s="33"/>
      <c r="L332" s="90"/>
      <c r="M332" s="90"/>
      <c r="N332" s="33"/>
    </row>
    <row r="333" spans="1:14" s="34" customFormat="1" x14ac:dyDescent="0.3">
      <c r="A333" s="82">
        <f t="shared" si="47"/>
        <v>5</v>
      </c>
      <c r="B333" s="83"/>
      <c r="C333" s="58" t="s">
        <v>201</v>
      </c>
      <c r="D333" s="43">
        <f>(67.26)*10.764</f>
        <v>723.98663999999997</v>
      </c>
      <c r="E333" s="43">
        <v>0</v>
      </c>
      <c r="F333" s="58">
        <f t="shared" si="46"/>
        <v>1085.9799599999999</v>
      </c>
      <c r="G333" s="86"/>
      <c r="H333" s="87"/>
      <c r="I333" s="33"/>
      <c r="J333" s="33"/>
      <c r="L333" s="90"/>
      <c r="M333" s="90"/>
      <c r="N333" s="33"/>
    </row>
    <row r="334" spans="1:14" s="34" customFormat="1" x14ac:dyDescent="0.3">
      <c r="A334" s="82">
        <f t="shared" si="47"/>
        <v>6</v>
      </c>
      <c r="B334" s="83"/>
      <c r="C334" s="58" t="s">
        <v>201</v>
      </c>
      <c r="D334" s="43">
        <f>(66.75)*10.764</f>
        <v>718.49699999999996</v>
      </c>
      <c r="E334" s="43">
        <v>0</v>
      </c>
      <c r="F334" s="58">
        <f t="shared" si="46"/>
        <v>1077.7455</v>
      </c>
      <c r="G334" s="86"/>
      <c r="H334" s="87"/>
      <c r="I334" s="33"/>
      <c r="L334" s="90"/>
      <c r="M334" s="90"/>
      <c r="N334" s="33"/>
    </row>
    <row r="335" spans="1:14" s="34" customFormat="1" x14ac:dyDescent="0.3">
      <c r="A335" s="82">
        <f t="shared" si="47"/>
        <v>7</v>
      </c>
      <c r="B335" s="83"/>
      <c r="C335" s="84" t="s">
        <v>226</v>
      </c>
      <c r="D335" s="91"/>
      <c r="E335" s="91"/>
      <c r="F335" s="85"/>
      <c r="G335" s="86"/>
      <c r="H335" s="87"/>
      <c r="I335" s="33"/>
      <c r="J335" s="33"/>
      <c r="L335" s="90"/>
      <c r="M335" s="90"/>
      <c r="N335" s="33"/>
    </row>
    <row r="336" spans="1:14" s="34" customFormat="1" x14ac:dyDescent="0.3">
      <c r="A336" s="82">
        <f t="shared" si="47"/>
        <v>8</v>
      </c>
      <c r="B336" s="83"/>
      <c r="C336" s="88"/>
      <c r="D336" s="92"/>
      <c r="E336" s="92"/>
      <c r="F336" s="89"/>
      <c r="G336" s="88"/>
      <c r="H336" s="89"/>
      <c r="I336" s="33"/>
      <c r="L336" s="90"/>
      <c r="M336" s="90"/>
      <c r="N336" s="33"/>
    </row>
    <row r="337" spans="1:14" s="34" customFormat="1" x14ac:dyDescent="0.3">
      <c r="A337" s="219" t="s">
        <v>228</v>
      </c>
      <c r="B337" s="219"/>
      <c r="C337" s="219"/>
      <c r="D337" s="219"/>
      <c r="E337" s="219"/>
      <c r="F337" s="219"/>
      <c r="G337" s="219"/>
      <c r="H337" s="219"/>
      <c r="I337" s="34">
        <v>1</v>
      </c>
      <c r="J337" s="33"/>
    </row>
    <row r="338" spans="1:14" s="34" customFormat="1" ht="15.75" customHeight="1" x14ac:dyDescent="0.3">
      <c r="A338" s="212">
        <v>1</v>
      </c>
      <c r="B338" s="212"/>
      <c r="C338" s="58" t="s">
        <v>201</v>
      </c>
      <c r="D338" s="43">
        <f>(69.32)*10.764</f>
        <v>746.16047999999989</v>
      </c>
      <c r="E338" s="43">
        <v>0</v>
      </c>
      <c r="F338" s="58">
        <f t="shared" ref="F338:F343" si="48">D338*(($F$150)+1)+(IF(E338&lt;101,E338,IF(E338&lt;201,E338/2,IF(E338&lt;=301,E338/3,E338/4))))</f>
        <v>1119.2407199999998</v>
      </c>
      <c r="G338" s="212" t="str">
        <f>A337</f>
        <v>10th Part Podium Floor for Residential</v>
      </c>
      <c r="H338" s="212"/>
      <c r="I338" s="33"/>
      <c r="J338" s="33"/>
      <c r="L338" s="90"/>
      <c r="M338" s="90"/>
      <c r="N338" s="33"/>
    </row>
    <row r="339" spans="1:14" s="34" customFormat="1" x14ac:dyDescent="0.3">
      <c r="A339" s="212">
        <f t="shared" ref="A339:A345" si="49">A338+1</f>
        <v>2</v>
      </c>
      <c r="B339" s="212"/>
      <c r="C339" s="58" t="s">
        <v>201</v>
      </c>
      <c r="D339" s="43">
        <f>(68.64)*10.764</f>
        <v>738.84096</v>
      </c>
      <c r="E339" s="43">
        <v>0</v>
      </c>
      <c r="F339" s="58">
        <f t="shared" si="48"/>
        <v>1108.26144</v>
      </c>
      <c r="G339" s="212"/>
      <c r="H339" s="212"/>
      <c r="I339" s="33"/>
      <c r="L339" s="90"/>
      <c r="M339" s="90"/>
      <c r="N339" s="33"/>
    </row>
    <row r="340" spans="1:14" s="34" customFormat="1" x14ac:dyDescent="0.3">
      <c r="A340" s="212">
        <f t="shared" si="49"/>
        <v>3</v>
      </c>
      <c r="B340" s="212"/>
      <c r="C340" s="58" t="s">
        <v>201</v>
      </c>
      <c r="D340" s="43">
        <f>(68.67)*10.764</f>
        <v>739.16387999999995</v>
      </c>
      <c r="E340" s="43">
        <v>0</v>
      </c>
      <c r="F340" s="58">
        <f t="shared" si="48"/>
        <v>1108.7458199999999</v>
      </c>
      <c r="G340" s="212"/>
      <c r="H340" s="212"/>
      <c r="I340" s="33"/>
      <c r="L340" s="90"/>
      <c r="M340" s="90"/>
      <c r="N340" s="33"/>
    </row>
    <row r="341" spans="1:14" s="34" customFormat="1" x14ac:dyDescent="0.3">
      <c r="A341" s="212">
        <f t="shared" si="49"/>
        <v>4</v>
      </c>
      <c r="B341" s="212"/>
      <c r="C341" s="58" t="s">
        <v>201</v>
      </c>
      <c r="D341" s="43">
        <f>(69.36)*10.764</f>
        <v>746.59103999999991</v>
      </c>
      <c r="E341" s="43">
        <v>0</v>
      </c>
      <c r="F341" s="58">
        <f t="shared" si="48"/>
        <v>1119.8865599999999</v>
      </c>
      <c r="G341" s="212"/>
      <c r="H341" s="212"/>
      <c r="I341" s="33"/>
      <c r="L341" s="90"/>
      <c r="M341" s="90"/>
      <c r="N341" s="33"/>
    </row>
    <row r="342" spans="1:14" s="34" customFormat="1" x14ac:dyDescent="0.3">
      <c r="A342" s="212">
        <f t="shared" si="49"/>
        <v>5</v>
      </c>
      <c r="B342" s="212"/>
      <c r="C342" s="58" t="s">
        <v>201</v>
      </c>
      <c r="D342" s="43">
        <f>(67.26)*10.764</f>
        <v>723.98663999999997</v>
      </c>
      <c r="E342" s="43">
        <v>0</v>
      </c>
      <c r="F342" s="58">
        <f t="shared" si="48"/>
        <v>1085.9799599999999</v>
      </c>
      <c r="G342" s="212"/>
      <c r="H342" s="212"/>
      <c r="I342" s="33"/>
      <c r="J342" s="33"/>
      <c r="L342" s="90"/>
      <c r="M342" s="90"/>
      <c r="N342" s="33"/>
    </row>
    <row r="343" spans="1:14" s="34" customFormat="1" x14ac:dyDescent="0.3">
      <c r="A343" s="212">
        <f t="shared" si="49"/>
        <v>6</v>
      </c>
      <c r="B343" s="212"/>
      <c r="C343" s="58" t="s">
        <v>201</v>
      </c>
      <c r="D343" s="43">
        <f>(66.75)*10.764</f>
        <v>718.49699999999996</v>
      </c>
      <c r="E343" s="43">
        <v>0</v>
      </c>
      <c r="F343" s="58">
        <f t="shared" si="48"/>
        <v>1077.7455</v>
      </c>
      <c r="G343" s="212"/>
      <c r="H343" s="212"/>
      <c r="I343" s="33"/>
      <c r="L343" s="90"/>
      <c r="M343" s="90"/>
      <c r="N343" s="33"/>
    </row>
    <row r="344" spans="1:14" s="34" customFormat="1" x14ac:dyDescent="0.3">
      <c r="A344" s="212">
        <f t="shared" si="49"/>
        <v>7</v>
      </c>
      <c r="B344" s="212"/>
      <c r="C344" s="212" t="s">
        <v>227</v>
      </c>
      <c r="D344" s="212"/>
      <c r="E344" s="212"/>
      <c r="F344" s="212"/>
      <c r="G344" s="212"/>
      <c r="H344" s="212"/>
      <c r="I344" s="33"/>
      <c r="J344" s="33"/>
      <c r="L344" s="90"/>
      <c r="M344" s="90"/>
      <c r="N344" s="33"/>
    </row>
    <row r="345" spans="1:14" s="34" customFormat="1" x14ac:dyDescent="0.3">
      <c r="A345" s="212">
        <f t="shared" si="49"/>
        <v>8</v>
      </c>
      <c r="B345" s="212"/>
      <c r="C345" s="212"/>
      <c r="D345" s="212"/>
      <c r="E345" s="212"/>
      <c r="F345" s="212"/>
      <c r="G345" s="212"/>
      <c r="H345" s="212"/>
      <c r="I345" s="33"/>
      <c r="L345" s="90"/>
      <c r="M345" s="90"/>
      <c r="N345" s="33"/>
    </row>
    <row r="346" spans="1:14" s="34" customFormat="1" x14ac:dyDescent="0.3">
      <c r="A346" s="73" t="s">
        <v>231</v>
      </c>
      <c r="B346" s="74"/>
      <c r="C346" s="74"/>
      <c r="D346" s="74"/>
      <c r="E346" s="74"/>
      <c r="F346" s="74"/>
      <c r="G346" s="74"/>
      <c r="H346" s="75"/>
      <c r="I346" s="34">
        <v>1</v>
      </c>
      <c r="J346" s="33"/>
    </row>
    <row r="347" spans="1:14" s="34" customFormat="1" x14ac:dyDescent="0.3">
      <c r="A347" s="73" t="s">
        <v>232</v>
      </c>
      <c r="B347" s="74"/>
      <c r="C347" s="74"/>
      <c r="D347" s="74"/>
      <c r="E347" s="74"/>
      <c r="F347" s="74"/>
      <c r="G347" s="74"/>
      <c r="H347" s="75"/>
      <c r="I347" s="34">
        <v>1</v>
      </c>
      <c r="J347" s="33"/>
    </row>
    <row r="348" spans="1:14" s="34" customFormat="1" ht="15.75" customHeight="1" x14ac:dyDescent="0.3">
      <c r="A348" s="82">
        <v>1</v>
      </c>
      <c r="B348" s="83"/>
      <c r="C348" s="58" t="s">
        <v>201</v>
      </c>
      <c r="D348" s="43">
        <f>(69.32)*10.764</f>
        <v>746.16047999999989</v>
      </c>
      <c r="E348" s="43">
        <v>0</v>
      </c>
      <c r="F348" s="58">
        <f t="shared" ref="F348:F355" si="50">D348*(($F$150)+1)+(IF(E348&lt;101,E348,IF(E348&lt;201,E348/2,IF(E348&lt;=301,E348/3,E348/4))))</f>
        <v>1119.2407199999998</v>
      </c>
      <c r="G348" s="84" t="str">
        <f>A347</f>
        <v>12th Floor for Residential</v>
      </c>
      <c r="H348" s="85"/>
      <c r="I348" s="33"/>
      <c r="J348" s="33"/>
      <c r="L348" s="90"/>
      <c r="M348" s="90"/>
      <c r="N348" s="33"/>
    </row>
    <row r="349" spans="1:14" s="34" customFormat="1" x14ac:dyDescent="0.3">
      <c r="A349" s="82">
        <f t="shared" ref="A349:A355" si="51">A348+1</f>
        <v>2</v>
      </c>
      <c r="B349" s="83"/>
      <c r="C349" s="58" t="s">
        <v>201</v>
      </c>
      <c r="D349" s="43">
        <f>(68.64)*10.764</f>
        <v>738.84096</v>
      </c>
      <c r="E349" s="43">
        <v>0</v>
      </c>
      <c r="F349" s="58">
        <f t="shared" si="50"/>
        <v>1108.26144</v>
      </c>
      <c r="G349" s="86"/>
      <c r="H349" s="87"/>
      <c r="I349" s="33"/>
      <c r="L349" s="90"/>
      <c r="M349" s="90"/>
      <c r="N349" s="33"/>
    </row>
    <row r="350" spans="1:14" s="34" customFormat="1" x14ac:dyDescent="0.3">
      <c r="A350" s="82">
        <f t="shared" si="51"/>
        <v>3</v>
      </c>
      <c r="B350" s="83"/>
      <c r="C350" s="58" t="s">
        <v>201</v>
      </c>
      <c r="D350" s="43">
        <f>(68.67)*10.764</f>
        <v>739.16387999999995</v>
      </c>
      <c r="E350" s="43">
        <v>0</v>
      </c>
      <c r="F350" s="58">
        <f t="shared" si="50"/>
        <v>1108.7458199999999</v>
      </c>
      <c r="G350" s="86"/>
      <c r="H350" s="87"/>
      <c r="I350" s="33"/>
      <c r="L350" s="90"/>
      <c r="M350" s="90"/>
      <c r="N350" s="33"/>
    </row>
    <row r="351" spans="1:14" s="34" customFormat="1" x14ac:dyDescent="0.3">
      <c r="A351" s="82">
        <f t="shared" si="51"/>
        <v>4</v>
      </c>
      <c r="B351" s="83"/>
      <c r="C351" s="58" t="s">
        <v>201</v>
      </c>
      <c r="D351" s="43">
        <f>(69.36)*10.764</f>
        <v>746.59103999999991</v>
      </c>
      <c r="E351" s="43">
        <v>0</v>
      </c>
      <c r="F351" s="58">
        <f t="shared" si="50"/>
        <v>1119.8865599999999</v>
      </c>
      <c r="G351" s="86"/>
      <c r="H351" s="87"/>
      <c r="I351" s="33"/>
      <c r="L351" s="90"/>
      <c r="M351" s="90"/>
      <c r="N351" s="33"/>
    </row>
    <row r="352" spans="1:14" s="34" customFormat="1" x14ac:dyDescent="0.3">
      <c r="A352" s="82">
        <f t="shared" si="51"/>
        <v>5</v>
      </c>
      <c r="B352" s="83"/>
      <c r="C352" s="58" t="s">
        <v>201</v>
      </c>
      <c r="D352" s="43">
        <f>(67.26)*10.764</f>
        <v>723.98663999999997</v>
      </c>
      <c r="E352" s="43">
        <v>0</v>
      </c>
      <c r="F352" s="58">
        <f t="shared" si="50"/>
        <v>1085.9799599999999</v>
      </c>
      <c r="G352" s="86"/>
      <c r="H352" s="87"/>
      <c r="I352" s="33"/>
      <c r="J352" s="33"/>
      <c r="L352" s="90"/>
      <c r="M352" s="90"/>
      <c r="N352" s="33"/>
    </row>
    <row r="353" spans="1:14" s="34" customFormat="1" x14ac:dyDescent="0.3">
      <c r="A353" s="82">
        <f t="shared" si="51"/>
        <v>6</v>
      </c>
      <c r="B353" s="83"/>
      <c r="C353" s="58" t="s">
        <v>201</v>
      </c>
      <c r="D353" s="43">
        <f>(66.75)*10.764</f>
        <v>718.49699999999996</v>
      </c>
      <c r="E353" s="43">
        <v>0</v>
      </c>
      <c r="F353" s="58">
        <f t="shared" si="50"/>
        <v>1077.7455</v>
      </c>
      <c r="G353" s="86"/>
      <c r="H353" s="87"/>
      <c r="I353" s="33"/>
      <c r="L353" s="90"/>
      <c r="M353" s="90"/>
      <c r="N353" s="33"/>
    </row>
    <row r="354" spans="1:14" s="34" customFormat="1" x14ac:dyDescent="0.3">
      <c r="A354" s="82">
        <f t="shared" si="51"/>
        <v>7</v>
      </c>
      <c r="B354" s="83"/>
      <c r="C354" s="58" t="s">
        <v>200</v>
      </c>
      <c r="D354" s="58">
        <f>(94.84)*10.764</f>
        <v>1020.85776</v>
      </c>
      <c r="E354" s="43">
        <v>0</v>
      </c>
      <c r="F354" s="58">
        <f t="shared" si="50"/>
        <v>1531.28664</v>
      </c>
      <c r="G354" s="86"/>
      <c r="H354" s="87"/>
      <c r="I354" s="33"/>
      <c r="J354" s="33"/>
      <c r="L354" s="90"/>
      <c r="M354" s="90"/>
      <c r="N354" s="33"/>
    </row>
    <row r="355" spans="1:14" s="34" customFormat="1" x14ac:dyDescent="0.3">
      <c r="A355" s="82">
        <f t="shared" si="51"/>
        <v>8</v>
      </c>
      <c r="B355" s="83"/>
      <c r="C355" s="58" t="s">
        <v>201</v>
      </c>
      <c r="D355" s="58">
        <f>(68.04)*10.764</f>
        <v>732.38256000000001</v>
      </c>
      <c r="E355" s="43">
        <v>0</v>
      </c>
      <c r="F355" s="58">
        <f t="shared" si="50"/>
        <v>1098.57384</v>
      </c>
      <c r="G355" s="88"/>
      <c r="H355" s="89"/>
      <c r="I355" s="33"/>
      <c r="L355" s="90"/>
      <c r="M355" s="90"/>
      <c r="N355" s="33"/>
    </row>
    <row r="356" spans="1:14" s="34" customFormat="1" x14ac:dyDescent="0.3">
      <c r="A356" s="73" t="s">
        <v>233</v>
      </c>
      <c r="B356" s="74"/>
      <c r="C356" s="74"/>
      <c r="D356" s="74"/>
      <c r="E356" s="74"/>
      <c r="F356" s="74"/>
      <c r="G356" s="74"/>
      <c r="H356" s="75"/>
      <c r="I356" s="34">
        <v>6</v>
      </c>
      <c r="J356" s="33"/>
    </row>
    <row r="357" spans="1:14" s="34" customFormat="1" ht="15.75" customHeight="1" x14ac:dyDescent="0.3">
      <c r="A357" s="82">
        <v>1</v>
      </c>
      <c r="B357" s="83"/>
      <c r="C357" s="58" t="s">
        <v>201</v>
      </c>
      <c r="D357" s="43">
        <f>(69.32)*10.764</f>
        <v>746.16047999999989</v>
      </c>
      <c r="E357" s="43">
        <v>0</v>
      </c>
      <c r="F357" s="58">
        <f t="shared" ref="F357:F364" si="52">D357*(($F$150)+1)+(IF(E357&lt;101,E357,IF(E357&lt;201,E357/2,IF(E357&lt;=301,E357/3,E357/4))))</f>
        <v>1119.2407199999998</v>
      </c>
      <c r="G357" s="84" t="str">
        <f>A356</f>
        <v>13th &amp; 16th to 20th Floor</v>
      </c>
      <c r="H357" s="85"/>
      <c r="I357" s="33"/>
      <c r="J357" s="33"/>
      <c r="L357" s="90"/>
      <c r="M357" s="90"/>
      <c r="N357" s="33"/>
    </row>
    <row r="358" spans="1:14" s="34" customFormat="1" x14ac:dyDescent="0.3">
      <c r="A358" s="82">
        <f t="shared" ref="A358:A364" si="53">A357+1</f>
        <v>2</v>
      </c>
      <c r="B358" s="83"/>
      <c r="C358" s="58" t="s">
        <v>201</v>
      </c>
      <c r="D358" s="43">
        <f>(68.64)*10.764</f>
        <v>738.84096</v>
      </c>
      <c r="E358" s="43">
        <v>0</v>
      </c>
      <c r="F358" s="58">
        <f t="shared" si="52"/>
        <v>1108.26144</v>
      </c>
      <c r="G358" s="86"/>
      <c r="H358" s="87"/>
      <c r="I358" s="33"/>
      <c r="L358" s="90"/>
      <c r="M358" s="90"/>
      <c r="N358" s="33"/>
    </row>
    <row r="359" spans="1:14" s="34" customFormat="1" x14ac:dyDescent="0.3">
      <c r="A359" s="82">
        <f t="shared" si="53"/>
        <v>3</v>
      </c>
      <c r="B359" s="83"/>
      <c r="C359" s="58" t="s">
        <v>201</v>
      </c>
      <c r="D359" s="43">
        <f>(68.67)*10.764</f>
        <v>739.16387999999995</v>
      </c>
      <c r="E359" s="43">
        <v>0</v>
      </c>
      <c r="F359" s="58">
        <f t="shared" si="52"/>
        <v>1108.7458199999999</v>
      </c>
      <c r="G359" s="86"/>
      <c r="H359" s="87"/>
      <c r="I359" s="33"/>
      <c r="L359" s="90"/>
      <c r="M359" s="90"/>
      <c r="N359" s="33"/>
    </row>
    <row r="360" spans="1:14" s="34" customFormat="1" x14ac:dyDescent="0.3">
      <c r="A360" s="82">
        <f t="shared" si="53"/>
        <v>4</v>
      </c>
      <c r="B360" s="83"/>
      <c r="C360" s="58" t="s">
        <v>201</v>
      </c>
      <c r="D360" s="43">
        <f>(69.36)*10.764</f>
        <v>746.59103999999991</v>
      </c>
      <c r="E360" s="43">
        <v>0</v>
      </c>
      <c r="F360" s="58">
        <f t="shared" si="52"/>
        <v>1119.8865599999999</v>
      </c>
      <c r="G360" s="86"/>
      <c r="H360" s="87"/>
      <c r="I360" s="33"/>
      <c r="L360" s="90"/>
      <c r="M360" s="90"/>
      <c r="N360" s="33"/>
    </row>
    <row r="361" spans="1:14" s="34" customFormat="1" x14ac:dyDescent="0.3">
      <c r="A361" s="82">
        <f t="shared" si="53"/>
        <v>5</v>
      </c>
      <c r="B361" s="83"/>
      <c r="C361" s="58" t="s">
        <v>201</v>
      </c>
      <c r="D361" s="43">
        <f>(67.26)*10.764</f>
        <v>723.98663999999997</v>
      </c>
      <c r="E361" s="43">
        <v>0</v>
      </c>
      <c r="F361" s="58">
        <f t="shared" si="52"/>
        <v>1085.9799599999999</v>
      </c>
      <c r="G361" s="86"/>
      <c r="H361" s="87"/>
      <c r="I361" s="33"/>
      <c r="J361" s="33"/>
      <c r="L361" s="90"/>
      <c r="M361" s="90"/>
      <c r="N361" s="33"/>
    </row>
    <row r="362" spans="1:14" s="34" customFormat="1" x14ac:dyDescent="0.3">
      <c r="A362" s="82">
        <f t="shared" si="53"/>
        <v>6</v>
      </c>
      <c r="B362" s="83"/>
      <c r="C362" s="58" t="s">
        <v>201</v>
      </c>
      <c r="D362" s="43">
        <f>(66.75)*10.764</f>
        <v>718.49699999999996</v>
      </c>
      <c r="E362" s="43">
        <v>0</v>
      </c>
      <c r="F362" s="58">
        <f t="shared" si="52"/>
        <v>1077.7455</v>
      </c>
      <c r="G362" s="86"/>
      <c r="H362" s="87"/>
      <c r="I362" s="33"/>
      <c r="L362" s="90"/>
      <c r="M362" s="90"/>
      <c r="N362" s="33"/>
    </row>
    <row r="363" spans="1:14" s="34" customFormat="1" x14ac:dyDescent="0.3">
      <c r="A363" s="82">
        <f t="shared" si="53"/>
        <v>7</v>
      </c>
      <c r="B363" s="83"/>
      <c r="C363" s="58" t="s">
        <v>200</v>
      </c>
      <c r="D363" s="58">
        <f>(94.84)*10.764</f>
        <v>1020.85776</v>
      </c>
      <c r="E363" s="43">
        <v>0</v>
      </c>
      <c r="F363" s="58">
        <f t="shared" si="52"/>
        <v>1531.28664</v>
      </c>
      <c r="G363" s="86"/>
      <c r="H363" s="87"/>
      <c r="J363" s="33"/>
    </row>
    <row r="364" spans="1:14" s="34" customFormat="1" ht="15.75" customHeight="1" x14ac:dyDescent="0.3">
      <c r="A364" s="82">
        <f t="shared" si="53"/>
        <v>8</v>
      </c>
      <c r="B364" s="83"/>
      <c r="C364" s="58" t="s">
        <v>201</v>
      </c>
      <c r="D364" s="58">
        <f>(68.04)*10.764</f>
        <v>732.38256000000001</v>
      </c>
      <c r="E364" s="43">
        <v>0</v>
      </c>
      <c r="F364" s="58">
        <f t="shared" si="52"/>
        <v>1098.57384</v>
      </c>
      <c r="G364" s="88"/>
      <c r="H364" s="89"/>
      <c r="I364" s="33"/>
      <c r="L364" s="90"/>
      <c r="M364" s="90"/>
      <c r="N364" s="33"/>
    </row>
    <row r="365" spans="1:14" s="34" customFormat="1" x14ac:dyDescent="0.3">
      <c r="A365" s="73" t="s">
        <v>234</v>
      </c>
      <c r="B365" s="74"/>
      <c r="C365" s="74"/>
      <c r="D365" s="74"/>
      <c r="E365" s="74"/>
      <c r="F365" s="74"/>
      <c r="G365" s="74"/>
      <c r="H365" s="75"/>
      <c r="I365" s="34">
        <v>1</v>
      </c>
      <c r="J365" s="33"/>
    </row>
    <row r="366" spans="1:14" s="34" customFormat="1" ht="15.75" customHeight="1" x14ac:dyDescent="0.3">
      <c r="A366" s="82">
        <v>1</v>
      </c>
      <c r="B366" s="83"/>
      <c r="C366" s="58" t="s">
        <v>201</v>
      </c>
      <c r="D366" s="43">
        <f>(69.32)*10.764</f>
        <v>746.16047999999989</v>
      </c>
      <c r="E366" s="43">
        <v>0</v>
      </c>
      <c r="F366" s="58">
        <f t="shared" ref="F366:F373" si="54">D366*(($F$150)+1)+(IF(E366&lt;101,E366,IF(E366&lt;201,E366/2,IF(E366&lt;=301,E366/3,E366/4))))</f>
        <v>1119.2407199999998</v>
      </c>
      <c r="G366" s="84" t="str">
        <f>A365</f>
        <v>14th Floor (Part Refuge Area)</v>
      </c>
      <c r="H366" s="85"/>
      <c r="I366" s="33"/>
      <c r="J366" s="33"/>
      <c r="L366" s="90"/>
      <c r="M366" s="90"/>
      <c r="N366" s="33"/>
    </row>
    <row r="367" spans="1:14" s="34" customFormat="1" x14ac:dyDescent="0.3">
      <c r="A367" s="82">
        <f t="shared" ref="A367:A373" si="55">A366+1</f>
        <v>2</v>
      </c>
      <c r="B367" s="83"/>
      <c r="C367" s="58" t="s">
        <v>201</v>
      </c>
      <c r="D367" s="43">
        <f>(68.64)*10.764</f>
        <v>738.84096</v>
      </c>
      <c r="E367" s="43">
        <v>0</v>
      </c>
      <c r="F367" s="58">
        <f t="shared" si="54"/>
        <v>1108.26144</v>
      </c>
      <c r="G367" s="86"/>
      <c r="H367" s="87"/>
      <c r="I367" s="33"/>
      <c r="L367" s="90"/>
      <c r="M367" s="90"/>
      <c r="N367" s="33"/>
    </row>
    <row r="368" spans="1:14" s="34" customFormat="1" x14ac:dyDescent="0.3">
      <c r="A368" s="82">
        <f t="shared" si="55"/>
        <v>3</v>
      </c>
      <c r="B368" s="83"/>
      <c r="C368" s="58" t="s">
        <v>201</v>
      </c>
      <c r="D368" s="43">
        <f>(68.67)*10.764</f>
        <v>739.16387999999995</v>
      </c>
      <c r="E368" s="43">
        <v>0</v>
      </c>
      <c r="F368" s="58">
        <f t="shared" si="54"/>
        <v>1108.7458199999999</v>
      </c>
      <c r="G368" s="86"/>
      <c r="H368" s="87"/>
      <c r="I368" s="33"/>
      <c r="L368" s="90"/>
      <c r="M368" s="90"/>
      <c r="N368" s="33"/>
    </row>
    <row r="369" spans="1:14" s="34" customFormat="1" x14ac:dyDescent="0.3">
      <c r="A369" s="82">
        <f t="shared" si="55"/>
        <v>4</v>
      </c>
      <c r="B369" s="83"/>
      <c r="C369" s="58" t="s">
        <v>201</v>
      </c>
      <c r="D369" s="43">
        <f>(69.36)*10.764</f>
        <v>746.59103999999991</v>
      </c>
      <c r="E369" s="43">
        <v>0</v>
      </c>
      <c r="F369" s="58">
        <f t="shared" si="54"/>
        <v>1119.8865599999999</v>
      </c>
      <c r="G369" s="86"/>
      <c r="H369" s="87"/>
      <c r="I369" s="33"/>
      <c r="L369" s="90"/>
      <c r="M369" s="90"/>
      <c r="N369" s="33"/>
    </row>
    <row r="370" spans="1:14" s="34" customFormat="1" x14ac:dyDescent="0.3">
      <c r="A370" s="82">
        <f t="shared" si="55"/>
        <v>5</v>
      </c>
      <c r="B370" s="83"/>
      <c r="C370" s="84" t="s">
        <v>204</v>
      </c>
      <c r="D370" s="91"/>
      <c r="E370" s="91"/>
      <c r="F370" s="85"/>
      <c r="G370" s="86"/>
      <c r="H370" s="87"/>
      <c r="I370" s="33"/>
      <c r="J370" s="33"/>
      <c r="L370" s="90"/>
      <c r="M370" s="90"/>
      <c r="N370" s="33"/>
    </row>
    <row r="371" spans="1:14" s="34" customFormat="1" x14ac:dyDescent="0.3">
      <c r="A371" s="82">
        <f t="shared" si="55"/>
        <v>6</v>
      </c>
      <c r="B371" s="83"/>
      <c r="C371" s="88"/>
      <c r="D371" s="92"/>
      <c r="E371" s="92"/>
      <c r="F371" s="89"/>
      <c r="G371" s="86"/>
      <c r="H371" s="87"/>
      <c r="I371" s="33"/>
      <c r="L371" s="90"/>
      <c r="M371" s="90"/>
      <c r="N371" s="33"/>
    </row>
    <row r="372" spans="1:14" s="34" customFormat="1" x14ac:dyDescent="0.3">
      <c r="A372" s="82">
        <f t="shared" si="55"/>
        <v>7</v>
      </c>
      <c r="B372" s="83"/>
      <c r="C372" s="58" t="s">
        <v>200</v>
      </c>
      <c r="D372" s="58">
        <f>(94.84)*10.764</f>
        <v>1020.85776</v>
      </c>
      <c r="E372" s="43">
        <v>0</v>
      </c>
      <c r="F372" s="58">
        <f t="shared" si="54"/>
        <v>1531.28664</v>
      </c>
      <c r="G372" s="86"/>
      <c r="H372" s="87"/>
      <c r="J372" s="33"/>
    </row>
    <row r="373" spans="1:14" s="34" customFormat="1" ht="15.75" customHeight="1" x14ac:dyDescent="0.3">
      <c r="A373" s="82">
        <f t="shared" si="55"/>
        <v>8</v>
      </c>
      <c r="B373" s="83"/>
      <c r="C373" s="58" t="s">
        <v>201</v>
      </c>
      <c r="D373" s="58">
        <f>(68.04)*10.764</f>
        <v>732.38256000000001</v>
      </c>
      <c r="E373" s="43">
        <v>0</v>
      </c>
      <c r="F373" s="58">
        <f t="shared" si="54"/>
        <v>1098.57384</v>
      </c>
      <c r="G373" s="88"/>
      <c r="H373" s="89"/>
      <c r="I373" s="33"/>
      <c r="L373" s="90"/>
      <c r="M373" s="90"/>
      <c r="N373" s="33"/>
    </row>
    <row r="374" spans="1:14" s="34" customFormat="1" x14ac:dyDescent="0.3">
      <c r="A374" s="73" t="s">
        <v>235</v>
      </c>
      <c r="B374" s="74"/>
      <c r="C374" s="74"/>
      <c r="D374" s="74"/>
      <c r="E374" s="74"/>
      <c r="F374" s="74"/>
      <c r="G374" s="74"/>
      <c r="H374" s="75"/>
      <c r="I374" s="34">
        <v>1</v>
      </c>
      <c r="J374" s="33"/>
    </row>
    <row r="375" spans="1:14" s="34" customFormat="1" ht="15.75" customHeight="1" x14ac:dyDescent="0.3">
      <c r="A375" s="82">
        <v>1</v>
      </c>
      <c r="B375" s="83"/>
      <c r="C375" s="58" t="s">
        <v>201</v>
      </c>
      <c r="D375" s="43">
        <f>(69.32)*10.764</f>
        <v>746.16047999999989</v>
      </c>
      <c r="E375" s="43">
        <v>0</v>
      </c>
      <c r="F375" s="58">
        <f t="shared" ref="F375:F382" si="56">D375*(($F$150)+1)+(IF(E375&lt;101,E375,IF(E375&lt;201,E375/2,IF(E375&lt;=301,E375/3,E375/4))))</f>
        <v>1119.2407199999998</v>
      </c>
      <c r="G375" s="84" t="str">
        <f>A374</f>
        <v>15th Floor</v>
      </c>
      <c r="H375" s="85"/>
      <c r="I375" s="33"/>
      <c r="J375" s="33"/>
      <c r="L375" s="90"/>
      <c r="M375" s="90"/>
      <c r="N375" s="33"/>
    </row>
    <row r="376" spans="1:14" s="34" customFormat="1" x14ac:dyDescent="0.3">
      <c r="A376" s="82">
        <f t="shared" ref="A376:A382" si="57">A375+1</f>
        <v>2</v>
      </c>
      <c r="B376" s="83"/>
      <c r="C376" s="58" t="s">
        <v>201</v>
      </c>
      <c r="D376" s="43">
        <f>(68.64)*10.764</f>
        <v>738.84096</v>
      </c>
      <c r="E376" s="43">
        <v>0</v>
      </c>
      <c r="F376" s="58">
        <f t="shared" si="56"/>
        <v>1108.26144</v>
      </c>
      <c r="G376" s="86"/>
      <c r="H376" s="87"/>
      <c r="I376" s="33"/>
      <c r="L376" s="90"/>
      <c r="M376" s="90"/>
      <c r="N376" s="33"/>
    </row>
    <row r="377" spans="1:14" s="34" customFormat="1" x14ac:dyDescent="0.3">
      <c r="A377" s="82">
        <f t="shared" si="57"/>
        <v>3</v>
      </c>
      <c r="B377" s="83"/>
      <c r="C377" s="58" t="s">
        <v>201</v>
      </c>
      <c r="D377" s="43">
        <f>(68.67)*10.764</f>
        <v>739.16387999999995</v>
      </c>
      <c r="E377" s="43">
        <v>0</v>
      </c>
      <c r="F377" s="58">
        <f t="shared" si="56"/>
        <v>1108.7458199999999</v>
      </c>
      <c r="G377" s="86"/>
      <c r="H377" s="87"/>
      <c r="I377" s="33"/>
      <c r="L377" s="90"/>
      <c r="M377" s="90"/>
      <c r="N377" s="33"/>
    </row>
    <row r="378" spans="1:14" s="34" customFormat="1" x14ac:dyDescent="0.3">
      <c r="A378" s="82">
        <f t="shared" si="57"/>
        <v>4</v>
      </c>
      <c r="B378" s="83"/>
      <c r="C378" s="58" t="s">
        <v>201</v>
      </c>
      <c r="D378" s="43">
        <f>(69.36)*10.764</f>
        <v>746.59103999999991</v>
      </c>
      <c r="E378" s="43">
        <v>0</v>
      </c>
      <c r="F378" s="58">
        <f t="shared" si="56"/>
        <v>1119.8865599999999</v>
      </c>
      <c r="G378" s="86"/>
      <c r="H378" s="87"/>
      <c r="I378" s="33"/>
      <c r="L378" s="90"/>
      <c r="M378" s="90"/>
      <c r="N378" s="33"/>
    </row>
    <row r="379" spans="1:14" s="34" customFormat="1" x14ac:dyDescent="0.3">
      <c r="A379" s="82">
        <f t="shared" si="57"/>
        <v>5</v>
      </c>
      <c r="B379" s="83"/>
      <c r="C379" s="58" t="s">
        <v>201</v>
      </c>
      <c r="D379" s="43">
        <f>(67.26)*10.764</f>
        <v>723.98663999999997</v>
      </c>
      <c r="E379" s="43">
        <v>0</v>
      </c>
      <c r="F379" s="58">
        <f t="shared" si="56"/>
        <v>1085.9799599999999</v>
      </c>
      <c r="G379" s="86"/>
      <c r="H379" s="87"/>
      <c r="I379" s="33"/>
      <c r="J379" s="33"/>
      <c r="L379" s="90"/>
      <c r="M379" s="90"/>
      <c r="N379" s="33"/>
    </row>
    <row r="380" spans="1:14" s="34" customFormat="1" x14ac:dyDescent="0.3">
      <c r="A380" s="82">
        <f t="shared" si="57"/>
        <v>6</v>
      </c>
      <c r="B380" s="83"/>
      <c r="C380" s="58" t="s">
        <v>201</v>
      </c>
      <c r="D380" s="43">
        <f>(66.75)*10.764</f>
        <v>718.49699999999996</v>
      </c>
      <c r="E380" s="43">
        <v>0</v>
      </c>
      <c r="F380" s="58">
        <f t="shared" si="56"/>
        <v>1077.7455</v>
      </c>
      <c r="G380" s="86"/>
      <c r="H380" s="87"/>
      <c r="I380" s="33"/>
      <c r="L380" s="90"/>
      <c r="M380" s="90"/>
      <c r="N380" s="33"/>
    </row>
    <row r="381" spans="1:14" s="34" customFormat="1" x14ac:dyDescent="0.3">
      <c r="A381" s="82">
        <f t="shared" si="57"/>
        <v>7</v>
      </c>
      <c r="B381" s="83"/>
      <c r="C381" s="58" t="s">
        <v>200</v>
      </c>
      <c r="D381" s="58">
        <f>(94.84)*10.764</f>
        <v>1020.85776</v>
      </c>
      <c r="E381" s="43">
        <v>0</v>
      </c>
      <c r="F381" s="58">
        <f t="shared" si="56"/>
        <v>1531.28664</v>
      </c>
      <c r="G381" s="86"/>
      <c r="H381" s="87"/>
      <c r="J381" s="33"/>
    </row>
    <row r="382" spans="1:14" s="34" customFormat="1" ht="15.75" customHeight="1" x14ac:dyDescent="0.3">
      <c r="A382" s="82">
        <f t="shared" si="57"/>
        <v>8</v>
      </c>
      <c r="B382" s="83"/>
      <c r="C382" s="58" t="s">
        <v>201</v>
      </c>
      <c r="D382" s="58">
        <f>(68.04)*10.764</f>
        <v>732.38256000000001</v>
      </c>
      <c r="E382" s="43">
        <v>0</v>
      </c>
      <c r="F382" s="58">
        <f t="shared" si="56"/>
        <v>1098.57384</v>
      </c>
      <c r="G382" s="88"/>
      <c r="H382" s="89"/>
      <c r="I382" s="33"/>
      <c r="L382" s="90"/>
      <c r="M382" s="90"/>
      <c r="N382" s="33"/>
    </row>
    <row r="383" spans="1:14" s="34" customFormat="1" hidden="1" x14ac:dyDescent="0.3">
      <c r="A383" s="73" t="s">
        <v>199</v>
      </c>
      <c r="B383" s="74"/>
      <c r="C383" s="74"/>
      <c r="D383" s="74"/>
      <c r="E383" s="74"/>
      <c r="F383" s="74"/>
      <c r="G383" s="74"/>
      <c r="H383" s="75"/>
      <c r="I383" s="33"/>
      <c r="L383" s="90"/>
      <c r="M383" s="90"/>
      <c r="N383" s="33"/>
    </row>
    <row r="384" spans="1:14" s="34" customFormat="1" hidden="1" x14ac:dyDescent="0.3">
      <c r="A384" s="82">
        <v>1</v>
      </c>
      <c r="B384" s="83"/>
      <c r="C384" s="58" t="s">
        <v>201</v>
      </c>
      <c r="D384" s="43">
        <f>(69.49)*10.764</f>
        <v>747.9903599999999</v>
      </c>
      <c r="E384" s="43">
        <v>0</v>
      </c>
      <c r="F384" s="58">
        <f t="shared" ref="F384:F389" si="58">D384*(($F$150)+1)+(IF(E384&lt;101,E384,IF(E384&lt;201,E384/2,IF(E384&lt;=301,E384/3,E384/4))))</f>
        <v>1121.9855399999999</v>
      </c>
      <c r="G384" s="84" t="str">
        <f>A383</f>
        <v>2nd to 6th &amp; 8th to 11th Floor for Residential &amp; Parking</v>
      </c>
      <c r="H384" s="85"/>
      <c r="I384" s="33"/>
      <c r="L384" s="90"/>
      <c r="M384" s="90"/>
      <c r="N384" s="33"/>
    </row>
    <row r="385" spans="1:14" s="34" customFormat="1" hidden="1" x14ac:dyDescent="0.3">
      <c r="A385" s="82">
        <f t="shared" ref="A385:A389" si="59">A384+1</f>
        <v>2</v>
      </c>
      <c r="B385" s="83"/>
      <c r="C385" s="58" t="s">
        <v>201</v>
      </c>
      <c r="D385" s="43">
        <f>(68.8)*10.764</f>
        <v>740.56319999999994</v>
      </c>
      <c r="E385" s="43">
        <v>0</v>
      </c>
      <c r="F385" s="58">
        <f t="shared" si="58"/>
        <v>1110.8447999999999</v>
      </c>
      <c r="G385" s="86"/>
      <c r="H385" s="87"/>
      <c r="I385" s="33"/>
      <c r="L385" s="90"/>
      <c r="M385" s="90"/>
      <c r="N385" s="33"/>
    </row>
    <row r="386" spans="1:14" s="34" customFormat="1" hidden="1" x14ac:dyDescent="0.3">
      <c r="A386" s="82">
        <f t="shared" si="59"/>
        <v>3</v>
      </c>
      <c r="B386" s="83"/>
      <c r="C386" s="58" t="s">
        <v>201</v>
      </c>
      <c r="D386" s="43">
        <f>(68.75)*10.764</f>
        <v>740.02499999999998</v>
      </c>
      <c r="E386" s="43">
        <v>0</v>
      </c>
      <c r="F386" s="58">
        <f t="shared" si="58"/>
        <v>1110.0374999999999</v>
      </c>
      <c r="G386" s="86"/>
      <c r="H386" s="87"/>
      <c r="I386" s="33"/>
      <c r="L386" s="90"/>
      <c r="M386" s="90"/>
      <c r="N386" s="33"/>
    </row>
    <row r="387" spans="1:14" s="34" customFormat="1" hidden="1" x14ac:dyDescent="0.3">
      <c r="A387" s="82">
        <f t="shared" si="59"/>
        <v>4</v>
      </c>
      <c r="B387" s="83"/>
      <c r="C387" s="58" t="s">
        <v>201</v>
      </c>
      <c r="D387" s="43">
        <f>(69.5)*10.764</f>
        <v>748.09799999999996</v>
      </c>
      <c r="E387" s="43">
        <v>0</v>
      </c>
      <c r="F387" s="58">
        <f t="shared" si="58"/>
        <v>1122.1469999999999</v>
      </c>
      <c r="G387" s="86"/>
      <c r="H387" s="87"/>
      <c r="I387" s="33"/>
      <c r="L387" s="90"/>
      <c r="M387" s="90"/>
      <c r="N387" s="33"/>
    </row>
    <row r="388" spans="1:14" s="34" customFormat="1" hidden="1" x14ac:dyDescent="0.3">
      <c r="A388" s="82">
        <f t="shared" si="59"/>
        <v>5</v>
      </c>
      <c r="B388" s="83"/>
      <c r="C388" s="58" t="s">
        <v>201</v>
      </c>
      <c r="D388" s="43">
        <f>(67.37)*10.764</f>
        <v>725.17068000000006</v>
      </c>
      <c r="E388" s="43">
        <v>0</v>
      </c>
      <c r="F388" s="58">
        <f t="shared" si="58"/>
        <v>1087.75602</v>
      </c>
      <c r="G388" s="86"/>
      <c r="H388" s="87"/>
      <c r="J388" s="33"/>
    </row>
    <row r="389" spans="1:14" s="34" customFormat="1" ht="15.75" hidden="1" customHeight="1" x14ac:dyDescent="0.3">
      <c r="A389" s="82">
        <f t="shared" si="59"/>
        <v>6</v>
      </c>
      <c r="B389" s="83"/>
      <c r="C389" s="58" t="s">
        <v>201</v>
      </c>
      <c r="D389" s="43">
        <f>(67.19)*10.764</f>
        <v>723.23315999999988</v>
      </c>
      <c r="E389" s="43">
        <v>0</v>
      </c>
      <c r="F389" s="58">
        <f t="shared" si="58"/>
        <v>1084.8497399999999</v>
      </c>
      <c r="G389" s="88"/>
      <c r="H389" s="89"/>
      <c r="I389" s="33"/>
      <c r="L389" s="90"/>
      <c r="M389" s="90"/>
      <c r="N389" s="33"/>
    </row>
    <row r="390" spans="1:14" s="34" customFormat="1" hidden="1" x14ac:dyDescent="0.3">
      <c r="A390" s="73" t="s">
        <v>203</v>
      </c>
      <c r="B390" s="74"/>
      <c r="C390" s="74"/>
      <c r="D390" s="74"/>
      <c r="E390" s="74"/>
      <c r="F390" s="74"/>
      <c r="G390" s="74"/>
      <c r="H390" s="75"/>
      <c r="I390" s="33"/>
      <c r="L390" s="90"/>
      <c r="M390" s="90"/>
      <c r="N390" s="33"/>
    </row>
    <row r="391" spans="1:14" s="34" customFormat="1" hidden="1" x14ac:dyDescent="0.3">
      <c r="A391" s="82">
        <v>1</v>
      </c>
      <c r="B391" s="83"/>
      <c r="C391" s="58" t="s">
        <v>201</v>
      </c>
      <c r="D391" s="43">
        <f>(69.49)*10.764</f>
        <v>747.9903599999999</v>
      </c>
      <c r="E391" s="43">
        <v>0</v>
      </c>
      <c r="F391" s="58">
        <f>D391*(($F$150)+1)+(IF(E391&lt;101,E391,IF(E391&lt;201,E391/2,IF(E391&lt;=301,E391/3,E391/4))))</f>
        <v>1121.9855399999999</v>
      </c>
      <c r="G391" s="84" t="str">
        <f>A390</f>
        <v>7th Floor (Part Refuge Floor)</v>
      </c>
      <c r="H391" s="85"/>
      <c r="I391" s="33"/>
      <c r="L391" s="90"/>
      <c r="M391" s="90"/>
      <c r="N391" s="33"/>
    </row>
    <row r="392" spans="1:14" s="34" customFormat="1" hidden="1" x14ac:dyDescent="0.3">
      <c r="A392" s="82">
        <f t="shared" ref="A392:A396" si="60">A391+1</f>
        <v>2</v>
      </c>
      <c r="B392" s="83"/>
      <c r="C392" s="58" t="s">
        <v>201</v>
      </c>
      <c r="D392" s="43">
        <f>(68.8)*10.764</f>
        <v>740.56319999999994</v>
      </c>
      <c r="E392" s="43">
        <v>0</v>
      </c>
      <c r="F392" s="58">
        <f>D392*(($F$150)+1)+(IF(E392&lt;101,E392,IF(E392&lt;201,E392/2,IF(E392&lt;=301,E392/3,E392/4))))</f>
        <v>1110.8447999999999</v>
      </c>
      <c r="G392" s="86"/>
      <c r="H392" s="87"/>
      <c r="I392" s="33"/>
      <c r="L392" s="90"/>
      <c r="M392" s="90"/>
      <c r="N392" s="33"/>
    </row>
    <row r="393" spans="1:14" s="34" customFormat="1" hidden="1" x14ac:dyDescent="0.3">
      <c r="A393" s="82">
        <f t="shared" si="60"/>
        <v>3</v>
      </c>
      <c r="B393" s="83"/>
      <c r="C393" s="58" t="s">
        <v>201</v>
      </c>
      <c r="D393" s="43">
        <f>(68.75)*10.764</f>
        <v>740.02499999999998</v>
      </c>
      <c r="E393" s="43">
        <v>0</v>
      </c>
      <c r="F393" s="58">
        <f>D393*(($F$150)+1)+(IF(E393&lt;101,E393,IF(E393&lt;201,E393/2,IF(E393&lt;=301,E393/3,E393/4))))</f>
        <v>1110.0374999999999</v>
      </c>
      <c r="G393" s="86"/>
      <c r="H393" s="87"/>
      <c r="I393" s="33"/>
      <c r="L393" s="90"/>
      <c r="M393" s="90"/>
      <c r="N393" s="33"/>
    </row>
    <row r="394" spans="1:14" s="34" customFormat="1" hidden="1" x14ac:dyDescent="0.3">
      <c r="A394" s="82">
        <f t="shared" si="60"/>
        <v>4</v>
      </c>
      <c r="B394" s="83"/>
      <c r="C394" s="58" t="s">
        <v>201</v>
      </c>
      <c r="D394" s="43">
        <f>(69.5)*10.764</f>
        <v>748.09799999999996</v>
      </c>
      <c r="E394" s="43">
        <v>0</v>
      </c>
      <c r="F394" s="58">
        <f>D394*(($F$150)+1)+(IF(E394&lt;101,E394,IF(E394&lt;201,E394/2,IF(E394&lt;=301,E394/3,E394/4))))</f>
        <v>1122.1469999999999</v>
      </c>
      <c r="G394" s="86"/>
      <c r="H394" s="87"/>
      <c r="I394" s="33"/>
      <c r="L394" s="90"/>
      <c r="M394" s="90"/>
      <c r="N394" s="33"/>
    </row>
    <row r="395" spans="1:14" s="32" customFormat="1" hidden="1" x14ac:dyDescent="0.3">
      <c r="A395" s="82">
        <f t="shared" si="60"/>
        <v>5</v>
      </c>
      <c r="B395" s="83"/>
      <c r="C395" s="84" t="s">
        <v>204</v>
      </c>
      <c r="D395" s="91"/>
      <c r="E395" s="91"/>
      <c r="F395" s="85"/>
      <c r="G395" s="86"/>
      <c r="H395" s="87"/>
    </row>
    <row r="396" spans="1:14" s="42" customFormat="1" hidden="1" x14ac:dyDescent="0.3">
      <c r="A396" s="82">
        <f t="shared" si="60"/>
        <v>6</v>
      </c>
      <c r="B396" s="83"/>
      <c r="C396" s="88"/>
      <c r="D396" s="92"/>
      <c r="E396" s="92"/>
      <c r="F396" s="89"/>
      <c r="G396" s="88"/>
      <c r="H396" s="89"/>
    </row>
    <row r="397" spans="1:14" s="32" customFormat="1" hidden="1" x14ac:dyDescent="0.3">
      <c r="A397" s="73" t="s">
        <v>205</v>
      </c>
      <c r="B397" s="74"/>
      <c r="C397" s="74"/>
      <c r="D397" s="74"/>
      <c r="E397" s="74"/>
      <c r="F397" s="74"/>
      <c r="G397" s="74"/>
      <c r="H397" s="75"/>
    </row>
    <row r="398" spans="1:14" s="32" customFormat="1" hidden="1" x14ac:dyDescent="0.3">
      <c r="A398" s="82">
        <v>1</v>
      </c>
      <c r="B398" s="83"/>
      <c r="C398" s="58" t="s">
        <v>201</v>
      </c>
      <c r="D398" s="43">
        <f>(69.49)*10.764</f>
        <v>747.9903599999999</v>
      </c>
      <c r="E398" s="43">
        <v>0</v>
      </c>
      <c r="F398" s="58">
        <f>D398*(($F$150)+1)+(IF(E398&lt;101,E398,IF(E398&lt;201,E398/2,IF(E398&lt;=301,E398/3,E398/4))))</f>
        <v>1121.9855399999999</v>
      </c>
      <c r="G398" s="84" t="str">
        <f>A397</f>
        <v>12th Floor for Fitness Center &amp; Residential</v>
      </c>
      <c r="H398" s="85"/>
    </row>
    <row r="399" spans="1:14" s="32" customFormat="1" hidden="1" x14ac:dyDescent="0.3">
      <c r="A399" s="82">
        <f t="shared" ref="A399:A403" si="61">A398+1</f>
        <v>2</v>
      </c>
      <c r="B399" s="83"/>
      <c r="C399" s="58" t="s">
        <v>201</v>
      </c>
      <c r="D399" s="43">
        <f>(68.8)*10.764</f>
        <v>740.56319999999994</v>
      </c>
      <c r="E399" s="43">
        <v>0</v>
      </c>
      <c r="F399" s="58">
        <f>D399*(($F$150)+1)+(IF(E399&lt;101,E399,IF(E399&lt;201,E399/2,IF(E399&lt;=301,E399/3,E399/4))))</f>
        <v>1110.8447999999999</v>
      </c>
      <c r="G399" s="86"/>
      <c r="H399" s="87"/>
    </row>
    <row r="400" spans="1:14" s="32" customFormat="1" hidden="1" x14ac:dyDescent="0.3">
      <c r="A400" s="82">
        <f t="shared" si="61"/>
        <v>3</v>
      </c>
      <c r="B400" s="83"/>
      <c r="C400" s="58" t="s">
        <v>201</v>
      </c>
      <c r="D400" s="43">
        <f>(68.75)*10.764</f>
        <v>740.02499999999998</v>
      </c>
      <c r="E400" s="43">
        <v>0</v>
      </c>
      <c r="F400" s="58">
        <f>D400*(($F$150)+1)+(IF(E400&lt;101,E400,IF(E400&lt;201,E400/2,IF(E400&lt;=301,E400/3,E400/4))))</f>
        <v>1110.0374999999999</v>
      </c>
      <c r="G400" s="86"/>
      <c r="H400" s="87"/>
    </row>
    <row r="401" spans="1:14" s="32" customFormat="1" hidden="1" x14ac:dyDescent="0.3">
      <c r="A401" s="82">
        <f t="shared" si="61"/>
        <v>4</v>
      </c>
      <c r="B401" s="83"/>
      <c r="C401" s="58" t="s">
        <v>201</v>
      </c>
      <c r="D401" s="43">
        <f>(69.5)*10.764</f>
        <v>748.09799999999996</v>
      </c>
      <c r="E401" s="43">
        <v>0</v>
      </c>
      <c r="F401" s="58">
        <f>D401*(($F$150)+1)+(IF(E401&lt;101,E401,IF(E401&lt;201,E401/2,IF(E401&lt;=301,E401/3,E401/4))))</f>
        <v>1122.1469999999999</v>
      </c>
      <c r="G401" s="86"/>
      <c r="H401" s="87"/>
    </row>
    <row r="402" spans="1:14" s="32" customFormat="1" hidden="1" x14ac:dyDescent="0.3">
      <c r="A402" s="82">
        <f t="shared" si="61"/>
        <v>5</v>
      </c>
      <c r="B402" s="83"/>
      <c r="C402" s="84" t="s">
        <v>206</v>
      </c>
      <c r="D402" s="91"/>
      <c r="E402" s="91"/>
      <c r="F402" s="85"/>
      <c r="G402" s="86"/>
      <c r="H402" s="87"/>
    </row>
    <row r="403" spans="1:14" s="32" customFormat="1" ht="34.5" hidden="1" customHeight="1" x14ac:dyDescent="0.3">
      <c r="A403" s="82">
        <f t="shared" si="61"/>
        <v>6</v>
      </c>
      <c r="B403" s="83"/>
      <c r="C403" s="88"/>
      <c r="D403" s="92"/>
      <c r="E403" s="92"/>
      <c r="F403" s="89"/>
      <c r="G403" s="88"/>
      <c r="H403" s="89"/>
    </row>
    <row r="404" spans="1:14" s="34" customFormat="1" x14ac:dyDescent="0.3">
      <c r="A404" s="73" t="s">
        <v>254</v>
      </c>
      <c r="B404" s="74"/>
      <c r="C404" s="74"/>
      <c r="D404" s="74"/>
      <c r="E404" s="74"/>
      <c r="F404" s="74"/>
      <c r="G404" s="74"/>
      <c r="H404" s="75"/>
      <c r="I404" s="34">
        <v>1</v>
      </c>
      <c r="J404" s="33"/>
    </row>
    <row r="405" spans="1:14" s="34" customFormat="1" ht="15.75" customHeight="1" x14ac:dyDescent="0.3">
      <c r="A405" s="82">
        <v>1</v>
      </c>
      <c r="B405" s="83"/>
      <c r="C405" s="58" t="s">
        <v>201</v>
      </c>
      <c r="D405" s="43">
        <f>(69.32)*10.764</f>
        <v>746.16047999999989</v>
      </c>
      <c r="E405" s="43">
        <v>0</v>
      </c>
      <c r="F405" s="58">
        <f t="shared" ref="F405:F412" si="62">D405*(($F$150)+1)+(IF(E405&lt;101,E405,IF(E405&lt;201,E405/2,IF(E405&lt;=301,E405/3,E405/4))))</f>
        <v>1119.2407199999998</v>
      </c>
      <c r="G405" s="84" t="str">
        <f>A404</f>
        <v>21st Floor (Part Refuge Area)</v>
      </c>
      <c r="H405" s="85"/>
      <c r="I405" s="33"/>
      <c r="J405" s="33"/>
      <c r="L405" s="90"/>
      <c r="M405" s="90"/>
      <c r="N405" s="33"/>
    </row>
    <row r="406" spans="1:14" s="34" customFormat="1" x14ac:dyDescent="0.3">
      <c r="A406" s="82">
        <f t="shared" ref="A406:A412" si="63">A405+1</f>
        <v>2</v>
      </c>
      <c r="B406" s="83"/>
      <c r="C406" s="58" t="s">
        <v>201</v>
      </c>
      <c r="D406" s="43">
        <f>(68.64)*10.764</f>
        <v>738.84096</v>
      </c>
      <c r="E406" s="43">
        <v>0</v>
      </c>
      <c r="F406" s="58">
        <f t="shared" si="62"/>
        <v>1108.26144</v>
      </c>
      <c r="G406" s="86"/>
      <c r="H406" s="87"/>
      <c r="I406" s="33"/>
      <c r="L406" s="90"/>
      <c r="M406" s="90"/>
      <c r="N406" s="33"/>
    </row>
    <row r="407" spans="1:14" s="34" customFormat="1" x14ac:dyDescent="0.3">
      <c r="A407" s="82">
        <f t="shared" si="63"/>
        <v>3</v>
      </c>
      <c r="B407" s="83"/>
      <c r="C407" s="58" t="s">
        <v>201</v>
      </c>
      <c r="D407" s="43">
        <f>(68.67)*10.764</f>
        <v>739.16387999999995</v>
      </c>
      <c r="E407" s="43">
        <v>0</v>
      </c>
      <c r="F407" s="58">
        <f t="shared" si="62"/>
        <v>1108.7458199999999</v>
      </c>
      <c r="G407" s="86"/>
      <c r="H407" s="87"/>
      <c r="I407" s="33"/>
      <c r="L407" s="90"/>
      <c r="M407" s="90"/>
      <c r="N407" s="33"/>
    </row>
    <row r="408" spans="1:14" s="34" customFormat="1" x14ac:dyDescent="0.3">
      <c r="A408" s="82">
        <f t="shared" si="63"/>
        <v>4</v>
      </c>
      <c r="B408" s="83"/>
      <c r="C408" s="58" t="s">
        <v>201</v>
      </c>
      <c r="D408" s="43">
        <f>(69.36)*10.764</f>
        <v>746.59103999999991</v>
      </c>
      <c r="E408" s="43">
        <v>0</v>
      </c>
      <c r="F408" s="58">
        <f t="shared" si="62"/>
        <v>1119.8865599999999</v>
      </c>
      <c r="G408" s="86"/>
      <c r="H408" s="87"/>
      <c r="I408" s="33"/>
      <c r="L408" s="90"/>
      <c r="M408" s="90"/>
      <c r="N408" s="33"/>
    </row>
    <row r="409" spans="1:14" s="34" customFormat="1" x14ac:dyDescent="0.3">
      <c r="A409" s="82">
        <f t="shared" si="63"/>
        <v>5</v>
      </c>
      <c r="B409" s="83"/>
      <c r="C409" s="84" t="s">
        <v>204</v>
      </c>
      <c r="D409" s="91"/>
      <c r="E409" s="91"/>
      <c r="F409" s="85"/>
      <c r="G409" s="86"/>
      <c r="H409" s="87"/>
      <c r="I409" s="33"/>
      <c r="J409" s="33"/>
      <c r="L409" s="90"/>
      <c r="M409" s="90"/>
      <c r="N409" s="33"/>
    </row>
    <row r="410" spans="1:14" s="34" customFormat="1" x14ac:dyDescent="0.3">
      <c r="A410" s="82">
        <f t="shared" si="63"/>
        <v>6</v>
      </c>
      <c r="B410" s="83"/>
      <c r="C410" s="88"/>
      <c r="D410" s="92"/>
      <c r="E410" s="92"/>
      <c r="F410" s="89"/>
      <c r="G410" s="86"/>
      <c r="H410" s="87"/>
      <c r="I410" s="33"/>
      <c r="L410" s="90"/>
      <c r="M410" s="90"/>
      <c r="N410" s="33"/>
    </row>
    <row r="411" spans="1:14" s="34" customFormat="1" x14ac:dyDescent="0.3">
      <c r="A411" s="82">
        <f t="shared" si="63"/>
        <v>7</v>
      </c>
      <c r="B411" s="83"/>
      <c r="C411" s="58" t="s">
        <v>200</v>
      </c>
      <c r="D411" s="58">
        <f>(94.84)*10.764</f>
        <v>1020.85776</v>
      </c>
      <c r="E411" s="43">
        <v>0</v>
      </c>
      <c r="F411" s="58">
        <f t="shared" si="62"/>
        <v>1531.28664</v>
      </c>
      <c r="G411" s="86"/>
      <c r="H411" s="87"/>
      <c r="J411" s="33"/>
    </row>
    <row r="412" spans="1:14" s="34" customFormat="1" ht="15.75" customHeight="1" x14ac:dyDescent="0.3">
      <c r="A412" s="82">
        <f t="shared" si="63"/>
        <v>8</v>
      </c>
      <c r="B412" s="83"/>
      <c r="C412" s="58" t="s">
        <v>201</v>
      </c>
      <c r="D412" s="58">
        <f>(68.04)*10.764</f>
        <v>732.38256000000001</v>
      </c>
      <c r="E412" s="43">
        <v>0</v>
      </c>
      <c r="F412" s="58">
        <f t="shared" si="62"/>
        <v>1098.57384</v>
      </c>
      <c r="G412" s="88"/>
      <c r="H412" s="89"/>
      <c r="I412" s="33"/>
      <c r="L412" s="90"/>
      <c r="M412" s="90"/>
      <c r="N412" s="33"/>
    </row>
    <row r="413" spans="1:14" s="34" customFormat="1" x14ac:dyDescent="0.3">
      <c r="A413" s="73" t="s">
        <v>247</v>
      </c>
      <c r="B413" s="74"/>
      <c r="C413" s="74"/>
      <c r="D413" s="74"/>
      <c r="E413" s="74"/>
      <c r="F413" s="74"/>
      <c r="G413" s="74"/>
      <c r="H413" s="75"/>
      <c r="I413" s="34">
        <v>1</v>
      </c>
      <c r="J413" s="33"/>
    </row>
    <row r="414" spans="1:14" s="34" customFormat="1" ht="15.75" customHeight="1" x14ac:dyDescent="0.3">
      <c r="A414" s="82">
        <v>1</v>
      </c>
      <c r="B414" s="83"/>
      <c r="C414" s="58" t="s">
        <v>201</v>
      </c>
      <c r="D414" s="43">
        <f>(69.32)*10.764</f>
        <v>746.16047999999989</v>
      </c>
      <c r="E414" s="43">
        <v>0</v>
      </c>
      <c r="F414" s="58">
        <f t="shared" ref="F414:F421" si="64">D414*(($F$150)+1)+(IF(E414&lt;101,E414,IF(E414&lt;201,E414/2,IF(E414&lt;=301,E414/3,E414/4))))</f>
        <v>1119.2407199999998</v>
      </c>
      <c r="G414" s="84" t="str">
        <f>A413</f>
        <v>22nd Floor</v>
      </c>
      <c r="H414" s="85"/>
      <c r="I414" s="33"/>
      <c r="J414" s="33"/>
      <c r="L414" s="90"/>
      <c r="M414" s="90"/>
      <c r="N414" s="33"/>
    </row>
    <row r="415" spans="1:14" s="34" customFormat="1" x14ac:dyDescent="0.3">
      <c r="A415" s="82">
        <f t="shared" ref="A415:A421" si="65">A414+1</f>
        <v>2</v>
      </c>
      <c r="B415" s="83"/>
      <c r="C415" s="58" t="s">
        <v>201</v>
      </c>
      <c r="D415" s="43">
        <f>(68.64)*10.764</f>
        <v>738.84096</v>
      </c>
      <c r="E415" s="43">
        <v>0</v>
      </c>
      <c r="F415" s="58">
        <f t="shared" si="64"/>
        <v>1108.26144</v>
      </c>
      <c r="G415" s="86"/>
      <c r="H415" s="87"/>
      <c r="I415" s="33"/>
      <c r="L415" s="90"/>
      <c r="M415" s="90"/>
      <c r="N415" s="33"/>
    </row>
    <row r="416" spans="1:14" s="34" customFormat="1" x14ac:dyDescent="0.3">
      <c r="A416" s="82">
        <f t="shared" si="65"/>
        <v>3</v>
      </c>
      <c r="B416" s="83"/>
      <c r="C416" s="58" t="s">
        <v>201</v>
      </c>
      <c r="D416" s="43">
        <f>(68.67)*10.764</f>
        <v>739.16387999999995</v>
      </c>
      <c r="E416" s="43">
        <v>0</v>
      </c>
      <c r="F416" s="58">
        <f t="shared" si="64"/>
        <v>1108.7458199999999</v>
      </c>
      <c r="G416" s="86"/>
      <c r="H416" s="87"/>
      <c r="I416" s="33"/>
      <c r="L416" s="90"/>
      <c r="M416" s="90"/>
      <c r="N416" s="33"/>
    </row>
    <row r="417" spans="1:14" s="34" customFormat="1" x14ac:dyDescent="0.3">
      <c r="A417" s="82">
        <f t="shared" si="65"/>
        <v>4</v>
      </c>
      <c r="B417" s="83"/>
      <c r="C417" s="58" t="s">
        <v>201</v>
      </c>
      <c r="D417" s="43">
        <f>(69.36)*10.764</f>
        <v>746.59103999999991</v>
      </c>
      <c r="E417" s="43">
        <v>0</v>
      </c>
      <c r="F417" s="58">
        <f t="shared" si="64"/>
        <v>1119.8865599999999</v>
      </c>
      <c r="G417" s="86"/>
      <c r="H417" s="87"/>
      <c r="I417" s="33"/>
      <c r="L417" s="90"/>
      <c r="M417" s="90"/>
      <c r="N417" s="33"/>
    </row>
    <row r="418" spans="1:14" s="34" customFormat="1" x14ac:dyDescent="0.3">
      <c r="A418" s="82">
        <f t="shared" si="65"/>
        <v>5</v>
      </c>
      <c r="B418" s="83"/>
      <c r="C418" s="58" t="s">
        <v>201</v>
      </c>
      <c r="D418" s="43">
        <f>(67.26)*10.764</f>
        <v>723.98663999999997</v>
      </c>
      <c r="E418" s="43">
        <v>0</v>
      </c>
      <c r="F418" s="58">
        <f t="shared" si="64"/>
        <v>1085.9799599999999</v>
      </c>
      <c r="G418" s="86"/>
      <c r="H418" s="87"/>
      <c r="I418" s="33"/>
      <c r="J418" s="33"/>
      <c r="L418" s="90"/>
      <c r="M418" s="90"/>
      <c r="N418" s="33"/>
    </row>
    <row r="419" spans="1:14" s="34" customFormat="1" x14ac:dyDescent="0.3">
      <c r="A419" s="82">
        <f t="shared" si="65"/>
        <v>6</v>
      </c>
      <c r="B419" s="83"/>
      <c r="C419" s="58" t="s">
        <v>201</v>
      </c>
      <c r="D419" s="43">
        <f>(66.75)*10.764</f>
        <v>718.49699999999996</v>
      </c>
      <c r="E419" s="43">
        <v>0</v>
      </c>
      <c r="F419" s="58">
        <f t="shared" si="64"/>
        <v>1077.7455</v>
      </c>
      <c r="G419" s="86"/>
      <c r="H419" s="87"/>
      <c r="I419" s="33"/>
      <c r="L419" s="90"/>
      <c r="M419" s="90"/>
      <c r="N419" s="33"/>
    </row>
    <row r="420" spans="1:14" s="34" customFormat="1" x14ac:dyDescent="0.3">
      <c r="A420" s="82">
        <f t="shared" si="65"/>
        <v>7</v>
      </c>
      <c r="B420" s="83"/>
      <c r="C420" s="58" t="s">
        <v>200</v>
      </c>
      <c r="D420" s="58">
        <f>(94.84)*10.764</f>
        <v>1020.85776</v>
      </c>
      <c r="E420" s="43">
        <v>0</v>
      </c>
      <c r="F420" s="58">
        <f t="shared" si="64"/>
        <v>1531.28664</v>
      </c>
      <c r="G420" s="86"/>
      <c r="H420" s="87"/>
      <c r="J420" s="33"/>
    </row>
    <row r="421" spans="1:14" s="34" customFormat="1" ht="15.75" customHeight="1" x14ac:dyDescent="0.3">
      <c r="A421" s="82">
        <f t="shared" si="65"/>
        <v>8</v>
      </c>
      <c r="B421" s="83"/>
      <c r="C421" s="58" t="s">
        <v>201</v>
      </c>
      <c r="D421" s="58">
        <f>(68.04)*10.764</f>
        <v>732.38256000000001</v>
      </c>
      <c r="E421" s="43">
        <v>0</v>
      </c>
      <c r="F421" s="58">
        <f t="shared" si="64"/>
        <v>1098.57384</v>
      </c>
      <c r="G421" s="88"/>
      <c r="H421" s="89"/>
      <c r="I421" s="33"/>
      <c r="L421" s="90"/>
      <c r="M421" s="90"/>
      <c r="N421" s="33"/>
    </row>
    <row r="422" spans="1:14" s="34" customFormat="1" x14ac:dyDescent="0.3">
      <c r="A422" s="73" t="s">
        <v>255</v>
      </c>
      <c r="B422" s="74"/>
      <c r="C422" s="74"/>
      <c r="D422" s="74"/>
      <c r="E422" s="74"/>
      <c r="F422" s="74"/>
      <c r="G422" s="74"/>
      <c r="H422" s="75"/>
      <c r="I422" s="34">
        <v>2</v>
      </c>
      <c r="J422" s="33"/>
    </row>
    <row r="423" spans="1:14" s="34" customFormat="1" ht="15.75" customHeight="1" x14ac:dyDescent="0.3">
      <c r="A423" s="82">
        <v>1</v>
      </c>
      <c r="B423" s="83"/>
      <c r="C423" s="58" t="s">
        <v>201</v>
      </c>
      <c r="D423" s="43">
        <f>(69.32)*10.764</f>
        <v>746.16047999999989</v>
      </c>
      <c r="E423" s="43">
        <v>0</v>
      </c>
      <c r="F423" s="58">
        <f t="shared" ref="F423:F430" si="66">D423*(($F$150)+1)+(IF(E423&lt;101,E423,IF(E423&lt;201,E423/2,IF(E423&lt;=301,E423/3,E423/4))))</f>
        <v>1119.2407199999998</v>
      </c>
      <c r="G423" s="84" t="str">
        <f>A422</f>
        <v>23rd &amp; 24th Floor</v>
      </c>
      <c r="H423" s="85"/>
      <c r="I423" s="33"/>
      <c r="J423" s="33"/>
      <c r="L423" s="90"/>
      <c r="M423" s="90"/>
      <c r="N423" s="33"/>
    </row>
    <row r="424" spans="1:14" s="34" customFormat="1" x14ac:dyDescent="0.3">
      <c r="A424" s="82">
        <f t="shared" ref="A424:A430" si="67">A423+1</f>
        <v>2</v>
      </c>
      <c r="B424" s="83"/>
      <c r="C424" s="58" t="s">
        <v>201</v>
      </c>
      <c r="D424" s="43">
        <f>(68.64)*10.764</f>
        <v>738.84096</v>
      </c>
      <c r="E424" s="43">
        <v>0</v>
      </c>
      <c r="F424" s="58">
        <f t="shared" si="66"/>
        <v>1108.26144</v>
      </c>
      <c r="G424" s="86"/>
      <c r="H424" s="87"/>
      <c r="I424" s="33"/>
      <c r="L424" s="90"/>
      <c r="M424" s="90"/>
      <c r="N424" s="33"/>
    </row>
    <row r="425" spans="1:14" s="34" customFormat="1" x14ac:dyDescent="0.3">
      <c r="A425" s="82">
        <f t="shared" si="67"/>
        <v>3</v>
      </c>
      <c r="B425" s="83"/>
      <c r="C425" s="58" t="s">
        <v>201</v>
      </c>
      <c r="D425" s="43">
        <f>(68.67)*10.764</f>
        <v>739.16387999999995</v>
      </c>
      <c r="E425" s="43">
        <v>0</v>
      </c>
      <c r="F425" s="58">
        <f t="shared" si="66"/>
        <v>1108.7458199999999</v>
      </c>
      <c r="G425" s="86"/>
      <c r="H425" s="87"/>
      <c r="I425" s="33"/>
      <c r="L425" s="90"/>
      <c r="M425" s="90"/>
      <c r="N425" s="33"/>
    </row>
    <row r="426" spans="1:14" s="34" customFormat="1" x14ac:dyDescent="0.3">
      <c r="A426" s="82">
        <f t="shared" si="67"/>
        <v>4</v>
      </c>
      <c r="B426" s="83"/>
      <c r="C426" s="58" t="s">
        <v>201</v>
      </c>
      <c r="D426" s="43">
        <f>(69.36)*10.764</f>
        <v>746.59103999999991</v>
      </c>
      <c r="E426" s="43">
        <v>0</v>
      </c>
      <c r="F426" s="58">
        <f t="shared" si="66"/>
        <v>1119.8865599999999</v>
      </c>
      <c r="G426" s="86"/>
      <c r="H426" s="87"/>
      <c r="I426" s="33"/>
      <c r="L426" s="90"/>
      <c r="M426" s="90"/>
      <c r="N426" s="33"/>
    </row>
    <row r="427" spans="1:14" s="34" customFormat="1" x14ac:dyDescent="0.3">
      <c r="A427" s="82">
        <f t="shared" si="67"/>
        <v>5</v>
      </c>
      <c r="B427" s="83"/>
      <c r="C427" s="58" t="s">
        <v>201</v>
      </c>
      <c r="D427" s="43">
        <f>(67.26)*10.764</f>
        <v>723.98663999999997</v>
      </c>
      <c r="E427" s="43">
        <v>0</v>
      </c>
      <c r="F427" s="58">
        <f t="shared" si="66"/>
        <v>1085.9799599999999</v>
      </c>
      <c r="G427" s="86"/>
      <c r="H427" s="87"/>
      <c r="I427" s="33"/>
      <c r="J427" s="33"/>
      <c r="L427" s="90"/>
      <c r="M427" s="90"/>
      <c r="N427" s="33"/>
    </row>
    <row r="428" spans="1:14" s="34" customFormat="1" x14ac:dyDescent="0.3">
      <c r="A428" s="82">
        <f t="shared" si="67"/>
        <v>6</v>
      </c>
      <c r="B428" s="83"/>
      <c r="C428" s="58" t="s">
        <v>201</v>
      </c>
      <c r="D428" s="43">
        <f>(66.75)*10.764</f>
        <v>718.49699999999996</v>
      </c>
      <c r="E428" s="43">
        <v>0</v>
      </c>
      <c r="F428" s="58">
        <f t="shared" si="66"/>
        <v>1077.7455</v>
      </c>
      <c r="G428" s="86"/>
      <c r="H428" s="87"/>
      <c r="I428" s="33"/>
      <c r="L428" s="90"/>
      <c r="M428" s="90"/>
      <c r="N428" s="33"/>
    </row>
    <row r="429" spans="1:14" s="34" customFormat="1" x14ac:dyDescent="0.3">
      <c r="A429" s="82">
        <f t="shared" si="67"/>
        <v>7</v>
      </c>
      <c r="B429" s="83"/>
      <c r="C429" s="58" t="s">
        <v>200</v>
      </c>
      <c r="D429" s="58">
        <f>(94.84)*10.764</f>
        <v>1020.85776</v>
      </c>
      <c r="E429" s="43">
        <v>0</v>
      </c>
      <c r="F429" s="58">
        <f t="shared" si="66"/>
        <v>1531.28664</v>
      </c>
      <c r="G429" s="86"/>
      <c r="H429" s="87"/>
      <c r="J429" s="33"/>
    </row>
    <row r="430" spans="1:14" s="34" customFormat="1" ht="15.75" customHeight="1" x14ac:dyDescent="0.3">
      <c r="A430" s="82">
        <f t="shared" si="67"/>
        <v>8</v>
      </c>
      <c r="B430" s="83"/>
      <c r="C430" s="58" t="s">
        <v>201</v>
      </c>
      <c r="D430" s="58">
        <f>(68.04)*10.764</f>
        <v>732.38256000000001</v>
      </c>
      <c r="E430" s="43">
        <v>0</v>
      </c>
      <c r="F430" s="58">
        <f t="shared" si="66"/>
        <v>1098.57384</v>
      </c>
      <c r="G430" s="88"/>
      <c r="H430" s="89"/>
      <c r="I430" s="33"/>
      <c r="L430" s="90"/>
      <c r="M430" s="90"/>
      <c r="N430" s="33"/>
    </row>
    <row r="431" spans="1:14" s="34" customFormat="1" x14ac:dyDescent="0.3">
      <c r="A431" s="73" t="s">
        <v>256</v>
      </c>
      <c r="B431" s="74"/>
      <c r="C431" s="74"/>
      <c r="D431" s="74"/>
      <c r="E431" s="74"/>
      <c r="F431" s="74"/>
      <c r="G431" s="74"/>
      <c r="H431" s="75"/>
      <c r="I431" s="34">
        <f>3+3</f>
        <v>6</v>
      </c>
      <c r="J431" s="33"/>
    </row>
    <row r="432" spans="1:14" s="34" customFormat="1" ht="15.75" customHeight="1" x14ac:dyDescent="0.3">
      <c r="A432" s="82">
        <v>1</v>
      </c>
      <c r="B432" s="83"/>
      <c r="C432" s="58" t="s">
        <v>201</v>
      </c>
      <c r="D432" s="43">
        <f>(69.32)*10.764</f>
        <v>746.16047999999989</v>
      </c>
      <c r="E432" s="43">
        <v>0</v>
      </c>
      <c r="F432" s="58">
        <f t="shared" ref="F432:F439" si="68">D432*(($F$150)+1)+(IF(E432&lt;101,E432,IF(E432&lt;201,E432/2,IF(E432&lt;=301,E432/3,E432/4))))</f>
        <v>1119.2407199999998</v>
      </c>
      <c r="G432" s="84" t="str">
        <f>A431</f>
        <v>25th to 27th, 29th to 31st Floor</v>
      </c>
      <c r="H432" s="85"/>
      <c r="I432" s="33"/>
      <c r="J432" s="33"/>
      <c r="L432" s="90"/>
      <c r="M432" s="90"/>
      <c r="N432" s="33"/>
    </row>
    <row r="433" spans="1:14" s="34" customFormat="1" x14ac:dyDescent="0.3">
      <c r="A433" s="82">
        <f t="shared" ref="A433:A439" si="69">A432+1</f>
        <v>2</v>
      </c>
      <c r="B433" s="83"/>
      <c r="C433" s="58" t="s">
        <v>201</v>
      </c>
      <c r="D433" s="43">
        <f>(68.64)*10.764</f>
        <v>738.84096</v>
      </c>
      <c r="E433" s="43">
        <v>0</v>
      </c>
      <c r="F433" s="58">
        <f t="shared" si="68"/>
        <v>1108.26144</v>
      </c>
      <c r="G433" s="86"/>
      <c r="H433" s="87"/>
      <c r="I433" s="33"/>
      <c r="L433" s="90"/>
      <c r="M433" s="90"/>
      <c r="N433" s="33"/>
    </row>
    <row r="434" spans="1:14" s="34" customFormat="1" x14ac:dyDescent="0.3">
      <c r="A434" s="82">
        <f t="shared" si="69"/>
        <v>3</v>
      </c>
      <c r="B434" s="83"/>
      <c r="C434" s="58" t="s">
        <v>201</v>
      </c>
      <c r="D434" s="43">
        <f>(68.67)*10.764</f>
        <v>739.16387999999995</v>
      </c>
      <c r="E434" s="43">
        <v>0</v>
      </c>
      <c r="F434" s="58">
        <f t="shared" si="68"/>
        <v>1108.7458199999999</v>
      </c>
      <c r="G434" s="86"/>
      <c r="H434" s="87"/>
      <c r="I434" s="33"/>
      <c r="L434" s="90"/>
      <c r="M434" s="90"/>
      <c r="N434" s="33"/>
    </row>
    <row r="435" spans="1:14" s="34" customFormat="1" x14ac:dyDescent="0.3">
      <c r="A435" s="82">
        <f t="shared" si="69"/>
        <v>4</v>
      </c>
      <c r="B435" s="83"/>
      <c r="C435" s="58" t="s">
        <v>201</v>
      </c>
      <c r="D435" s="43">
        <f>(69.36)*10.764</f>
        <v>746.59103999999991</v>
      </c>
      <c r="E435" s="43">
        <v>0</v>
      </c>
      <c r="F435" s="58">
        <f t="shared" si="68"/>
        <v>1119.8865599999999</v>
      </c>
      <c r="G435" s="86"/>
      <c r="H435" s="87"/>
      <c r="I435" s="33"/>
      <c r="L435" s="90"/>
      <c r="M435" s="90"/>
      <c r="N435" s="33"/>
    </row>
    <row r="436" spans="1:14" s="34" customFormat="1" x14ac:dyDescent="0.3">
      <c r="A436" s="82">
        <f t="shared" si="69"/>
        <v>5</v>
      </c>
      <c r="B436" s="83"/>
      <c r="C436" s="58" t="s">
        <v>201</v>
      </c>
      <c r="D436" s="43">
        <f>(67.26)*10.764</f>
        <v>723.98663999999997</v>
      </c>
      <c r="E436" s="43">
        <v>0</v>
      </c>
      <c r="F436" s="58">
        <f t="shared" si="68"/>
        <v>1085.9799599999999</v>
      </c>
      <c r="G436" s="86"/>
      <c r="H436" s="87"/>
      <c r="I436" s="33"/>
      <c r="J436" s="33"/>
      <c r="L436" s="90"/>
      <c r="M436" s="90"/>
      <c r="N436" s="33"/>
    </row>
    <row r="437" spans="1:14" s="34" customFormat="1" x14ac:dyDescent="0.3">
      <c r="A437" s="82">
        <f t="shared" si="69"/>
        <v>6</v>
      </c>
      <c r="B437" s="83"/>
      <c r="C437" s="58" t="s">
        <v>201</v>
      </c>
      <c r="D437" s="43">
        <f>(66.75)*10.764</f>
        <v>718.49699999999996</v>
      </c>
      <c r="E437" s="43">
        <v>0</v>
      </c>
      <c r="F437" s="58">
        <f t="shared" si="68"/>
        <v>1077.7455</v>
      </c>
      <c r="G437" s="86"/>
      <c r="H437" s="87"/>
      <c r="I437" s="33"/>
      <c r="L437" s="90"/>
      <c r="M437" s="90"/>
      <c r="N437" s="33"/>
    </row>
    <row r="438" spans="1:14" s="34" customFormat="1" x14ac:dyDescent="0.3">
      <c r="A438" s="82">
        <f t="shared" si="69"/>
        <v>7</v>
      </c>
      <c r="B438" s="83"/>
      <c r="C438" s="58" t="s">
        <v>200</v>
      </c>
      <c r="D438" s="58">
        <f>(94.84)*10.764</f>
        <v>1020.85776</v>
      </c>
      <c r="E438" s="43">
        <v>0</v>
      </c>
      <c r="F438" s="58">
        <f t="shared" si="68"/>
        <v>1531.28664</v>
      </c>
      <c r="G438" s="86"/>
      <c r="H438" s="87"/>
      <c r="J438" s="33"/>
    </row>
    <row r="439" spans="1:14" s="34" customFormat="1" ht="15.75" customHeight="1" x14ac:dyDescent="0.3">
      <c r="A439" s="82">
        <f t="shared" si="69"/>
        <v>8</v>
      </c>
      <c r="B439" s="83"/>
      <c r="C439" s="58" t="s">
        <v>201</v>
      </c>
      <c r="D439" s="58">
        <f>(68.04)*10.764</f>
        <v>732.38256000000001</v>
      </c>
      <c r="E439" s="43">
        <v>0</v>
      </c>
      <c r="F439" s="58">
        <f t="shared" si="68"/>
        <v>1098.57384</v>
      </c>
      <c r="G439" s="88"/>
      <c r="H439" s="89"/>
      <c r="I439" s="33"/>
      <c r="L439" s="90"/>
      <c r="M439" s="90"/>
      <c r="N439" s="33"/>
    </row>
    <row r="440" spans="1:14" s="34" customFormat="1" x14ac:dyDescent="0.3">
      <c r="A440" s="73" t="s">
        <v>257</v>
      </c>
      <c r="B440" s="74"/>
      <c r="C440" s="74"/>
      <c r="D440" s="74"/>
      <c r="E440" s="74"/>
      <c r="F440" s="74"/>
      <c r="G440" s="74"/>
      <c r="H440" s="75"/>
      <c r="I440" s="34">
        <v>1</v>
      </c>
      <c r="J440" s="33"/>
    </row>
    <row r="441" spans="1:14" s="34" customFormat="1" ht="15.75" customHeight="1" x14ac:dyDescent="0.3">
      <c r="A441" s="82">
        <v>1</v>
      </c>
      <c r="B441" s="83"/>
      <c r="C441" s="58" t="s">
        <v>201</v>
      </c>
      <c r="D441" s="43">
        <f>(69.32)*10.764</f>
        <v>746.16047999999989</v>
      </c>
      <c r="E441" s="43">
        <v>0</v>
      </c>
      <c r="F441" s="58">
        <f t="shared" ref="F441:F444" si="70">D441*(($F$150)+1)+(IF(E441&lt;101,E441,IF(E441&lt;201,E441/2,IF(E441&lt;=301,E441/3,E441/4))))</f>
        <v>1119.2407199999998</v>
      </c>
      <c r="G441" s="84" t="str">
        <f>A440</f>
        <v>28th Floor (Part Refuge Area)</v>
      </c>
      <c r="H441" s="85"/>
      <c r="I441" s="33"/>
      <c r="J441" s="33"/>
      <c r="L441" s="90"/>
      <c r="M441" s="90"/>
      <c r="N441" s="33"/>
    </row>
    <row r="442" spans="1:14" s="34" customFormat="1" x14ac:dyDescent="0.3">
      <c r="A442" s="82">
        <f t="shared" ref="A442:A448" si="71">A441+1</f>
        <v>2</v>
      </c>
      <c r="B442" s="83"/>
      <c r="C442" s="58" t="s">
        <v>201</v>
      </c>
      <c r="D442" s="43">
        <f>(68.64)*10.764</f>
        <v>738.84096</v>
      </c>
      <c r="E442" s="43">
        <v>0</v>
      </c>
      <c r="F442" s="58">
        <f t="shared" si="70"/>
        <v>1108.26144</v>
      </c>
      <c r="G442" s="86"/>
      <c r="H442" s="87"/>
      <c r="I442" s="33"/>
      <c r="L442" s="90"/>
      <c r="M442" s="90"/>
      <c r="N442" s="33"/>
    </row>
    <row r="443" spans="1:14" s="34" customFormat="1" x14ac:dyDescent="0.3">
      <c r="A443" s="82">
        <f t="shared" si="71"/>
        <v>3</v>
      </c>
      <c r="B443" s="83"/>
      <c r="C443" s="58" t="s">
        <v>201</v>
      </c>
      <c r="D443" s="43">
        <f>(68.67)*10.764</f>
        <v>739.16387999999995</v>
      </c>
      <c r="E443" s="43">
        <v>0</v>
      </c>
      <c r="F443" s="58">
        <f t="shared" si="70"/>
        <v>1108.7458199999999</v>
      </c>
      <c r="G443" s="86"/>
      <c r="H443" s="87"/>
      <c r="I443" s="33"/>
      <c r="L443" s="90"/>
      <c r="M443" s="90"/>
      <c r="N443" s="33"/>
    </row>
    <row r="444" spans="1:14" s="34" customFormat="1" x14ac:dyDescent="0.3">
      <c r="A444" s="82">
        <f t="shared" si="71"/>
        <v>4</v>
      </c>
      <c r="B444" s="83"/>
      <c r="C444" s="58" t="s">
        <v>201</v>
      </c>
      <c r="D444" s="43">
        <f>(69.36)*10.764</f>
        <v>746.59103999999991</v>
      </c>
      <c r="E444" s="43">
        <v>0</v>
      </c>
      <c r="F444" s="58">
        <f t="shared" si="70"/>
        <v>1119.8865599999999</v>
      </c>
      <c r="G444" s="86"/>
      <c r="H444" s="87"/>
      <c r="I444" s="33"/>
      <c r="L444" s="90"/>
      <c r="M444" s="90"/>
      <c r="N444" s="33"/>
    </row>
    <row r="445" spans="1:14" s="34" customFormat="1" x14ac:dyDescent="0.3">
      <c r="A445" s="82">
        <f t="shared" si="71"/>
        <v>5</v>
      </c>
      <c r="B445" s="83"/>
      <c r="C445" s="84" t="s">
        <v>204</v>
      </c>
      <c r="D445" s="91"/>
      <c r="E445" s="91"/>
      <c r="F445" s="85"/>
      <c r="G445" s="86"/>
      <c r="H445" s="87"/>
      <c r="I445" s="33"/>
      <c r="J445" s="33"/>
      <c r="L445" s="90"/>
      <c r="M445" s="90"/>
      <c r="N445" s="33"/>
    </row>
    <row r="446" spans="1:14" s="34" customFormat="1" x14ac:dyDescent="0.3">
      <c r="A446" s="82">
        <f t="shared" si="71"/>
        <v>6</v>
      </c>
      <c r="B446" s="83"/>
      <c r="C446" s="88"/>
      <c r="D446" s="92"/>
      <c r="E446" s="92"/>
      <c r="F446" s="89"/>
      <c r="G446" s="86"/>
      <c r="H446" s="87"/>
      <c r="I446" s="33"/>
      <c r="L446" s="90"/>
      <c r="M446" s="90"/>
      <c r="N446" s="33"/>
    </row>
    <row r="447" spans="1:14" s="34" customFormat="1" x14ac:dyDescent="0.3">
      <c r="A447" s="82">
        <f t="shared" si="71"/>
        <v>7</v>
      </c>
      <c r="B447" s="83"/>
      <c r="C447" s="58" t="s">
        <v>200</v>
      </c>
      <c r="D447" s="58">
        <f>(94.84)*10.764</f>
        <v>1020.85776</v>
      </c>
      <c r="E447" s="43">
        <v>0</v>
      </c>
      <c r="F447" s="58">
        <f t="shared" ref="F447:F448" si="72">D447*(($F$150)+1)+(IF(E447&lt;101,E447,IF(E447&lt;201,E447/2,IF(E447&lt;=301,E447/3,E447/4))))</f>
        <v>1531.28664</v>
      </c>
      <c r="G447" s="86"/>
      <c r="H447" s="87"/>
      <c r="J447" s="33"/>
    </row>
    <row r="448" spans="1:14" s="34" customFormat="1" ht="15.75" customHeight="1" x14ac:dyDescent="0.3">
      <c r="A448" s="82">
        <f t="shared" si="71"/>
        <v>8</v>
      </c>
      <c r="B448" s="83"/>
      <c r="C448" s="58" t="s">
        <v>201</v>
      </c>
      <c r="D448" s="58">
        <f>(68.04)*10.764</f>
        <v>732.38256000000001</v>
      </c>
      <c r="E448" s="43">
        <v>0</v>
      </c>
      <c r="F448" s="58">
        <f t="shared" si="72"/>
        <v>1098.57384</v>
      </c>
      <c r="G448" s="88"/>
      <c r="H448" s="89"/>
      <c r="I448" s="33"/>
      <c r="L448" s="90"/>
      <c r="M448" s="90"/>
      <c r="N448" s="33"/>
    </row>
    <row r="449" spans="1:8" s="32" customFormat="1" x14ac:dyDescent="0.3">
      <c r="A449" s="93" t="s">
        <v>69</v>
      </c>
      <c r="B449" s="93"/>
      <c r="C449" s="93"/>
      <c r="D449" s="93"/>
      <c r="E449" s="93"/>
      <c r="F449" s="93"/>
      <c r="G449" s="93"/>
      <c r="H449" s="93"/>
    </row>
    <row r="450" spans="1:8" s="32" customFormat="1" x14ac:dyDescent="0.3">
      <c r="A450" s="59" t="s">
        <v>157</v>
      </c>
      <c r="B450" s="79" t="s">
        <v>268</v>
      </c>
      <c r="C450" s="80"/>
      <c r="D450" s="80"/>
      <c r="E450" s="80"/>
      <c r="F450" s="80"/>
      <c r="G450" s="80"/>
      <c r="H450" s="81"/>
    </row>
    <row r="451" spans="1:8" x14ac:dyDescent="0.3">
      <c r="A451" s="60" t="s">
        <v>157</v>
      </c>
      <c r="B451" s="79" t="str">
        <f>(IF(F149="Saleable area Loading :","We have considered Saleable area of Flats as per our Calculation.","We considered Saleable area of Flat as per Builder area Sheet."))</f>
        <v>We have considered Saleable area of Flats as per our Calculation.</v>
      </c>
      <c r="C451" s="80"/>
      <c r="D451" s="80"/>
      <c r="E451" s="80"/>
      <c r="F451" s="80"/>
      <c r="G451" s="80"/>
      <c r="H451" s="81"/>
    </row>
    <row r="452" spans="1:8" x14ac:dyDescent="0.3">
      <c r="A452" s="60" t="s">
        <v>157</v>
      </c>
      <c r="B452" s="79" t="str">
        <f>(IF(F122="Saleable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52" s="80"/>
      <c r="D452" s="80"/>
      <c r="E452" s="80"/>
      <c r="F452" s="80"/>
      <c r="G452" s="80"/>
      <c r="H452" s="81"/>
    </row>
    <row r="453" spans="1:8" ht="15.75" customHeight="1" x14ac:dyDescent="0.3">
      <c r="A453" s="60" t="s">
        <v>157</v>
      </c>
      <c r="B453" s="76" t="s">
        <v>127</v>
      </c>
      <c r="C453" s="77"/>
      <c r="D453" s="77"/>
      <c r="E453" s="77"/>
      <c r="F453" s="77"/>
      <c r="G453" s="77"/>
      <c r="H453" s="78"/>
    </row>
    <row r="454" spans="1:8" x14ac:dyDescent="0.3">
      <c r="A454" s="60" t="s">
        <v>157</v>
      </c>
      <c r="B454" s="76" t="s">
        <v>240</v>
      </c>
      <c r="C454" s="77"/>
      <c r="D454" s="77"/>
      <c r="E454" s="77"/>
      <c r="F454" s="77"/>
      <c r="G454" s="77"/>
      <c r="H454" s="78"/>
    </row>
    <row r="455" spans="1:8" x14ac:dyDescent="0.3">
      <c r="A455" s="60" t="s">
        <v>157</v>
      </c>
      <c r="B455" s="76" t="s">
        <v>156</v>
      </c>
      <c r="C455" s="77"/>
      <c r="D455" s="77"/>
      <c r="E455" s="77"/>
      <c r="F455" s="77"/>
      <c r="G455" s="77"/>
      <c r="H455" s="78"/>
    </row>
    <row r="456" spans="1:8" x14ac:dyDescent="0.3">
      <c r="A456" s="60" t="s">
        <v>157</v>
      </c>
      <c r="B456" s="76" t="s">
        <v>128</v>
      </c>
      <c r="C456" s="77"/>
      <c r="D456" s="77"/>
      <c r="E456" s="77"/>
      <c r="F456" s="77"/>
      <c r="G456" s="77"/>
      <c r="H456" s="78"/>
    </row>
    <row r="457" spans="1:8" ht="35.25" customHeight="1" x14ac:dyDescent="0.3">
      <c r="A457" s="60" t="s">
        <v>157</v>
      </c>
      <c r="B457" s="76" t="s">
        <v>158</v>
      </c>
      <c r="C457" s="77"/>
      <c r="D457" s="77"/>
      <c r="E457" s="77"/>
      <c r="F457" s="77"/>
      <c r="G457" s="77"/>
      <c r="H457" s="78"/>
    </row>
    <row r="458" spans="1:8" x14ac:dyDescent="0.3">
      <c r="A458" s="60" t="s">
        <v>157</v>
      </c>
      <c r="B458" s="76" t="s">
        <v>129</v>
      </c>
      <c r="C458" s="77"/>
      <c r="D458" s="77"/>
      <c r="E458" s="77"/>
      <c r="F458" s="77"/>
      <c r="G458" s="77"/>
      <c r="H458" s="78"/>
    </row>
    <row r="459" spans="1:8" hidden="1" x14ac:dyDescent="0.3">
      <c r="A459" s="60" t="s">
        <v>157</v>
      </c>
      <c r="B459" s="76" t="s">
        <v>238</v>
      </c>
      <c r="C459" s="77"/>
      <c r="D459" s="77"/>
      <c r="E459" s="77"/>
      <c r="F459" s="77"/>
      <c r="G459" s="77"/>
      <c r="H459" s="78"/>
    </row>
    <row r="460" spans="1:8" hidden="1" x14ac:dyDescent="0.3">
      <c r="A460" s="60" t="s">
        <v>157</v>
      </c>
      <c r="B460" s="76" t="s">
        <v>239</v>
      </c>
      <c r="C460" s="77"/>
      <c r="D460" s="77"/>
      <c r="E460" s="77"/>
      <c r="F460" s="77"/>
      <c r="G460" s="77"/>
      <c r="H460" s="78"/>
    </row>
    <row r="461" spans="1:8" x14ac:dyDescent="0.3">
      <c r="A461" s="60" t="s">
        <v>157</v>
      </c>
      <c r="B461" s="76" t="s">
        <v>273</v>
      </c>
      <c r="C461" s="77"/>
      <c r="D461" s="77"/>
      <c r="E461" s="77"/>
      <c r="F461" s="77"/>
      <c r="G461" s="77"/>
      <c r="H461" s="78"/>
    </row>
    <row r="462" spans="1:8" ht="34.5" customHeight="1" x14ac:dyDescent="0.3">
      <c r="A462" s="60" t="s">
        <v>157</v>
      </c>
      <c r="B462" s="76" t="s">
        <v>262</v>
      </c>
      <c r="C462" s="77"/>
      <c r="D462" s="77"/>
      <c r="E462" s="77"/>
      <c r="F462" s="77"/>
      <c r="G462" s="77"/>
      <c r="H462" s="78"/>
    </row>
    <row r="463" spans="1:8" ht="31.5" customHeight="1" x14ac:dyDescent="0.3">
      <c r="A463" s="60" t="s">
        <v>157</v>
      </c>
      <c r="B463" s="79" t="s">
        <v>261</v>
      </c>
      <c r="C463" s="80"/>
      <c r="D463" s="80"/>
      <c r="E463" s="80"/>
      <c r="F463" s="80"/>
      <c r="G463" s="80"/>
      <c r="H463" s="81"/>
    </row>
    <row r="464" spans="1:8" x14ac:dyDescent="0.3">
      <c r="A464" s="70" t="s">
        <v>157</v>
      </c>
      <c r="B464" s="229" t="s">
        <v>266</v>
      </c>
      <c r="C464" s="230"/>
      <c r="D464" s="230"/>
      <c r="E464" s="230"/>
      <c r="F464" s="230"/>
      <c r="G464" s="230"/>
      <c r="H464" s="231"/>
    </row>
    <row r="465" spans="1:8" ht="15.6" customHeight="1" x14ac:dyDescent="0.3">
      <c r="A465" s="60" t="s">
        <v>157</v>
      </c>
      <c r="B465" s="76" t="s">
        <v>272</v>
      </c>
      <c r="C465" s="77"/>
      <c r="D465" s="77"/>
      <c r="E465" s="77"/>
      <c r="F465" s="77"/>
      <c r="G465" s="77"/>
      <c r="H465" s="78"/>
    </row>
    <row r="466" spans="1:8" ht="15.6" customHeight="1" x14ac:dyDescent="0.3">
      <c r="A466" s="60" t="s">
        <v>157</v>
      </c>
      <c r="B466" s="76" t="s">
        <v>274</v>
      </c>
      <c r="C466" s="77"/>
      <c r="D466" s="77"/>
      <c r="E466" s="77"/>
      <c r="F466" s="77"/>
      <c r="G466" s="77"/>
      <c r="H466" s="78"/>
    </row>
    <row r="467" spans="1:8" x14ac:dyDescent="0.3">
      <c r="A467" s="144" t="s">
        <v>62</v>
      </c>
      <c r="B467" s="144"/>
      <c r="C467" s="144"/>
      <c r="D467" s="144"/>
      <c r="E467" s="144"/>
      <c r="F467" s="144"/>
      <c r="G467" s="144"/>
      <c r="H467" s="144"/>
    </row>
    <row r="468" spans="1:8" x14ac:dyDescent="0.3">
      <c r="A468" s="101" t="s">
        <v>63</v>
      </c>
      <c r="B468" s="101"/>
      <c r="C468" s="101"/>
      <c r="D468" s="101"/>
      <c r="E468" s="101"/>
      <c r="F468" s="101"/>
      <c r="G468" s="101"/>
      <c r="H468" s="101"/>
    </row>
    <row r="469" spans="1:8" x14ac:dyDescent="0.3">
      <c r="A469" s="145" t="s">
        <v>64</v>
      </c>
      <c r="B469" s="145"/>
      <c r="C469" s="145"/>
      <c r="D469" s="145"/>
      <c r="E469" s="145"/>
      <c r="F469" s="145"/>
      <c r="G469" s="145"/>
      <c r="H469" s="145"/>
    </row>
    <row r="470" spans="1:8" x14ac:dyDescent="0.3">
      <c r="A470" s="101" t="s">
        <v>65</v>
      </c>
      <c r="B470" s="101"/>
      <c r="C470" s="101"/>
      <c r="D470" s="101"/>
      <c r="E470" s="101"/>
      <c r="F470" s="101"/>
      <c r="G470" s="101"/>
      <c r="H470" s="101"/>
    </row>
    <row r="471" spans="1:8" x14ac:dyDescent="0.3">
      <c r="A471" s="101" t="s">
        <v>66</v>
      </c>
      <c r="B471" s="101"/>
      <c r="C471" s="101"/>
      <c r="D471" s="101"/>
      <c r="E471" s="101"/>
      <c r="F471" s="101"/>
      <c r="G471" s="101"/>
      <c r="H471" s="101"/>
    </row>
    <row r="472" spans="1:8" hidden="1" x14ac:dyDescent="0.3">
      <c r="A472" s="101" t="s">
        <v>130</v>
      </c>
      <c r="B472" s="101"/>
      <c r="C472" s="101"/>
      <c r="D472" s="101"/>
      <c r="E472" s="101"/>
      <c r="F472" s="101"/>
      <c r="G472" s="101"/>
      <c r="H472" s="101"/>
    </row>
    <row r="473" spans="1:8" ht="32.25" hidden="1" customHeight="1" x14ac:dyDescent="0.3">
      <c r="A473" s="102" t="s">
        <v>131</v>
      </c>
      <c r="B473" s="102"/>
      <c r="C473" s="102"/>
      <c r="D473" s="102"/>
      <c r="E473" s="102"/>
      <c r="F473" s="102"/>
      <c r="G473" s="102"/>
      <c r="H473" s="102"/>
    </row>
    <row r="474" spans="1:8" x14ac:dyDescent="0.3">
      <c r="A474" s="149" t="s">
        <v>79</v>
      </c>
      <c r="B474" s="149"/>
      <c r="C474" s="149" t="s">
        <v>269</v>
      </c>
      <c r="D474" s="149"/>
      <c r="E474" s="149" t="s">
        <v>109</v>
      </c>
      <c r="F474" s="149"/>
      <c r="G474" s="149" t="s">
        <v>275</v>
      </c>
      <c r="H474" s="149"/>
    </row>
    <row r="475" spans="1:8" x14ac:dyDescent="0.3">
      <c r="A475" s="148" t="s">
        <v>81</v>
      </c>
      <c r="B475" s="148"/>
      <c r="C475" s="148"/>
      <c r="D475" s="148"/>
      <c r="E475" s="148"/>
      <c r="F475" s="148"/>
      <c r="G475" s="148"/>
      <c r="H475" s="148"/>
    </row>
    <row r="476" spans="1:8" x14ac:dyDescent="0.3">
      <c r="A476" s="148"/>
      <c r="B476" s="148"/>
      <c r="C476" s="148"/>
      <c r="D476" s="148"/>
      <c r="E476" s="148"/>
      <c r="F476" s="148"/>
      <c r="G476" s="148"/>
      <c r="H476" s="148"/>
    </row>
    <row r="477" spans="1:8" x14ac:dyDescent="0.3">
      <c r="A477" s="148"/>
      <c r="B477" s="148"/>
      <c r="C477" s="148"/>
      <c r="D477" s="148"/>
      <c r="E477" s="148"/>
      <c r="F477" s="148"/>
      <c r="G477" s="148"/>
      <c r="H477" s="148"/>
    </row>
    <row r="478" spans="1:8" x14ac:dyDescent="0.3">
      <c r="A478" s="148"/>
      <c r="B478" s="148"/>
      <c r="C478" s="148"/>
      <c r="D478" s="148"/>
      <c r="E478" s="148"/>
      <c r="F478" s="148"/>
      <c r="G478" s="148"/>
      <c r="H478" s="148"/>
    </row>
    <row r="479" spans="1:8" x14ac:dyDescent="0.3">
      <c r="A479" s="61" t="s">
        <v>67</v>
      </c>
      <c r="B479" s="62"/>
      <c r="C479" s="62"/>
      <c r="D479" s="61" t="str">
        <f>E8</f>
        <v>Chandak Treesourus</v>
      </c>
      <c r="F479" s="62"/>
      <c r="G479" s="62"/>
      <c r="H479" s="62"/>
    </row>
    <row r="480" spans="1:8" x14ac:dyDescent="0.3">
      <c r="A480" s="62"/>
      <c r="B480" s="62"/>
      <c r="C480" s="62"/>
      <c r="D480" s="62"/>
      <c r="E480" s="62"/>
      <c r="F480" s="62"/>
      <c r="G480" s="62"/>
      <c r="H480" s="62"/>
    </row>
    <row r="481" spans="1:8" x14ac:dyDescent="0.3">
      <c r="A481" s="62"/>
      <c r="B481" s="62"/>
      <c r="C481" s="62"/>
      <c r="D481" s="62"/>
      <c r="E481" s="62"/>
      <c r="F481" s="62"/>
      <c r="G481" s="62"/>
      <c r="H481" s="62"/>
    </row>
    <row r="520" spans="1:1" hidden="1" x14ac:dyDescent="0.3"/>
    <row r="522" spans="1:1" x14ac:dyDescent="0.3">
      <c r="A522" s="63" t="s">
        <v>170</v>
      </c>
    </row>
    <row r="564" spans="1:1" x14ac:dyDescent="0.3">
      <c r="A564" s="63" t="s">
        <v>68</v>
      </c>
    </row>
    <row r="605" hidden="1" x14ac:dyDescent="0.3"/>
  </sheetData>
  <mergeCells count="912">
    <mergeCell ref="B465:H465"/>
    <mergeCell ref="B466:H466"/>
    <mergeCell ref="B464:H464"/>
    <mergeCell ref="A243:H243"/>
    <mergeCell ref="A244:B244"/>
    <mergeCell ref="G244:H250"/>
    <mergeCell ref="L244:M244"/>
    <mergeCell ref="B459:H459"/>
    <mergeCell ref="L380:M380"/>
    <mergeCell ref="A381:B381"/>
    <mergeCell ref="A382:B382"/>
    <mergeCell ref="L382:M382"/>
    <mergeCell ref="A365:H365"/>
    <mergeCell ref="A366:B366"/>
    <mergeCell ref="G366:H373"/>
    <mergeCell ref="L366:M366"/>
    <mergeCell ref="A367:B367"/>
    <mergeCell ref="L367:M367"/>
    <mergeCell ref="A368:B368"/>
    <mergeCell ref="L368:M368"/>
    <mergeCell ref="A369:B369"/>
    <mergeCell ref="L369:M369"/>
    <mergeCell ref="A370:B370"/>
    <mergeCell ref="B460:H460"/>
    <mergeCell ref="A259:H259"/>
    <mergeCell ref="A260:B260"/>
    <mergeCell ref="G260:H266"/>
    <mergeCell ref="L260:M260"/>
    <mergeCell ref="A261:B261"/>
    <mergeCell ref="L261:M261"/>
    <mergeCell ref="A262:B262"/>
    <mergeCell ref="L262:M262"/>
    <mergeCell ref="A263:B263"/>
    <mergeCell ref="L263:M263"/>
    <mergeCell ref="A264:B264"/>
    <mergeCell ref="L264:M264"/>
    <mergeCell ref="A265:B265"/>
    <mergeCell ref="L265:M265"/>
    <mergeCell ref="A266:B266"/>
    <mergeCell ref="L266:M266"/>
    <mergeCell ref="A374:H374"/>
    <mergeCell ref="L377:M377"/>
    <mergeCell ref="A378:B378"/>
    <mergeCell ref="L378:M378"/>
    <mergeCell ref="A379:B379"/>
    <mergeCell ref="L379:M379"/>
    <mergeCell ref="A380:B380"/>
    <mergeCell ref="A234:H234"/>
    <mergeCell ref="A235:B235"/>
    <mergeCell ref="G235:H242"/>
    <mergeCell ref="L235:M235"/>
    <mergeCell ref="A236:B236"/>
    <mergeCell ref="L236:M236"/>
    <mergeCell ref="A237:B237"/>
    <mergeCell ref="L237:M237"/>
    <mergeCell ref="A238:B238"/>
    <mergeCell ref="L238:M238"/>
    <mergeCell ref="A239:B239"/>
    <mergeCell ref="L239:M239"/>
    <mergeCell ref="A240:B240"/>
    <mergeCell ref="L240:M240"/>
    <mergeCell ref="A241:B241"/>
    <mergeCell ref="L241:M241"/>
    <mergeCell ref="A242:B242"/>
    <mergeCell ref="L242:M242"/>
    <mergeCell ref="L370:M370"/>
    <mergeCell ref="A371:B371"/>
    <mergeCell ref="L371:M371"/>
    <mergeCell ref="A372:B372"/>
    <mergeCell ref="A373:B373"/>
    <mergeCell ref="L373:M373"/>
    <mergeCell ref="C370:F371"/>
    <mergeCell ref="A376:B376"/>
    <mergeCell ref="L376:M376"/>
    <mergeCell ref="A375:B375"/>
    <mergeCell ref="G375:H382"/>
    <mergeCell ref="L375:M375"/>
    <mergeCell ref="A377:B377"/>
    <mergeCell ref="A347:H347"/>
    <mergeCell ref="A348:B348"/>
    <mergeCell ref="G348:H355"/>
    <mergeCell ref="L348:M348"/>
    <mergeCell ref="A349:B349"/>
    <mergeCell ref="L349:M349"/>
    <mergeCell ref="A350:B350"/>
    <mergeCell ref="L350:M350"/>
    <mergeCell ref="A351:B351"/>
    <mergeCell ref="L351:M351"/>
    <mergeCell ref="A230:B230"/>
    <mergeCell ref="L230:M230"/>
    <mergeCell ref="A231:B231"/>
    <mergeCell ref="L231:M231"/>
    <mergeCell ref="A232:B232"/>
    <mergeCell ref="L232:M232"/>
    <mergeCell ref="A233:B233"/>
    <mergeCell ref="L233:M233"/>
    <mergeCell ref="C230:F231"/>
    <mergeCell ref="A352:B352"/>
    <mergeCell ref="L352:M352"/>
    <mergeCell ref="A353:B353"/>
    <mergeCell ref="L353:M353"/>
    <mergeCell ref="A223:B223"/>
    <mergeCell ref="L223:M223"/>
    <mergeCell ref="A224:B224"/>
    <mergeCell ref="L224:M224"/>
    <mergeCell ref="A356:H356"/>
    <mergeCell ref="A225:H225"/>
    <mergeCell ref="A226:B226"/>
    <mergeCell ref="G226:H233"/>
    <mergeCell ref="L226:M226"/>
    <mergeCell ref="A227:B227"/>
    <mergeCell ref="L227:M227"/>
    <mergeCell ref="A228:B228"/>
    <mergeCell ref="L228:M228"/>
    <mergeCell ref="A229:B229"/>
    <mergeCell ref="L229:M229"/>
    <mergeCell ref="A354:B354"/>
    <mergeCell ref="L354:M354"/>
    <mergeCell ref="A355:B355"/>
    <mergeCell ref="L355:M355"/>
    <mergeCell ref="A337:H337"/>
    <mergeCell ref="A357:B357"/>
    <mergeCell ref="G357:H364"/>
    <mergeCell ref="A358:B358"/>
    <mergeCell ref="A359:B359"/>
    <mergeCell ref="A360:B360"/>
    <mergeCell ref="A361:B361"/>
    <mergeCell ref="A362:B362"/>
    <mergeCell ref="A363:B363"/>
    <mergeCell ref="A364:B364"/>
    <mergeCell ref="A218:B218"/>
    <mergeCell ref="L218:M218"/>
    <mergeCell ref="A219:B219"/>
    <mergeCell ref="L219:M219"/>
    <mergeCell ref="A220:B220"/>
    <mergeCell ref="L220:M220"/>
    <mergeCell ref="A221:B221"/>
    <mergeCell ref="L221:M221"/>
    <mergeCell ref="A222:B222"/>
    <mergeCell ref="L222:M222"/>
    <mergeCell ref="A206:H206"/>
    <mergeCell ref="A346:H346"/>
    <mergeCell ref="A207:H207"/>
    <mergeCell ref="A208:B208"/>
    <mergeCell ref="G208:H215"/>
    <mergeCell ref="L208:M208"/>
    <mergeCell ref="A209:B209"/>
    <mergeCell ref="L209:M209"/>
    <mergeCell ref="A210:B210"/>
    <mergeCell ref="L210:M210"/>
    <mergeCell ref="A211:B211"/>
    <mergeCell ref="L211:M211"/>
    <mergeCell ref="A212:B212"/>
    <mergeCell ref="L212:M212"/>
    <mergeCell ref="A213:B213"/>
    <mergeCell ref="L213:M213"/>
    <mergeCell ref="A214:B214"/>
    <mergeCell ref="L214:M214"/>
    <mergeCell ref="A215:B215"/>
    <mergeCell ref="L215:M215"/>
    <mergeCell ref="A216:H216"/>
    <mergeCell ref="A217:B217"/>
    <mergeCell ref="G217:H224"/>
    <mergeCell ref="L345:M345"/>
    <mergeCell ref="A197:H197"/>
    <mergeCell ref="A198:B198"/>
    <mergeCell ref="G198:H205"/>
    <mergeCell ref="L198:M198"/>
    <mergeCell ref="A199:B199"/>
    <mergeCell ref="L199:M199"/>
    <mergeCell ref="A200:B200"/>
    <mergeCell ref="L200:M200"/>
    <mergeCell ref="A201:B201"/>
    <mergeCell ref="L201:M201"/>
    <mergeCell ref="A202:B202"/>
    <mergeCell ref="L202:M202"/>
    <mergeCell ref="A203:B203"/>
    <mergeCell ref="L203:M203"/>
    <mergeCell ref="A204:B204"/>
    <mergeCell ref="C204:F205"/>
    <mergeCell ref="L204:M204"/>
    <mergeCell ref="A205:B205"/>
    <mergeCell ref="L205:M205"/>
    <mergeCell ref="A186:B186"/>
    <mergeCell ref="L186:M186"/>
    <mergeCell ref="A187:B187"/>
    <mergeCell ref="L187:M187"/>
    <mergeCell ref="C186:F187"/>
    <mergeCell ref="G180:H187"/>
    <mergeCell ref="A195:B195"/>
    <mergeCell ref="L195:M195"/>
    <mergeCell ref="A196:B196"/>
    <mergeCell ref="L196:M196"/>
    <mergeCell ref="C195:F196"/>
    <mergeCell ref="G189:H196"/>
    <mergeCell ref="A188:H188"/>
    <mergeCell ref="A189:B18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A168:B168"/>
    <mergeCell ref="L168:M168"/>
    <mergeCell ref="A169:B169"/>
    <mergeCell ref="L169:M169"/>
    <mergeCell ref="C168:F169"/>
    <mergeCell ref="G162:H169"/>
    <mergeCell ref="A177:B177"/>
    <mergeCell ref="C177:F178"/>
    <mergeCell ref="L177:M177"/>
    <mergeCell ref="A178:B178"/>
    <mergeCell ref="L178:M178"/>
    <mergeCell ref="G171:H178"/>
    <mergeCell ref="A172:B172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C175:F176"/>
    <mergeCell ref="A166:B166"/>
    <mergeCell ref="A338:B338"/>
    <mergeCell ref="G338:H345"/>
    <mergeCell ref="L338:M338"/>
    <mergeCell ref="A339:B339"/>
    <mergeCell ref="L339:M339"/>
    <mergeCell ref="A340:B340"/>
    <mergeCell ref="L340:M340"/>
    <mergeCell ref="A341:B341"/>
    <mergeCell ref="L341:M341"/>
    <mergeCell ref="A342:B342"/>
    <mergeCell ref="L342:M342"/>
    <mergeCell ref="A343:B343"/>
    <mergeCell ref="L343:M343"/>
    <mergeCell ref="A344:B344"/>
    <mergeCell ref="C344:F345"/>
    <mergeCell ref="L344:M344"/>
    <mergeCell ref="A345:B345"/>
    <mergeCell ref="A327:B327"/>
    <mergeCell ref="L327:M327"/>
    <mergeCell ref="C326:F327"/>
    <mergeCell ref="G320:H327"/>
    <mergeCell ref="A335:B335"/>
    <mergeCell ref="L335:M335"/>
    <mergeCell ref="A336:B336"/>
    <mergeCell ref="L336:M336"/>
    <mergeCell ref="C335:F336"/>
    <mergeCell ref="G329:H336"/>
    <mergeCell ref="A328:H328"/>
    <mergeCell ref="A329:B329"/>
    <mergeCell ref="L329:M329"/>
    <mergeCell ref="A330:B330"/>
    <mergeCell ref="L330:M330"/>
    <mergeCell ref="A331:B331"/>
    <mergeCell ref="L331:M331"/>
    <mergeCell ref="A332:B332"/>
    <mergeCell ref="L332:M332"/>
    <mergeCell ref="A333:B333"/>
    <mergeCell ref="L333:M333"/>
    <mergeCell ref="A334:B334"/>
    <mergeCell ref="L334:M334"/>
    <mergeCell ref="L317:M317"/>
    <mergeCell ref="A318:B318"/>
    <mergeCell ref="L318:M318"/>
    <mergeCell ref="C317:F318"/>
    <mergeCell ref="G311:H318"/>
    <mergeCell ref="A326:B326"/>
    <mergeCell ref="L326:M326"/>
    <mergeCell ref="A299:B299"/>
    <mergeCell ref="L299:M299"/>
    <mergeCell ref="A300:B300"/>
    <mergeCell ref="L300:M300"/>
    <mergeCell ref="C299:F300"/>
    <mergeCell ref="G293:H300"/>
    <mergeCell ref="A308:B308"/>
    <mergeCell ref="C308:F309"/>
    <mergeCell ref="L308:M308"/>
    <mergeCell ref="A309:B309"/>
    <mergeCell ref="L309:M309"/>
    <mergeCell ref="G302:H309"/>
    <mergeCell ref="A324:B324"/>
    <mergeCell ref="L324:M324"/>
    <mergeCell ref="A325:B325"/>
    <mergeCell ref="L325:M325"/>
    <mergeCell ref="L194:M194"/>
    <mergeCell ref="A319:H319"/>
    <mergeCell ref="A320:B320"/>
    <mergeCell ref="L320:M320"/>
    <mergeCell ref="A321:B321"/>
    <mergeCell ref="L321:M321"/>
    <mergeCell ref="A322:B322"/>
    <mergeCell ref="L322:M322"/>
    <mergeCell ref="A323:B323"/>
    <mergeCell ref="L323:M323"/>
    <mergeCell ref="A313:B313"/>
    <mergeCell ref="L313:M313"/>
    <mergeCell ref="A314:B314"/>
    <mergeCell ref="L314:M314"/>
    <mergeCell ref="A315:B315"/>
    <mergeCell ref="L315:M315"/>
    <mergeCell ref="A316:B316"/>
    <mergeCell ref="L316:M316"/>
    <mergeCell ref="C316:F316"/>
    <mergeCell ref="A297:B297"/>
    <mergeCell ref="L297:M297"/>
    <mergeCell ref="A298:B298"/>
    <mergeCell ref="L298:M298"/>
    <mergeCell ref="A275:B275"/>
    <mergeCell ref="A179:H179"/>
    <mergeCell ref="A180:B180"/>
    <mergeCell ref="L180:M180"/>
    <mergeCell ref="A181:B181"/>
    <mergeCell ref="L181:M181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A310:H310"/>
    <mergeCell ref="A311:B311"/>
    <mergeCell ref="L311:M311"/>
    <mergeCell ref="A312:B312"/>
    <mergeCell ref="L312:M312"/>
    <mergeCell ref="A301:H301"/>
    <mergeCell ref="A302:B302"/>
    <mergeCell ref="L302:M302"/>
    <mergeCell ref="A303:B303"/>
    <mergeCell ref="L303:M303"/>
    <mergeCell ref="A304:B304"/>
    <mergeCell ref="L304:M304"/>
    <mergeCell ref="A305:B305"/>
    <mergeCell ref="L305:M305"/>
    <mergeCell ref="A306:B306"/>
    <mergeCell ref="L306:M306"/>
    <mergeCell ref="A307:B307"/>
    <mergeCell ref="L307:M307"/>
    <mergeCell ref="A296:B296"/>
    <mergeCell ref="L296:M296"/>
    <mergeCell ref="A170:H170"/>
    <mergeCell ref="A171:B171"/>
    <mergeCell ref="L171:M171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61:H161"/>
    <mergeCell ref="A162:B162"/>
    <mergeCell ref="L162:M162"/>
    <mergeCell ref="A163:B163"/>
    <mergeCell ref="L163:M163"/>
    <mergeCell ref="A164:B164"/>
    <mergeCell ref="L164:M164"/>
    <mergeCell ref="A165:B165"/>
    <mergeCell ref="L165:M165"/>
    <mergeCell ref="K97:L97"/>
    <mergeCell ref="A107:E107"/>
    <mergeCell ref="A111:B111"/>
    <mergeCell ref="F106:H106"/>
    <mergeCell ref="A101:E101"/>
    <mergeCell ref="E111:F111"/>
    <mergeCell ref="A120:H120"/>
    <mergeCell ref="A113:B113"/>
    <mergeCell ref="C113:D113"/>
    <mergeCell ref="A119:B119"/>
    <mergeCell ref="C119:D119"/>
    <mergeCell ref="C159:F160"/>
    <mergeCell ref="G153:H160"/>
    <mergeCell ref="A95:B95"/>
    <mergeCell ref="F102:H102"/>
    <mergeCell ref="A103:E103"/>
    <mergeCell ref="A105:E105"/>
    <mergeCell ref="A152:H152"/>
    <mergeCell ref="A106:E106"/>
    <mergeCell ref="C112:D112"/>
    <mergeCell ref="E112:F112"/>
    <mergeCell ref="C118:D118"/>
    <mergeCell ref="G140:H147"/>
    <mergeCell ref="A118:B118"/>
    <mergeCell ref="E113:F113"/>
    <mergeCell ref="G113:H113"/>
    <mergeCell ref="A117:B117"/>
    <mergeCell ref="C117:D117"/>
    <mergeCell ref="E117:F117"/>
    <mergeCell ref="G117:H117"/>
    <mergeCell ref="C115:D115"/>
    <mergeCell ref="G115:H115"/>
    <mergeCell ref="C116:D116"/>
    <mergeCell ref="E116:F116"/>
    <mergeCell ref="G116:H116"/>
    <mergeCell ref="A115:B115"/>
    <mergeCell ref="L137:M137"/>
    <mergeCell ref="A128:H128"/>
    <mergeCell ref="E122:E123"/>
    <mergeCell ref="A151:H151"/>
    <mergeCell ref="D122:D123"/>
    <mergeCell ref="L138:M138"/>
    <mergeCell ref="A273:B273"/>
    <mergeCell ref="A148:H148"/>
    <mergeCell ref="A149:A150"/>
    <mergeCell ref="L133:M133"/>
    <mergeCell ref="L134:M134"/>
    <mergeCell ref="L135:M135"/>
    <mergeCell ref="L136:M136"/>
    <mergeCell ref="L132:M132"/>
    <mergeCell ref="L131:M131"/>
    <mergeCell ref="L130:M130"/>
    <mergeCell ref="L129:M129"/>
    <mergeCell ref="L272:M272"/>
    <mergeCell ref="A270:B270"/>
    <mergeCell ref="A271:B271"/>
    <mergeCell ref="A268:B268"/>
    <mergeCell ref="B122:B123"/>
    <mergeCell ref="A122:A123"/>
    <mergeCell ref="L160:M160"/>
    <mergeCell ref="C111:D111"/>
    <mergeCell ref="F107:H107"/>
    <mergeCell ref="F105:H105"/>
    <mergeCell ref="G111:H111"/>
    <mergeCell ref="A90:B90"/>
    <mergeCell ref="A91:B91"/>
    <mergeCell ref="A92:B92"/>
    <mergeCell ref="F97:H97"/>
    <mergeCell ref="F99:H99"/>
    <mergeCell ref="A104:E104"/>
    <mergeCell ref="A99:E99"/>
    <mergeCell ref="A96:E96"/>
    <mergeCell ref="G86:H95"/>
    <mergeCell ref="F96:H96"/>
    <mergeCell ref="F100:H100"/>
    <mergeCell ref="F103:H103"/>
    <mergeCell ref="A97:E97"/>
    <mergeCell ref="A89:B89"/>
    <mergeCell ref="F98:H98"/>
    <mergeCell ref="A98:E98"/>
    <mergeCell ref="A100:E100"/>
    <mergeCell ref="F101:H101"/>
    <mergeCell ref="E72:F81"/>
    <mergeCell ref="G72:H81"/>
    <mergeCell ref="C84:H84"/>
    <mergeCell ref="A85:B85"/>
    <mergeCell ref="E85:F85"/>
    <mergeCell ref="G85:H85"/>
    <mergeCell ref="A102:E102"/>
    <mergeCell ref="A84:B84"/>
    <mergeCell ref="F104:H104"/>
    <mergeCell ref="A87:B87"/>
    <mergeCell ref="A88:B88"/>
    <mergeCell ref="A79:B79"/>
    <mergeCell ref="A80:B80"/>
    <mergeCell ref="A81:B81"/>
    <mergeCell ref="F35:H35"/>
    <mergeCell ref="A42:D42"/>
    <mergeCell ref="E42:H42"/>
    <mergeCell ref="E43:H43"/>
    <mergeCell ref="E44:H44"/>
    <mergeCell ref="E45:H45"/>
    <mergeCell ref="A50:B51"/>
    <mergeCell ref="C50:E50"/>
    <mergeCell ref="A86:B86"/>
    <mergeCell ref="E86:F95"/>
    <mergeCell ref="A93:B93"/>
    <mergeCell ref="A94:B94"/>
    <mergeCell ref="A36:H36"/>
    <mergeCell ref="A35:B35"/>
    <mergeCell ref="C35:E35"/>
    <mergeCell ref="A40:D40"/>
    <mergeCell ref="E40:H40"/>
    <mergeCell ref="A73:B73"/>
    <mergeCell ref="A75:B75"/>
    <mergeCell ref="D62:H62"/>
    <mergeCell ref="A43:D43"/>
    <mergeCell ref="A45:D45"/>
    <mergeCell ref="A46:H46"/>
    <mergeCell ref="D58:H58"/>
    <mergeCell ref="A39:H39"/>
    <mergeCell ref="A61:C61"/>
    <mergeCell ref="D61:H61"/>
    <mergeCell ref="A37:B37"/>
    <mergeCell ref="C37:H37"/>
    <mergeCell ref="A44:D44"/>
    <mergeCell ref="A38:B38"/>
    <mergeCell ref="C38:H38"/>
    <mergeCell ref="A47:B47"/>
    <mergeCell ref="C47:H47"/>
    <mergeCell ref="A48:B48"/>
    <mergeCell ref="C48:E48"/>
    <mergeCell ref="G48:H48"/>
    <mergeCell ref="G52:H52"/>
    <mergeCell ref="A58:C58"/>
    <mergeCell ref="G49:H49"/>
    <mergeCell ref="A52:B53"/>
    <mergeCell ref="D57:H57"/>
    <mergeCell ref="G54:H54"/>
    <mergeCell ref="G51:H51"/>
    <mergeCell ref="C51:E51"/>
    <mergeCell ref="G71:H71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C70:H70"/>
    <mergeCell ref="A68:B68"/>
    <mergeCell ref="C68:H68"/>
    <mergeCell ref="A57:C57"/>
    <mergeCell ref="C53:H53"/>
    <mergeCell ref="A62:C62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1:H31"/>
    <mergeCell ref="A32:B32"/>
    <mergeCell ref="A31:B31"/>
    <mergeCell ref="C32:E32"/>
    <mergeCell ref="A33:B33"/>
    <mergeCell ref="C33:E33"/>
    <mergeCell ref="F32:H32"/>
    <mergeCell ref="F33:H33"/>
    <mergeCell ref="F34:H34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1:D11"/>
    <mergeCell ref="E11:H11"/>
    <mergeCell ref="A15:B15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475:H478"/>
    <mergeCell ref="A474:B474"/>
    <mergeCell ref="E474:F474"/>
    <mergeCell ref="C474:D474"/>
    <mergeCell ref="G474:H474"/>
    <mergeCell ref="A470:H470"/>
    <mergeCell ref="A473:H473"/>
    <mergeCell ref="A471:H471"/>
    <mergeCell ref="A467:H467"/>
    <mergeCell ref="A468:H468"/>
    <mergeCell ref="B457:H457"/>
    <mergeCell ref="A472:H472"/>
    <mergeCell ref="A469:H469"/>
    <mergeCell ref="A267:H267"/>
    <mergeCell ref="A272:B272"/>
    <mergeCell ref="D149:D150"/>
    <mergeCell ref="E149:E150"/>
    <mergeCell ref="G149:H150"/>
    <mergeCell ref="A269:B269"/>
    <mergeCell ref="A257:B257"/>
    <mergeCell ref="A258:B258"/>
    <mergeCell ref="C255:F256"/>
    <mergeCell ref="C254:F254"/>
    <mergeCell ref="A245:B245"/>
    <mergeCell ref="A246:B246"/>
    <mergeCell ref="A247:B247"/>
    <mergeCell ref="A248:B248"/>
    <mergeCell ref="A410:B410"/>
    <mergeCell ref="A411:B411"/>
    <mergeCell ref="A404:H404"/>
    <mergeCell ref="G405:H412"/>
    <mergeCell ref="A407:B407"/>
    <mergeCell ref="A422:H422"/>
    <mergeCell ref="G275:H280"/>
    <mergeCell ref="A121:H121"/>
    <mergeCell ref="C149:C150"/>
    <mergeCell ref="G122:H123"/>
    <mergeCell ref="A125:H125"/>
    <mergeCell ref="C122:C123"/>
    <mergeCell ref="B149:B150"/>
    <mergeCell ref="E41:H41"/>
    <mergeCell ref="A41:D41"/>
    <mergeCell ref="A82:B82"/>
    <mergeCell ref="C82:H82"/>
    <mergeCell ref="A77:B77"/>
    <mergeCell ref="D56:H56"/>
    <mergeCell ref="C52:E52"/>
    <mergeCell ref="A59:C60"/>
    <mergeCell ref="D59:H59"/>
    <mergeCell ref="D60:H60"/>
    <mergeCell ref="C49:E49"/>
    <mergeCell ref="A54:B54"/>
    <mergeCell ref="C54:E54"/>
    <mergeCell ref="A49:B49"/>
    <mergeCell ref="A55:H55"/>
    <mergeCell ref="A56:C56"/>
    <mergeCell ref="A76:B76"/>
    <mergeCell ref="G50:H50"/>
    <mergeCell ref="A78:B78"/>
    <mergeCell ref="A71:B71"/>
    <mergeCell ref="A74:B74"/>
    <mergeCell ref="A70:B70"/>
    <mergeCell ref="A63:C63"/>
    <mergeCell ref="D63:H63"/>
    <mergeCell ref="A72:B72"/>
    <mergeCell ref="L141:M141"/>
    <mergeCell ref="L142:M142"/>
    <mergeCell ref="G112:H112"/>
    <mergeCell ref="A124:H124"/>
    <mergeCell ref="A110:H110"/>
    <mergeCell ref="A108:E108"/>
    <mergeCell ref="F108:H108"/>
    <mergeCell ref="A109:E109"/>
    <mergeCell ref="F109:H109"/>
    <mergeCell ref="A116:B116"/>
    <mergeCell ref="A112:B112"/>
    <mergeCell ref="A114:H114"/>
    <mergeCell ref="E115:F115"/>
    <mergeCell ref="E118:F118"/>
    <mergeCell ref="G118:H118"/>
    <mergeCell ref="E119:F119"/>
    <mergeCell ref="G119:H119"/>
    <mergeCell ref="L143:M143"/>
    <mergeCell ref="L144:M144"/>
    <mergeCell ref="L145:M145"/>
    <mergeCell ref="L146:M146"/>
    <mergeCell ref="L147:M147"/>
    <mergeCell ref="L269:M269"/>
    <mergeCell ref="A126:H126"/>
    <mergeCell ref="G129:H138"/>
    <mergeCell ref="L257:M257"/>
    <mergeCell ref="L258:M258"/>
    <mergeCell ref="L245:M245"/>
    <mergeCell ref="L246:M246"/>
    <mergeCell ref="L247:M247"/>
    <mergeCell ref="L248:M248"/>
    <mergeCell ref="L268:M268"/>
    <mergeCell ref="L140:M140"/>
    <mergeCell ref="L166:M166"/>
    <mergeCell ref="A167:B167"/>
    <mergeCell ref="L167:M167"/>
    <mergeCell ref="A159:B159"/>
    <mergeCell ref="L159:M159"/>
    <mergeCell ref="A160:B160"/>
    <mergeCell ref="A127:H127"/>
    <mergeCell ref="A139:H139"/>
    <mergeCell ref="L270:M270"/>
    <mergeCell ref="L217:M217"/>
    <mergeCell ref="L273:M273"/>
    <mergeCell ref="G268:H273"/>
    <mergeCell ref="A383:H383"/>
    <mergeCell ref="A384:B384"/>
    <mergeCell ref="G384:H389"/>
    <mergeCell ref="L357:M357"/>
    <mergeCell ref="A385:B385"/>
    <mergeCell ref="L358:M358"/>
    <mergeCell ref="A386:B386"/>
    <mergeCell ref="L359:M359"/>
    <mergeCell ref="A387:B387"/>
    <mergeCell ref="L360:M360"/>
    <mergeCell ref="A388:B388"/>
    <mergeCell ref="L361:M361"/>
    <mergeCell ref="A389:B389"/>
    <mergeCell ref="L362:M362"/>
    <mergeCell ref="A288:H288"/>
    <mergeCell ref="A289:H289"/>
    <mergeCell ref="A290:H290"/>
    <mergeCell ref="A291:H291"/>
    <mergeCell ref="A274:H274"/>
    <mergeCell ref="L271:M271"/>
    <mergeCell ref="L275:M275"/>
    <mergeCell ref="A276:B276"/>
    <mergeCell ref="A395:B395"/>
    <mergeCell ref="L386:M386"/>
    <mergeCell ref="L276:M276"/>
    <mergeCell ref="A277:B277"/>
    <mergeCell ref="L277:M277"/>
    <mergeCell ref="A278:B278"/>
    <mergeCell ref="L278:M278"/>
    <mergeCell ref="A279:B279"/>
    <mergeCell ref="L279:M279"/>
    <mergeCell ref="A280:B280"/>
    <mergeCell ref="L280:M280"/>
    <mergeCell ref="C277:F278"/>
    <mergeCell ref="A390:H390"/>
    <mergeCell ref="A391:B391"/>
    <mergeCell ref="G391:H396"/>
    <mergeCell ref="A396:B396"/>
    <mergeCell ref="A292:H292"/>
    <mergeCell ref="A293:B293"/>
    <mergeCell ref="L293:M293"/>
    <mergeCell ref="A294:B294"/>
    <mergeCell ref="L294:M294"/>
    <mergeCell ref="A295:B295"/>
    <mergeCell ref="L387:M387"/>
    <mergeCell ref="C395:F396"/>
    <mergeCell ref="A281:H281"/>
    <mergeCell ref="A282:B282"/>
    <mergeCell ref="G282:H287"/>
    <mergeCell ref="L282:M282"/>
    <mergeCell ref="A283:B283"/>
    <mergeCell ref="L283:M283"/>
    <mergeCell ref="A284:B284"/>
    <mergeCell ref="C284:F285"/>
    <mergeCell ref="L284:M284"/>
    <mergeCell ref="A285:B285"/>
    <mergeCell ref="L285:M285"/>
    <mergeCell ref="A286:B286"/>
    <mergeCell ref="L286:M286"/>
    <mergeCell ref="A287:B287"/>
    <mergeCell ref="L287:M287"/>
    <mergeCell ref="L364:M364"/>
    <mergeCell ref="A392:B392"/>
    <mergeCell ref="L383:M383"/>
    <mergeCell ref="A393:B393"/>
    <mergeCell ref="L384:M384"/>
    <mergeCell ref="A394:B394"/>
    <mergeCell ref="A317:B317"/>
    <mergeCell ref="A397:H397"/>
    <mergeCell ref="A398:B398"/>
    <mergeCell ref="G398:H403"/>
    <mergeCell ref="L389:M389"/>
    <mergeCell ref="A399:B399"/>
    <mergeCell ref="L390:M390"/>
    <mergeCell ref="A400:B400"/>
    <mergeCell ref="L391:M391"/>
    <mergeCell ref="A401:B401"/>
    <mergeCell ref="L392:M392"/>
    <mergeCell ref="A402:B402"/>
    <mergeCell ref="C402:F403"/>
    <mergeCell ref="L393:M393"/>
    <mergeCell ref="A403:B403"/>
    <mergeCell ref="L394:M394"/>
    <mergeCell ref="B456:H456"/>
    <mergeCell ref="B452:H452"/>
    <mergeCell ref="B455:H455"/>
    <mergeCell ref="B453:H453"/>
    <mergeCell ref="B454:H454"/>
    <mergeCell ref="A449:H449"/>
    <mergeCell ref="B450:H450"/>
    <mergeCell ref="B458:H458"/>
    <mergeCell ref="L412:M412"/>
    <mergeCell ref="C409:F410"/>
    <mergeCell ref="A249:B249"/>
    <mergeCell ref="L249:M249"/>
    <mergeCell ref="A250:B250"/>
    <mergeCell ref="L250:M250"/>
    <mergeCell ref="A251:H251"/>
    <mergeCell ref="A252:B252"/>
    <mergeCell ref="G252:H258"/>
    <mergeCell ref="L252:M252"/>
    <mergeCell ref="A253:B253"/>
    <mergeCell ref="L253:M253"/>
    <mergeCell ref="A254:B254"/>
    <mergeCell ref="L254:M254"/>
    <mergeCell ref="A255:B255"/>
    <mergeCell ref="L255:M255"/>
    <mergeCell ref="A256:B256"/>
    <mergeCell ref="L256:M256"/>
    <mergeCell ref="A405:B405"/>
    <mergeCell ref="L405:M405"/>
    <mergeCell ref="A406:B406"/>
    <mergeCell ref="L406:M406"/>
    <mergeCell ref="L385:M385"/>
    <mergeCell ref="L295:M295"/>
    <mergeCell ref="L407:M407"/>
    <mergeCell ref="A408:B408"/>
    <mergeCell ref="L408:M408"/>
    <mergeCell ref="A409:B409"/>
    <mergeCell ref="L409:M409"/>
    <mergeCell ref="A413:H413"/>
    <mergeCell ref="A414:B414"/>
    <mergeCell ref="G414:H421"/>
    <mergeCell ref="L414:M414"/>
    <mergeCell ref="A415:B415"/>
    <mergeCell ref="L415:M415"/>
    <mergeCell ref="A416:B416"/>
    <mergeCell ref="L416:M416"/>
    <mergeCell ref="A417:B417"/>
    <mergeCell ref="L417:M417"/>
    <mergeCell ref="A418:B418"/>
    <mergeCell ref="L418:M418"/>
    <mergeCell ref="A419:B419"/>
    <mergeCell ref="L419:M419"/>
    <mergeCell ref="A420:B420"/>
    <mergeCell ref="A421:B421"/>
    <mergeCell ref="L421:M421"/>
    <mergeCell ref="L410:M410"/>
    <mergeCell ref="A412:B412"/>
    <mergeCell ref="A423:B423"/>
    <mergeCell ref="G423:H430"/>
    <mergeCell ref="L423:M423"/>
    <mergeCell ref="A424:B424"/>
    <mergeCell ref="L424:M424"/>
    <mergeCell ref="A425:B425"/>
    <mergeCell ref="L425:M425"/>
    <mergeCell ref="A426:B426"/>
    <mergeCell ref="L426:M426"/>
    <mergeCell ref="A427:B427"/>
    <mergeCell ref="L427:M427"/>
    <mergeCell ref="A428:B428"/>
    <mergeCell ref="L428:M428"/>
    <mergeCell ref="A429:B429"/>
    <mergeCell ref="A430:B430"/>
    <mergeCell ref="L430:M430"/>
    <mergeCell ref="G432:H439"/>
    <mergeCell ref="L432:M432"/>
    <mergeCell ref="A433:B433"/>
    <mergeCell ref="L433:M433"/>
    <mergeCell ref="A434:B434"/>
    <mergeCell ref="L434:M434"/>
    <mergeCell ref="A435:B435"/>
    <mergeCell ref="L435:M435"/>
    <mergeCell ref="A436:B436"/>
    <mergeCell ref="L436:M436"/>
    <mergeCell ref="A437:B437"/>
    <mergeCell ref="L437:M437"/>
    <mergeCell ref="A438:B438"/>
    <mergeCell ref="A439:B439"/>
    <mergeCell ref="L439:M439"/>
    <mergeCell ref="A431:H431"/>
    <mergeCell ref="B461:H461"/>
    <mergeCell ref="B462:H462"/>
    <mergeCell ref="B463:H463"/>
    <mergeCell ref="A440:H440"/>
    <mergeCell ref="A441:B441"/>
    <mergeCell ref="G441:H448"/>
    <mergeCell ref="L441:M441"/>
    <mergeCell ref="A442:B442"/>
    <mergeCell ref="L442:M442"/>
    <mergeCell ref="A443:B443"/>
    <mergeCell ref="L443:M443"/>
    <mergeCell ref="A444:B444"/>
    <mergeCell ref="L444:M444"/>
    <mergeCell ref="A445:B445"/>
    <mergeCell ref="C445:F446"/>
    <mergeCell ref="L445:M445"/>
    <mergeCell ref="A446:B446"/>
    <mergeCell ref="L446:M446"/>
    <mergeCell ref="A447:B447"/>
    <mergeCell ref="A448:B448"/>
    <mergeCell ref="L448:M448"/>
    <mergeCell ref="B451:H451"/>
    <mergeCell ref="A432:B43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478" max="16383" man="1"/>
    <brk id="521" max="16383" man="1"/>
    <brk id="56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32" t="s">
        <v>110</v>
      </c>
      <c r="C3" s="232"/>
      <c r="D3" s="232"/>
      <c r="E3" s="232"/>
      <c r="F3" s="232"/>
      <c r="G3" s="232"/>
      <c r="H3" s="232"/>
    </row>
    <row r="4" spans="1:9" x14ac:dyDescent="0.3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2025-07-11T11:47:00Z</cp:lastPrinted>
  <dcterms:created xsi:type="dcterms:W3CDTF">2019-07-16T09:29:46Z</dcterms:created>
  <dcterms:modified xsi:type="dcterms:W3CDTF">2025-07-11T11:49:13Z</dcterms:modified>
</cp:coreProperties>
</file>