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4B3E8915-2036-4E0B-960E-1B31EEFB7402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C79" i="1"/>
  <c r="C65" i="1"/>
  <c r="H80" i="1"/>
  <c r="D255" i="1" l="1"/>
  <c r="D276" i="1"/>
  <c r="F276" i="1" s="1"/>
  <c r="D277" i="1"/>
  <c r="F277" i="1" s="1"/>
  <c r="D274" i="1"/>
  <c r="D273" i="1"/>
  <c r="D272" i="1"/>
  <c r="F272" i="1" s="1"/>
  <c r="E274" i="1"/>
  <c r="E273" i="1"/>
  <c r="A273" i="1"/>
  <c r="A274" i="1" s="1"/>
  <c r="A275" i="1" s="1"/>
  <c r="A276" i="1" s="1"/>
  <c r="A277" i="1" s="1"/>
  <c r="G272" i="1"/>
  <c r="J124" i="1"/>
  <c r="M129" i="1"/>
  <c r="L130" i="1"/>
  <c r="L129" i="1"/>
  <c r="E270" i="1"/>
  <c r="D263" i="1"/>
  <c r="E268" i="1"/>
  <c r="E266" i="1"/>
  <c r="E265" i="1"/>
  <c r="E259" i="1"/>
  <c r="D258" i="1"/>
  <c r="E256" i="1"/>
  <c r="E252" i="1"/>
  <c r="E251" i="1"/>
  <c r="E249" i="1"/>
  <c r="E247" i="1"/>
  <c r="E245" i="1"/>
  <c r="E238" i="1"/>
  <c r="E244" i="1"/>
  <c r="D237" i="1"/>
  <c r="F237" i="1" s="1"/>
  <c r="D235" i="1"/>
  <c r="D233" i="1"/>
  <c r="D231" i="1"/>
  <c r="D230" i="1"/>
  <c r="D242" i="1"/>
  <c r="F242" i="1" s="1"/>
  <c r="D241" i="1"/>
  <c r="F241" i="1" s="1"/>
  <c r="E240" i="1"/>
  <c r="D240" i="1"/>
  <c r="F240" i="1" s="1"/>
  <c r="E239" i="1"/>
  <c r="D239" i="1"/>
  <c r="D238" i="1"/>
  <c r="G237" i="1"/>
  <c r="E225" i="1"/>
  <c r="E215" i="1"/>
  <c r="D225" i="1"/>
  <c r="E223" i="1"/>
  <c r="E222" i="1"/>
  <c r="D223" i="1"/>
  <c r="D222" i="1"/>
  <c r="A223" i="1"/>
  <c r="A224" i="1" s="1"/>
  <c r="A225" i="1" s="1"/>
  <c r="G222" i="1"/>
  <c r="E218" i="1"/>
  <c r="E219" i="1"/>
  <c r="D219" i="1"/>
  <c r="E200" i="1"/>
  <c r="D200" i="1"/>
  <c r="E199" i="1"/>
  <c r="D199" i="1"/>
  <c r="E198" i="1"/>
  <c r="D198" i="1"/>
  <c r="G197" i="1"/>
  <c r="E197" i="1"/>
  <c r="D197" i="1"/>
  <c r="D183" i="1"/>
  <c r="F183" i="1" s="1"/>
  <c r="E182" i="1"/>
  <c r="D182" i="1"/>
  <c r="G182" i="1"/>
  <c r="D161" i="1"/>
  <c r="D143" i="1"/>
  <c r="F143" i="1" s="1"/>
  <c r="D141" i="1"/>
  <c r="D142" i="1"/>
  <c r="D140" i="1"/>
  <c r="E144" i="1"/>
  <c r="D144" i="1"/>
  <c r="E142" i="1"/>
  <c r="E141" i="1"/>
  <c r="G140" i="1"/>
  <c r="E140" i="1"/>
  <c r="D138" i="1"/>
  <c r="F223" i="1" l="1"/>
  <c r="F273" i="1"/>
  <c r="F274" i="1"/>
  <c r="F142" i="1"/>
  <c r="F225" i="1"/>
  <c r="F239" i="1"/>
  <c r="F238" i="1"/>
  <c r="F198" i="1"/>
  <c r="F197" i="1"/>
  <c r="F140" i="1"/>
  <c r="F200" i="1"/>
  <c r="F144" i="1"/>
  <c r="F199" i="1"/>
  <c r="F219" i="1"/>
  <c r="F222" i="1"/>
  <c r="F141" i="1"/>
  <c r="F182" i="1"/>
  <c r="J90" i="1"/>
  <c r="J89" i="1"/>
  <c r="J88" i="1"/>
  <c r="J87" i="1"/>
  <c r="J82" i="1" l="1"/>
  <c r="D92" i="1"/>
  <c r="D90" i="1"/>
  <c r="D88" i="1"/>
  <c r="D86" i="1"/>
  <c r="J85" i="1"/>
  <c r="J86" i="1" s="1"/>
  <c r="J91" i="1" s="1"/>
  <c r="J92" i="1" s="1"/>
  <c r="C84" i="1" s="1"/>
  <c r="D91" i="1"/>
  <c r="D89" i="1"/>
  <c r="D87" i="1"/>
  <c r="D85" i="1"/>
  <c r="J83" i="1"/>
  <c r="J84" i="1"/>
  <c r="C83" i="1" s="1"/>
  <c r="D83" i="1" s="1"/>
  <c r="E27" i="1"/>
  <c r="E24" i="1"/>
  <c r="E22" i="1"/>
  <c r="E83" i="1" l="1"/>
  <c r="I79" i="1" s="1"/>
  <c r="C81" i="1" s="1"/>
  <c r="D84" i="1"/>
  <c r="G83" i="1"/>
  <c r="D270" i="1"/>
  <c r="F270" i="1" s="1"/>
  <c r="D268" i="1"/>
  <c r="D267" i="1"/>
  <c r="D266" i="1"/>
  <c r="D265" i="1"/>
  <c r="F265" i="1" s="1"/>
  <c r="D269" i="1"/>
  <c r="F269" i="1" s="1"/>
  <c r="E267" i="1"/>
  <c r="A266" i="1"/>
  <c r="A267" i="1" s="1"/>
  <c r="A268" i="1" s="1"/>
  <c r="A269" i="1" s="1"/>
  <c r="A270" i="1" s="1"/>
  <c r="G265" i="1"/>
  <c r="E220" i="1"/>
  <c r="D220" i="1"/>
  <c r="D213" i="1"/>
  <c r="D218" i="1"/>
  <c r="E217" i="1"/>
  <c r="D217" i="1"/>
  <c r="A218" i="1"/>
  <c r="G217" i="1"/>
  <c r="D168" i="1"/>
  <c r="E180" i="1"/>
  <c r="D180" i="1"/>
  <c r="E177" i="1"/>
  <c r="D177" i="1"/>
  <c r="E176" i="1"/>
  <c r="D176" i="1"/>
  <c r="D179" i="1"/>
  <c r="F179" i="1" s="1"/>
  <c r="E178" i="1"/>
  <c r="D178" i="1"/>
  <c r="A178" i="1"/>
  <c r="A179" i="1" s="1"/>
  <c r="A180" i="1" s="1"/>
  <c r="G176" i="1"/>
  <c r="E174" i="1"/>
  <c r="D174" i="1"/>
  <c r="E171" i="1"/>
  <c r="D171" i="1"/>
  <c r="E170" i="1"/>
  <c r="D170" i="1"/>
  <c r="D173" i="1"/>
  <c r="F173" i="1" s="1"/>
  <c r="E172" i="1"/>
  <c r="D172" i="1"/>
  <c r="A172" i="1"/>
  <c r="A173" i="1" s="1"/>
  <c r="A174" i="1" s="1"/>
  <c r="G170" i="1"/>
  <c r="F255" i="1"/>
  <c r="D262" i="1"/>
  <c r="F262" i="1" s="1"/>
  <c r="E261" i="1"/>
  <c r="D261" i="1"/>
  <c r="E260" i="1"/>
  <c r="D260" i="1"/>
  <c r="D259" i="1"/>
  <c r="A259" i="1"/>
  <c r="A260" i="1" s="1"/>
  <c r="A261" i="1" s="1"/>
  <c r="A262" i="1" s="1"/>
  <c r="A263" i="1" s="1"/>
  <c r="G258" i="1"/>
  <c r="D215" i="1"/>
  <c r="E214" i="1"/>
  <c r="D214" i="1"/>
  <c r="E213" i="1"/>
  <c r="E212" i="1"/>
  <c r="D212" i="1"/>
  <c r="A213" i="1"/>
  <c r="A214" i="1" s="1"/>
  <c r="A215" i="1" s="1"/>
  <c r="G212" i="1"/>
  <c r="E168" i="1"/>
  <c r="D167" i="1"/>
  <c r="F167" i="1" s="1"/>
  <c r="E166" i="1"/>
  <c r="D166" i="1"/>
  <c r="E165" i="1"/>
  <c r="D165" i="1"/>
  <c r="E164" i="1"/>
  <c r="D164" i="1"/>
  <c r="A165" i="1"/>
  <c r="A166" i="1" s="1"/>
  <c r="A167" i="1" s="1"/>
  <c r="A168" i="1" s="1"/>
  <c r="G164" i="1"/>
  <c r="D256" i="1"/>
  <c r="F256" i="1" s="1"/>
  <c r="E253" i="1"/>
  <c r="D253" i="1"/>
  <c r="D252" i="1"/>
  <c r="D251" i="1"/>
  <c r="F251" i="1" s="1"/>
  <c r="A252" i="1"/>
  <c r="A253" i="1" s="1"/>
  <c r="A254" i="1" s="1"/>
  <c r="A255" i="1" s="1"/>
  <c r="A256" i="1" s="1"/>
  <c r="G251" i="1"/>
  <c r="E210" i="1"/>
  <c r="D210" i="1"/>
  <c r="E208" i="1"/>
  <c r="D208" i="1"/>
  <c r="E207" i="1"/>
  <c r="D207" i="1"/>
  <c r="A208" i="1"/>
  <c r="A209" i="1" s="1"/>
  <c r="A210" i="1" s="1"/>
  <c r="G207" i="1"/>
  <c r="E162" i="1"/>
  <c r="D162" i="1"/>
  <c r="E161" i="1"/>
  <c r="E160" i="1"/>
  <c r="D160" i="1"/>
  <c r="E159" i="1"/>
  <c r="D159" i="1"/>
  <c r="E158" i="1"/>
  <c r="D158" i="1"/>
  <c r="A159" i="1"/>
  <c r="A160" i="1" s="1"/>
  <c r="A161" i="1" s="1"/>
  <c r="A162" i="1" s="1"/>
  <c r="G158" i="1"/>
  <c r="D249" i="1"/>
  <c r="F249" i="1" s="1"/>
  <c r="D247" i="1"/>
  <c r="D246" i="1"/>
  <c r="D245" i="1"/>
  <c r="D244" i="1"/>
  <c r="F244" i="1" s="1"/>
  <c r="D248" i="1"/>
  <c r="F248" i="1" s="1"/>
  <c r="E246" i="1"/>
  <c r="D234" i="1"/>
  <c r="F234" i="1" s="1"/>
  <c r="E233" i="1"/>
  <c r="E232" i="1"/>
  <c r="D232" i="1"/>
  <c r="E231" i="1"/>
  <c r="G244" i="1"/>
  <c r="G230" i="1"/>
  <c r="E205" i="1"/>
  <c r="D205" i="1"/>
  <c r="E204" i="1"/>
  <c r="D204" i="1"/>
  <c r="E203" i="1"/>
  <c r="D203" i="1"/>
  <c r="E202" i="1"/>
  <c r="D202" i="1"/>
  <c r="E195" i="1"/>
  <c r="D195" i="1"/>
  <c r="E193" i="1"/>
  <c r="E194" i="1"/>
  <c r="D194" i="1"/>
  <c r="D193" i="1"/>
  <c r="E192" i="1"/>
  <c r="D192" i="1"/>
  <c r="G202" i="1"/>
  <c r="G192" i="1"/>
  <c r="E156" i="1"/>
  <c r="D156" i="1"/>
  <c r="D154" i="1"/>
  <c r="E153" i="1"/>
  <c r="D153" i="1"/>
  <c r="E152" i="1"/>
  <c r="D152" i="1"/>
  <c r="D155" i="1"/>
  <c r="F155" i="1" s="1"/>
  <c r="E154" i="1"/>
  <c r="G152" i="1"/>
  <c r="E150" i="1"/>
  <c r="D150" i="1"/>
  <c r="D149" i="1"/>
  <c r="E148" i="1"/>
  <c r="D148" i="1"/>
  <c r="E147" i="1"/>
  <c r="D147" i="1"/>
  <c r="E146" i="1"/>
  <c r="D146" i="1"/>
  <c r="D190" i="1"/>
  <c r="F190" i="1" s="1"/>
  <c r="D189" i="1"/>
  <c r="F189" i="1" s="1"/>
  <c r="D188" i="1"/>
  <c r="A188" i="1"/>
  <c r="A189" i="1" s="1"/>
  <c r="A190" i="1" s="1"/>
  <c r="G187" i="1"/>
  <c r="F138" i="1"/>
  <c r="D137" i="1"/>
  <c r="F137" i="1" s="1"/>
  <c r="D136" i="1"/>
  <c r="F136" i="1" s="1"/>
  <c r="D134" i="1"/>
  <c r="A135" i="1"/>
  <c r="A136" i="1" s="1"/>
  <c r="A137" i="1" s="1"/>
  <c r="A138" i="1" s="1"/>
  <c r="G134" i="1"/>
  <c r="F188" i="1" l="1"/>
  <c r="C124" i="1"/>
  <c r="E124" i="1"/>
  <c r="F134" i="1"/>
  <c r="C123" i="1"/>
  <c r="E123" i="1"/>
  <c r="C125" i="1"/>
  <c r="C126" i="1" s="1"/>
  <c r="E125" i="1"/>
  <c r="F252" i="1"/>
  <c r="F232" i="1"/>
  <c r="F162" i="1"/>
  <c r="F210" i="1"/>
  <c r="F259" i="1"/>
  <c r="F231" i="1"/>
  <c r="F178" i="1"/>
  <c r="F230" i="1"/>
  <c r="F260" i="1"/>
  <c r="F233" i="1"/>
  <c r="F253" i="1"/>
  <c r="F261" i="1"/>
  <c r="F172" i="1"/>
  <c r="F177" i="1"/>
  <c r="F217" i="1"/>
  <c r="F267" i="1"/>
  <c r="F193" i="1"/>
  <c r="F215" i="1"/>
  <c r="F154" i="1"/>
  <c r="F203" i="1"/>
  <c r="F218" i="1"/>
  <c r="F246" i="1"/>
  <c r="F160" i="1"/>
  <c r="F207" i="1"/>
  <c r="F176" i="1"/>
  <c r="F168" i="1"/>
  <c r="F213" i="1"/>
  <c r="F161" i="1"/>
  <c r="F208" i="1"/>
  <c r="F164" i="1"/>
  <c r="F152" i="1"/>
  <c r="F195" i="1"/>
  <c r="F158" i="1"/>
  <c r="F165" i="1"/>
  <c r="F212" i="1"/>
  <c r="F266" i="1"/>
  <c r="F159" i="1"/>
  <c r="F258" i="1"/>
  <c r="F180" i="1"/>
  <c r="F268" i="1"/>
  <c r="F220" i="1"/>
  <c r="F174" i="1"/>
  <c r="F171" i="1"/>
  <c r="F170" i="1"/>
  <c r="F263" i="1"/>
  <c r="F214" i="1"/>
  <c r="F166" i="1"/>
  <c r="F247" i="1"/>
  <c r="F245" i="1"/>
  <c r="F235" i="1"/>
  <c r="F205" i="1"/>
  <c r="F204" i="1"/>
  <c r="F202" i="1"/>
  <c r="F156" i="1"/>
  <c r="F194" i="1"/>
  <c r="F192" i="1"/>
  <c r="F153" i="1"/>
  <c r="G125" i="1" l="1"/>
  <c r="G124" i="1"/>
  <c r="E126" i="1"/>
  <c r="B280" i="1"/>
  <c r="C13" i="1" l="1"/>
  <c r="F150" i="1" l="1"/>
  <c r="F149" i="1"/>
  <c r="F148" i="1"/>
  <c r="F147" i="1"/>
  <c r="F146" i="1"/>
  <c r="G123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03" i="1"/>
  <c r="G146" i="1"/>
  <c r="F120" i="1"/>
  <c r="J104" i="1"/>
  <c r="J103" i="1"/>
  <c r="J102" i="1"/>
  <c r="J101" i="1"/>
  <c r="C93" i="1"/>
  <c r="J76" i="1"/>
  <c r="J75" i="1"/>
  <c r="J74" i="1"/>
  <c r="J73" i="1"/>
  <c r="D52" i="1"/>
  <c r="G47" i="1"/>
  <c r="G48" i="1" s="1"/>
  <c r="C47" i="1"/>
  <c r="C48" i="1" s="1"/>
  <c r="E40" i="1"/>
  <c r="E41" i="1" s="1"/>
  <c r="E7" i="1"/>
  <c r="E3" i="1"/>
  <c r="D59" i="1" s="1"/>
  <c r="H66" i="1"/>
  <c r="H94" i="1"/>
  <c r="G126" i="1" l="1"/>
  <c r="D71" i="1"/>
  <c r="J69" i="1"/>
  <c r="D78" i="1"/>
  <c r="D76" i="1"/>
  <c r="D74" i="1"/>
  <c r="D72" i="1"/>
  <c r="J70" i="1"/>
  <c r="C69" i="1" s="1"/>
  <c r="D69" i="1" s="1"/>
  <c r="J68" i="1"/>
  <c r="J71" i="1"/>
  <c r="J72" i="1" s="1"/>
  <c r="J77" i="1" s="1"/>
  <c r="J78" i="1" s="1"/>
  <c r="C70" i="1" s="1"/>
  <c r="D77" i="1"/>
  <c r="D73" i="1"/>
  <c r="D75" i="1"/>
  <c r="D99" i="1"/>
  <c r="J97" i="1"/>
  <c r="D106" i="1"/>
  <c r="D104" i="1"/>
  <c r="D102" i="1"/>
  <c r="D100" i="1"/>
  <c r="J98" i="1"/>
  <c r="C97" i="1" s="1"/>
  <c r="D97" i="1" s="1"/>
  <c r="J96" i="1"/>
  <c r="J99" i="1"/>
  <c r="J100" i="1" s="1"/>
  <c r="J105" i="1" s="1"/>
  <c r="J106" i="1" s="1"/>
  <c r="C98" i="1" s="1"/>
  <c r="D105" i="1"/>
  <c r="D103" i="1"/>
  <c r="D101" i="1"/>
  <c r="E97" i="1" l="1"/>
  <c r="I93" i="1" s="1"/>
  <c r="D98" i="1"/>
  <c r="E69" i="1"/>
  <c r="I65" i="1" s="1"/>
  <c r="D70" i="1"/>
  <c r="G97" i="1"/>
  <c r="G69" i="1"/>
  <c r="D63" i="1" s="1"/>
  <c r="D64" i="1" s="1"/>
  <c r="C95" i="1" l="1"/>
  <c r="C67" i="1"/>
  <c r="F64" i="1"/>
</calcChain>
</file>

<file path=xl/sharedStrings.xml><?xml version="1.0" encoding="utf-8"?>
<sst xmlns="http://schemas.openxmlformats.org/spreadsheetml/2006/main" count="472" uniqueCount="235">
  <si>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</si>
  <si>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</si>
  <si>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</si>
  <si>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</si>
  <si>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</si>
  <si>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</si>
  <si>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</si>
  <si>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</si>
  <si>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</si>
  <si>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</si>
  <si>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</si>
  <si>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</si>
  <si>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</si>
  <si>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</si>
  <si>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</si>
  <si>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</si>
  <si>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</si>
  <si>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</si>
  <si>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</si>
  <si>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</si>
  <si>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</si>
  <si>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</si>
  <si>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</si>
  <si>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</si>
  <si>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</si>
  <si>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</si>
  <si>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</si>
  <si>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</si>
  <si>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</si>
  <si>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</si>
  <si>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</si>
  <si>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</si>
  <si>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</si>
  <si>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</si>
  <si>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</si>
  <si>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</si>
  <si>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</si>
  <si>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</si>
  <si>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</si>
  <si>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</si>
  <si>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</si>
  <si>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</si>
  <si>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</si>
  <si>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</si>
  <si>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</si>
  <si>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</si>
  <si>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</si>
  <si>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</si>
  <si>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</si>
  <si>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</si>
  <si>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</si>
  <si>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</si>
  <si>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</si>
  <si>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</si>
  <si>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</si>
  <si>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</si>
  <si>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</si>
  <si>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</si>
  <si>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</si>
  <si>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</si>
  <si>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</si>
  <si>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</si>
  <si>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</si>
  <si>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</si>
  <si>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</si>
  <si>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</si>
  <si>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</si>
  <si>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</si>
  <si>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</si>
  <si>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</si>
  <si>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</si>
  <si>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</si>
  <si>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</si>
  <si>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</si>
  <si>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</si>
  <si>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</si>
  <si>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</si>
  <si>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</si>
  <si>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</si>
  <si>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</si>
  <si>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</si>
  <si>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</si>
  <si>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</si>
  <si>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</si>
  <si>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</si>
  <si>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</si>
  <si>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</si>
  <si>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</si>
  <si>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</si>
  <si>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</si>
  <si>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</si>
  <si>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</si>
  <si>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</si>
  <si>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</si>
  <si>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</si>
  <si>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</si>
  <si>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</si>
  <si>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</si>
  <si>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</si>
  <si>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</si>
  <si>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</si>
  <si>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</si>
  <si>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</si>
  <si>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</si>
  <si>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</si>
  <si>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</si>
  <si>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</si>
  <si>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</si>
  <si>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</si>
  <si>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</si>
  <si>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</si>
  <si>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</si>
  <si>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</si>
  <si>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</si>
  <si>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</si>
  <si>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</si>
  <si>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</si>
  <si>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</si>
  <si>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</si>
  <si>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</si>
  <si>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</si>
  <si>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</si>
  <si>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</si>
  <si>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</si>
  <si>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</si>
  <si>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</si>
  <si>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</si>
  <si>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</si>
  <si>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</si>
  <si>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</si>
  <si>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</si>
  <si>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</si>
  <si>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</si>
  <si>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</si>
  <si>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</si>
  <si>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</si>
  <si>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</si>
  <si>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</si>
  <si>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</si>
  <si>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</si>
  <si>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</si>
  <si>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</si>
  <si>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</si>
  <si>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</si>
  <si>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</si>
  <si>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</si>
  <si>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</si>
  <si>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</si>
  <si>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</si>
  <si>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</si>
  <si>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</si>
  <si>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</si>
  <si>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</si>
  <si>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</si>
  <si>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</si>
  <si>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</si>
  <si>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</si>
  <si>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</si>
  <si>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</si>
  <si>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</si>
  <si>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</si>
  <si>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</si>
  <si>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</si>
  <si>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</si>
  <si>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</si>
  <si>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</si>
  <si>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 Wing (A Wing)</t>
  </si>
  <si>
    <t>A Wing (A1 Wing)</t>
  </si>
  <si>
    <t>B Wing</t>
  </si>
  <si>
    <t>Basement Floor for Parking</t>
  </si>
  <si>
    <t>Ground Floor for Residential</t>
  </si>
  <si>
    <t>2BHK</t>
  </si>
  <si>
    <t>Society Office</t>
  </si>
  <si>
    <t>1BHK</t>
  </si>
  <si>
    <t>Fitness center &amp; Creche</t>
  </si>
  <si>
    <t>2nd, 4th &amp; 6th Floor</t>
  </si>
  <si>
    <t>8th Floor</t>
  </si>
  <si>
    <t>Refuge Area</t>
  </si>
  <si>
    <t>8th Floor (Part Refuge Area)</t>
  </si>
  <si>
    <t>Axis Sanpada</t>
  </si>
  <si>
    <t>Panvelkar Empire</t>
  </si>
  <si>
    <t>Deepa Kotian - 7744002288</t>
  </si>
  <si>
    <t>A Wing (A &amp; A1 Wing) 
B Wing</t>
  </si>
  <si>
    <t>Survey No</t>
  </si>
  <si>
    <t>Ambarnath west</t>
  </si>
  <si>
    <t>Thane</t>
  </si>
  <si>
    <t>Ambarnath</t>
  </si>
  <si>
    <t>2.3 KM from Ambarnath Railway Station</t>
  </si>
  <si>
    <t>Galaxy Apartment C wing</t>
  </si>
  <si>
    <t>Narayan nagar road</t>
  </si>
  <si>
    <t>Building</t>
  </si>
  <si>
    <t>Ambernath Municipal Council</t>
  </si>
  <si>
    <t>We considered Gross carpet area = Net carpet + Enclose balcony + O. P Area.</t>
  </si>
  <si>
    <t>On Site, we meet Ms. Deepa (7744002288).</t>
  </si>
  <si>
    <t>M/s.Om Sai Shraddha Developers</t>
  </si>
  <si>
    <t>RERA Name &amp; No.</t>
  </si>
  <si>
    <t>Redevlopment Of Panvelkar Empire Wing A Wing A-1 Wing B = P51700026198</t>
  </si>
  <si>
    <t>30, Hissa No. 4A (Pt) &amp; 31, H. No. 2 (Pt), C.T.S. No.66/3(Pt) &amp; 74/1(Pt)</t>
  </si>
  <si>
    <t>Kohoj Khuntavli</t>
  </si>
  <si>
    <t>Slum</t>
  </si>
  <si>
    <t>03 Wings</t>
  </si>
  <si>
    <t>Approved Plans, CC, Sale Plans, Cost Sheet</t>
  </si>
  <si>
    <t xml:space="preserve">1.Vitrified tiles flooring 2. Granite Kitchen Platform  3. Decorative Enternace  etc. 
</t>
  </si>
  <si>
    <t>Location Link</t>
  </si>
  <si>
    <t>https://goo.gl/maps/FPy7m4L31C9qMKBj8</t>
  </si>
  <si>
    <t>ANP/NRV/BP/2022-23/1228/9384/76</t>
  </si>
  <si>
    <t>B Wing = B1 + G/St + 1st to 14th Floor</t>
  </si>
  <si>
    <t>A Wing (A Wing) = B1 + G/St + 1st to 14th Floor</t>
  </si>
  <si>
    <t>1st Floor for Residential</t>
  </si>
  <si>
    <t>3rd, 5th &amp; 7th Floor for Residential</t>
  </si>
  <si>
    <t>9th &amp; 11th Floor</t>
  </si>
  <si>
    <t>10th &amp; 12th Floor</t>
  </si>
  <si>
    <t>13th Floor</t>
  </si>
  <si>
    <t>In Approved plan &amp; C.C, "Wing - A &amp; B" are mentioned, but on RERA &amp; Sale plan, "A, A1 &amp; B Wing" are mentioned.</t>
  </si>
  <si>
    <t xml:space="preserve">We have updated revised approved floor plan &amp; C.C (on 28/07/2023).
</t>
  </si>
  <si>
    <t>14th Floor</t>
  </si>
  <si>
    <t>13th Floor (Part Refuge Area)</t>
  </si>
  <si>
    <t>Ground Floor for Parking</t>
  </si>
  <si>
    <t>3rd, 5th &amp; 7th Floor</t>
  </si>
  <si>
    <t>10th, 12th &amp; 14th Floor</t>
  </si>
  <si>
    <t>Valid Up to:  A Wing (A &amp; A1 Wing) = B1 + G/St + 1st to 13th + 14th(PT) Floor
                     B Wing = B1 + G/St + 1st to 14th Floor</t>
  </si>
  <si>
    <t>Flats - 206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</si>
  <si>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</si>
  <si>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Latitude, Longitude</t>
  </si>
  <si>
    <t>19.2143333,73.2008328</t>
  </si>
  <si>
    <t>4000 to 4500</t>
  </si>
  <si>
    <t>Rushikesh</t>
  </si>
  <si>
    <t>verbal</t>
  </si>
  <si>
    <t xml:space="preserve">Recommended Rates of the Property have been revised on 29/11/2023.
</t>
  </si>
  <si>
    <t>Mr. Sudhir Bhosale</t>
  </si>
  <si>
    <t>A Wing (A1 Wing) = B1 + G/St + 1st to 13th Floor</t>
  </si>
  <si>
    <t>A Wing (A Wing) = B1 + G/St + 1st to 14th Floor
A Wing (A1 Wing) = B1 + G/St + 1st to 13th Floor
B Wing = B1 + G/St + 1st to 14th Floor</t>
  </si>
  <si>
    <t>As per RERA - 31/03/2026</t>
  </si>
  <si>
    <t xml:space="preserve">A, A1 &amp; B Wing = Construction work is in process at the time of Visit. (Slow Speed)
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</si>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</sst>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7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7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10" fillId="0" borderId="0" xfId="1" applyFont="1" applyProtection="1">
      <protection locked="0"/>
    </xf>
    <xf numFmtId="168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13" fillId="0" borderId="24" xfId="1" applyFont="1" applyBorder="1" applyAlignment="1" applyProtection="1">
      <alignment horizontal="left" vertical="top"/>
      <protection locked="0"/>
    </xf>
    <xf numFmtId="0" fontId="13" fillId="0" borderId="10" xfId="1" applyFont="1" applyBorder="1" applyAlignment="1" applyProtection="1">
      <alignment horizontal="left" vertical="top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8" fillId="0" borderId="24" xfId="0" applyNumberFormat="1" applyFont="1" applyBorder="1" applyAlignment="1" applyProtection="1">
      <alignment vertical="top" wrapText="1"/>
      <protection locked="0"/>
    </xf>
    <xf numFmtId="1" fontId="8" fillId="0" borderId="10" xfId="0" applyNumberFormat="1" applyFont="1" applyBorder="1" applyAlignment="1" applyProtection="1">
      <alignment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12" fillId="0" borderId="1" xfId="1" applyNumberFormat="1" applyFont="1" applyBorder="1" applyAlignment="1" applyProtection="1">
      <alignment horizontal="center" vertical="center" wrapText="1"/>
      <protection hidden="1"/>
    </xf>
    <xf numFmtId="9" fontId="12" fillId="0" borderId="5" xfId="1" applyNumberFormat="1" applyFont="1" applyBorder="1" applyAlignment="1" applyProtection="1">
      <alignment horizontal="center" vertical="center" wrapText="1"/>
      <protection hidden="1"/>
    </xf>
    <xf numFmtId="9" fontId="12" fillId="0" borderId="7" xfId="1" applyNumberFormat="1" applyFont="1" applyBorder="1" applyAlignment="1" applyProtection="1">
      <alignment horizontal="center" vertical="center" wrapText="1"/>
      <protection hidden="1"/>
    </xf>
    <xf numFmtId="9" fontId="12" fillId="0" borderId="8" xfId="1" applyNumberFormat="1" applyFont="1" applyBorder="1" applyAlignment="1" applyProtection="1">
      <alignment horizontal="center" vertical="center" wrapText="1"/>
      <protection hidden="1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4" fillId="0" borderId="1" xfId="10" applyBorder="1" applyAlignment="1" applyProtection="1">
      <alignment horizontal="left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68" fontId="13" fillId="0" borderId="1" xfId="9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102979</xdr:colOff>
      <xdr:row>347</xdr:row>
      <xdr:rowOff>0</xdr:rowOff>
    </xdr:from>
    <xdr:to>
      <xdr:col>6</xdr:col>
      <xdr:colOff>734863</xdr:colOff>
      <xdr:row>364</xdr:row>
      <xdr:rowOff>101896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2129" y="70199250"/>
          <a:ext cx="5089584" cy="35023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85725</xdr:colOff>
      <xdr:row>365</xdr:row>
      <xdr:rowOff>109622</xdr:rowOff>
    </xdr:from>
    <xdr:to>
      <xdr:col>6</xdr:col>
      <xdr:colOff>734863</xdr:colOff>
      <xdr:row>383</xdr:row>
      <xdr:rowOff>46005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4875" y="73909322"/>
          <a:ext cx="5106838" cy="35368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0</xdr:colOff>
      <xdr:row>303</xdr:row>
      <xdr:rowOff>0</xdr:rowOff>
    </xdr:from>
    <xdr:to>
      <xdr:col>9</xdr:col>
      <xdr:colOff>311150</xdr:colOff>
      <xdr:row>304</xdr:row>
      <xdr:rowOff>64328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8064500" y="62299850"/>
          <a:ext cx="311150" cy="2611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A</a:t>
          </a:r>
        </a:p>
      </xdr:txBody>
    </xdr:sp>
    <xdr:clientData/>
  </xdr:twoCellAnchor>
  <xdr:twoCellAnchor>
    <xdr:from>
      <xdr:col>13</xdr:col>
      <xdr:colOff>219075</xdr:colOff>
      <xdr:row>317</xdr:row>
      <xdr:rowOff>171450</xdr:rowOff>
    </xdr:from>
    <xdr:to>
      <xdr:col>13</xdr:col>
      <xdr:colOff>704850</xdr:colOff>
      <xdr:row>319</xdr:row>
      <xdr:rowOff>85725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915650" y="66351150"/>
          <a:ext cx="4857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 baseline="0">
              <a:solidFill>
                <a:srgbClr val="FF0000"/>
              </a:solidFill>
            </a:rPr>
            <a:t>A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904875</xdr:colOff>
      <xdr:row>335</xdr:row>
      <xdr:rowOff>28575</xdr:rowOff>
    </xdr:from>
    <xdr:to>
      <xdr:col>9</xdr:col>
      <xdr:colOff>228600</xdr:colOff>
      <xdr:row>336</xdr:row>
      <xdr:rowOff>142875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7429500" y="69808725"/>
          <a:ext cx="4857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 baseline="0">
              <a:solidFill>
                <a:srgbClr val="FF0000"/>
              </a:solidFill>
            </a:rPr>
            <a:t>B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1081909</xdr:colOff>
      <xdr:row>319</xdr:row>
      <xdr:rowOff>62077</xdr:rowOff>
    </xdr:from>
    <xdr:to>
      <xdr:col>9</xdr:col>
      <xdr:colOff>369504</xdr:colOff>
      <xdr:row>320</xdr:row>
      <xdr:rowOff>176048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7771743" y="66245718"/>
          <a:ext cx="485775" cy="3136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 baseline="0">
              <a:solidFill>
                <a:srgbClr val="FF0000"/>
              </a:solidFill>
            </a:rPr>
            <a:t>B</a:t>
          </a:r>
          <a:endParaRPr lang="en-IN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109745</xdr:colOff>
      <xdr:row>303</xdr:row>
      <xdr:rowOff>103118</xdr:rowOff>
    </xdr:from>
    <xdr:to>
      <xdr:col>11</xdr:col>
      <xdr:colOff>40585</xdr:colOff>
      <xdr:row>304</xdr:row>
      <xdr:rowOff>173640</xdr:rowOff>
    </xdr:to>
    <xdr:sp macro="" textlink="">
      <xdr:nvSpPr>
        <xdr:cNvPr id="50" name="TextBox 35">
          <a:extLst>
            <a:ext uri="{FF2B5EF4-FFF2-40B4-BE49-F238E27FC236}">
              <a16:creationId xmlns:a16="http://schemas.microsoft.com/office/drawing/2014/main" id="{4E216840-CDFA-4A37-B9AC-662B67EFE7A8}"/>
            </a:ext>
          </a:extLst>
        </xdr:cNvPr>
        <xdr:cNvSpPr txBox="1"/>
      </xdr:nvSpPr>
      <xdr:spPr>
        <a:xfrm>
          <a:off x="8558420" y="63491993"/>
          <a:ext cx="683315" cy="270547"/>
        </a:xfrm>
        <a:prstGeom prst="rect">
          <a:avLst/>
        </a:prstGeom>
        <a:solidFill>
          <a:schemeClr val="bg1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A</a:t>
          </a:r>
          <a:endParaRPr lang="en-IN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241024</xdr:colOff>
      <xdr:row>313</xdr:row>
      <xdr:rowOff>162753</xdr:rowOff>
    </xdr:from>
    <xdr:to>
      <xdr:col>16</xdr:col>
      <xdr:colOff>320536</xdr:colOff>
      <xdr:row>315</xdr:row>
      <xdr:rowOff>34492</xdr:rowOff>
    </xdr:to>
    <xdr:sp macro="" textlink="">
      <xdr:nvSpPr>
        <xdr:cNvPr id="52" name="TextBox 35">
          <a:extLst>
            <a:ext uri="{FF2B5EF4-FFF2-40B4-BE49-F238E27FC236}">
              <a16:creationId xmlns:a16="http://schemas.microsoft.com/office/drawing/2014/main" id="{E2C4878A-4902-42C7-8AEF-37C62D86C6F9}"/>
            </a:ext>
          </a:extLst>
        </xdr:cNvPr>
        <xdr:cNvSpPr txBox="1"/>
      </xdr:nvSpPr>
      <xdr:spPr>
        <a:xfrm>
          <a:off x="12433024" y="65542353"/>
          <a:ext cx="860562" cy="271789"/>
        </a:xfrm>
        <a:prstGeom prst="rect">
          <a:avLst/>
        </a:prstGeom>
        <a:solidFill>
          <a:schemeClr val="bg1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Wing</a:t>
          </a:r>
          <a:r>
            <a:rPr lang="en-US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B</a:t>
          </a:r>
          <a:endParaRPr lang="en-IN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443230</xdr:colOff>
      <xdr:row>302</xdr:row>
      <xdr:rowOff>59690</xdr:rowOff>
    </xdr:from>
    <xdr:to>
      <xdr:col>18</xdr:col>
      <xdr:colOff>107814</xdr:colOff>
      <xdr:row>343</xdr:row>
      <xdr:rowOff>65464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8375650" y="63237110"/>
          <a:ext cx="6354944" cy="8121074"/>
          <a:chOff x="184150" y="63144400"/>
          <a:chExt cx="6447654" cy="8070274"/>
        </a:xfrm>
      </xdr:grpSpPr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10915" y="69774674"/>
            <a:ext cx="1910259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5" name="Picture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4723" y="65980608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6" name="Picture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65980608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7" name="Picture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35295" y="67880816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63144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65869" y="6788081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45296" y="65980608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9115" y="63144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74080" y="631444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62386" y="67880816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64" name="TextBox 35">
            <a:extLst>
              <a:ext uri="{FF2B5EF4-FFF2-40B4-BE49-F238E27FC236}">
                <a16:creationId xmlns:a16="http://schemas.microsoft.com/office/drawing/2014/main" id="{0D60FFD6-9C7A-40D5-88F3-7E49D1CCD7DD}"/>
              </a:ext>
            </a:extLst>
          </xdr:cNvPr>
          <xdr:cNvSpPr txBox="1"/>
        </xdr:nvSpPr>
        <xdr:spPr>
          <a:xfrm>
            <a:off x="2556915" y="63512700"/>
            <a:ext cx="891760" cy="267372"/>
          </a:xfrm>
          <a:prstGeom prst="rect">
            <a:avLst/>
          </a:prstGeom>
          <a:noFill/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200" b="1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Wing</a:t>
            </a:r>
            <a:r>
              <a:rPr lang="en-US" sz="1200" b="1" baseline="0">
                <a:solidFill>
                  <a:srgbClr val="FF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A1</a:t>
            </a:r>
            <a:endPara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510540</xdr:colOff>
      <xdr:row>304</xdr:row>
      <xdr:rowOff>0</xdr:rowOff>
    </xdr:from>
    <xdr:to>
      <xdr:col>7</xdr:col>
      <xdr:colOff>220980</xdr:colOff>
      <xdr:row>344</xdr:row>
      <xdr:rowOff>38100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07CDB3A-FF82-456F-C04D-45F512279FF6}"/>
            </a:ext>
          </a:extLst>
        </xdr:cNvPr>
        <xdr:cNvGrpSpPr/>
      </xdr:nvGrpSpPr>
      <xdr:grpSpPr>
        <a:xfrm>
          <a:off x="510540" y="63573660"/>
          <a:ext cx="5593080" cy="7955280"/>
          <a:chOff x="109265" y="156754"/>
          <a:chExt cx="5975742" cy="9171874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FB48A90D-7C93-A605-2D4D-8CB73438BF95}"/>
              </a:ext>
            </a:extLst>
          </xdr:cNvPr>
          <xdr:cNvGrpSpPr/>
        </xdr:nvGrpSpPr>
        <xdr:grpSpPr>
          <a:xfrm>
            <a:off x="109265" y="2854800"/>
            <a:ext cx="5975742" cy="2520000"/>
            <a:chOff x="109265" y="2854800"/>
            <a:chExt cx="5975742" cy="2520000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06534658-D0A7-4498-28AB-E78B802905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265" y="285480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C86D7524-CC61-3CB3-0CFB-75A78FE305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49500" y="285480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C697095D-862E-82A2-6188-8B346F7961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89735" y="2854800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8230EE3-7E41-6BD4-6B18-0BDBF45536D2}"/>
              </a:ext>
            </a:extLst>
          </xdr:cNvPr>
          <xdr:cNvGrpSpPr/>
        </xdr:nvGrpSpPr>
        <xdr:grpSpPr>
          <a:xfrm>
            <a:off x="1530276" y="7888628"/>
            <a:ext cx="3133721" cy="1440000"/>
            <a:chOff x="926037" y="7888628"/>
            <a:chExt cx="3133721" cy="1440000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C208AF31-E589-5C52-1795-0C4DF04F79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926037" y="7888628"/>
              <a:ext cx="1078500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61533EAB-39B6-FD1F-B81B-AE20E778AB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49500" y="7888628"/>
              <a:ext cx="1910258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5011A4E-8470-DC91-EB92-B6C7ABC41960}"/>
              </a:ext>
            </a:extLst>
          </xdr:cNvPr>
          <xdr:cNvGrpSpPr/>
        </xdr:nvGrpSpPr>
        <xdr:grpSpPr>
          <a:xfrm>
            <a:off x="109265" y="156754"/>
            <a:ext cx="5975742" cy="2520000"/>
            <a:chOff x="109265" y="156754"/>
            <a:chExt cx="5975742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CB2738A0-9C6F-0D56-EB91-91BD929FB3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49500" y="15675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6CBDF903-D3BC-0D52-470E-7A0F1EE25FA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189735" y="15675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EF2CF66B-93B4-53C7-6DC7-B2516F3074A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09265" y="15675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E285F7D4-1913-C4D4-3D1B-3A4DD2CCED29}"/>
              </a:ext>
            </a:extLst>
          </xdr:cNvPr>
          <xdr:cNvGrpSpPr/>
        </xdr:nvGrpSpPr>
        <xdr:grpSpPr>
          <a:xfrm>
            <a:off x="515395" y="5551714"/>
            <a:ext cx="5163483" cy="2160000"/>
            <a:chOff x="380018" y="5551714"/>
            <a:chExt cx="5163483" cy="216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BAE041D3-DEF3-3975-43B2-C048BAEFF9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80018" y="555171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E54B67F6-59C8-76A9-895F-FD09DD6F271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918982" y="555171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0BA56695-BBC8-B848-7064-BCD1A9DA118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149500" y="5551714"/>
              <a:ext cx="1624519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10" name="TextBox 31">
            <a:extLst>
              <a:ext uri="{FF2B5EF4-FFF2-40B4-BE49-F238E27FC236}">
                <a16:creationId xmlns:a16="http://schemas.microsoft.com/office/drawing/2014/main" id="{F9E81BDF-A18A-1E89-E246-517E77DF04D0}"/>
              </a:ext>
            </a:extLst>
          </xdr:cNvPr>
          <xdr:cNvSpPr txBox="1"/>
        </xdr:nvSpPr>
        <xdr:spPr>
          <a:xfrm>
            <a:off x="5392994" y="3314441"/>
            <a:ext cx="571793" cy="4313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A1</a:t>
            </a:r>
          </a:p>
        </xdr:txBody>
      </xdr:sp>
      <xdr:sp macro="" textlink="">
        <xdr:nvSpPr>
          <xdr:cNvPr id="11" name="TextBox 32">
            <a:extLst>
              <a:ext uri="{FF2B5EF4-FFF2-40B4-BE49-F238E27FC236}">
                <a16:creationId xmlns:a16="http://schemas.microsoft.com/office/drawing/2014/main" id="{4A396AA5-CD62-FF66-4204-EF2A6BAAC637}"/>
              </a:ext>
            </a:extLst>
          </xdr:cNvPr>
          <xdr:cNvSpPr txBox="1"/>
        </xdr:nvSpPr>
        <xdr:spPr>
          <a:xfrm>
            <a:off x="2452935" y="288576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12" name="TextBox 33">
            <a:extLst>
              <a:ext uri="{FF2B5EF4-FFF2-40B4-BE49-F238E27FC236}">
                <a16:creationId xmlns:a16="http://schemas.microsoft.com/office/drawing/2014/main" id="{68A81016-1E92-EDFE-BF9D-FE3EFB37C6B3}"/>
              </a:ext>
            </a:extLst>
          </xdr:cNvPr>
          <xdr:cNvSpPr txBox="1"/>
        </xdr:nvSpPr>
        <xdr:spPr>
          <a:xfrm>
            <a:off x="459484" y="288576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B</a:t>
            </a:r>
          </a:p>
        </xdr:txBody>
      </xdr:sp>
      <xdr:sp macro="" textlink="">
        <xdr:nvSpPr>
          <xdr:cNvPr id="13" name="TextBox 34">
            <a:extLst>
              <a:ext uri="{FF2B5EF4-FFF2-40B4-BE49-F238E27FC236}">
                <a16:creationId xmlns:a16="http://schemas.microsoft.com/office/drawing/2014/main" id="{6BCF215E-E666-FE67-3BAC-285EDA629EB5}"/>
              </a:ext>
            </a:extLst>
          </xdr:cNvPr>
          <xdr:cNvSpPr txBox="1"/>
        </xdr:nvSpPr>
        <xdr:spPr>
          <a:xfrm>
            <a:off x="2670912" y="156754"/>
            <a:ext cx="571793" cy="431358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A1</a:t>
            </a:r>
          </a:p>
        </xdr:txBody>
      </xdr:sp>
      <xdr:sp macro="" textlink="">
        <xdr:nvSpPr>
          <xdr:cNvPr id="14" name="TextBox 35">
            <a:extLst>
              <a:ext uri="{FF2B5EF4-FFF2-40B4-BE49-F238E27FC236}">
                <a16:creationId xmlns:a16="http://schemas.microsoft.com/office/drawing/2014/main" id="{03C4ABDC-7BE9-7968-9FEE-076D7D7DC9D0}"/>
              </a:ext>
            </a:extLst>
          </xdr:cNvPr>
          <xdr:cNvSpPr txBox="1"/>
        </xdr:nvSpPr>
        <xdr:spPr>
          <a:xfrm>
            <a:off x="448865" y="365760"/>
            <a:ext cx="324128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b="1"/>
              <a:t>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FPy7m4L31C9qMKBj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46"/>
  <sheetViews>
    <sheetView tabSelected="1" view="pageBreakPreview" topLeftCell="A67" zoomScaleNormal="100" zoomScaleSheetLayoutView="100" zoomScalePageLayoutView="85" workbookViewId="0">
      <selection activeCell="I7" sqref="I7"/>
    </sheetView>
  </sheetViews>
  <sheetFormatPr defaultColWidth="9.21875" defaultRowHeight="15.6" x14ac:dyDescent="0.3"/>
  <cols>
    <col min="1" max="1" width="11.44140625" style="8" customWidth="1"/>
    <col min="2" max="2" width="12" style="8" customWidth="1"/>
    <col min="3" max="3" width="12.77734375" style="8" customWidth="1"/>
    <col min="4" max="4" width="14.21875" style="8" customWidth="1"/>
    <col min="5" max="7" width="11.77734375" style="8" customWidth="1"/>
    <col min="8" max="8" width="12.44140625" style="8" customWidth="1"/>
    <col min="9" max="9" width="17.44140625" style="3" customWidth="1"/>
    <col min="10" max="10" width="11.44140625" style="3" customWidth="1"/>
    <col min="11" max="11" width="11.21875" style="3" bestFit="1" customWidth="1"/>
    <col min="12" max="12" width="10.5546875" style="3" customWidth="1"/>
    <col min="13" max="13" width="11.77734375" style="3" customWidth="1"/>
    <col min="14" max="14" width="12.5546875" style="3" customWidth="1"/>
    <col min="15" max="15" width="9.77734375" style="3" customWidth="1"/>
    <col min="16" max="16" width="11.77734375" style="3" customWidth="1"/>
    <col min="17" max="247" width="9.21875" style="3"/>
    <col min="248" max="248" width="8.77734375" style="3" customWidth="1"/>
    <col min="249" max="249" width="9.77734375" style="3" customWidth="1"/>
    <col min="250" max="250" width="14.44140625" style="3" customWidth="1"/>
    <col min="251" max="251" width="7.21875" style="3" customWidth="1"/>
    <col min="252" max="252" width="5.5546875" style="3" customWidth="1"/>
    <col min="253" max="253" width="9" style="3" customWidth="1"/>
    <col min="254" max="255" width="9.77734375" style="3" customWidth="1"/>
    <col min="256" max="256" width="11.21875" style="3" customWidth="1"/>
    <col min="257" max="257" width="2.77734375" style="3" customWidth="1"/>
    <col min="258" max="258" width="3.5546875" style="3" customWidth="1"/>
    <col min="259" max="503" width="9.21875" style="3"/>
    <col min="504" max="504" width="8.77734375" style="3" customWidth="1"/>
    <col min="505" max="505" width="9.77734375" style="3" customWidth="1"/>
    <col min="506" max="506" width="14.44140625" style="3" customWidth="1"/>
    <col min="507" max="507" width="7.21875" style="3" customWidth="1"/>
    <col min="508" max="508" width="5.5546875" style="3" customWidth="1"/>
    <col min="509" max="509" width="9" style="3" customWidth="1"/>
    <col min="510" max="511" width="9.77734375" style="3" customWidth="1"/>
    <col min="512" max="512" width="11.21875" style="3" customWidth="1"/>
    <col min="513" max="513" width="2.77734375" style="3" customWidth="1"/>
    <col min="514" max="514" width="3.5546875" style="3" customWidth="1"/>
    <col min="515" max="759" width="9.21875" style="3"/>
    <col min="760" max="760" width="8.77734375" style="3" customWidth="1"/>
    <col min="761" max="761" width="9.77734375" style="3" customWidth="1"/>
    <col min="762" max="762" width="14.44140625" style="3" customWidth="1"/>
    <col min="763" max="763" width="7.21875" style="3" customWidth="1"/>
    <col min="764" max="764" width="5.5546875" style="3" customWidth="1"/>
    <col min="765" max="765" width="9" style="3" customWidth="1"/>
    <col min="766" max="767" width="9.77734375" style="3" customWidth="1"/>
    <col min="768" max="768" width="11.21875" style="3" customWidth="1"/>
    <col min="769" max="769" width="2.77734375" style="3" customWidth="1"/>
    <col min="770" max="770" width="3.5546875" style="3" customWidth="1"/>
    <col min="771" max="1015" width="9.21875" style="3"/>
    <col min="1016" max="1016" width="8.77734375" style="3" customWidth="1"/>
    <col min="1017" max="1017" width="9.77734375" style="3" customWidth="1"/>
    <col min="1018" max="1018" width="14.44140625" style="3" customWidth="1"/>
    <col min="1019" max="1019" width="7.21875" style="3" customWidth="1"/>
    <col min="1020" max="1020" width="5.5546875" style="3" customWidth="1"/>
    <col min="1021" max="1021" width="9" style="3" customWidth="1"/>
    <col min="1022" max="1023" width="9.77734375" style="3" customWidth="1"/>
    <col min="1024" max="1024" width="11.21875" style="3" customWidth="1"/>
    <col min="1025" max="1025" width="2.77734375" style="3" customWidth="1"/>
    <col min="1026" max="1026" width="3.5546875" style="3" customWidth="1"/>
    <col min="1027" max="1271" width="9.21875" style="3"/>
    <col min="1272" max="1272" width="8.77734375" style="3" customWidth="1"/>
    <col min="1273" max="1273" width="9.77734375" style="3" customWidth="1"/>
    <col min="1274" max="1274" width="14.44140625" style="3" customWidth="1"/>
    <col min="1275" max="1275" width="7.21875" style="3" customWidth="1"/>
    <col min="1276" max="1276" width="5.5546875" style="3" customWidth="1"/>
    <col min="1277" max="1277" width="9" style="3" customWidth="1"/>
    <col min="1278" max="1279" width="9.77734375" style="3" customWidth="1"/>
    <col min="1280" max="1280" width="11.21875" style="3" customWidth="1"/>
    <col min="1281" max="1281" width="2.77734375" style="3" customWidth="1"/>
    <col min="1282" max="1282" width="3.5546875" style="3" customWidth="1"/>
    <col min="1283" max="1527" width="9.21875" style="3"/>
    <col min="1528" max="1528" width="8.77734375" style="3" customWidth="1"/>
    <col min="1529" max="1529" width="9.77734375" style="3" customWidth="1"/>
    <col min="1530" max="1530" width="14.44140625" style="3" customWidth="1"/>
    <col min="1531" max="1531" width="7.21875" style="3" customWidth="1"/>
    <col min="1532" max="1532" width="5.5546875" style="3" customWidth="1"/>
    <col min="1533" max="1533" width="9" style="3" customWidth="1"/>
    <col min="1534" max="1535" width="9.77734375" style="3" customWidth="1"/>
    <col min="1536" max="1536" width="11.21875" style="3" customWidth="1"/>
    <col min="1537" max="1537" width="2.77734375" style="3" customWidth="1"/>
    <col min="1538" max="1538" width="3.5546875" style="3" customWidth="1"/>
    <col min="1539" max="1783" width="9.21875" style="3"/>
    <col min="1784" max="1784" width="8.77734375" style="3" customWidth="1"/>
    <col min="1785" max="1785" width="9.77734375" style="3" customWidth="1"/>
    <col min="1786" max="1786" width="14.44140625" style="3" customWidth="1"/>
    <col min="1787" max="1787" width="7.21875" style="3" customWidth="1"/>
    <col min="1788" max="1788" width="5.5546875" style="3" customWidth="1"/>
    <col min="1789" max="1789" width="9" style="3" customWidth="1"/>
    <col min="1790" max="1791" width="9.77734375" style="3" customWidth="1"/>
    <col min="1792" max="1792" width="11.21875" style="3" customWidth="1"/>
    <col min="1793" max="1793" width="2.77734375" style="3" customWidth="1"/>
    <col min="1794" max="1794" width="3.5546875" style="3" customWidth="1"/>
    <col min="1795" max="2039" width="9.21875" style="3"/>
    <col min="2040" max="2040" width="8.77734375" style="3" customWidth="1"/>
    <col min="2041" max="2041" width="9.77734375" style="3" customWidth="1"/>
    <col min="2042" max="2042" width="14.44140625" style="3" customWidth="1"/>
    <col min="2043" max="2043" width="7.21875" style="3" customWidth="1"/>
    <col min="2044" max="2044" width="5.5546875" style="3" customWidth="1"/>
    <col min="2045" max="2045" width="9" style="3" customWidth="1"/>
    <col min="2046" max="2047" width="9.77734375" style="3" customWidth="1"/>
    <col min="2048" max="2048" width="11.21875" style="3" customWidth="1"/>
    <col min="2049" max="2049" width="2.77734375" style="3" customWidth="1"/>
    <col min="2050" max="2050" width="3.5546875" style="3" customWidth="1"/>
    <col min="2051" max="2295" width="9.21875" style="3"/>
    <col min="2296" max="2296" width="8.77734375" style="3" customWidth="1"/>
    <col min="2297" max="2297" width="9.77734375" style="3" customWidth="1"/>
    <col min="2298" max="2298" width="14.44140625" style="3" customWidth="1"/>
    <col min="2299" max="2299" width="7.21875" style="3" customWidth="1"/>
    <col min="2300" max="2300" width="5.5546875" style="3" customWidth="1"/>
    <col min="2301" max="2301" width="9" style="3" customWidth="1"/>
    <col min="2302" max="2303" width="9.77734375" style="3" customWidth="1"/>
    <col min="2304" max="2304" width="11.21875" style="3" customWidth="1"/>
    <col min="2305" max="2305" width="2.77734375" style="3" customWidth="1"/>
    <col min="2306" max="2306" width="3.5546875" style="3" customWidth="1"/>
    <col min="2307" max="2551" width="9.21875" style="3"/>
    <col min="2552" max="2552" width="8.77734375" style="3" customWidth="1"/>
    <col min="2553" max="2553" width="9.77734375" style="3" customWidth="1"/>
    <col min="2554" max="2554" width="14.44140625" style="3" customWidth="1"/>
    <col min="2555" max="2555" width="7.21875" style="3" customWidth="1"/>
    <col min="2556" max="2556" width="5.5546875" style="3" customWidth="1"/>
    <col min="2557" max="2557" width="9" style="3" customWidth="1"/>
    <col min="2558" max="2559" width="9.77734375" style="3" customWidth="1"/>
    <col min="2560" max="2560" width="11.21875" style="3" customWidth="1"/>
    <col min="2561" max="2561" width="2.77734375" style="3" customWidth="1"/>
    <col min="2562" max="2562" width="3.5546875" style="3" customWidth="1"/>
    <col min="2563" max="2807" width="9.21875" style="3"/>
    <col min="2808" max="2808" width="8.77734375" style="3" customWidth="1"/>
    <col min="2809" max="2809" width="9.77734375" style="3" customWidth="1"/>
    <col min="2810" max="2810" width="14.44140625" style="3" customWidth="1"/>
    <col min="2811" max="2811" width="7.21875" style="3" customWidth="1"/>
    <col min="2812" max="2812" width="5.5546875" style="3" customWidth="1"/>
    <col min="2813" max="2813" width="9" style="3" customWidth="1"/>
    <col min="2814" max="2815" width="9.77734375" style="3" customWidth="1"/>
    <col min="2816" max="2816" width="11.21875" style="3" customWidth="1"/>
    <col min="2817" max="2817" width="2.77734375" style="3" customWidth="1"/>
    <col min="2818" max="2818" width="3.5546875" style="3" customWidth="1"/>
    <col min="2819" max="3063" width="9.21875" style="3"/>
    <col min="3064" max="3064" width="8.77734375" style="3" customWidth="1"/>
    <col min="3065" max="3065" width="9.77734375" style="3" customWidth="1"/>
    <col min="3066" max="3066" width="14.44140625" style="3" customWidth="1"/>
    <col min="3067" max="3067" width="7.21875" style="3" customWidth="1"/>
    <col min="3068" max="3068" width="5.5546875" style="3" customWidth="1"/>
    <col min="3069" max="3069" width="9" style="3" customWidth="1"/>
    <col min="3070" max="3071" width="9.77734375" style="3" customWidth="1"/>
    <col min="3072" max="3072" width="11.21875" style="3" customWidth="1"/>
    <col min="3073" max="3073" width="2.77734375" style="3" customWidth="1"/>
    <col min="3074" max="3074" width="3.5546875" style="3" customWidth="1"/>
    <col min="3075" max="3319" width="9.21875" style="3"/>
    <col min="3320" max="3320" width="8.77734375" style="3" customWidth="1"/>
    <col min="3321" max="3321" width="9.77734375" style="3" customWidth="1"/>
    <col min="3322" max="3322" width="14.44140625" style="3" customWidth="1"/>
    <col min="3323" max="3323" width="7.21875" style="3" customWidth="1"/>
    <col min="3324" max="3324" width="5.5546875" style="3" customWidth="1"/>
    <col min="3325" max="3325" width="9" style="3" customWidth="1"/>
    <col min="3326" max="3327" width="9.77734375" style="3" customWidth="1"/>
    <col min="3328" max="3328" width="11.21875" style="3" customWidth="1"/>
    <col min="3329" max="3329" width="2.77734375" style="3" customWidth="1"/>
    <col min="3330" max="3330" width="3.5546875" style="3" customWidth="1"/>
    <col min="3331" max="3575" width="9.21875" style="3"/>
    <col min="3576" max="3576" width="8.77734375" style="3" customWidth="1"/>
    <col min="3577" max="3577" width="9.77734375" style="3" customWidth="1"/>
    <col min="3578" max="3578" width="14.44140625" style="3" customWidth="1"/>
    <col min="3579" max="3579" width="7.21875" style="3" customWidth="1"/>
    <col min="3580" max="3580" width="5.5546875" style="3" customWidth="1"/>
    <col min="3581" max="3581" width="9" style="3" customWidth="1"/>
    <col min="3582" max="3583" width="9.77734375" style="3" customWidth="1"/>
    <col min="3584" max="3584" width="11.21875" style="3" customWidth="1"/>
    <col min="3585" max="3585" width="2.77734375" style="3" customWidth="1"/>
    <col min="3586" max="3586" width="3.5546875" style="3" customWidth="1"/>
    <col min="3587" max="3831" width="9.21875" style="3"/>
    <col min="3832" max="3832" width="8.77734375" style="3" customWidth="1"/>
    <col min="3833" max="3833" width="9.77734375" style="3" customWidth="1"/>
    <col min="3834" max="3834" width="14.44140625" style="3" customWidth="1"/>
    <col min="3835" max="3835" width="7.21875" style="3" customWidth="1"/>
    <col min="3836" max="3836" width="5.5546875" style="3" customWidth="1"/>
    <col min="3837" max="3837" width="9" style="3" customWidth="1"/>
    <col min="3838" max="3839" width="9.77734375" style="3" customWidth="1"/>
    <col min="3840" max="3840" width="11.21875" style="3" customWidth="1"/>
    <col min="3841" max="3841" width="2.77734375" style="3" customWidth="1"/>
    <col min="3842" max="3842" width="3.5546875" style="3" customWidth="1"/>
    <col min="3843" max="4087" width="9.21875" style="3"/>
    <col min="4088" max="4088" width="8.77734375" style="3" customWidth="1"/>
    <col min="4089" max="4089" width="9.77734375" style="3" customWidth="1"/>
    <col min="4090" max="4090" width="14.44140625" style="3" customWidth="1"/>
    <col min="4091" max="4091" width="7.21875" style="3" customWidth="1"/>
    <col min="4092" max="4092" width="5.5546875" style="3" customWidth="1"/>
    <col min="4093" max="4093" width="9" style="3" customWidth="1"/>
    <col min="4094" max="4095" width="9.77734375" style="3" customWidth="1"/>
    <col min="4096" max="4096" width="11.21875" style="3" customWidth="1"/>
    <col min="4097" max="4097" width="2.77734375" style="3" customWidth="1"/>
    <col min="4098" max="4098" width="3.5546875" style="3" customWidth="1"/>
    <col min="4099" max="4343" width="9.21875" style="3"/>
    <col min="4344" max="4344" width="8.77734375" style="3" customWidth="1"/>
    <col min="4345" max="4345" width="9.77734375" style="3" customWidth="1"/>
    <col min="4346" max="4346" width="14.44140625" style="3" customWidth="1"/>
    <col min="4347" max="4347" width="7.21875" style="3" customWidth="1"/>
    <col min="4348" max="4348" width="5.5546875" style="3" customWidth="1"/>
    <col min="4349" max="4349" width="9" style="3" customWidth="1"/>
    <col min="4350" max="4351" width="9.77734375" style="3" customWidth="1"/>
    <col min="4352" max="4352" width="11.21875" style="3" customWidth="1"/>
    <col min="4353" max="4353" width="2.77734375" style="3" customWidth="1"/>
    <col min="4354" max="4354" width="3.5546875" style="3" customWidth="1"/>
    <col min="4355" max="4599" width="9.21875" style="3"/>
    <col min="4600" max="4600" width="8.77734375" style="3" customWidth="1"/>
    <col min="4601" max="4601" width="9.77734375" style="3" customWidth="1"/>
    <col min="4602" max="4602" width="14.44140625" style="3" customWidth="1"/>
    <col min="4603" max="4603" width="7.21875" style="3" customWidth="1"/>
    <col min="4604" max="4604" width="5.5546875" style="3" customWidth="1"/>
    <col min="4605" max="4605" width="9" style="3" customWidth="1"/>
    <col min="4606" max="4607" width="9.77734375" style="3" customWidth="1"/>
    <col min="4608" max="4608" width="11.21875" style="3" customWidth="1"/>
    <col min="4609" max="4609" width="2.77734375" style="3" customWidth="1"/>
    <col min="4610" max="4610" width="3.5546875" style="3" customWidth="1"/>
    <col min="4611" max="4855" width="9.21875" style="3"/>
    <col min="4856" max="4856" width="8.77734375" style="3" customWidth="1"/>
    <col min="4857" max="4857" width="9.77734375" style="3" customWidth="1"/>
    <col min="4858" max="4858" width="14.44140625" style="3" customWidth="1"/>
    <col min="4859" max="4859" width="7.21875" style="3" customWidth="1"/>
    <col min="4860" max="4860" width="5.5546875" style="3" customWidth="1"/>
    <col min="4861" max="4861" width="9" style="3" customWidth="1"/>
    <col min="4862" max="4863" width="9.77734375" style="3" customWidth="1"/>
    <col min="4864" max="4864" width="11.21875" style="3" customWidth="1"/>
    <col min="4865" max="4865" width="2.77734375" style="3" customWidth="1"/>
    <col min="4866" max="4866" width="3.5546875" style="3" customWidth="1"/>
    <col min="4867" max="5111" width="9.21875" style="3"/>
    <col min="5112" max="5112" width="8.77734375" style="3" customWidth="1"/>
    <col min="5113" max="5113" width="9.77734375" style="3" customWidth="1"/>
    <col min="5114" max="5114" width="14.44140625" style="3" customWidth="1"/>
    <col min="5115" max="5115" width="7.21875" style="3" customWidth="1"/>
    <col min="5116" max="5116" width="5.5546875" style="3" customWidth="1"/>
    <col min="5117" max="5117" width="9" style="3" customWidth="1"/>
    <col min="5118" max="5119" width="9.77734375" style="3" customWidth="1"/>
    <col min="5120" max="5120" width="11.21875" style="3" customWidth="1"/>
    <col min="5121" max="5121" width="2.77734375" style="3" customWidth="1"/>
    <col min="5122" max="5122" width="3.5546875" style="3" customWidth="1"/>
    <col min="5123" max="5367" width="9.21875" style="3"/>
    <col min="5368" max="5368" width="8.77734375" style="3" customWidth="1"/>
    <col min="5369" max="5369" width="9.77734375" style="3" customWidth="1"/>
    <col min="5370" max="5370" width="14.44140625" style="3" customWidth="1"/>
    <col min="5371" max="5371" width="7.21875" style="3" customWidth="1"/>
    <col min="5372" max="5372" width="5.5546875" style="3" customWidth="1"/>
    <col min="5373" max="5373" width="9" style="3" customWidth="1"/>
    <col min="5374" max="5375" width="9.77734375" style="3" customWidth="1"/>
    <col min="5376" max="5376" width="11.21875" style="3" customWidth="1"/>
    <col min="5377" max="5377" width="2.77734375" style="3" customWidth="1"/>
    <col min="5378" max="5378" width="3.5546875" style="3" customWidth="1"/>
    <col min="5379" max="5623" width="9.21875" style="3"/>
    <col min="5624" max="5624" width="8.77734375" style="3" customWidth="1"/>
    <col min="5625" max="5625" width="9.77734375" style="3" customWidth="1"/>
    <col min="5626" max="5626" width="14.44140625" style="3" customWidth="1"/>
    <col min="5627" max="5627" width="7.21875" style="3" customWidth="1"/>
    <col min="5628" max="5628" width="5.5546875" style="3" customWidth="1"/>
    <col min="5629" max="5629" width="9" style="3" customWidth="1"/>
    <col min="5630" max="5631" width="9.77734375" style="3" customWidth="1"/>
    <col min="5632" max="5632" width="11.21875" style="3" customWidth="1"/>
    <col min="5633" max="5633" width="2.77734375" style="3" customWidth="1"/>
    <col min="5634" max="5634" width="3.5546875" style="3" customWidth="1"/>
    <col min="5635" max="5879" width="9.21875" style="3"/>
    <col min="5880" max="5880" width="8.77734375" style="3" customWidth="1"/>
    <col min="5881" max="5881" width="9.77734375" style="3" customWidth="1"/>
    <col min="5882" max="5882" width="14.44140625" style="3" customWidth="1"/>
    <col min="5883" max="5883" width="7.21875" style="3" customWidth="1"/>
    <col min="5884" max="5884" width="5.5546875" style="3" customWidth="1"/>
    <col min="5885" max="5885" width="9" style="3" customWidth="1"/>
    <col min="5886" max="5887" width="9.77734375" style="3" customWidth="1"/>
    <col min="5888" max="5888" width="11.21875" style="3" customWidth="1"/>
    <col min="5889" max="5889" width="2.77734375" style="3" customWidth="1"/>
    <col min="5890" max="5890" width="3.5546875" style="3" customWidth="1"/>
    <col min="5891" max="6135" width="9.21875" style="3"/>
    <col min="6136" max="6136" width="8.77734375" style="3" customWidth="1"/>
    <col min="6137" max="6137" width="9.77734375" style="3" customWidth="1"/>
    <col min="6138" max="6138" width="14.44140625" style="3" customWidth="1"/>
    <col min="6139" max="6139" width="7.21875" style="3" customWidth="1"/>
    <col min="6140" max="6140" width="5.5546875" style="3" customWidth="1"/>
    <col min="6141" max="6141" width="9" style="3" customWidth="1"/>
    <col min="6142" max="6143" width="9.77734375" style="3" customWidth="1"/>
    <col min="6144" max="6144" width="11.21875" style="3" customWidth="1"/>
    <col min="6145" max="6145" width="2.77734375" style="3" customWidth="1"/>
    <col min="6146" max="6146" width="3.5546875" style="3" customWidth="1"/>
    <col min="6147" max="6391" width="9.21875" style="3"/>
    <col min="6392" max="6392" width="8.77734375" style="3" customWidth="1"/>
    <col min="6393" max="6393" width="9.77734375" style="3" customWidth="1"/>
    <col min="6394" max="6394" width="14.44140625" style="3" customWidth="1"/>
    <col min="6395" max="6395" width="7.21875" style="3" customWidth="1"/>
    <col min="6396" max="6396" width="5.5546875" style="3" customWidth="1"/>
    <col min="6397" max="6397" width="9" style="3" customWidth="1"/>
    <col min="6398" max="6399" width="9.77734375" style="3" customWidth="1"/>
    <col min="6400" max="6400" width="11.21875" style="3" customWidth="1"/>
    <col min="6401" max="6401" width="2.77734375" style="3" customWidth="1"/>
    <col min="6402" max="6402" width="3.5546875" style="3" customWidth="1"/>
    <col min="6403" max="6647" width="9.21875" style="3"/>
    <col min="6648" max="6648" width="8.77734375" style="3" customWidth="1"/>
    <col min="6649" max="6649" width="9.77734375" style="3" customWidth="1"/>
    <col min="6650" max="6650" width="14.44140625" style="3" customWidth="1"/>
    <col min="6651" max="6651" width="7.21875" style="3" customWidth="1"/>
    <col min="6652" max="6652" width="5.5546875" style="3" customWidth="1"/>
    <col min="6653" max="6653" width="9" style="3" customWidth="1"/>
    <col min="6654" max="6655" width="9.77734375" style="3" customWidth="1"/>
    <col min="6656" max="6656" width="11.21875" style="3" customWidth="1"/>
    <col min="6657" max="6657" width="2.77734375" style="3" customWidth="1"/>
    <col min="6658" max="6658" width="3.5546875" style="3" customWidth="1"/>
    <col min="6659" max="6903" width="9.21875" style="3"/>
    <col min="6904" max="6904" width="8.77734375" style="3" customWidth="1"/>
    <col min="6905" max="6905" width="9.77734375" style="3" customWidth="1"/>
    <col min="6906" max="6906" width="14.44140625" style="3" customWidth="1"/>
    <col min="6907" max="6907" width="7.21875" style="3" customWidth="1"/>
    <col min="6908" max="6908" width="5.5546875" style="3" customWidth="1"/>
    <col min="6909" max="6909" width="9" style="3" customWidth="1"/>
    <col min="6910" max="6911" width="9.77734375" style="3" customWidth="1"/>
    <col min="6912" max="6912" width="11.21875" style="3" customWidth="1"/>
    <col min="6913" max="6913" width="2.77734375" style="3" customWidth="1"/>
    <col min="6914" max="6914" width="3.5546875" style="3" customWidth="1"/>
    <col min="6915" max="7159" width="9.21875" style="3"/>
    <col min="7160" max="7160" width="8.77734375" style="3" customWidth="1"/>
    <col min="7161" max="7161" width="9.77734375" style="3" customWidth="1"/>
    <col min="7162" max="7162" width="14.44140625" style="3" customWidth="1"/>
    <col min="7163" max="7163" width="7.21875" style="3" customWidth="1"/>
    <col min="7164" max="7164" width="5.5546875" style="3" customWidth="1"/>
    <col min="7165" max="7165" width="9" style="3" customWidth="1"/>
    <col min="7166" max="7167" width="9.77734375" style="3" customWidth="1"/>
    <col min="7168" max="7168" width="11.21875" style="3" customWidth="1"/>
    <col min="7169" max="7169" width="2.77734375" style="3" customWidth="1"/>
    <col min="7170" max="7170" width="3.5546875" style="3" customWidth="1"/>
    <col min="7171" max="7415" width="9.21875" style="3"/>
    <col min="7416" max="7416" width="8.77734375" style="3" customWidth="1"/>
    <col min="7417" max="7417" width="9.77734375" style="3" customWidth="1"/>
    <col min="7418" max="7418" width="14.44140625" style="3" customWidth="1"/>
    <col min="7419" max="7419" width="7.21875" style="3" customWidth="1"/>
    <col min="7420" max="7420" width="5.5546875" style="3" customWidth="1"/>
    <col min="7421" max="7421" width="9" style="3" customWidth="1"/>
    <col min="7422" max="7423" width="9.77734375" style="3" customWidth="1"/>
    <col min="7424" max="7424" width="11.21875" style="3" customWidth="1"/>
    <col min="7425" max="7425" width="2.77734375" style="3" customWidth="1"/>
    <col min="7426" max="7426" width="3.5546875" style="3" customWidth="1"/>
    <col min="7427" max="7671" width="9.21875" style="3"/>
    <col min="7672" max="7672" width="8.77734375" style="3" customWidth="1"/>
    <col min="7673" max="7673" width="9.77734375" style="3" customWidth="1"/>
    <col min="7674" max="7674" width="14.44140625" style="3" customWidth="1"/>
    <col min="7675" max="7675" width="7.21875" style="3" customWidth="1"/>
    <col min="7676" max="7676" width="5.5546875" style="3" customWidth="1"/>
    <col min="7677" max="7677" width="9" style="3" customWidth="1"/>
    <col min="7678" max="7679" width="9.77734375" style="3" customWidth="1"/>
    <col min="7680" max="7680" width="11.21875" style="3" customWidth="1"/>
    <col min="7681" max="7681" width="2.77734375" style="3" customWidth="1"/>
    <col min="7682" max="7682" width="3.5546875" style="3" customWidth="1"/>
    <col min="7683" max="7927" width="9.21875" style="3"/>
    <col min="7928" max="7928" width="8.77734375" style="3" customWidth="1"/>
    <col min="7929" max="7929" width="9.77734375" style="3" customWidth="1"/>
    <col min="7930" max="7930" width="14.44140625" style="3" customWidth="1"/>
    <col min="7931" max="7931" width="7.21875" style="3" customWidth="1"/>
    <col min="7932" max="7932" width="5.5546875" style="3" customWidth="1"/>
    <col min="7933" max="7933" width="9" style="3" customWidth="1"/>
    <col min="7934" max="7935" width="9.77734375" style="3" customWidth="1"/>
    <col min="7936" max="7936" width="11.21875" style="3" customWidth="1"/>
    <col min="7937" max="7937" width="2.77734375" style="3" customWidth="1"/>
    <col min="7938" max="7938" width="3.5546875" style="3" customWidth="1"/>
    <col min="7939" max="8183" width="9.21875" style="3"/>
    <col min="8184" max="8184" width="8.77734375" style="3" customWidth="1"/>
    <col min="8185" max="8185" width="9.77734375" style="3" customWidth="1"/>
    <col min="8186" max="8186" width="14.44140625" style="3" customWidth="1"/>
    <col min="8187" max="8187" width="7.21875" style="3" customWidth="1"/>
    <col min="8188" max="8188" width="5.5546875" style="3" customWidth="1"/>
    <col min="8189" max="8189" width="9" style="3" customWidth="1"/>
    <col min="8190" max="8191" width="9.77734375" style="3" customWidth="1"/>
    <col min="8192" max="8192" width="11.21875" style="3" customWidth="1"/>
    <col min="8193" max="8193" width="2.77734375" style="3" customWidth="1"/>
    <col min="8194" max="8194" width="3.5546875" style="3" customWidth="1"/>
    <col min="8195" max="8439" width="9.21875" style="3"/>
    <col min="8440" max="8440" width="8.77734375" style="3" customWidth="1"/>
    <col min="8441" max="8441" width="9.77734375" style="3" customWidth="1"/>
    <col min="8442" max="8442" width="14.44140625" style="3" customWidth="1"/>
    <col min="8443" max="8443" width="7.21875" style="3" customWidth="1"/>
    <col min="8444" max="8444" width="5.5546875" style="3" customWidth="1"/>
    <col min="8445" max="8445" width="9" style="3" customWidth="1"/>
    <col min="8446" max="8447" width="9.77734375" style="3" customWidth="1"/>
    <col min="8448" max="8448" width="11.21875" style="3" customWidth="1"/>
    <col min="8449" max="8449" width="2.77734375" style="3" customWidth="1"/>
    <col min="8450" max="8450" width="3.5546875" style="3" customWidth="1"/>
    <col min="8451" max="8695" width="9.21875" style="3"/>
    <col min="8696" max="8696" width="8.77734375" style="3" customWidth="1"/>
    <col min="8697" max="8697" width="9.77734375" style="3" customWidth="1"/>
    <col min="8698" max="8698" width="14.44140625" style="3" customWidth="1"/>
    <col min="8699" max="8699" width="7.21875" style="3" customWidth="1"/>
    <col min="8700" max="8700" width="5.5546875" style="3" customWidth="1"/>
    <col min="8701" max="8701" width="9" style="3" customWidth="1"/>
    <col min="8702" max="8703" width="9.77734375" style="3" customWidth="1"/>
    <col min="8704" max="8704" width="11.21875" style="3" customWidth="1"/>
    <col min="8705" max="8705" width="2.77734375" style="3" customWidth="1"/>
    <col min="8706" max="8706" width="3.5546875" style="3" customWidth="1"/>
    <col min="8707" max="8951" width="9.21875" style="3"/>
    <col min="8952" max="8952" width="8.77734375" style="3" customWidth="1"/>
    <col min="8953" max="8953" width="9.77734375" style="3" customWidth="1"/>
    <col min="8954" max="8954" width="14.44140625" style="3" customWidth="1"/>
    <col min="8955" max="8955" width="7.21875" style="3" customWidth="1"/>
    <col min="8956" max="8956" width="5.5546875" style="3" customWidth="1"/>
    <col min="8957" max="8957" width="9" style="3" customWidth="1"/>
    <col min="8958" max="8959" width="9.77734375" style="3" customWidth="1"/>
    <col min="8960" max="8960" width="11.21875" style="3" customWidth="1"/>
    <col min="8961" max="8961" width="2.77734375" style="3" customWidth="1"/>
    <col min="8962" max="8962" width="3.5546875" style="3" customWidth="1"/>
    <col min="8963" max="9207" width="9.21875" style="3"/>
    <col min="9208" max="9208" width="8.77734375" style="3" customWidth="1"/>
    <col min="9209" max="9209" width="9.77734375" style="3" customWidth="1"/>
    <col min="9210" max="9210" width="14.44140625" style="3" customWidth="1"/>
    <col min="9211" max="9211" width="7.21875" style="3" customWidth="1"/>
    <col min="9212" max="9212" width="5.5546875" style="3" customWidth="1"/>
    <col min="9213" max="9213" width="9" style="3" customWidth="1"/>
    <col min="9214" max="9215" width="9.77734375" style="3" customWidth="1"/>
    <col min="9216" max="9216" width="11.21875" style="3" customWidth="1"/>
    <col min="9217" max="9217" width="2.77734375" style="3" customWidth="1"/>
    <col min="9218" max="9218" width="3.5546875" style="3" customWidth="1"/>
    <col min="9219" max="9463" width="9.21875" style="3"/>
    <col min="9464" max="9464" width="8.77734375" style="3" customWidth="1"/>
    <col min="9465" max="9465" width="9.77734375" style="3" customWidth="1"/>
    <col min="9466" max="9466" width="14.44140625" style="3" customWidth="1"/>
    <col min="9467" max="9467" width="7.21875" style="3" customWidth="1"/>
    <col min="9468" max="9468" width="5.5546875" style="3" customWidth="1"/>
    <col min="9469" max="9469" width="9" style="3" customWidth="1"/>
    <col min="9470" max="9471" width="9.77734375" style="3" customWidth="1"/>
    <col min="9472" max="9472" width="11.21875" style="3" customWidth="1"/>
    <col min="9473" max="9473" width="2.77734375" style="3" customWidth="1"/>
    <col min="9474" max="9474" width="3.5546875" style="3" customWidth="1"/>
    <col min="9475" max="9719" width="9.21875" style="3"/>
    <col min="9720" max="9720" width="8.77734375" style="3" customWidth="1"/>
    <col min="9721" max="9721" width="9.77734375" style="3" customWidth="1"/>
    <col min="9722" max="9722" width="14.44140625" style="3" customWidth="1"/>
    <col min="9723" max="9723" width="7.21875" style="3" customWidth="1"/>
    <col min="9724" max="9724" width="5.5546875" style="3" customWidth="1"/>
    <col min="9725" max="9725" width="9" style="3" customWidth="1"/>
    <col min="9726" max="9727" width="9.77734375" style="3" customWidth="1"/>
    <col min="9728" max="9728" width="11.21875" style="3" customWidth="1"/>
    <col min="9729" max="9729" width="2.77734375" style="3" customWidth="1"/>
    <col min="9730" max="9730" width="3.5546875" style="3" customWidth="1"/>
    <col min="9731" max="9975" width="9.21875" style="3"/>
    <col min="9976" max="9976" width="8.77734375" style="3" customWidth="1"/>
    <col min="9977" max="9977" width="9.77734375" style="3" customWidth="1"/>
    <col min="9978" max="9978" width="14.44140625" style="3" customWidth="1"/>
    <col min="9979" max="9979" width="7.21875" style="3" customWidth="1"/>
    <col min="9980" max="9980" width="5.5546875" style="3" customWidth="1"/>
    <col min="9981" max="9981" width="9" style="3" customWidth="1"/>
    <col min="9982" max="9983" width="9.77734375" style="3" customWidth="1"/>
    <col min="9984" max="9984" width="11.21875" style="3" customWidth="1"/>
    <col min="9985" max="9985" width="2.77734375" style="3" customWidth="1"/>
    <col min="9986" max="9986" width="3.5546875" style="3" customWidth="1"/>
    <col min="9987" max="10231" width="9.21875" style="3"/>
    <col min="10232" max="10232" width="8.77734375" style="3" customWidth="1"/>
    <col min="10233" max="10233" width="9.77734375" style="3" customWidth="1"/>
    <col min="10234" max="10234" width="14.44140625" style="3" customWidth="1"/>
    <col min="10235" max="10235" width="7.21875" style="3" customWidth="1"/>
    <col min="10236" max="10236" width="5.5546875" style="3" customWidth="1"/>
    <col min="10237" max="10237" width="9" style="3" customWidth="1"/>
    <col min="10238" max="10239" width="9.77734375" style="3" customWidth="1"/>
    <col min="10240" max="10240" width="11.21875" style="3" customWidth="1"/>
    <col min="10241" max="10241" width="2.77734375" style="3" customWidth="1"/>
    <col min="10242" max="10242" width="3.5546875" style="3" customWidth="1"/>
    <col min="10243" max="10487" width="9.21875" style="3"/>
    <col min="10488" max="10488" width="8.77734375" style="3" customWidth="1"/>
    <col min="10489" max="10489" width="9.77734375" style="3" customWidth="1"/>
    <col min="10490" max="10490" width="14.44140625" style="3" customWidth="1"/>
    <col min="10491" max="10491" width="7.21875" style="3" customWidth="1"/>
    <col min="10492" max="10492" width="5.5546875" style="3" customWidth="1"/>
    <col min="10493" max="10493" width="9" style="3" customWidth="1"/>
    <col min="10494" max="10495" width="9.77734375" style="3" customWidth="1"/>
    <col min="10496" max="10496" width="11.21875" style="3" customWidth="1"/>
    <col min="10497" max="10497" width="2.77734375" style="3" customWidth="1"/>
    <col min="10498" max="10498" width="3.5546875" style="3" customWidth="1"/>
    <col min="10499" max="10743" width="9.21875" style="3"/>
    <col min="10744" max="10744" width="8.77734375" style="3" customWidth="1"/>
    <col min="10745" max="10745" width="9.77734375" style="3" customWidth="1"/>
    <col min="10746" max="10746" width="14.44140625" style="3" customWidth="1"/>
    <col min="10747" max="10747" width="7.21875" style="3" customWidth="1"/>
    <col min="10748" max="10748" width="5.5546875" style="3" customWidth="1"/>
    <col min="10749" max="10749" width="9" style="3" customWidth="1"/>
    <col min="10750" max="10751" width="9.77734375" style="3" customWidth="1"/>
    <col min="10752" max="10752" width="11.21875" style="3" customWidth="1"/>
    <col min="10753" max="10753" width="2.77734375" style="3" customWidth="1"/>
    <col min="10754" max="10754" width="3.5546875" style="3" customWidth="1"/>
    <col min="10755" max="10999" width="9.21875" style="3"/>
    <col min="11000" max="11000" width="8.77734375" style="3" customWidth="1"/>
    <col min="11001" max="11001" width="9.77734375" style="3" customWidth="1"/>
    <col min="11002" max="11002" width="14.44140625" style="3" customWidth="1"/>
    <col min="11003" max="11003" width="7.21875" style="3" customWidth="1"/>
    <col min="11004" max="11004" width="5.5546875" style="3" customWidth="1"/>
    <col min="11005" max="11005" width="9" style="3" customWidth="1"/>
    <col min="11006" max="11007" width="9.77734375" style="3" customWidth="1"/>
    <col min="11008" max="11008" width="11.21875" style="3" customWidth="1"/>
    <col min="11009" max="11009" width="2.77734375" style="3" customWidth="1"/>
    <col min="11010" max="11010" width="3.5546875" style="3" customWidth="1"/>
    <col min="11011" max="11255" width="9.21875" style="3"/>
    <col min="11256" max="11256" width="8.77734375" style="3" customWidth="1"/>
    <col min="11257" max="11257" width="9.77734375" style="3" customWidth="1"/>
    <col min="11258" max="11258" width="14.44140625" style="3" customWidth="1"/>
    <col min="11259" max="11259" width="7.21875" style="3" customWidth="1"/>
    <col min="11260" max="11260" width="5.5546875" style="3" customWidth="1"/>
    <col min="11261" max="11261" width="9" style="3" customWidth="1"/>
    <col min="11262" max="11263" width="9.77734375" style="3" customWidth="1"/>
    <col min="11264" max="11264" width="11.21875" style="3" customWidth="1"/>
    <col min="11265" max="11265" width="2.77734375" style="3" customWidth="1"/>
    <col min="11266" max="11266" width="3.5546875" style="3" customWidth="1"/>
    <col min="11267" max="11511" width="9.21875" style="3"/>
    <col min="11512" max="11512" width="8.77734375" style="3" customWidth="1"/>
    <col min="11513" max="11513" width="9.77734375" style="3" customWidth="1"/>
    <col min="11514" max="11514" width="14.44140625" style="3" customWidth="1"/>
    <col min="11515" max="11515" width="7.21875" style="3" customWidth="1"/>
    <col min="11516" max="11516" width="5.5546875" style="3" customWidth="1"/>
    <col min="11517" max="11517" width="9" style="3" customWidth="1"/>
    <col min="11518" max="11519" width="9.77734375" style="3" customWidth="1"/>
    <col min="11520" max="11520" width="11.21875" style="3" customWidth="1"/>
    <col min="11521" max="11521" width="2.77734375" style="3" customWidth="1"/>
    <col min="11522" max="11522" width="3.5546875" style="3" customWidth="1"/>
    <col min="11523" max="11767" width="9.21875" style="3"/>
    <col min="11768" max="11768" width="8.77734375" style="3" customWidth="1"/>
    <col min="11769" max="11769" width="9.77734375" style="3" customWidth="1"/>
    <col min="11770" max="11770" width="14.44140625" style="3" customWidth="1"/>
    <col min="11771" max="11771" width="7.21875" style="3" customWidth="1"/>
    <col min="11772" max="11772" width="5.5546875" style="3" customWidth="1"/>
    <col min="11773" max="11773" width="9" style="3" customWidth="1"/>
    <col min="11774" max="11775" width="9.77734375" style="3" customWidth="1"/>
    <col min="11776" max="11776" width="11.21875" style="3" customWidth="1"/>
    <col min="11777" max="11777" width="2.77734375" style="3" customWidth="1"/>
    <col min="11778" max="11778" width="3.5546875" style="3" customWidth="1"/>
    <col min="11779" max="12023" width="9.21875" style="3"/>
    <col min="12024" max="12024" width="8.77734375" style="3" customWidth="1"/>
    <col min="12025" max="12025" width="9.77734375" style="3" customWidth="1"/>
    <col min="12026" max="12026" width="14.44140625" style="3" customWidth="1"/>
    <col min="12027" max="12027" width="7.21875" style="3" customWidth="1"/>
    <col min="12028" max="12028" width="5.5546875" style="3" customWidth="1"/>
    <col min="12029" max="12029" width="9" style="3" customWidth="1"/>
    <col min="12030" max="12031" width="9.77734375" style="3" customWidth="1"/>
    <col min="12032" max="12032" width="11.21875" style="3" customWidth="1"/>
    <col min="12033" max="12033" width="2.77734375" style="3" customWidth="1"/>
    <col min="12034" max="12034" width="3.5546875" style="3" customWidth="1"/>
    <col min="12035" max="12279" width="9.21875" style="3"/>
    <col min="12280" max="12280" width="8.77734375" style="3" customWidth="1"/>
    <col min="12281" max="12281" width="9.77734375" style="3" customWidth="1"/>
    <col min="12282" max="12282" width="14.44140625" style="3" customWidth="1"/>
    <col min="12283" max="12283" width="7.21875" style="3" customWidth="1"/>
    <col min="12284" max="12284" width="5.5546875" style="3" customWidth="1"/>
    <col min="12285" max="12285" width="9" style="3" customWidth="1"/>
    <col min="12286" max="12287" width="9.77734375" style="3" customWidth="1"/>
    <col min="12288" max="12288" width="11.21875" style="3" customWidth="1"/>
    <col min="12289" max="12289" width="2.77734375" style="3" customWidth="1"/>
    <col min="12290" max="12290" width="3.5546875" style="3" customWidth="1"/>
    <col min="12291" max="12535" width="9.21875" style="3"/>
    <col min="12536" max="12536" width="8.77734375" style="3" customWidth="1"/>
    <col min="12537" max="12537" width="9.77734375" style="3" customWidth="1"/>
    <col min="12538" max="12538" width="14.44140625" style="3" customWidth="1"/>
    <col min="12539" max="12539" width="7.21875" style="3" customWidth="1"/>
    <col min="12540" max="12540" width="5.5546875" style="3" customWidth="1"/>
    <col min="12541" max="12541" width="9" style="3" customWidth="1"/>
    <col min="12542" max="12543" width="9.77734375" style="3" customWidth="1"/>
    <col min="12544" max="12544" width="11.21875" style="3" customWidth="1"/>
    <col min="12545" max="12545" width="2.77734375" style="3" customWidth="1"/>
    <col min="12546" max="12546" width="3.5546875" style="3" customWidth="1"/>
    <col min="12547" max="12791" width="9.21875" style="3"/>
    <col min="12792" max="12792" width="8.77734375" style="3" customWidth="1"/>
    <col min="12793" max="12793" width="9.77734375" style="3" customWidth="1"/>
    <col min="12794" max="12794" width="14.44140625" style="3" customWidth="1"/>
    <col min="12795" max="12795" width="7.21875" style="3" customWidth="1"/>
    <col min="12796" max="12796" width="5.5546875" style="3" customWidth="1"/>
    <col min="12797" max="12797" width="9" style="3" customWidth="1"/>
    <col min="12798" max="12799" width="9.77734375" style="3" customWidth="1"/>
    <col min="12800" max="12800" width="11.21875" style="3" customWidth="1"/>
    <col min="12801" max="12801" width="2.77734375" style="3" customWidth="1"/>
    <col min="12802" max="12802" width="3.5546875" style="3" customWidth="1"/>
    <col min="12803" max="13047" width="9.21875" style="3"/>
    <col min="13048" max="13048" width="8.77734375" style="3" customWidth="1"/>
    <col min="13049" max="13049" width="9.77734375" style="3" customWidth="1"/>
    <col min="13050" max="13050" width="14.44140625" style="3" customWidth="1"/>
    <col min="13051" max="13051" width="7.21875" style="3" customWidth="1"/>
    <col min="13052" max="13052" width="5.5546875" style="3" customWidth="1"/>
    <col min="13053" max="13053" width="9" style="3" customWidth="1"/>
    <col min="13054" max="13055" width="9.77734375" style="3" customWidth="1"/>
    <col min="13056" max="13056" width="11.21875" style="3" customWidth="1"/>
    <col min="13057" max="13057" width="2.77734375" style="3" customWidth="1"/>
    <col min="13058" max="13058" width="3.5546875" style="3" customWidth="1"/>
    <col min="13059" max="13303" width="9.21875" style="3"/>
    <col min="13304" max="13304" width="8.77734375" style="3" customWidth="1"/>
    <col min="13305" max="13305" width="9.77734375" style="3" customWidth="1"/>
    <col min="13306" max="13306" width="14.44140625" style="3" customWidth="1"/>
    <col min="13307" max="13307" width="7.21875" style="3" customWidth="1"/>
    <col min="13308" max="13308" width="5.5546875" style="3" customWidth="1"/>
    <col min="13309" max="13309" width="9" style="3" customWidth="1"/>
    <col min="13310" max="13311" width="9.77734375" style="3" customWidth="1"/>
    <col min="13312" max="13312" width="11.21875" style="3" customWidth="1"/>
    <col min="13313" max="13313" width="2.77734375" style="3" customWidth="1"/>
    <col min="13314" max="13314" width="3.5546875" style="3" customWidth="1"/>
    <col min="13315" max="13559" width="9.21875" style="3"/>
    <col min="13560" max="13560" width="8.77734375" style="3" customWidth="1"/>
    <col min="13561" max="13561" width="9.77734375" style="3" customWidth="1"/>
    <col min="13562" max="13562" width="14.44140625" style="3" customWidth="1"/>
    <col min="13563" max="13563" width="7.21875" style="3" customWidth="1"/>
    <col min="13564" max="13564" width="5.5546875" style="3" customWidth="1"/>
    <col min="13565" max="13565" width="9" style="3" customWidth="1"/>
    <col min="13566" max="13567" width="9.77734375" style="3" customWidth="1"/>
    <col min="13568" max="13568" width="11.21875" style="3" customWidth="1"/>
    <col min="13569" max="13569" width="2.77734375" style="3" customWidth="1"/>
    <col min="13570" max="13570" width="3.5546875" style="3" customWidth="1"/>
    <col min="13571" max="13815" width="9.21875" style="3"/>
    <col min="13816" max="13816" width="8.77734375" style="3" customWidth="1"/>
    <col min="13817" max="13817" width="9.77734375" style="3" customWidth="1"/>
    <col min="13818" max="13818" width="14.44140625" style="3" customWidth="1"/>
    <col min="13819" max="13819" width="7.21875" style="3" customWidth="1"/>
    <col min="13820" max="13820" width="5.5546875" style="3" customWidth="1"/>
    <col min="13821" max="13821" width="9" style="3" customWidth="1"/>
    <col min="13822" max="13823" width="9.77734375" style="3" customWidth="1"/>
    <col min="13824" max="13824" width="11.21875" style="3" customWidth="1"/>
    <col min="13825" max="13825" width="2.77734375" style="3" customWidth="1"/>
    <col min="13826" max="13826" width="3.5546875" style="3" customWidth="1"/>
    <col min="13827" max="14071" width="9.21875" style="3"/>
    <col min="14072" max="14072" width="8.77734375" style="3" customWidth="1"/>
    <col min="14073" max="14073" width="9.77734375" style="3" customWidth="1"/>
    <col min="14074" max="14074" width="14.44140625" style="3" customWidth="1"/>
    <col min="14075" max="14075" width="7.21875" style="3" customWidth="1"/>
    <col min="14076" max="14076" width="5.5546875" style="3" customWidth="1"/>
    <col min="14077" max="14077" width="9" style="3" customWidth="1"/>
    <col min="14078" max="14079" width="9.77734375" style="3" customWidth="1"/>
    <col min="14080" max="14080" width="11.21875" style="3" customWidth="1"/>
    <col min="14081" max="14081" width="2.77734375" style="3" customWidth="1"/>
    <col min="14082" max="14082" width="3.5546875" style="3" customWidth="1"/>
    <col min="14083" max="14327" width="9.21875" style="3"/>
    <col min="14328" max="14328" width="8.77734375" style="3" customWidth="1"/>
    <col min="14329" max="14329" width="9.77734375" style="3" customWidth="1"/>
    <col min="14330" max="14330" width="14.44140625" style="3" customWidth="1"/>
    <col min="14331" max="14331" width="7.21875" style="3" customWidth="1"/>
    <col min="14332" max="14332" width="5.5546875" style="3" customWidth="1"/>
    <col min="14333" max="14333" width="9" style="3" customWidth="1"/>
    <col min="14334" max="14335" width="9.77734375" style="3" customWidth="1"/>
    <col min="14336" max="14336" width="11.21875" style="3" customWidth="1"/>
    <col min="14337" max="14337" width="2.77734375" style="3" customWidth="1"/>
    <col min="14338" max="14338" width="3.5546875" style="3" customWidth="1"/>
    <col min="14339" max="14583" width="9.21875" style="3"/>
    <col min="14584" max="14584" width="8.77734375" style="3" customWidth="1"/>
    <col min="14585" max="14585" width="9.77734375" style="3" customWidth="1"/>
    <col min="14586" max="14586" width="14.44140625" style="3" customWidth="1"/>
    <col min="14587" max="14587" width="7.21875" style="3" customWidth="1"/>
    <col min="14588" max="14588" width="5.5546875" style="3" customWidth="1"/>
    <col min="14589" max="14589" width="9" style="3" customWidth="1"/>
    <col min="14590" max="14591" width="9.77734375" style="3" customWidth="1"/>
    <col min="14592" max="14592" width="11.21875" style="3" customWidth="1"/>
    <col min="14593" max="14593" width="2.77734375" style="3" customWidth="1"/>
    <col min="14594" max="14594" width="3.5546875" style="3" customWidth="1"/>
    <col min="14595" max="14839" width="9.21875" style="3"/>
    <col min="14840" max="14840" width="8.77734375" style="3" customWidth="1"/>
    <col min="14841" max="14841" width="9.77734375" style="3" customWidth="1"/>
    <col min="14842" max="14842" width="14.44140625" style="3" customWidth="1"/>
    <col min="14843" max="14843" width="7.21875" style="3" customWidth="1"/>
    <col min="14844" max="14844" width="5.5546875" style="3" customWidth="1"/>
    <col min="14845" max="14845" width="9" style="3" customWidth="1"/>
    <col min="14846" max="14847" width="9.77734375" style="3" customWidth="1"/>
    <col min="14848" max="14848" width="11.21875" style="3" customWidth="1"/>
    <col min="14849" max="14849" width="2.77734375" style="3" customWidth="1"/>
    <col min="14850" max="14850" width="3.5546875" style="3" customWidth="1"/>
    <col min="14851" max="15095" width="9.21875" style="3"/>
    <col min="15096" max="15096" width="8.77734375" style="3" customWidth="1"/>
    <col min="15097" max="15097" width="9.77734375" style="3" customWidth="1"/>
    <col min="15098" max="15098" width="14.44140625" style="3" customWidth="1"/>
    <col min="15099" max="15099" width="7.21875" style="3" customWidth="1"/>
    <col min="15100" max="15100" width="5.5546875" style="3" customWidth="1"/>
    <col min="15101" max="15101" width="9" style="3" customWidth="1"/>
    <col min="15102" max="15103" width="9.77734375" style="3" customWidth="1"/>
    <col min="15104" max="15104" width="11.21875" style="3" customWidth="1"/>
    <col min="15105" max="15105" width="2.77734375" style="3" customWidth="1"/>
    <col min="15106" max="15106" width="3.5546875" style="3" customWidth="1"/>
    <col min="15107" max="15351" width="9.21875" style="3"/>
    <col min="15352" max="15352" width="8.77734375" style="3" customWidth="1"/>
    <col min="15353" max="15353" width="9.77734375" style="3" customWidth="1"/>
    <col min="15354" max="15354" width="14.44140625" style="3" customWidth="1"/>
    <col min="15355" max="15355" width="7.21875" style="3" customWidth="1"/>
    <col min="15356" max="15356" width="5.5546875" style="3" customWidth="1"/>
    <col min="15357" max="15357" width="9" style="3" customWidth="1"/>
    <col min="15358" max="15359" width="9.77734375" style="3" customWidth="1"/>
    <col min="15360" max="15360" width="11.21875" style="3" customWidth="1"/>
    <col min="15361" max="15361" width="2.77734375" style="3" customWidth="1"/>
    <col min="15362" max="15362" width="3.5546875" style="3" customWidth="1"/>
    <col min="15363" max="15607" width="9.21875" style="3"/>
    <col min="15608" max="15608" width="8.77734375" style="3" customWidth="1"/>
    <col min="15609" max="15609" width="9.77734375" style="3" customWidth="1"/>
    <col min="15610" max="15610" width="14.44140625" style="3" customWidth="1"/>
    <col min="15611" max="15611" width="7.21875" style="3" customWidth="1"/>
    <col min="15612" max="15612" width="5.5546875" style="3" customWidth="1"/>
    <col min="15613" max="15613" width="9" style="3" customWidth="1"/>
    <col min="15614" max="15615" width="9.77734375" style="3" customWidth="1"/>
    <col min="15616" max="15616" width="11.21875" style="3" customWidth="1"/>
    <col min="15617" max="15617" width="2.77734375" style="3" customWidth="1"/>
    <col min="15618" max="15618" width="3.5546875" style="3" customWidth="1"/>
    <col min="15619" max="15863" width="9.21875" style="3"/>
    <col min="15864" max="15864" width="8.77734375" style="3" customWidth="1"/>
    <col min="15865" max="15865" width="9.77734375" style="3" customWidth="1"/>
    <col min="15866" max="15866" width="14.44140625" style="3" customWidth="1"/>
    <col min="15867" max="15867" width="7.21875" style="3" customWidth="1"/>
    <col min="15868" max="15868" width="5.5546875" style="3" customWidth="1"/>
    <col min="15869" max="15869" width="9" style="3" customWidth="1"/>
    <col min="15870" max="15871" width="9.77734375" style="3" customWidth="1"/>
    <col min="15872" max="15872" width="11.21875" style="3" customWidth="1"/>
    <col min="15873" max="15873" width="2.77734375" style="3" customWidth="1"/>
    <col min="15874" max="15874" width="3.5546875" style="3" customWidth="1"/>
    <col min="15875" max="16119" width="9.21875" style="3"/>
    <col min="16120" max="16120" width="8.77734375" style="3" customWidth="1"/>
    <col min="16121" max="16121" width="9.77734375" style="3" customWidth="1"/>
    <col min="16122" max="16122" width="14.44140625" style="3" customWidth="1"/>
    <col min="16123" max="16123" width="7.21875" style="3" customWidth="1"/>
    <col min="16124" max="16124" width="5.5546875" style="3" customWidth="1"/>
    <col min="16125" max="16125" width="9" style="3" customWidth="1"/>
    <col min="16126" max="16127" width="9.77734375" style="3" customWidth="1"/>
    <col min="16128" max="16128" width="11.21875" style="3" customWidth="1"/>
    <col min="16129" max="16129" width="2.77734375" style="3" customWidth="1"/>
    <col min="16130" max="16130" width="3.5546875" style="3" customWidth="1"/>
    <col min="16131" max="16384" width="9.21875" style="3"/>
  </cols>
  <sheetData>
    <row r="1" spans="1:8" ht="46.5" customHeight="1" x14ac:dyDescent="0.3">
      <c r="A1" s="124" t="s">
        <v>222</v>
      </c>
      <c r="B1" s="124"/>
      <c r="C1" s="124"/>
      <c r="D1" s="124"/>
      <c r="E1" s="124"/>
      <c r="F1" s="124"/>
      <c r="G1" s="124"/>
      <c r="H1" s="124"/>
    </row>
    <row r="2" spans="1:8" ht="16.5" customHeight="1" x14ac:dyDescent="0.3">
      <c r="A2" s="72" t="s">
        <v>0</v>
      </c>
      <c r="B2" s="72"/>
      <c r="C2" s="72"/>
      <c r="D2" s="72"/>
      <c r="E2" s="72"/>
      <c r="F2" s="72"/>
      <c r="G2" s="72"/>
      <c r="H2" s="72"/>
    </row>
    <row r="3" spans="1:8" x14ac:dyDescent="0.3">
      <c r="A3" s="88" t="s">
        <v>1</v>
      </c>
      <c r="B3" s="88"/>
      <c r="C3" s="88"/>
      <c r="D3" s="88"/>
      <c r="E3" s="123" t="str">
        <f ca="1">TEXT(TODAY(),"DD/MM/YYYY")</f>
        <v>11/07/2025</v>
      </c>
      <c r="F3" s="123"/>
      <c r="G3" s="123"/>
      <c r="H3" s="123"/>
    </row>
    <row r="4" spans="1:8" ht="15" customHeight="1" x14ac:dyDescent="0.3">
      <c r="A4" s="88" t="s">
        <v>2</v>
      </c>
      <c r="B4" s="88"/>
      <c r="C4" s="88"/>
      <c r="D4" s="88"/>
      <c r="E4" s="113" t="s">
        <v>179</v>
      </c>
      <c r="F4" s="113"/>
      <c r="G4" s="113"/>
      <c r="H4" s="113"/>
    </row>
    <row r="5" spans="1:8" x14ac:dyDescent="0.3">
      <c r="A5" s="88" t="s">
        <v>3</v>
      </c>
      <c r="B5" s="88"/>
      <c r="C5" s="88"/>
      <c r="D5" s="88"/>
      <c r="E5" s="123">
        <v>45848</v>
      </c>
      <c r="F5" s="123"/>
      <c r="G5" s="123"/>
      <c r="H5" s="123"/>
    </row>
    <row r="6" spans="1:8" ht="16.5" customHeight="1" x14ac:dyDescent="0.3">
      <c r="A6" s="88" t="s">
        <v>4</v>
      </c>
      <c r="B6" s="88"/>
      <c r="C6" s="88"/>
      <c r="D6" s="88"/>
      <c r="E6" s="112" t="s">
        <v>194</v>
      </c>
      <c r="F6" s="112"/>
      <c r="G6" s="112"/>
      <c r="H6" s="112"/>
    </row>
    <row r="7" spans="1:8" ht="15" customHeight="1" x14ac:dyDescent="0.3">
      <c r="A7" s="88" t="s">
        <v>5</v>
      </c>
      <c r="B7" s="88"/>
      <c r="C7" s="88"/>
      <c r="D7" s="88"/>
      <c r="E7" s="112" t="str">
        <f>E6</f>
        <v>M/s.Om Sai Shraddha Developers</v>
      </c>
      <c r="F7" s="112"/>
      <c r="G7" s="112"/>
      <c r="H7" s="112"/>
    </row>
    <row r="8" spans="1:8" x14ac:dyDescent="0.3">
      <c r="A8" s="88" t="s">
        <v>6</v>
      </c>
      <c r="B8" s="88"/>
      <c r="C8" s="88"/>
      <c r="D8" s="88"/>
      <c r="E8" s="106" t="s">
        <v>180</v>
      </c>
      <c r="F8" s="106"/>
      <c r="G8" s="106"/>
      <c r="H8" s="106"/>
    </row>
    <row r="9" spans="1:8" x14ac:dyDescent="0.3">
      <c r="A9" s="88" t="s">
        <v>129</v>
      </c>
      <c r="B9" s="88"/>
      <c r="C9" s="88"/>
      <c r="D9" s="88"/>
      <c r="E9" s="88" t="s">
        <v>181</v>
      </c>
      <c r="F9" s="88"/>
      <c r="G9" s="88"/>
      <c r="H9" s="88"/>
    </row>
    <row r="10" spans="1:8" ht="34.5" customHeight="1" x14ac:dyDescent="0.3">
      <c r="A10" s="115" t="s">
        <v>7</v>
      </c>
      <c r="B10" s="115"/>
      <c r="C10" s="115"/>
      <c r="D10" s="115"/>
      <c r="E10" s="111" t="s">
        <v>182</v>
      </c>
      <c r="F10" s="115"/>
      <c r="G10" s="115"/>
      <c r="H10" s="115"/>
    </row>
    <row r="11" spans="1:8" x14ac:dyDescent="0.3">
      <c r="A11" s="88" t="s">
        <v>8</v>
      </c>
      <c r="B11" s="88"/>
      <c r="C11" s="88"/>
      <c r="D11" s="88"/>
      <c r="E11" s="111" t="s">
        <v>201</v>
      </c>
      <c r="F11" s="111"/>
      <c r="G11" s="111"/>
      <c r="H11" s="111"/>
    </row>
    <row r="12" spans="1:8" ht="36" customHeight="1" x14ac:dyDescent="0.3">
      <c r="A12" s="88" t="s">
        <v>195</v>
      </c>
      <c r="B12" s="88"/>
      <c r="C12" s="88"/>
      <c r="D12" s="88"/>
      <c r="E12" s="111" t="s">
        <v>196</v>
      </c>
      <c r="F12" s="115"/>
      <c r="G12" s="115"/>
      <c r="H12" s="115"/>
    </row>
    <row r="13" spans="1:8" ht="48.75" customHeight="1" x14ac:dyDescent="0.3">
      <c r="A13" s="111" t="s">
        <v>9</v>
      </c>
      <c r="B13" s="111"/>
      <c r="C13" s="11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Panvelkar Empire, Survey No.30, Hissa No. 4A (Pt) &amp; 31, H. No. 2 (Pt), C.T.S. No.66/3(Pt) &amp; 74/1(Pt), near Galaxy Apartment C wing, Narayan nagar road, Kohoj Khuntavli, Ambarnath west, Ambarnath, Thane - 421501.</v>
      </c>
      <c r="D13" s="112"/>
      <c r="E13" s="112"/>
      <c r="F13" s="112"/>
      <c r="G13" s="112"/>
      <c r="H13" s="112"/>
    </row>
    <row r="14" spans="1:8" x14ac:dyDescent="0.3">
      <c r="A14" s="111" t="s">
        <v>183</v>
      </c>
      <c r="B14" s="111"/>
      <c r="C14" s="111" t="s">
        <v>197</v>
      </c>
      <c r="D14" s="111"/>
      <c r="E14" s="111"/>
      <c r="F14" s="111"/>
      <c r="G14" s="111"/>
      <c r="H14" s="111"/>
    </row>
    <row r="15" spans="1:8" ht="15.75" customHeight="1" x14ac:dyDescent="0.3">
      <c r="A15" s="111" t="s">
        <v>10</v>
      </c>
      <c r="B15" s="111"/>
      <c r="C15" s="115" t="s">
        <v>189</v>
      </c>
      <c r="D15" s="115"/>
      <c r="E15" s="112" t="s">
        <v>77</v>
      </c>
      <c r="F15" s="112"/>
      <c r="G15" s="111" t="s">
        <v>198</v>
      </c>
      <c r="H15" s="111"/>
    </row>
    <row r="16" spans="1:8" x14ac:dyDescent="0.3">
      <c r="A16" s="88" t="s">
        <v>12</v>
      </c>
      <c r="B16" s="88"/>
      <c r="C16" s="111" t="s">
        <v>184</v>
      </c>
      <c r="D16" s="111"/>
      <c r="E16" s="112" t="s">
        <v>11</v>
      </c>
      <c r="F16" s="112"/>
      <c r="G16" s="122" t="s">
        <v>185</v>
      </c>
      <c r="H16" s="122"/>
    </row>
    <row r="17" spans="1:8" x14ac:dyDescent="0.3">
      <c r="A17" s="88" t="s">
        <v>78</v>
      </c>
      <c r="B17" s="88"/>
      <c r="C17" s="111" t="s">
        <v>186</v>
      </c>
      <c r="D17" s="111"/>
      <c r="E17" s="112" t="s">
        <v>13</v>
      </c>
      <c r="F17" s="112"/>
      <c r="G17" s="111">
        <v>421501</v>
      </c>
      <c r="H17" s="111"/>
    </row>
    <row r="18" spans="1:8" ht="32.25" customHeight="1" x14ac:dyDescent="0.3">
      <c r="A18" s="88" t="s">
        <v>130</v>
      </c>
      <c r="B18" s="88"/>
      <c r="C18" s="112" t="s">
        <v>188</v>
      </c>
      <c r="D18" s="112"/>
      <c r="E18" s="112" t="s">
        <v>14</v>
      </c>
      <c r="F18" s="112"/>
      <c r="G18" s="111" t="s">
        <v>187</v>
      </c>
      <c r="H18" s="111"/>
    </row>
    <row r="19" spans="1:8" ht="15" customHeight="1" x14ac:dyDescent="0.3">
      <c r="A19" s="112" t="s">
        <v>80</v>
      </c>
      <c r="B19" s="112"/>
      <c r="C19" s="112"/>
      <c r="D19" s="112"/>
      <c r="E19" s="115" t="s">
        <v>15</v>
      </c>
      <c r="F19" s="115"/>
      <c r="G19" s="115"/>
      <c r="H19" s="115"/>
    </row>
    <row r="20" spans="1:8" ht="18.75" customHeight="1" x14ac:dyDescent="0.3">
      <c r="A20" s="112"/>
      <c r="B20" s="112"/>
      <c r="C20" s="112"/>
      <c r="D20" s="112"/>
      <c r="E20" s="115"/>
      <c r="F20" s="115"/>
      <c r="G20" s="115"/>
      <c r="H20" s="115"/>
    </row>
    <row r="21" spans="1:8" ht="15" customHeight="1" x14ac:dyDescent="0.3">
      <c r="A21" s="112" t="s">
        <v>16</v>
      </c>
      <c r="B21" s="112"/>
      <c r="C21" s="112"/>
      <c r="D21" s="112"/>
      <c r="E21" s="111" t="s">
        <v>17</v>
      </c>
      <c r="F21" s="111"/>
      <c r="G21" s="111"/>
      <c r="H21" s="111"/>
    </row>
    <row r="22" spans="1:8" ht="15" customHeight="1" x14ac:dyDescent="0.3">
      <c r="A22" s="88" t="s">
        <v>18</v>
      </c>
      <c r="B22" s="88"/>
      <c r="C22" s="88"/>
      <c r="D22" s="88"/>
      <c r="E22" s="111" t="str">
        <f>IF(AND(G16="Mumbai"),"Upper Class","Middle Class")</f>
        <v>Middle Class</v>
      </c>
      <c r="F22" s="111"/>
      <c r="G22" s="111"/>
      <c r="H22" s="111"/>
    </row>
    <row r="23" spans="1:8" x14ac:dyDescent="0.3">
      <c r="A23" s="88" t="s">
        <v>19</v>
      </c>
      <c r="B23" s="88"/>
      <c r="C23" s="88"/>
      <c r="D23" s="88"/>
      <c r="E23" s="111" t="s">
        <v>20</v>
      </c>
      <c r="F23" s="111"/>
      <c r="G23" s="111"/>
      <c r="H23" s="111"/>
    </row>
    <row r="24" spans="1:8" ht="15.75" customHeight="1" x14ac:dyDescent="0.3">
      <c r="A24" s="88" t="s">
        <v>21</v>
      </c>
      <c r="B24" s="88"/>
      <c r="C24" s="88"/>
      <c r="D24" s="88"/>
      <c r="E24" s="111" t="str">
        <f>IF(AND(G16="Mumbai"),"Developed","Developing")</f>
        <v>Developing</v>
      </c>
      <c r="F24" s="111"/>
      <c r="G24" s="111"/>
      <c r="H24" s="111"/>
    </row>
    <row r="25" spans="1:8" x14ac:dyDescent="0.3">
      <c r="A25" s="88" t="s">
        <v>22</v>
      </c>
      <c r="B25" s="88"/>
      <c r="C25" s="88"/>
      <c r="D25" s="88"/>
      <c r="E25" s="111" t="s">
        <v>23</v>
      </c>
      <c r="F25" s="111"/>
      <c r="G25" s="111"/>
      <c r="H25" s="111"/>
    </row>
    <row r="26" spans="1:8" x14ac:dyDescent="0.3">
      <c r="A26" s="88" t="s">
        <v>85</v>
      </c>
      <c r="B26" s="88"/>
      <c r="C26" s="88"/>
      <c r="D26" s="88"/>
      <c r="E26" s="111" t="s">
        <v>86</v>
      </c>
      <c r="F26" s="111"/>
      <c r="G26" s="111"/>
      <c r="H26" s="111"/>
    </row>
    <row r="27" spans="1:8" ht="15" customHeight="1" x14ac:dyDescent="0.3">
      <c r="A27" s="112" t="s">
        <v>32</v>
      </c>
      <c r="B27" s="112"/>
      <c r="C27" s="112"/>
      <c r="D27" s="112"/>
      <c r="E27" s="113" t="str">
        <f>IF(ISNUMBER(SEARCH("Shop",D53)),"Residential + Commercial",IF(ISNUMBER(SEARCH("Office",D53)),"Residential + Commercial",IF(SEARCH("Flats",D53),"Residential","")))</f>
        <v>Residential</v>
      </c>
      <c r="F27" s="113"/>
      <c r="G27" s="113"/>
      <c r="H27" s="113"/>
    </row>
    <row r="28" spans="1:8" x14ac:dyDescent="0.3">
      <c r="A28" s="112" t="s">
        <v>97</v>
      </c>
      <c r="B28" s="112"/>
      <c r="C28" s="112"/>
      <c r="D28" s="112"/>
      <c r="E28" s="112" t="s">
        <v>33</v>
      </c>
      <c r="F28" s="112"/>
      <c r="G28" s="112"/>
      <c r="H28" s="112"/>
    </row>
    <row r="29" spans="1:8" s="6" customFormat="1" x14ac:dyDescent="0.3">
      <c r="A29" s="108" t="s">
        <v>98</v>
      </c>
      <c r="B29" s="108"/>
      <c r="C29" s="105" t="s">
        <v>28</v>
      </c>
      <c r="D29" s="105"/>
      <c r="E29" s="105"/>
      <c r="F29" s="105" t="s">
        <v>30</v>
      </c>
      <c r="G29" s="105"/>
      <c r="H29" s="105"/>
    </row>
    <row r="30" spans="1:8" s="6" customFormat="1" x14ac:dyDescent="0.3">
      <c r="A30" s="107" t="s">
        <v>24</v>
      </c>
      <c r="B30" s="107" t="s">
        <v>29</v>
      </c>
      <c r="C30" s="104" t="s">
        <v>29</v>
      </c>
      <c r="D30" s="104"/>
      <c r="E30" s="104"/>
      <c r="F30" s="104" t="s">
        <v>190</v>
      </c>
      <c r="G30" s="104"/>
      <c r="H30" s="104"/>
    </row>
    <row r="31" spans="1:8" x14ac:dyDescent="0.3">
      <c r="A31" s="107" t="s">
        <v>25</v>
      </c>
      <c r="B31" s="107" t="s">
        <v>29</v>
      </c>
      <c r="C31" s="104" t="s">
        <v>29</v>
      </c>
      <c r="D31" s="104"/>
      <c r="E31" s="104"/>
      <c r="F31" s="104" t="s">
        <v>189</v>
      </c>
      <c r="G31" s="104"/>
      <c r="H31" s="104"/>
    </row>
    <row r="32" spans="1:8" s="6" customFormat="1" x14ac:dyDescent="0.3">
      <c r="A32" s="107" t="s">
        <v>27</v>
      </c>
      <c r="B32" s="107" t="s">
        <v>29</v>
      </c>
      <c r="C32" s="104" t="s">
        <v>29</v>
      </c>
      <c r="D32" s="104"/>
      <c r="E32" s="104"/>
      <c r="F32" s="104" t="s">
        <v>188</v>
      </c>
      <c r="G32" s="104"/>
      <c r="H32" s="104"/>
    </row>
    <row r="33" spans="1:8" x14ac:dyDescent="0.3">
      <c r="A33" s="107" t="s">
        <v>26</v>
      </c>
      <c r="B33" s="107" t="s">
        <v>29</v>
      </c>
      <c r="C33" s="104" t="s">
        <v>29</v>
      </c>
      <c r="D33" s="104"/>
      <c r="E33" s="104"/>
      <c r="F33" s="104" t="s">
        <v>199</v>
      </c>
      <c r="G33" s="104"/>
      <c r="H33" s="104"/>
    </row>
    <row r="34" spans="1:8" x14ac:dyDescent="0.3">
      <c r="A34" s="88" t="s">
        <v>31</v>
      </c>
      <c r="B34" s="88"/>
      <c r="C34" s="88"/>
      <c r="D34" s="88"/>
      <c r="E34" s="88"/>
      <c r="F34" s="88"/>
      <c r="G34" s="88"/>
      <c r="H34" s="88"/>
    </row>
    <row r="35" spans="1:8" ht="15.75" customHeight="1" x14ac:dyDescent="0.3">
      <c r="A35" s="106" t="s">
        <v>223</v>
      </c>
      <c r="B35" s="106"/>
      <c r="C35" s="110" t="s">
        <v>224</v>
      </c>
      <c r="D35" s="110"/>
      <c r="E35" s="110"/>
      <c r="F35" s="110"/>
      <c r="G35" s="110"/>
      <c r="H35" s="110"/>
    </row>
    <row r="36" spans="1:8" ht="15.75" customHeight="1" x14ac:dyDescent="0.3">
      <c r="A36" s="106" t="s">
        <v>203</v>
      </c>
      <c r="B36" s="106"/>
      <c r="C36" s="109" t="s">
        <v>204</v>
      </c>
      <c r="D36" s="110"/>
      <c r="E36" s="110"/>
      <c r="F36" s="110"/>
      <c r="G36" s="110"/>
      <c r="H36" s="110"/>
    </row>
    <row r="37" spans="1:8" x14ac:dyDescent="0.3">
      <c r="A37" s="106" t="s">
        <v>34</v>
      </c>
      <c r="B37" s="106"/>
      <c r="C37" s="106"/>
      <c r="D37" s="106"/>
      <c r="E37" s="106"/>
      <c r="F37" s="106"/>
      <c r="G37" s="106"/>
      <c r="H37" s="106"/>
    </row>
    <row r="38" spans="1:8" x14ac:dyDescent="0.3">
      <c r="A38" s="88" t="s">
        <v>35</v>
      </c>
      <c r="B38" s="88"/>
      <c r="C38" s="88"/>
      <c r="D38" s="88"/>
      <c r="E38" s="103">
        <v>4405.5</v>
      </c>
      <c r="F38" s="103"/>
      <c r="G38" s="103"/>
      <c r="H38" s="103"/>
    </row>
    <row r="39" spans="1:8" x14ac:dyDescent="0.3">
      <c r="A39" s="88" t="s">
        <v>36</v>
      </c>
      <c r="B39" s="88"/>
      <c r="C39" s="88"/>
      <c r="D39" s="88"/>
      <c r="E39" s="129">
        <v>1</v>
      </c>
      <c r="F39" s="129"/>
      <c r="G39" s="129"/>
      <c r="H39" s="129"/>
    </row>
    <row r="40" spans="1:8" x14ac:dyDescent="0.3">
      <c r="A40" s="88" t="s">
        <v>37</v>
      </c>
      <c r="B40" s="88"/>
      <c r="C40" s="88"/>
      <c r="D40" s="88"/>
      <c r="E40" s="129">
        <f>E42/E38-E39</f>
        <v>1.1814549994325274</v>
      </c>
      <c r="F40" s="129"/>
      <c r="G40" s="129"/>
      <c r="H40" s="129"/>
    </row>
    <row r="41" spans="1:8" x14ac:dyDescent="0.3">
      <c r="A41" s="88" t="s">
        <v>38</v>
      </c>
      <c r="B41" s="88"/>
      <c r="C41" s="88"/>
      <c r="D41" s="88"/>
      <c r="E41" s="129">
        <f>E39+E40</f>
        <v>2.1814549994325274</v>
      </c>
      <c r="F41" s="129"/>
      <c r="G41" s="129"/>
      <c r="H41" s="129"/>
    </row>
    <row r="42" spans="1:8" x14ac:dyDescent="0.3">
      <c r="A42" s="115" t="s">
        <v>96</v>
      </c>
      <c r="B42" s="115"/>
      <c r="C42" s="115"/>
      <c r="D42" s="115"/>
      <c r="E42" s="130">
        <v>9610.4</v>
      </c>
      <c r="F42" s="130"/>
      <c r="G42" s="130"/>
      <c r="H42" s="130"/>
    </row>
    <row r="43" spans="1:8" x14ac:dyDescent="0.3">
      <c r="A43" s="115" t="s">
        <v>39</v>
      </c>
      <c r="B43" s="115"/>
      <c r="C43" s="115"/>
      <c r="D43" s="115"/>
      <c r="E43" s="115" t="s">
        <v>200</v>
      </c>
      <c r="F43" s="115"/>
      <c r="G43" s="115"/>
      <c r="H43" s="115"/>
    </row>
    <row r="44" spans="1:8" x14ac:dyDescent="0.3">
      <c r="A44" s="99" t="s">
        <v>40</v>
      </c>
      <c r="B44" s="99"/>
      <c r="C44" s="99"/>
      <c r="D44" s="99"/>
      <c r="E44" s="99"/>
      <c r="F44" s="99"/>
      <c r="G44" s="99"/>
      <c r="H44" s="99"/>
    </row>
    <row r="45" spans="1:8" ht="33.75" customHeight="1" x14ac:dyDescent="0.3">
      <c r="A45" s="78" t="s">
        <v>159</v>
      </c>
      <c r="B45" s="79"/>
      <c r="C45" s="80" t="s">
        <v>191</v>
      </c>
      <c r="D45" s="81"/>
      <c r="E45" s="81"/>
      <c r="F45" s="81"/>
      <c r="G45" s="81"/>
      <c r="H45" s="82"/>
    </row>
    <row r="46" spans="1:8" x14ac:dyDescent="0.3">
      <c r="A46" s="111" t="s">
        <v>41</v>
      </c>
      <c r="B46" s="111"/>
      <c r="C46" s="111" t="s">
        <v>205</v>
      </c>
      <c r="D46" s="111"/>
      <c r="E46" s="111"/>
      <c r="F46" s="44" t="s">
        <v>42</v>
      </c>
      <c r="G46" s="114">
        <v>44942</v>
      </c>
      <c r="H46" s="114"/>
    </row>
    <row r="47" spans="1:8" x14ac:dyDescent="0.3">
      <c r="A47" s="115" t="s">
        <v>43</v>
      </c>
      <c r="B47" s="115"/>
      <c r="C47" s="111" t="str">
        <f>C46</f>
        <v>ANP/NRV/BP/2022-23/1228/9384/76</v>
      </c>
      <c r="D47" s="111"/>
      <c r="E47" s="111"/>
      <c r="F47" s="44" t="s">
        <v>42</v>
      </c>
      <c r="G47" s="114">
        <f>G46</f>
        <v>44942</v>
      </c>
      <c r="H47" s="114"/>
    </row>
    <row r="48" spans="1:8" s="5" customFormat="1" x14ac:dyDescent="0.3">
      <c r="A48" s="111" t="s">
        <v>44</v>
      </c>
      <c r="B48" s="111"/>
      <c r="C48" s="111" t="str">
        <f>C47</f>
        <v>ANP/NRV/BP/2022-23/1228/9384/76</v>
      </c>
      <c r="D48" s="115"/>
      <c r="E48" s="115"/>
      <c r="F48" s="47" t="s">
        <v>42</v>
      </c>
      <c r="G48" s="114">
        <f>G47</f>
        <v>44942</v>
      </c>
      <c r="H48" s="114"/>
    </row>
    <row r="49" spans="1:14" s="5" customFormat="1" ht="33" customHeight="1" x14ac:dyDescent="0.3">
      <c r="A49" s="111"/>
      <c r="B49" s="111"/>
      <c r="C49" s="78" t="s">
        <v>220</v>
      </c>
      <c r="D49" s="161"/>
      <c r="E49" s="161"/>
      <c r="F49" s="161"/>
      <c r="G49" s="161"/>
      <c r="H49" s="79"/>
    </row>
    <row r="50" spans="1:14" x14ac:dyDescent="0.3">
      <c r="A50" s="100" t="s">
        <v>45</v>
      </c>
      <c r="B50" s="100"/>
      <c r="C50" s="100" t="s">
        <v>113</v>
      </c>
      <c r="D50" s="99"/>
      <c r="E50" s="99" t="s">
        <v>46</v>
      </c>
      <c r="F50" s="42" t="s">
        <v>42</v>
      </c>
      <c r="G50" s="160" t="s">
        <v>29</v>
      </c>
      <c r="H50" s="160"/>
    </row>
    <row r="51" spans="1:14" x14ac:dyDescent="0.3">
      <c r="A51" s="159" t="s">
        <v>48</v>
      </c>
      <c r="B51" s="159"/>
      <c r="C51" s="159"/>
      <c r="D51" s="159"/>
      <c r="E51" s="159"/>
      <c r="F51" s="159"/>
      <c r="G51" s="159"/>
      <c r="H51" s="159"/>
    </row>
    <row r="52" spans="1:14" x14ac:dyDescent="0.3">
      <c r="A52" s="111" t="s">
        <v>95</v>
      </c>
      <c r="B52" s="111"/>
      <c r="C52" s="111"/>
      <c r="D52" s="115">
        <f>E42</f>
        <v>9610.4</v>
      </c>
      <c r="E52" s="115"/>
      <c r="F52" s="115"/>
      <c r="G52" s="115"/>
      <c r="H52" s="115"/>
    </row>
    <row r="53" spans="1:14" x14ac:dyDescent="0.3">
      <c r="A53" s="111" t="s">
        <v>49</v>
      </c>
      <c r="B53" s="115"/>
      <c r="C53" s="115"/>
      <c r="D53" s="115" t="s">
        <v>221</v>
      </c>
      <c r="E53" s="115"/>
      <c r="F53" s="115"/>
      <c r="G53" s="115"/>
      <c r="H53" s="115"/>
      <c r="I53" s="29"/>
    </row>
    <row r="54" spans="1:14" ht="48" customHeight="1" x14ac:dyDescent="0.3">
      <c r="A54" s="116" t="s">
        <v>50</v>
      </c>
      <c r="B54" s="117"/>
      <c r="C54" s="133"/>
      <c r="D54" s="131" t="s">
        <v>231</v>
      </c>
      <c r="E54" s="132"/>
      <c r="F54" s="132"/>
      <c r="G54" s="132"/>
      <c r="H54" s="132"/>
    </row>
    <row r="55" spans="1:14" ht="15.75" customHeight="1" x14ac:dyDescent="0.3">
      <c r="A55" s="116" t="s">
        <v>93</v>
      </c>
      <c r="B55" s="117"/>
      <c r="C55" s="117"/>
      <c r="D55" s="156" t="s">
        <v>207</v>
      </c>
      <c r="E55" s="157"/>
      <c r="F55" s="157"/>
      <c r="G55" s="157"/>
      <c r="H55" s="158"/>
    </row>
    <row r="56" spans="1:14" ht="15.75" customHeight="1" x14ac:dyDescent="0.3">
      <c r="A56" s="118"/>
      <c r="B56" s="119"/>
      <c r="C56" s="119"/>
      <c r="D56" s="162" t="s">
        <v>230</v>
      </c>
      <c r="E56" s="163"/>
      <c r="F56" s="163"/>
      <c r="G56" s="163"/>
      <c r="H56" s="164"/>
    </row>
    <row r="57" spans="1:14" ht="15.75" customHeight="1" x14ac:dyDescent="0.3">
      <c r="A57" s="120"/>
      <c r="B57" s="121"/>
      <c r="C57" s="121"/>
      <c r="D57" s="153" t="s">
        <v>206</v>
      </c>
      <c r="E57" s="154"/>
      <c r="F57" s="154"/>
      <c r="G57" s="154"/>
      <c r="H57" s="155"/>
    </row>
    <row r="58" spans="1:14" ht="15.75" customHeight="1" x14ac:dyDescent="0.3">
      <c r="A58" s="88" t="s">
        <v>47</v>
      </c>
      <c r="B58" s="88"/>
      <c r="C58" s="88"/>
      <c r="D58" s="125" t="s">
        <v>232</v>
      </c>
      <c r="E58" s="125"/>
      <c r="F58" s="125"/>
      <c r="G58" s="125"/>
      <c r="H58" s="125"/>
      <c r="J58" s="28"/>
      <c r="K58" s="29"/>
      <c r="N58" s="29"/>
    </row>
    <row r="59" spans="1:14" ht="15.75" customHeight="1" x14ac:dyDescent="0.3">
      <c r="A59" s="88" t="s">
        <v>91</v>
      </c>
      <c r="B59" s="88"/>
      <c r="C59" s="88"/>
      <c r="D59" s="128" t="str">
        <f>(IF(G50="NA","60 Years After Completion",IF(G50&lt;&gt;"NA",""&amp;60-ROUNDDOWN((E3-G50)/360,0)&amp;" Years"," ")))</f>
        <v>60 Years After Completion</v>
      </c>
      <c r="E59" s="128"/>
      <c r="F59" s="128"/>
      <c r="G59" s="128"/>
      <c r="H59" s="128"/>
      <c r="N59" s="29"/>
    </row>
    <row r="60" spans="1:14" ht="15.75" customHeight="1" x14ac:dyDescent="0.3">
      <c r="A60" s="88" t="s">
        <v>92</v>
      </c>
      <c r="B60" s="88"/>
      <c r="C60" s="88"/>
      <c r="D60" s="112" t="s">
        <v>23</v>
      </c>
      <c r="E60" s="112"/>
      <c r="F60" s="112"/>
      <c r="G60" s="112"/>
      <c r="H60" s="112"/>
      <c r="J60" s="9"/>
      <c r="K60" s="9"/>
    </row>
    <row r="61" spans="1:14" ht="31.5" customHeight="1" x14ac:dyDescent="0.3">
      <c r="A61" s="88" t="s">
        <v>79</v>
      </c>
      <c r="B61" s="88"/>
      <c r="C61" s="88"/>
      <c r="D61" s="111" t="s">
        <v>202</v>
      </c>
      <c r="E61" s="112"/>
      <c r="F61" s="112"/>
      <c r="G61" s="112"/>
      <c r="H61" s="112"/>
    </row>
    <row r="62" spans="1:14" x14ac:dyDescent="0.3">
      <c r="A62" s="112" t="s">
        <v>156</v>
      </c>
      <c r="B62" s="112"/>
      <c r="C62" s="112"/>
      <c r="D62" s="112" t="s">
        <v>29</v>
      </c>
      <c r="E62" s="112"/>
      <c r="F62" s="112"/>
      <c r="G62" s="112"/>
      <c r="H62" s="112"/>
      <c r="I62" s="38"/>
      <c r="J62" s="38"/>
      <c r="K62" s="38"/>
      <c r="L62" s="38"/>
      <c r="M62" s="38"/>
      <c r="N62" s="38"/>
    </row>
    <row r="63" spans="1:14" ht="15.75" customHeight="1" x14ac:dyDescent="0.3">
      <c r="A63" s="88" t="s">
        <v>90</v>
      </c>
      <c r="B63" s="88"/>
      <c r="C63" s="88"/>
      <c r="D63" s="111" t="str">
        <f ca="1">(IF(G69&gt;95%,"Nothing",IF(G69&gt;0%,"Cement, Aggregate, Steel, etc",IF(G69=0%,"Work not yet Started"))))</f>
        <v>Cement, Aggregate, Steel, etc</v>
      </c>
      <c r="E63" s="111"/>
      <c r="F63" s="111"/>
      <c r="G63" s="111"/>
      <c r="H63" s="111"/>
      <c r="J63" s="9"/>
    </row>
    <row r="64" spans="1:14" ht="33.75" customHeight="1" thickBot="1" x14ac:dyDescent="0.35">
      <c r="A64" s="112" t="s">
        <v>126</v>
      </c>
      <c r="B64" s="112"/>
      <c r="C64" s="112"/>
      <c r="D64" s="111" t="str">
        <f ca="1">(IF(D63="Nothing","Yes",IF(D63="Cement, Aggregate, Steel, etc","Under Construction",IF(D63="Work not yet Started","Work not yet Started"))))</f>
        <v>Under Construction</v>
      </c>
      <c r="E64" s="111"/>
      <c r="F64" s="111" t="str">
        <f ca="1">(IF(D63="Nothing","Yes",IF(D63="Cement, Aggregate, Steel, etc","Under Construction",IF(D63="Work not yet Started","Work not yet Started"))))</f>
        <v>Under Construction</v>
      </c>
      <c r="G64" s="111"/>
      <c r="H64" s="111"/>
    </row>
    <row r="65" spans="1:10" ht="15.75" customHeight="1" x14ac:dyDescent="0.3">
      <c r="A65" s="100" t="s">
        <v>148</v>
      </c>
      <c r="B65" s="100"/>
      <c r="C65" s="100" t="str">
        <f>D55</f>
        <v>A Wing (A Wing) = B1 + G/St + 1st to 14th Floor</v>
      </c>
      <c r="D65" s="100"/>
      <c r="E65" s="100"/>
      <c r="F65" s="100"/>
      <c r="G65" s="100"/>
      <c r="H65" s="100"/>
      <c r="I65" s="31" t="str">
        <f ca="1">(IF(E69&gt;99%,"All work completed. Please provide OC.",IF(E69&gt;89.8%,"Plinth, RCC, Brick, Plaster, Flooring, Painting work Completed. Finishing work is in process.",IF(E69&lt;94%,(IF(C69=0,"Work not yet Started.",IF(D69=25%,"Piling work in process",IF(D69=50%,"Excavation work in process",IF(D69=100%,"Excavation work Completed. ","0")))&amp;(IF(C70=0%,"",IF(C70=J71,"Footing work is process",IF(C70=J72,"Footing work Completed",IF(C70=J73,"1st Basement Completed",IF(C70=J74,"1st &amp; 2nd Basement Completed",IF(C70=J75,"1st to 3rd Basement Completed",IF(C70=J76,"1st to 4th Basement Completed",IF(C70=J77,"Plinth work is process",IF(C70=J78,"Plinth work completed","0")))))))))))&amp;(IF(C71=(D66+F66+H66),", RCC Slab Completed",IF(C71&gt;0,", RCC upto "&amp;C71&amp;" Slab Completed",""))&amp;(IF(C72=H66,", Brickwork Completed",IF(C72&gt;0,", Brickwork upto "&amp;C72&amp;" Floor Completed",""))&amp;(IF(C73=H66,", Internal Plaster Completed",IF(C73&gt;0,", Internal Plaster upto "&amp;C73&amp;" Floor Completed",""))&amp;(IF(C74=H66,", External Plaster Completed",IF(C74&gt;0,", External Plaster upto "&amp;C74&amp;" Floor Completed",""))&amp;(IF(C75=H66,", Flooring Completed",IF(C75&gt;0,", Flooring upto "&amp;C75&amp;" Floor Completed",""))&amp;(IF(C76=H66,", Painting Completed",IF(C76&gt;0,", Painting upto "&amp;C76&amp;" Floor Completed",""))&amp;(IF(C77&gt;0,", Finishing upto "&amp;C77&amp;" Floor Completed","")&amp;(IF(C71&gt;0.5,".",""))))))))))))))</f>
        <v>Excavation work Completed. Plinth work completed, RCC Slab Completed, Brickwork Completed, Internal Plaster Completed, External Plaster Completed, Flooring upto 10 Floor Completed, Painting upto 7 Floor Completed.</v>
      </c>
      <c r="J65" s="10"/>
    </row>
    <row r="66" spans="1:10" x14ac:dyDescent="0.3">
      <c r="A66" s="43" t="s">
        <v>150</v>
      </c>
      <c r="B66" s="43">
        <v>1</v>
      </c>
      <c r="C66" s="43" t="s">
        <v>76</v>
      </c>
      <c r="D66" s="43">
        <v>1</v>
      </c>
      <c r="E66" s="43" t="s">
        <v>75</v>
      </c>
      <c r="F66" s="43">
        <v>0</v>
      </c>
      <c r="G66" s="43" t="s">
        <v>84</v>
      </c>
      <c r="H66" s="43">
        <f ca="1">--TRIM(RIGHT(SUBSTITUTE(LEFT(C65,_xlfn.AGGREGATE(16,6,FIND({0,1,2,3,4,5,6,7,8,9},C65,ROW(INDIRECT("1:"&amp;LEN(C65)))),1))," ",REPT(" ",LEN(C65))),LEN(C65)))</f>
        <v>14</v>
      </c>
      <c r="I66" s="9"/>
      <c r="J66" s="11"/>
    </row>
    <row r="67" spans="1:10" ht="63" customHeight="1" x14ac:dyDescent="0.3">
      <c r="A67" s="99" t="s">
        <v>94</v>
      </c>
      <c r="B67" s="99"/>
      <c r="C67" s="100" t="str">
        <f ca="1">(IF($G$50="NA",I65,"All work Completed. OC Received."))</f>
        <v>Excavation work Completed. Plinth work completed, RCC Slab Completed, Brickwork Completed, Internal Plaster Completed, External Plaster Completed, Flooring upto 10 Floor Completed, Painting upto 7 Floor Completed.</v>
      </c>
      <c r="D67" s="100"/>
      <c r="E67" s="100"/>
      <c r="F67" s="100"/>
      <c r="G67" s="100"/>
      <c r="H67" s="100"/>
      <c r="I67" s="9" t="s">
        <v>112</v>
      </c>
      <c r="J67" s="11"/>
    </row>
    <row r="68" spans="1:10" ht="15.75" customHeight="1" x14ac:dyDescent="0.3">
      <c r="A68" s="87" t="s">
        <v>51</v>
      </c>
      <c r="B68" s="87"/>
      <c r="C68" s="40" t="s">
        <v>147</v>
      </c>
      <c r="D68" s="40" t="s">
        <v>87</v>
      </c>
      <c r="E68" s="87" t="s">
        <v>89</v>
      </c>
      <c r="F68" s="87"/>
      <c r="G68" s="87" t="s">
        <v>88</v>
      </c>
      <c r="H68" s="87"/>
      <c r="I68" s="27" t="s">
        <v>149</v>
      </c>
      <c r="J68" s="12">
        <f ca="1">H66*25%</f>
        <v>3.5</v>
      </c>
    </row>
    <row r="69" spans="1:10" x14ac:dyDescent="0.3">
      <c r="A69" s="86" t="s">
        <v>136</v>
      </c>
      <c r="B69" s="87"/>
      <c r="C69" s="48">
        <f ca="1">J70</f>
        <v>14</v>
      </c>
      <c r="D69" s="49">
        <f ca="1">((100/H66)*C69)/100</f>
        <v>1</v>
      </c>
      <c r="E69" s="89">
        <f ca="1">(((C70/H66*10)+(40/(D66+F66+H66)*C71)+(7.5/(H66)*C72)+(7.5/(H66)*C73)+(10/H66*C74)+(10/H66*C75)+(5/H66*C76)+(5/H66*C77)+(5/H66*C78))/100)</f>
        <v>0.84642857142857142</v>
      </c>
      <c r="F69" s="89"/>
      <c r="G69" s="89">
        <f ca="1">((((C69/H66)*20)+((C70/H66)*25)+(30/(H66+F66+D66)*C71)+(5/H66*C72)+(5/H66*C73)+(5/H66*C74)+(5/H66*C75)+(0/H66*C76)+(0/H66*C77)+(5/H66*C78))/100)</f>
        <v>0.93571428571428572</v>
      </c>
      <c r="H69" s="90"/>
      <c r="I69" s="27" t="s">
        <v>107</v>
      </c>
      <c r="J69" s="30">
        <f ca="1">H66*50%</f>
        <v>7</v>
      </c>
    </row>
    <row r="70" spans="1:10" x14ac:dyDescent="0.3">
      <c r="A70" s="86" t="s">
        <v>52</v>
      </c>
      <c r="B70" s="87"/>
      <c r="C70" s="50">
        <f ca="1">J78</f>
        <v>14</v>
      </c>
      <c r="D70" s="49">
        <f ca="1">((100/H66)*C70)/100</f>
        <v>1</v>
      </c>
      <c r="E70" s="89"/>
      <c r="F70" s="89"/>
      <c r="G70" s="89"/>
      <c r="H70" s="90"/>
      <c r="I70" s="27" t="s">
        <v>108</v>
      </c>
      <c r="J70" s="30">
        <f ca="1">H66</f>
        <v>14</v>
      </c>
    </row>
    <row r="71" spans="1:10" ht="15.75" customHeight="1" x14ac:dyDescent="0.3">
      <c r="A71" s="86" t="s">
        <v>137</v>
      </c>
      <c r="B71" s="87"/>
      <c r="C71" s="50">
        <v>15</v>
      </c>
      <c r="D71" s="49">
        <f ca="1">((100/(D66+F66+H66))*C71)/100</f>
        <v>1</v>
      </c>
      <c r="E71" s="89"/>
      <c r="F71" s="89"/>
      <c r="G71" s="89"/>
      <c r="H71" s="90"/>
      <c r="I71" s="27" t="s">
        <v>109</v>
      </c>
      <c r="J71" s="33">
        <f ca="1">(IF(B66&gt;1,(H66/(B66+2)),H66/4))</f>
        <v>3.5</v>
      </c>
    </row>
    <row r="72" spans="1:10" ht="15.75" customHeight="1" x14ac:dyDescent="0.3">
      <c r="A72" s="86" t="s">
        <v>144</v>
      </c>
      <c r="B72" s="87" t="s">
        <v>138</v>
      </c>
      <c r="C72" s="48">
        <v>14</v>
      </c>
      <c r="D72" s="49">
        <f ca="1">((100/H66)*C72)/100</f>
        <v>1</v>
      </c>
      <c r="E72" s="89"/>
      <c r="F72" s="89"/>
      <c r="G72" s="89"/>
      <c r="H72" s="90"/>
      <c r="I72" s="27" t="s">
        <v>110</v>
      </c>
      <c r="J72" s="33">
        <f ca="1">(IF(B66&gt;1,(H66/(B66+2)+J71),H66/4+J71))</f>
        <v>7</v>
      </c>
    </row>
    <row r="73" spans="1:10" ht="15.75" customHeight="1" x14ac:dyDescent="0.3">
      <c r="A73" s="86" t="s">
        <v>145</v>
      </c>
      <c r="B73" s="87" t="s">
        <v>138</v>
      </c>
      <c r="C73" s="48">
        <v>14</v>
      </c>
      <c r="D73" s="49">
        <f ca="1">((100/H66)*C73)/100</f>
        <v>1</v>
      </c>
      <c r="E73" s="89"/>
      <c r="F73" s="89"/>
      <c r="G73" s="89"/>
      <c r="H73" s="90"/>
      <c r="I73" s="27" t="s">
        <v>154</v>
      </c>
      <c r="J73" s="33">
        <f>(IF(B66&gt;1,(H66/(B66+2)+J72),0))</f>
        <v>0</v>
      </c>
    </row>
    <row r="74" spans="1:10" ht="15" customHeight="1" x14ac:dyDescent="0.3">
      <c r="A74" s="86" t="s">
        <v>143</v>
      </c>
      <c r="B74" s="87" t="s">
        <v>140</v>
      </c>
      <c r="C74" s="48">
        <v>14</v>
      </c>
      <c r="D74" s="49">
        <f ca="1">((100/(H66))*C74)/100</f>
        <v>1</v>
      </c>
      <c r="E74" s="89"/>
      <c r="F74" s="89"/>
      <c r="G74" s="89"/>
      <c r="H74" s="90"/>
      <c r="I74" s="27" t="s">
        <v>151</v>
      </c>
      <c r="J74" s="33">
        <f>(IF(B66&gt;2,(H66/(B66+2)+J73),0))</f>
        <v>0</v>
      </c>
    </row>
    <row r="75" spans="1:10" ht="15.75" customHeight="1" x14ac:dyDescent="0.3">
      <c r="A75" s="86" t="s">
        <v>139</v>
      </c>
      <c r="B75" s="87" t="s">
        <v>139</v>
      </c>
      <c r="C75" s="48">
        <v>10</v>
      </c>
      <c r="D75" s="49">
        <f ca="1">((100/H66)*C75)/100</f>
        <v>0.7142857142857143</v>
      </c>
      <c r="E75" s="89"/>
      <c r="F75" s="89"/>
      <c r="G75" s="89"/>
      <c r="H75" s="90"/>
      <c r="I75" s="27" t="s">
        <v>152</v>
      </c>
      <c r="J75" s="34">
        <f>(IF(B66&gt;3,(H66/(B66+2)+J74),0))</f>
        <v>0</v>
      </c>
    </row>
    <row r="76" spans="1:10" ht="15.75" customHeight="1" x14ac:dyDescent="0.3">
      <c r="A76" s="86" t="s">
        <v>146</v>
      </c>
      <c r="B76" s="87"/>
      <c r="C76" s="48">
        <v>7</v>
      </c>
      <c r="D76" s="49">
        <f ca="1">((100/H66)*C76)/100</f>
        <v>0.5</v>
      </c>
      <c r="E76" s="89"/>
      <c r="F76" s="89"/>
      <c r="G76" s="89"/>
      <c r="H76" s="90"/>
      <c r="I76" s="27" t="s">
        <v>153</v>
      </c>
      <c r="J76" s="33">
        <f>(IF(B66&gt;4,(H66/(B66+2)+J75),0))</f>
        <v>0</v>
      </c>
    </row>
    <row r="77" spans="1:10" ht="15.75" customHeight="1" x14ac:dyDescent="0.3">
      <c r="A77" s="86" t="s">
        <v>141</v>
      </c>
      <c r="B77" s="87" t="s">
        <v>141</v>
      </c>
      <c r="C77" s="48">
        <v>0</v>
      </c>
      <c r="D77" s="49">
        <f ca="1">((100/(H66))*C77)/100</f>
        <v>0</v>
      </c>
      <c r="E77" s="89"/>
      <c r="F77" s="89"/>
      <c r="G77" s="89"/>
      <c r="H77" s="90"/>
      <c r="I77" s="27" t="s">
        <v>155</v>
      </c>
      <c r="J77" s="33">
        <f ca="1">(IF(B66=1,(H66/(B66+3)+J72),IF(B66=0,(H66/4+J72),IF(B66&gt;1,0))))</f>
        <v>10.5</v>
      </c>
    </row>
    <row r="78" spans="1:10" ht="16.2" thickBot="1" x14ac:dyDescent="0.35">
      <c r="A78" s="126" t="s">
        <v>142</v>
      </c>
      <c r="B78" s="127"/>
      <c r="C78" s="51">
        <v>0</v>
      </c>
      <c r="D78" s="52">
        <f ca="1">((100/(H66))*C78)/100</f>
        <v>0</v>
      </c>
      <c r="E78" s="91"/>
      <c r="F78" s="91"/>
      <c r="G78" s="91"/>
      <c r="H78" s="92"/>
      <c r="I78" s="32" t="s">
        <v>111</v>
      </c>
      <c r="J78" s="35">
        <f ca="1">(IF(B66&gt;1.5,(H66/(B66+2)+J72+MAX(0,J73-J72)+MAX(0,J74-J73)+MAX(0,J75-J74)+MAX(0,J76-J75)+MAX(0,J77-J76)),IF(B66=1,(H66/(B66+3)+J77),IF(B66=0,H66/4+J77))))</f>
        <v>14</v>
      </c>
    </row>
    <row r="79" spans="1:10" ht="15.75" customHeight="1" x14ac:dyDescent="0.3">
      <c r="A79" s="93" t="s">
        <v>148</v>
      </c>
      <c r="B79" s="94"/>
      <c r="C79" s="95" t="str">
        <f>D56</f>
        <v>A Wing (A1 Wing) = B1 + G/St + 1st to 13th Floor</v>
      </c>
      <c r="D79" s="96"/>
      <c r="E79" s="96"/>
      <c r="F79" s="96"/>
      <c r="G79" s="96"/>
      <c r="H79" s="97"/>
      <c r="I79" s="31" t="str">
        <f ca="1">(IF(E83&gt;99%,"All work completed. Please provide OC.",IF(E83&gt;89.8%,"Plinth, RCC, Brick, Plaster, Flooring, Painting work Completed. Finishing work is in process.",IF(E83&lt;94%,(IF(C83=0,"Work not yet Started.",IF(D83=25%,"Piling work in process",IF(D83=50%,"Excavation work in process",IF(D83=100%,"Excavation work Completed. ","0")))&amp;(IF(C84=0%,"",IF(C84=J85,"Footing work is process",IF(C84=J86,"Footing work Completed",IF(C84=J87,"1st Basement Completed",IF(C84=J88,"1st &amp; 2nd Basement Completed",IF(C84=J89,"1st to 3rd Basement Completed",IF(C84=J90,"1st to 4th Basement Completed",IF(C84=J91,"Plinth work is process",IF(C84=J92,"Plinth work completed","0")))))))))))&amp;(IF(C85=(D80+F80+H80),", RCC Slab Completed",IF(C85&gt;0,", RCC upto "&amp;C85&amp;" Slab Completed",""))&amp;(IF(C86=H80,", Brickwork Completed",IF(C86&gt;0,", Brickwork upto "&amp;C86&amp;" Floor Completed",""))&amp;(IF(C87=H80,", Internal Plaster Completed",IF(C87&gt;0,", Internal Plaster upto "&amp;C87&amp;" Floor Completed",""))&amp;(IF(C88=H80,", External Plaster Completed",IF(C88&gt;0,", External Plaster upto "&amp;C88&amp;" Floor Completed",""))&amp;(IF(C89=H80,", Flooring Completed",IF(C89&gt;0,", Flooring upto "&amp;C89&amp;" Floor Completed",""))&amp;(IF(C90=H80,", Painting Completed",IF(C90&gt;0,", Painting upto "&amp;C90&amp;" Floor Completed",""))&amp;(IF(C91&gt;0,", Finishing upto "&amp;C91&amp;" Floor Completed","")&amp;(IF(C85&gt;0.5,".",""))))))))))))))</f>
        <v>Excavation work Completed. Plinth work completed, RCC Slab Completed, Brickwork Completed, Internal Plaster Completed, External Plaster upto 12 Floor Completed, Flooring upto 9 Floor Completed, Painting upto 7 Floor Completed.</v>
      </c>
      <c r="J79" s="10"/>
    </row>
    <row r="80" spans="1:10" x14ac:dyDescent="0.3">
      <c r="A80" s="36" t="s">
        <v>150</v>
      </c>
      <c r="B80" s="43">
        <v>1</v>
      </c>
      <c r="C80" s="43" t="s">
        <v>76</v>
      </c>
      <c r="D80" s="43">
        <v>1</v>
      </c>
      <c r="E80" s="43" t="s">
        <v>75</v>
      </c>
      <c r="F80" s="43">
        <v>0</v>
      </c>
      <c r="G80" s="43" t="s">
        <v>84</v>
      </c>
      <c r="H80" s="37">
        <f ca="1">--TRIM(RIGHT(SUBSTITUTE(LEFT(C79,_xlfn.AGGREGATE(16,6,FIND({0,1,2,3,4,5,6,7,8,9},C79,ROW(INDIRECT("1:"&amp;LEN(C79)))),1))," ",REPT(" ",LEN(C79))),LEN(C79)))</f>
        <v>13</v>
      </c>
      <c r="I80" s="9"/>
      <c r="J80" s="11"/>
    </row>
    <row r="81" spans="1:10" ht="48.75" customHeight="1" x14ac:dyDescent="0.3">
      <c r="A81" s="98" t="s">
        <v>94</v>
      </c>
      <c r="B81" s="99"/>
      <c r="C81" s="100" t="str">
        <f ca="1">(IF($G$50="NA",I79,"All work Completed. OC Received."))</f>
        <v>Excavation work Completed. Plinth work completed, RCC Slab Completed, Brickwork Completed, Internal Plaster Completed, External Plaster upto 12 Floor Completed, Flooring upto 9 Floor Completed, Painting upto 7 Floor Completed.</v>
      </c>
      <c r="D81" s="100"/>
      <c r="E81" s="100"/>
      <c r="F81" s="100"/>
      <c r="G81" s="100"/>
      <c r="H81" s="101"/>
      <c r="I81" s="9" t="s">
        <v>112</v>
      </c>
      <c r="J81" s="11"/>
    </row>
    <row r="82" spans="1:10" ht="15.75" customHeight="1" x14ac:dyDescent="0.3">
      <c r="A82" s="86" t="s">
        <v>51</v>
      </c>
      <c r="B82" s="87"/>
      <c r="C82" s="40" t="s">
        <v>147</v>
      </c>
      <c r="D82" s="40" t="s">
        <v>87</v>
      </c>
      <c r="E82" s="87" t="s">
        <v>89</v>
      </c>
      <c r="F82" s="87"/>
      <c r="G82" s="87" t="s">
        <v>88</v>
      </c>
      <c r="H82" s="102"/>
      <c r="I82" s="27" t="s">
        <v>149</v>
      </c>
      <c r="J82" s="12">
        <f ca="1">H80*25%</f>
        <v>3.25</v>
      </c>
    </row>
    <row r="83" spans="1:10" x14ac:dyDescent="0.3">
      <c r="A83" s="86" t="s">
        <v>136</v>
      </c>
      <c r="B83" s="87"/>
      <c r="C83" s="48">
        <f ca="1">J84</f>
        <v>13</v>
      </c>
      <c r="D83" s="49">
        <f ca="1">((100/H80)*C83)/100</f>
        <v>1</v>
      </c>
      <c r="E83" s="89">
        <f ca="1">(((C84/H80*10)+(40/(D80+F80+H80)*C85)+(7.5/(H80)*C86)+(7.5/(H80)*C87)+(10/H80*C88)+(10/H80*C89)+(5/H80*C90)+(5/H80*C91)+(5/H80*C92))/100)</f>
        <v>0.83846153846153837</v>
      </c>
      <c r="F83" s="89"/>
      <c r="G83" s="89">
        <f ca="1">((((C83/H80)*20)+((C84/H80)*25)+(30/(H80+F80+D80)*C85)+(5/H80*C86)+(5/H80*C87)+(5/H80*C88)+(5/H80*C89)+(0/H80*C90)+(0/H80*C91)+(5/H80*C92))/100)</f>
        <v>0.93076923076923079</v>
      </c>
      <c r="H83" s="90"/>
      <c r="I83" s="27" t="s">
        <v>107</v>
      </c>
      <c r="J83" s="30">
        <f ca="1">H80*50%</f>
        <v>6.5</v>
      </c>
    </row>
    <row r="84" spans="1:10" x14ac:dyDescent="0.3">
      <c r="A84" s="86" t="s">
        <v>52</v>
      </c>
      <c r="B84" s="87"/>
      <c r="C84" s="50">
        <f ca="1">J92</f>
        <v>13</v>
      </c>
      <c r="D84" s="49">
        <f ca="1">((100/H80)*C84)/100</f>
        <v>1</v>
      </c>
      <c r="E84" s="89"/>
      <c r="F84" s="89"/>
      <c r="G84" s="89"/>
      <c r="H84" s="90"/>
      <c r="I84" s="27" t="s">
        <v>108</v>
      </c>
      <c r="J84" s="30">
        <f ca="1">H80</f>
        <v>13</v>
      </c>
    </row>
    <row r="85" spans="1:10" ht="15.75" customHeight="1" x14ac:dyDescent="0.3">
      <c r="A85" s="86" t="s">
        <v>137</v>
      </c>
      <c r="B85" s="87"/>
      <c r="C85" s="50">
        <f>14</f>
        <v>14</v>
      </c>
      <c r="D85" s="49">
        <f ca="1">((100/(D80+F80+H80))*C85)/100</f>
        <v>1</v>
      </c>
      <c r="E85" s="89"/>
      <c r="F85" s="89"/>
      <c r="G85" s="89"/>
      <c r="H85" s="90"/>
      <c r="I85" s="27" t="s">
        <v>109</v>
      </c>
      <c r="J85" s="33">
        <f ca="1">(IF(B80&gt;1,(H80/(B80+2)),H80/4))</f>
        <v>3.25</v>
      </c>
    </row>
    <row r="86" spans="1:10" ht="15.75" customHeight="1" x14ac:dyDescent="0.3">
      <c r="A86" s="86" t="s">
        <v>144</v>
      </c>
      <c r="B86" s="87" t="s">
        <v>138</v>
      </c>
      <c r="C86" s="48">
        <v>13</v>
      </c>
      <c r="D86" s="49">
        <f ca="1">((100/H80)*C86)/100</f>
        <v>1</v>
      </c>
      <c r="E86" s="89"/>
      <c r="F86" s="89"/>
      <c r="G86" s="89"/>
      <c r="H86" s="90"/>
      <c r="I86" s="27" t="s">
        <v>110</v>
      </c>
      <c r="J86" s="33">
        <f ca="1">(IF(B80&gt;1,(H80/(B80+2)+J85),H80/4+J85))</f>
        <v>6.5</v>
      </c>
    </row>
    <row r="87" spans="1:10" ht="15.75" customHeight="1" x14ac:dyDescent="0.3">
      <c r="A87" s="86" t="s">
        <v>145</v>
      </c>
      <c r="B87" s="87" t="s">
        <v>138</v>
      </c>
      <c r="C87" s="48">
        <v>13</v>
      </c>
      <c r="D87" s="49">
        <f ca="1">((100/H80)*C87)/100</f>
        <v>1</v>
      </c>
      <c r="E87" s="89"/>
      <c r="F87" s="89"/>
      <c r="G87" s="89"/>
      <c r="H87" s="90"/>
      <c r="I87" s="27" t="s">
        <v>154</v>
      </c>
      <c r="J87" s="33">
        <f>(IF(B80&gt;1,(H80/(B80+2)+J86),0))</f>
        <v>0</v>
      </c>
    </row>
    <row r="88" spans="1:10" ht="15" customHeight="1" x14ac:dyDescent="0.3">
      <c r="A88" s="86" t="s">
        <v>143</v>
      </c>
      <c r="B88" s="87" t="s">
        <v>140</v>
      </c>
      <c r="C88" s="48">
        <v>12</v>
      </c>
      <c r="D88" s="49">
        <f ca="1">((100/(H80))*C88)/100</f>
        <v>0.92307692307692302</v>
      </c>
      <c r="E88" s="89"/>
      <c r="F88" s="89"/>
      <c r="G88" s="89"/>
      <c r="H88" s="90"/>
      <c r="I88" s="27" t="s">
        <v>151</v>
      </c>
      <c r="J88" s="33">
        <f>(IF(B80&gt;2,(H80/(B80+2)+J87),0))</f>
        <v>0</v>
      </c>
    </row>
    <row r="89" spans="1:10" ht="15.75" customHeight="1" x14ac:dyDescent="0.3">
      <c r="A89" s="86" t="s">
        <v>139</v>
      </c>
      <c r="B89" s="87" t="s">
        <v>139</v>
      </c>
      <c r="C89" s="48">
        <v>9</v>
      </c>
      <c r="D89" s="49">
        <f ca="1">((100/H80)*C89)/100</f>
        <v>0.69230769230769229</v>
      </c>
      <c r="E89" s="89"/>
      <c r="F89" s="89"/>
      <c r="G89" s="89"/>
      <c r="H89" s="90"/>
      <c r="I89" s="27" t="s">
        <v>152</v>
      </c>
      <c r="J89" s="34">
        <f>(IF(B80&gt;3,(H80/(B80+2)+J88),0))</f>
        <v>0</v>
      </c>
    </row>
    <row r="90" spans="1:10" ht="15.75" customHeight="1" x14ac:dyDescent="0.3">
      <c r="A90" s="86" t="s">
        <v>146</v>
      </c>
      <c r="B90" s="87"/>
      <c r="C90" s="48">
        <v>7</v>
      </c>
      <c r="D90" s="49">
        <f ca="1">((100/H80)*C90)/100</f>
        <v>0.53846153846153844</v>
      </c>
      <c r="E90" s="89"/>
      <c r="F90" s="89"/>
      <c r="G90" s="89"/>
      <c r="H90" s="90"/>
      <c r="I90" s="27" t="s">
        <v>153</v>
      </c>
      <c r="J90" s="33">
        <f>(IF(B80&gt;4,(H80/(B80+2)+J89),0))</f>
        <v>0</v>
      </c>
    </row>
    <row r="91" spans="1:10" ht="15.75" customHeight="1" x14ac:dyDescent="0.3">
      <c r="A91" s="86" t="s">
        <v>141</v>
      </c>
      <c r="B91" s="87" t="s">
        <v>141</v>
      </c>
      <c r="C91" s="48">
        <v>0</v>
      </c>
      <c r="D91" s="49">
        <f ca="1">((100/(H80))*C91)/100</f>
        <v>0</v>
      </c>
      <c r="E91" s="89"/>
      <c r="F91" s="89"/>
      <c r="G91" s="89"/>
      <c r="H91" s="90"/>
      <c r="I91" s="27" t="s">
        <v>155</v>
      </c>
      <c r="J91" s="33">
        <f ca="1">(IF(B80=1,(H80/(B80+3)+J86),IF(B80=0,(H80/4+J86),IF(B80&gt;1,0))))</f>
        <v>9.75</v>
      </c>
    </row>
    <row r="92" spans="1:10" ht="16.2" thickBot="1" x14ac:dyDescent="0.35">
      <c r="A92" s="126" t="s">
        <v>142</v>
      </c>
      <c r="B92" s="127"/>
      <c r="C92" s="51">
        <v>0</v>
      </c>
      <c r="D92" s="52">
        <f ca="1">((100/(H80))*C92)/100</f>
        <v>0</v>
      </c>
      <c r="E92" s="91"/>
      <c r="F92" s="91"/>
      <c r="G92" s="91"/>
      <c r="H92" s="92"/>
      <c r="I92" s="32" t="s">
        <v>111</v>
      </c>
      <c r="J92" s="35">
        <f ca="1">(IF(B80&gt;1.5,(H80/(B80+2)+J86+MAX(0,J87-J86)+MAX(0,J88-J87)+MAX(0,J89-J88)+MAX(0,J90-J89)+MAX(0,J91-J90)),IF(B80=1,(H80/(B80+3)+J91),IF(B80=0,H80/4+J91))))</f>
        <v>13</v>
      </c>
    </row>
    <row r="93" spans="1:10" ht="15.75" customHeight="1" x14ac:dyDescent="0.3">
      <c r="A93" s="93" t="s">
        <v>148</v>
      </c>
      <c r="B93" s="94"/>
      <c r="C93" s="95" t="str">
        <f>D57</f>
        <v>B Wing = B1 + G/St + 1st to 14th Floor</v>
      </c>
      <c r="D93" s="96"/>
      <c r="E93" s="96"/>
      <c r="F93" s="96"/>
      <c r="G93" s="96"/>
      <c r="H93" s="97"/>
      <c r="I93" s="31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 Completed",IF(C99&gt;0,", RCC upto "&amp;C99&amp;" Slab Completed",""))&amp;(IF(C100=H94,", Brickwork Completed",IF(C100&gt;0,", Brickwork upto "&amp;C100&amp;" Floor Completed",""))&amp;(IF(C101=H94,", Internal Plaster Completed",IF(C101&gt;0,", Internal Plaster upto "&amp;C101&amp;" Floor Completed",""))&amp;(IF(C102=H94,", External Plaster Completed",IF(C102&gt;0,", External Plaster upto "&amp;C102&amp;" Floor Completed",""))&amp;(IF(C103=H94,", Flooring Completed",IF(C103&gt;0,", Flooring upto "&amp;C103&amp;" Floor Completed",""))&amp;(IF(C104=H94,", Painting Completed",IF(C104&gt;0,", Painting upto "&amp;C104&amp;" Floor Completed",""))&amp;(IF(C105&gt;0,", Finishing upto "&amp;C105&amp;" Floor Completed","")&amp;(IF(C99&gt;0.5,".",""))))))))))))))</f>
        <v>Excavation work Completed. Plinth work completed, RCC Slab Completed, Brickwork Completed, Internal Plaster Completed, External Plaster upto 12 Floor Completed, Flooring upto 5 Floor Completed.</v>
      </c>
      <c r="J93" s="10"/>
    </row>
    <row r="94" spans="1:10" x14ac:dyDescent="0.3">
      <c r="A94" s="36" t="s">
        <v>150</v>
      </c>
      <c r="B94" s="43">
        <v>1</v>
      </c>
      <c r="C94" s="43" t="s">
        <v>76</v>
      </c>
      <c r="D94" s="43">
        <v>1</v>
      </c>
      <c r="E94" s="43" t="s">
        <v>75</v>
      </c>
      <c r="F94" s="43">
        <v>0</v>
      </c>
      <c r="G94" s="43" t="s">
        <v>84</v>
      </c>
      <c r="H94" s="37">
        <f ca="1">--TRIM(RIGHT(SUBSTITUTE(LEFT(C93,_xlfn.AGGREGATE(16,6,FIND({0,1,2,3,4,5,6,7,8,9},C93,ROW(INDIRECT("1:"&amp;LEN(C93)))),1))," ",REPT(" ",LEN(C93))),LEN(C93)))</f>
        <v>14</v>
      </c>
      <c r="I94" s="9"/>
      <c r="J94" s="11"/>
    </row>
    <row r="95" spans="1:10" ht="48.6" customHeight="1" x14ac:dyDescent="0.3">
      <c r="A95" s="98" t="s">
        <v>94</v>
      </c>
      <c r="B95" s="99"/>
      <c r="C95" s="100" t="str">
        <f ca="1">(IF($G$50="NA",I93,"All work Completed. OC Received."))</f>
        <v>Excavation work Completed. Plinth work completed, RCC Slab Completed, Brickwork Completed, Internal Plaster Completed, External Plaster upto 12 Floor Completed, Flooring upto 5 Floor Completed.</v>
      </c>
      <c r="D95" s="100"/>
      <c r="E95" s="100"/>
      <c r="F95" s="100"/>
      <c r="G95" s="100"/>
      <c r="H95" s="101"/>
      <c r="I95" s="9" t="s">
        <v>112</v>
      </c>
      <c r="J95" s="11"/>
    </row>
    <row r="96" spans="1:10" ht="15.75" customHeight="1" x14ac:dyDescent="0.3">
      <c r="A96" s="86" t="s">
        <v>51</v>
      </c>
      <c r="B96" s="87"/>
      <c r="C96" s="40" t="s">
        <v>147</v>
      </c>
      <c r="D96" s="40" t="s">
        <v>87</v>
      </c>
      <c r="E96" s="87" t="s">
        <v>89</v>
      </c>
      <c r="F96" s="87"/>
      <c r="G96" s="87" t="s">
        <v>88</v>
      </c>
      <c r="H96" s="102"/>
      <c r="I96" s="27" t="s">
        <v>149</v>
      </c>
      <c r="J96" s="12">
        <f ca="1">H94*25%</f>
        <v>3.5</v>
      </c>
    </row>
    <row r="97" spans="1:13" x14ac:dyDescent="0.3">
      <c r="A97" s="86" t="s">
        <v>136</v>
      </c>
      <c r="B97" s="87"/>
      <c r="C97" s="48">
        <f ca="1">J98</f>
        <v>14</v>
      </c>
      <c r="D97" s="49">
        <f ca="1">((100/H94)*C97)/100</f>
        <v>1</v>
      </c>
      <c r="E97" s="89">
        <f ca="1">(((C98/H94*10)+(40/(D94+F94+H94)*C99)+(7.5/(H94)*C100)+(7.5/(H94)*C101)+(10/H94*C102)+(10/H94*C103)+(5/H94*C104)+(5/H94*C105)+(5/H94*C106))/100)</f>
        <v>0.77142857142857135</v>
      </c>
      <c r="F97" s="89"/>
      <c r="G97" s="89">
        <f ca="1">((((C97/H94)*20)+((C98/H94)*25)+(30/(H94+F94+D94)*C99)+(5/H94*C100)+(5/H94*C101)+(5/H94*C102)+(5/H94*C103)+(0/H94*C104)+(0/H94*C105)+(5/H94*C106))/100)</f>
        <v>0.91071428571428581</v>
      </c>
      <c r="H97" s="90"/>
      <c r="I97" s="27" t="s">
        <v>107</v>
      </c>
      <c r="J97" s="30">
        <f ca="1">H94*50%</f>
        <v>7</v>
      </c>
    </row>
    <row r="98" spans="1:13" x14ac:dyDescent="0.3">
      <c r="A98" s="86" t="s">
        <v>52</v>
      </c>
      <c r="B98" s="87"/>
      <c r="C98" s="50">
        <f ca="1">J106</f>
        <v>14</v>
      </c>
      <c r="D98" s="49">
        <f ca="1">((100/H94)*C98)/100</f>
        <v>1</v>
      </c>
      <c r="E98" s="89"/>
      <c r="F98" s="89"/>
      <c r="G98" s="89"/>
      <c r="H98" s="90"/>
      <c r="I98" s="27" t="s">
        <v>108</v>
      </c>
      <c r="J98" s="30">
        <f ca="1">H94</f>
        <v>14</v>
      </c>
    </row>
    <row r="99" spans="1:13" ht="15.75" customHeight="1" x14ac:dyDescent="0.3">
      <c r="A99" s="86" t="s">
        <v>137</v>
      </c>
      <c r="B99" s="87"/>
      <c r="C99" s="50">
        <v>15</v>
      </c>
      <c r="D99" s="49">
        <f ca="1">((100/(D94+F94+H94))*C99)/100</f>
        <v>1</v>
      </c>
      <c r="E99" s="89"/>
      <c r="F99" s="89"/>
      <c r="G99" s="89"/>
      <c r="H99" s="90"/>
      <c r="I99" s="27" t="s">
        <v>109</v>
      </c>
      <c r="J99" s="33">
        <f ca="1">(IF(B94&gt;1,(H94/(B94+2)),H94/4))</f>
        <v>3.5</v>
      </c>
    </row>
    <row r="100" spans="1:13" ht="15.75" customHeight="1" x14ac:dyDescent="0.3">
      <c r="A100" s="86" t="s">
        <v>144</v>
      </c>
      <c r="B100" s="87" t="s">
        <v>138</v>
      </c>
      <c r="C100" s="48">
        <v>14</v>
      </c>
      <c r="D100" s="49">
        <f ca="1">((100/H94)*C100)/100</f>
        <v>1</v>
      </c>
      <c r="E100" s="89"/>
      <c r="F100" s="89"/>
      <c r="G100" s="89"/>
      <c r="H100" s="90"/>
      <c r="I100" s="27" t="s">
        <v>110</v>
      </c>
      <c r="J100" s="33">
        <f ca="1">(IF(B94&gt;1,(H94/(B94+2)+J99),H94/4+J99))</f>
        <v>7</v>
      </c>
    </row>
    <row r="101" spans="1:13" ht="15.75" customHeight="1" x14ac:dyDescent="0.3">
      <c r="A101" s="86" t="s">
        <v>145</v>
      </c>
      <c r="B101" s="87" t="s">
        <v>138</v>
      </c>
      <c r="C101" s="48">
        <v>14</v>
      </c>
      <c r="D101" s="49">
        <f ca="1">((100/H94)*C101)/100</f>
        <v>1</v>
      </c>
      <c r="E101" s="89"/>
      <c r="F101" s="89"/>
      <c r="G101" s="89"/>
      <c r="H101" s="90"/>
      <c r="I101" s="27" t="s">
        <v>154</v>
      </c>
      <c r="J101" s="33">
        <f>(IF(B94&gt;1,(H94/(B94+2)+J100),0))</f>
        <v>0</v>
      </c>
    </row>
    <row r="102" spans="1:13" ht="15" customHeight="1" x14ac:dyDescent="0.3">
      <c r="A102" s="86" t="s">
        <v>143</v>
      </c>
      <c r="B102" s="87" t="s">
        <v>140</v>
      </c>
      <c r="C102" s="48">
        <v>12</v>
      </c>
      <c r="D102" s="49">
        <f ca="1">((100/(H94))*C102)/100</f>
        <v>0.85714285714285721</v>
      </c>
      <c r="E102" s="89"/>
      <c r="F102" s="89"/>
      <c r="G102" s="89"/>
      <c r="H102" s="90"/>
      <c r="I102" s="27" t="s">
        <v>151</v>
      </c>
      <c r="J102" s="33">
        <f>(IF(B94&gt;2,(H94/(B94+2)+J101),0))</f>
        <v>0</v>
      </c>
    </row>
    <row r="103" spans="1:13" ht="15.75" customHeight="1" x14ac:dyDescent="0.3">
      <c r="A103" s="86" t="s">
        <v>139</v>
      </c>
      <c r="B103" s="87" t="s">
        <v>139</v>
      </c>
      <c r="C103" s="48">
        <v>5</v>
      </c>
      <c r="D103" s="49">
        <f ca="1">((100/H94)*C103)/100</f>
        <v>0.35714285714285715</v>
      </c>
      <c r="E103" s="89"/>
      <c r="F103" s="89"/>
      <c r="G103" s="89"/>
      <c r="H103" s="90"/>
      <c r="I103" s="27" t="s">
        <v>152</v>
      </c>
      <c r="J103" s="34">
        <f>(IF(B94&gt;3,(H94/(B94+2)+J102),0))</f>
        <v>0</v>
      </c>
    </row>
    <row r="104" spans="1:13" ht="15.75" customHeight="1" x14ac:dyDescent="0.3">
      <c r="A104" s="86" t="s">
        <v>146</v>
      </c>
      <c r="B104" s="87"/>
      <c r="C104" s="48">
        <v>0</v>
      </c>
      <c r="D104" s="49">
        <f ca="1">((100/H94)*C104)/100</f>
        <v>0</v>
      </c>
      <c r="E104" s="89"/>
      <c r="F104" s="89"/>
      <c r="G104" s="89"/>
      <c r="H104" s="90"/>
      <c r="I104" s="27" t="s">
        <v>153</v>
      </c>
      <c r="J104" s="33">
        <f>(IF(B94&gt;4,(H94/(B94+2)+J103),0))</f>
        <v>0</v>
      </c>
    </row>
    <row r="105" spans="1:13" ht="15.75" customHeight="1" x14ac:dyDescent="0.3">
      <c r="A105" s="86" t="s">
        <v>141</v>
      </c>
      <c r="B105" s="87" t="s">
        <v>141</v>
      </c>
      <c r="C105" s="48">
        <v>0</v>
      </c>
      <c r="D105" s="49">
        <f ca="1">((100/(H94))*C105)/100</f>
        <v>0</v>
      </c>
      <c r="E105" s="89"/>
      <c r="F105" s="89"/>
      <c r="G105" s="89"/>
      <c r="H105" s="90"/>
      <c r="I105" s="27" t="s">
        <v>155</v>
      </c>
      <c r="J105" s="33">
        <f ca="1">(IF(B94=1,(H94/(B94+3)+J100),IF(B94=0,(H94/4+J100),IF(B94&gt;1,0))))</f>
        <v>10.5</v>
      </c>
    </row>
    <row r="106" spans="1:13" ht="16.2" thickBot="1" x14ac:dyDescent="0.35">
      <c r="A106" s="126" t="s">
        <v>142</v>
      </c>
      <c r="B106" s="127"/>
      <c r="C106" s="51">
        <v>0</v>
      </c>
      <c r="D106" s="52">
        <f ca="1">((100/(H94))*C106)/100</f>
        <v>0</v>
      </c>
      <c r="E106" s="91"/>
      <c r="F106" s="91"/>
      <c r="G106" s="91"/>
      <c r="H106" s="92"/>
      <c r="I106" s="32" t="s">
        <v>111</v>
      </c>
      <c r="J106" s="35">
        <f ca="1">(IF(B94&gt;1.5,(H94/(B94+2)+J100+MAX(0,J101-J100)+MAX(0,J102-J101)+MAX(0,J103-J102)+MAX(0,J104-J103)+MAX(0,J105-J104)),IF(B94=1,(H94/(B94+3)+J105),IF(B94=0,H94/4+J105))))</f>
        <v>14</v>
      </c>
    </row>
    <row r="107" spans="1:13" x14ac:dyDescent="0.3">
      <c r="A107" s="106" t="s">
        <v>53</v>
      </c>
      <c r="B107" s="106"/>
      <c r="C107" s="106"/>
      <c r="D107" s="106"/>
      <c r="E107" s="106"/>
      <c r="F107" s="106"/>
      <c r="G107" s="106"/>
      <c r="H107" s="106"/>
    </row>
    <row r="108" spans="1:13" x14ac:dyDescent="0.3">
      <c r="A108" s="88" t="s">
        <v>162</v>
      </c>
      <c r="B108" s="88"/>
      <c r="C108" s="88"/>
      <c r="D108" s="88"/>
      <c r="E108" s="88"/>
      <c r="F108" s="151">
        <v>4500</v>
      </c>
      <c r="G108" s="151"/>
      <c r="H108" s="151"/>
      <c r="J108" s="3" t="s">
        <v>225</v>
      </c>
      <c r="K108" s="28">
        <v>45259</v>
      </c>
      <c r="L108" s="3" t="s">
        <v>226</v>
      </c>
      <c r="M108" s="3" t="s">
        <v>227</v>
      </c>
    </row>
    <row r="109" spans="1:13" hidden="1" x14ac:dyDescent="0.3">
      <c r="A109" s="88" t="s">
        <v>163</v>
      </c>
      <c r="B109" s="88"/>
      <c r="C109" s="88"/>
      <c r="D109" s="88"/>
      <c r="E109" s="88"/>
      <c r="F109" s="56"/>
      <c r="G109" s="56"/>
      <c r="H109" s="56"/>
    </row>
    <row r="110" spans="1:13" hidden="1" x14ac:dyDescent="0.3">
      <c r="A110" s="88" t="s">
        <v>164</v>
      </c>
      <c r="B110" s="88"/>
      <c r="C110" s="88"/>
      <c r="D110" s="88"/>
      <c r="E110" s="88"/>
      <c r="F110" s="56"/>
      <c r="G110" s="56"/>
      <c r="H110" s="56"/>
    </row>
    <row r="111" spans="1:13" s="7" customFormat="1" hidden="1" x14ac:dyDescent="0.25">
      <c r="A111" s="88" t="s">
        <v>99</v>
      </c>
      <c r="B111" s="88"/>
      <c r="C111" s="88"/>
      <c r="D111" s="88"/>
      <c r="E111" s="88"/>
      <c r="F111" s="56"/>
      <c r="G111" s="56"/>
      <c r="H111" s="56"/>
    </row>
    <row r="112" spans="1:13" s="7" customFormat="1" x14ac:dyDescent="0.25">
      <c r="A112" s="88" t="s">
        <v>100</v>
      </c>
      <c r="B112" s="88"/>
      <c r="C112" s="88"/>
      <c r="D112" s="88"/>
      <c r="E112" s="88"/>
      <c r="F112" s="56">
        <v>270000</v>
      </c>
      <c r="G112" s="56"/>
      <c r="H112" s="56"/>
    </row>
    <row r="113" spans="1:10" s="7" customFormat="1" hidden="1" x14ac:dyDescent="0.25">
      <c r="A113" s="88" t="s">
        <v>101</v>
      </c>
      <c r="B113" s="88"/>
      <c r="C113" s="88"/>
      <c r="D113" s="88"/>
      <c r="E113" s="88"/>
      <c r="F113" s="56"/>
      <c r="G113" s="56"/>
      <c r="H113" s="56"/>
    </row>
    <row r="114" spans="1:10" s="7" customFormat="1" hidden="1" x14ac:dyDescent="0.25">
      <c r="A114" s="88" t="s">
        <v>102</v>
      </c>
      <c r="B114" s="88"/>
      <c r="C114" s="88"/>
      <c r="D114" s="88"/>
      <c r="E114" s="88"/>
      <c r="F114" s="56"/>
      <c r="G114" s="56"/>
      <c r="H114" s="56"/>
    </row>
    <row r="115" spans="1:10" s="7" customFormat="1" hidden="1" x14ac:dyDescent="0.25">
      <c r="A115" s="88" t="s">
        <v>103</v>
      </c>
      <c r="B115" s="88"/>
      <c r="C115" s="88"/>
      <c r="D115" s="88"/>
      <c r="E115" s="88"/>
      <c r="F115" s="56"/>
      <c r="G115" s="56"/>
      <c r="H115" s="56"/>
    </row>
    <row r="116" spans="1:10" s="7" customFormat="1" hidden="1" x14ac:dyDescent="0.25">
      <c r="A116" s="88" t="s">
        <v>104</v>
      </c>
      <c r="B116" s="88"/>
      <c r="C116" s="88"/>
      <c r="D116" s="88"/>
      <c r="E116" s="88"/>
      <c r="F116" s="56"/>
      <c r="G116" s="56"/>
      <c r="H116" s="56"/>
    </row>
    <row r="117" spans="1:10" s="7" customFormat="1" hidden="1" x14ac:dyDescent="0.25">
      <c r="A117" s="88" t="s">
        <v>105</v>
      </c>
      <c r="B117" s="88"/>
      <c r="C117" s="88"/>
      <c r="D117" s="88"/>
      <c r="E117" s="88"/>
      <c r="F117" s="56"/>
      <c r="G117" s="56"/>
      <c r="H117" s="56"/>
    </row>
    <row r="118" spans="1:10" s="7" customFormat="1" hidden="1" x14ac:dyDescent="0.25">
      <c r="A118" s="88" t="s">
        <v>106</v>
      </c>
      <c r="B118" s="88"/>
      <c r="C118" s="88"/>
      <c r="D118" s="88"/>
      <c r="E118" s="88"/>
      <c r="F118" s="56"/>
      <c r="G118" s="56"/>
      <c r="H118" s="56"/>
    </row>
    <row r="119" spans="1:10" x14ac:dyDescent="0.3">
      <c r="A119" s="88" t="s">
        <v>54</v>
      </c>
      <c r="B119" s="88"/>
      <c r="C119" s="88"/>
      <c r="D119" s="88"/>
      <c r="E119" s="88"/>
      <c r="F119" s="56">
        <v>200000</v>
      </c>
      <c r="G119" s="56"/>
      <c r="H119" s="56"/>
    </row>
    <row r="120" spans="1:10" s="4" customFormat="1" x14ac:dyDescent="0.3">
      <c r="A120" s="106" t="s">
        <v>55</v>
      </c>
      <c r="B120" s="106"/>
      <c r="C120" s="106"/>
      <c r="D120" s="106"/>
      <c r="E120" s="106"/>
      <c r="F120" s="56">
        <f>F108*0.8</f>
        <v>3600</v>
      </c>
      <c r="G120" s="56"/>
      <c r="H120" s="56"/>
    </row>
    <row r="121" spans="1:10" s="1" customFormat="1" x14ac:dyDescent="0.3">
      <c r="A121" s="70" t="s">
        <v>74</v>
      </c>
      <c r="B121" s="70"/>
      <c r="C121" s="70"/>
      <c r="D121" s="70"/>
      <c r="E121" s="70"/>
      <c r="F121" s="70"/>
      <c r="G121" s="70"/>
      <c r="H121" s="70"/>
    </row>
    <row r="122" spans="1:10" s="1" customFormat="1" ht="15.75" customHeight="1" x14ac:dyDescent="0.3">
      <c r="A122" s="140" t="s">
        <v>56</v>
      </c>
      <c r="B122" s="140"/>
      <c r="C122" s="71" t="s">
        <v>82</v>
      </c>
      <c r="D122" s="71"/>
      <c r="E122" s="139" t="s">
        <v>57</v>
      </c>
      <c r="F122" s="139"/>
      <c r="G122" s="140" t="s">
        <v>58</v>
      </c>
      <c r="H122" s="140"/>
    </row>
    <row r="123" spans="1:10" s="1" customFormat="1" x14ac:dyDescent="0.3">
      <c r="A123" s="136" t="s">
        <v>166</v>
      </c>
      <c r="B123" s="136"/>
      <c r="C123" s="75">
        <f>COUNT(D134,D136:D138)+COUNT(D140:D144)+COUNT(D146:D150)*3+COUNT(D152:D156)*3+COUNT(D158:D162)+COUNT(D164:D168)*2+COUNT(D170:D174)*2+COUNT(D176:D180)+COUNT(D182:D183)</f>
        <v>71</v>
      </c>
      <c r="D123" s="75"/>
      <c r="E123" s="76">
        <f t="shared" ref="E123" si="0">SUM(D134,D136:D138)+SUM(D140:D144)+SUM(D146:D150)*3+SUM(D152:D156)*3+SUM(D158:D162)+SUM(D164:D168)*2+SUM(D170:D174)*2+SUM(D176:D180)+SUM(D182:D183)</f>
        <v>41680.767679199998</v>
      </c>
      <c r="F123" s="76"/>
      <c r="G123" s="76">
        <f>SUM(F134,F136:F138)+SUM(F140:F144)+SUM(F146:F150)*3+SUM(F152:F156)*3+SUM(F158:F162)+SUM(F164:F168)*2+SUM(F170:F174)*2+SUM(F176:F180)+SUM(F182:F183)</f>
        <v>65632.324258799999</v>
      </c>
      <c r="H123" s="76"/>
    </row>
    <row r="124" spans="1:10" s="1" customFormat="1" x14ac:dyDescent="0.3">
      <c r="A124" s="136" t="s">
        <v>167</v>
      </c>
      <c r="B124" s="136"/>
      <c r="C124" s="75">
        <f>COUNT(D188:D190)+COUNT(D192:D195)+COUNT(D197:D200)*3+COUNT(D202:D205)*3+COUNT(D207:D208,D210)+COUNT(D212:D215)*2+COUNT(D217:D220)*2+COUNT(D222:D223,D225)</f>
        <v>53</v>
      </c>
      <c r="D124" s="75"/>
      <c r="E124" s="76">
        <f t="shared" ref="E124" si="1">SUM(D188:D190)+SUM(D192:D195)+SUM(D197:D200)*3+SUM(D202:D205)*3+SUM(D207:D208,D210)+SUM(D212:D215)*2+SUM(D217:D220)*2+SUM(D222:D223,D225)</f>
        <v>32253.949259999998</v>
      </c>
      <c r="F124" s="76"/>
      <c r="G124" s="76">
        <f>SUM(F188:F190)+SUM(F192:F195)+SUM(F197:F200)*3+SUM(F202:F205)*3+SUM(F207:F208,F210)+SUM(F212:F215)*2+SUM(F217:F220)*2+SUM(F222:F223,F225)</f>
        <v>51762.43449</v>
      </c>
      <c r="H124" s="76"/>
      <c r="J124" s="1">
        <f>14*6-1</f>
        <v>83</v>
      </c>
    </row>
    <row r="125" spans="1:10" s="1" customFormat="1" x14ac:dyDescent="0.3">
      <c r="A125" s="136" t="s">
        <v>168</v>
      </c>
      <c r="B125" s="136"/>
      <c r="C125" s="75">
        <f>COUNT(D230:D235)+COUNT(D237:D242)*3+COUNT(D244:D249)*3+COUNT(D251:D253,D255:D256)+COUNT(D258:D263)*2+COUNT(D265:D270)*3+COUNT(D272:D274,D276:D277)</f>
        <v>82</v>
      </c>
      <c r="D125" s="75"/>
      <c r="E125" s="76">
        <f>SUM(D230:D235)+SUM(D237:D242)*3+SUM(D244:D249)*3+SUM(D251:D253,D255:D256)+SUM(D258:D263)*2+SUM(D265:D270)*3+SUM(D272:D274,D276:D277)</f>
        <v>40890.39084</v>
      </c>
      <c r="F125" s="76"/>
      <c r="G125" s="76">
        <f>SUM(F230:F235)+SUM(F237:F242)*3+SUM(F244:F249)*3+SUM(F251:F253,F255:F256)+SUM(F258:F263)*2+SUM(F265:F270)*3+SUM(F272:F274,F276:F277)</f>
        <v>64462.528259999999</v>
      </c>
      <c r="H125" s="76"/>
    </row>
    <row r="126" spans="1:10" s="1" customFormat="1" x14ac:dyDescent="0.3">
      <c r="A126" s="70" t="s">
        <v>158</v>
      </c>
      <c r="B126" s="70"/>
      <c r="C126" s="71">
        <f>SUM(C123:D125)</f>
        <v>206</v>
      </c>
      <c r="D126" s="71"/>
      <c r="E126" s="152">
        <f>SUM(E123:F125)</f>
        <v>114825.10777919999</v>
      </c>
      <c r="F126" s="139"/>
      <c r="G126" s="140">
        <f>SUM(G123:H125)</f>
        <v>181857.28700879999</v>
      </c>
      <c r="H126" s="140"/>
    </row>
    <row r="127" spans="1:10" s="4" customFormat="1" x14ac:dyDescent="0.3">
      <c r="A127" s="72" t="s">
        <v>59</v>
      </c>
      <c r="B127" s="72"/>
      <c r="C127" s="72"/>
      <c r="D127" s="72"/>
      <c r="E127" s="72"/>
      <c r="F127" s="72"/>
      <c r="G127" s="72"/>
      <c r="H127" s="72"/>
    </row>
    <row r="128" spans="1:10" x14ac:dyDescent="0.3">
      <c r="A128" s="72" t="s">
        <v>60</v>
      </c>
      <c r="B128" s="72"/>
      <c r="C128" s="72"/>
      <c r="D128" s="72"/>
      <c r="E128" s="72"/>
      <c r="F128" s="72"/>
      <c r="G128" s="72"/>
      <c r="H128" s="72"/>
    </row>
    <row r="129" spans="1:14" ht="47.25" customHeight="1" x14ac:dyDescent="0.3">
      <c r="A129" s="73" t="s">
        <v>127</v>
      </c>
      <c r="B129" s="73" t="s">
        <v>128</v>
      </c>
      <c r="C129" s="142" t="s">
        <v>61</v>
      </c>
      <c r="D129" s="142" t="s">
        <v>62</v>
      </c>
      <c r="E129" s="144" t="s">
        <v>63</v>
      </c>
      <c r="F129" s="46" t="s">
        <v>157</v>
      </c>
      <c r="G129" s="73" t="s">
        <v>64</v>
      </c>
      <c r="H129" s="146"/>
      <c r="I129" s="26"/>
      <c r="L129" s="3">
        <f>3*7</f>
        <v>21</v>
      </c>
      <c r="M129" s="3">
        <f>119+108</f>
        <v>227</v>
      </c>
    </row>
    <row r="130" spans="1:14" s="2" customFormat="1" x14ac:dyDescent="0.3">
      <c r="A130" s="74"/>
      <c r="B130" s="74"/>
      <c r="C130" s="143"/>
      <c r="D130" s="143"/>
      <c r="E130" s="145"/>
      <c r="F130" s="25">
        <v>0.5</v>
      </c>
      <c r="G130" s="74"/>
      <c r="H130" s="147"/>
      <c r="I130" s="26"/>
      <c r="L130" s="2">
        <f>227-21</f>
        <v>206</v>
      </c>
    </row>
    <row r="131" spans="1:14" x14ac:dyDescent="0.3">
      <c r="A131" s="72" t="s">
        <v>166</v>
      </c>
      <c r="B131" s="72"/>
      <c r="C131" s="72"/>
      <c r="D131" s="72"/>
      <c r="E131" s="72"/>
      <c r="F131" s="72"/>
      <c r="G131" s="72"/>
      <c r="H131" s="72"/>
    </row>
    <row r="132" spans="1:14" x14ac:dyDescent="0.3">
      <c r="A132" s="72" t="s">
        <v>169</v>
      </c>
      <c r="B132" s="72"/>
      <c r="C132" s="72"/>
      <c r="D132" s="72"/>
      <c r="E132" s="72"/>
      <c r="F132" s="72"/>
      <c r="G132" s="72"/>
      <c r="H132" s="72"/>
    </row>
    <row r="133" spans="1:14" s="2" customFormat="1" x14ac:dyDescent="0.3">
      <c r="A133" s="64" t="s">
        <v>170</v>
      </c>
      <c r="B133" s="64"/>
      <c r="C133" s="64"/>
      <c r="D133" s="64"/>
      <c r="E133" s="64"/>
      <c r="F133" s="64"/>
      <c r="G133" s="64"/>
      <c r="H133" s="64"/>
      <c r="I133" s="26"/>
      <c r="L133" s="77"/>
      <c r="M133" s="77"/>
    </row>
    <row r="134" spans="1:14" s="2" customFormat="1" ht="15.75" customHeight="1" x14ac:dyDescent="0.3">
      <c r="A134" s="63">
        <v>1</v>
      </c>
      <c r="B134" s="63"/>
      <c r="C134" s="41" t="s">
        <v>171</v>
      </c>
      <c r="D134" s="41">
        <f>(2.75*5+3.3*2.75+2.9*3.7+2.85*4+1.4*1.2+1.2*2.4+1.9*1.2+0.9*4+0.75*(2.75+2.85+2.4))*10.764</f>
        <v>660.85577999999998</v>
      </c>
      <c r="E134" s="41">
        <v>0</v>
      </c>
      <c r="F134" s="41">
        <f>D134*(($F$130)+1)+(IF(E134&lt;101,E134,IF(E134&lt;201,E134/2,IF(E134&lt;=301,E134/3,E134/4))))</f>
        <v>991.28367000000003</v>
      </c>
      <c r="G134" s="57" t="str">
        <f>A133</f>
        <v>Ground Floor for Residential</v>
      </c>
      <c r="H134" s="58"/>
      <c r="I134" s="26"/>
      <c r="N134" s="26"/>
    </row>
    <row r="135" spans="1:14" s="2" customFormat="1" ht="15.75" customHeight="1" x14ac:dyDescent="0.3">
      <c r="A135" s="63">
        <f>A134+1</f>
        <v>2</v>
      </c>
      <c r="B135" s="63"/>
      <c r="C135" s="68" t="s">
        <v>172</v>
      </c>
      <c r="D135" s="165"/>
      <c r="E135" s="165"/>
      <c r="F135" s="69"/>
      <c r="G135" s="59"/>
      <c r="H135" s="60"/>
      <c r="I135" s="26"/>
      <c r="N135" s="26"/>
    </row>
    <row r="136" spans="1:14" s="2" customFormat="1" ht="15.75" customHeight="1" x14ac:dyDescent="0.3">
      <c r="A136" s="63">
        <f>A135+1</f>
        <v>3</v>
      </c>
      <c r="B136" s="63"/>
      <c r="C136" s="41" t="s">
        <v>171</v>
      </c>
      <c r="D136" s="41">
        <f>(2.75*4.7+2.35*4.7+2.75*3+2.75*4+2.4*1.2+1.5*1.2+1.5*1.2+0.9*2.75+0.75*(2.75+2.75))*10.764</f>
        <v>606.01319999999998</v>
      </c>
      <c r="E136" s="41">
        <v>0</v>
      </c>
      <c r="F136" s="41">
        <f>D136*(($F$130)+1)+(IF(E136&lt;101,E136,IF(E136&lt;201,E136/2,IF(E136&lt;=301,E136/3,E136/4))))</f>
        <v>909.01980000000003</v>
      </c>
      <c r="G136" s="59"/>
      <c r="H136" s="60"/>
      <c r="I136" s="26"/>
      <c r="N136" s="26"/>
    </row>
    <row r="137" spans="1:14" s="2" customFormat="1" ht="15.75" customHeight="1" x14ac:dyDescent="0.3">
      <c r="A137" s="63">
        <f>A136+1</f>
        <v>4</v>
      </c>
      <c r="B137" s="63"/>
      <c r="C137" s="41" t="s">
        <v>171</v>
      </c>
      <c r="D137" s="41">
        <f>(6.2*2.75+2.9*1.46+1.4*1.3+3.2*2.35+3.2*2.75+4.2*2.75+1.2*1.2+1.2*1.5+1.2*2.4+1.3*1.1+0.6*2.1+0.9*4+0.75*2.75)*10.764</f>
        <v>704.46612599999992</v>
      </c>
      <c r="E137" s="41">
        <v>0</v>
      </c>
      <c r="F137" s="41">
        <f>D137*(($F$130)+1)+(IF(E137&lt;101,E137,IF(E137&lt;201,E137/2,IF(E137&lt;=301,E137/3,E137/4))))</f>
        <v>1056.6991889999999</v>
      </c>
      <c r="G137" s="59"/>
      <c r="H137" s="60"/>
      <c r="I137" s="26"/>
      <c r="N137" s="26"/>
    </row>
    <row r="138" spans="1:14" s="2" customFormat="1" ht="15.75" customHeight="1" x14ac:dyDescent="0.3">
      <c r="A138" s="63">
        <f>A137+1</f>
        <v>5</v>
      </c>
      <c r="B138" s="63"/>
      <c r="C138" s="41" t="s">
        <v>173</v>
      </c>
      <c r="D138" s="41">
        <f>(4.7*2.75+2.4*2.35+2.2*1.85+3.3*2.75+1.5*1.65+1.2*2.4+1.5*1.2+0.9*2.4+0.75*(2.75+2.35+2*2.75))*10.764</f>
        <v>527.16690000000006</v>
      </c>
      <c r="E138" s="41">
        <v>0</v>
      </c>
      <c r="F138" s="41">
        <f>D138*(($F$130)+1)+(IF(E138&lt;101,E138,IF(E138&lt;201,E138/2,IF(E138&lt;=301,E138/3,E138/4))))</f>
        <v>790.75035000000003</v>
      </c>
      <c r="G138" s="61"/>
      <c r="H138" s="62"/>
      <c r="I138" s="26"/>
      <c r="N138" s="26"/>
    </row>
    <row r="139" spans="1:14" s="2" customFormat="1" ht="15.75" customHeight="1" x14ac:dyDescent="0.3">
      <c r="A139" s="64" t="s">
        <v>208</v>
      </c>
      <c r="B139" s="64"/>
      <c r="C139" s="64"/>
      <c r="D139" s="64"/>
      <c r="E139" s="64"/>
      <c r="F139" s="64"/>
      <c r="G139" s="64"/>
      <c r="H139" s="64"/>
      <c r="I139" s="26"/>
    </row>
    <row r="140" spans="1:14" s="2" customFormat="1" ht="15.75" customHeight="1" x14ac:dyDescent="0.3">
      <c r="A140" s="63">
        <v>1</v>
      </c>
      <c r="B140" s="63"/>
      <c r="C140" s="41" t="s">
        <v>171</v>
      </c>
      <c r="D140" s="41">
        <f>(2.75*5+2.85*4+2.9*3.7+1.9*1.2+3.3*2.75+1.2*2.4+1.4*1.2+0.9*4+0.75*2.5+0.75*2.85)*10.764</f>
        <v>639.46233000000007</v>
      </c>
      <c r="E140" s="41">
        <f>(2*2.75)*10.764</f>
        <v>59.201999999999998</v>
      </c>
      <c r="F140" s="41">
        <f t="shared" ref="F140:F144" si="2">D140*(($F$130)+1)+(IF(E140&lt;101,E140,IF(E140&lt;201,E140/2,IF(E140&lt;=301,E140/3,E140/4))))</f>
        <v>1018.3954950000001</v>
      </c>
      <c r="G140" s="63" t="str">
        <f>A139</f>
        <v>1st Floor for Residential</v>
      </c>
      <c r="H140" s="63"/>
      <c r="I140" s="26"/>
    </row>
    <row r="141" spans="1:14" s="2" customFormat="1" ht="15.75" customHeight="1" x14ac:dyDescent="0.3">
      <c r="A141" s="63">
        <v>2</v>
      </c>
      <c r="B141" s="63"/>
      <c r="C141" s="41" t="s">
        <v>171</v>
      </c>
      <c r="D141" s="41">
        <f>(2.75*6.05+2.35*6.35+2.75*2.9+2.75*3.9+2.4*1.2+1.5*1.2+1.5*1.2+2.75*0.9)*10.764</f>
        <v>637.3902599999999</v>
      </c>
      <c r="E141" s="41">
        <f>(2*2.75)*10.764</f>
        <v>59.201999999999998</v>
      </c>
      <c r="F141" s="41">
        <f t="shared" si="2"/>
        <v>1015.2873899999998</v>
      </c>
      <c r="G141" s="63"/>
      <c r="H141" s="63"/>
      <c r="I141" s="26"/>
    </row>
    <row r="142" spans="1:14" s="2" customFormat="1" ht="15.75" customHeight="1" x14ac:dyDescent="0.3">
      <c r="A142" s="63">
        <v>3</v>
      </c>
      <c r="B142" s="63"/>
      <c r="C142" s="41" t="s">
        <v>171</v>
      </c>
      <c r="D142" s="41">
        <f>(2.75*4.7+2.35*4.7+2.75*3+2.75*4+2.4*1.2+1.5*1.2+1.5*1.2+2.75*0.9+0.9*1.4+0.75*2.75)*10.764</f>
        <v>597.37508999999989</v>
      </c>
      <c r="E142" s="41">
        <f>(2*2.75)*10.764</f>
        <v>59.201999999999998</v>
      </c>
      <c r="F142" s="41">
        <f t="shared" si="2"/>
        <v>955.26463499999977</v>
      </c>
      <c r="G142" s="63"/>
      <c r="H142" s="63"/>
      <c r="I142" s="26"/>
    </row>
    <row r="143" spans="1:14" s="2" customFormat="1" ht="15.75" customHeight="1" x14ac:dyDescent="0.3">
      <c r="A143" s="63">
        <v>4</v>
      </c>
      <c r="B143" s="63"/>
      <c r="C143" s="41" t="s">
        <v>171</v>
      </c>
      <c r="D143" s="41">
        <f>(6.2*2.75+2.9*1.46+3.2*2.35+3.2*2.75+4.2*2.75+1.2*2.4+1.2*1.5+1.2*1.2+0.9*4+1.3*1.1+0.75*2.7+0.6*2.1+1.4*1.2)*10.764</f>
        <v>702.5555159999999</v>
      </c>
      <c r="E143" s="41">
        <v>0</v>
      </c>
      <c r="F143" s="41">
        <f t="shared" si="2"/>
        <v>1053.8332739999998</v>
      </c>
      <c r="G143" s="63"/>
      <c r="H143" s="63"/>
      <c r="I143" s="26"/>
    </row>
    <row r="144" spans="1:14" s="2" customFormat="1" ht="15.75" customHeight="1" x14ac:dyDescent="0.3">
      <c r="A144" s="63">
        <v>5</v>
      </c>
      <c r="B144" s="63"/>
      <c r="C144" s="41" t="s">
        <v>173</v>
      </c>
      <c r="D144" s="41">
        <f>(4.7*2.75+2.2*1.85+2.4*2.35+3.3*2.75+1.5*1.65+1.2*2.4+1.5*1.2+2.4*0.9+0.75*2.35)*10.764</f>
        <v>460.56465000000009</v>
      </c>
      <c r="E144" s="41">
        <f>(2*2.75)*10.764</f>
        <v>59.201999999999998</v>
      </c>
      <c r="F144" s="41">
        <f t="shared" si="2"/>
        <v>750.04897500000015</v>
      </c>
      <c r="G144" s="63"/>
      <c r="H144" s="63"/>
      <c r="I144" s="26"/>
    </row>
    <row r="145" spans="1:14" s="2" customFormat="1" ht="15.75" customHeight="1" x14ac:dyDescent="0.3">
      <c r="A145" s="65" t="s">
        <v>209</v>
      </c>
      <c r="B145" s="66"/>
      <c r="C145" s="66"/>
      <c r="D145" s="66"/>
      <c r="E145" s="66"/>
      <c r="F145" s="66"/>
      <c r="G145" s="66"/>
      <c r="H145" s="67"/>
      <c r="I145" s="26"/>
    </row>
    <row r="146" spans="1:14" s="2" customFormat="1" ht="15.75" customHeight="1" x14ac:dyDescent="0.3">
      <c r="A146" s="68">
        <v>1</v>
      </c>
      <c r="B146" s="69"/>
      <c r="C146" s="41" t="s">
        <v>171</v>
      </c>
      <c r="D146" s="41">
        <f>(2.75*5+2.85*4+2.9*3.7+1.9*1.2+3.3*2.75+1.2*2.4+1.4*1.2+0.9*4+0.75*2.5+0.75*2.85)*10.764</f>
        <v>639.46233000000007</v>
      </c>
      <c r="E146" s="41">
        <f>(2*2.75)*10.764</f>
        <v>59.201999999999998</v>
      </c>
      <c r="F146" s="41">
        <f t="shared" ref="F146:F150" si="3">D146*(($F$130)+1)+(IF(E146&lt;101,E146,IF(E146&lt;201,E146/2,IF(E146&lt;=301,E146/3,E146/4))))</f>
        <v>1018.3954950000001</v>
      </c>
      <c r="G146" s="57" t="str">
        <f>A145</f>
        <v>3rd, 5th &amp; 7th Floor for Residential</v>
      </c>
      <c r="H146" s="58"/>
      <c r="I146" s="26"/>
    </row>
    <row r="147" spans="1:14" s="2" customFormat="1" ht="15.75" customHeight="1" x14ac:dyDescent="0.3">
      <c r="A147" s="68">
        <v>2</v>
      </c>
      <c r="B147" s="69"/>
      <c r="C147" s="41" t="s">
        <v>171</v>
      </c>
      <c r="D147" s="41">
        <f>(2.75*6.05+2.35*4.35+2.75*2.9+2.75*3.9+2.4*1.2+1.5*1.2+1.5*1.2+2.75*0.9+0.75*2.35)*10.764</f>
        <v>605.77101000000005</v>
      </c>
      <c r="E147" s="41">
        <f>(2*2.75)*10.764</f>
        <v>59.201999999999998</v>
      </c>
      <c r="F147" s="41">
        <f t="shared" si="3"/>
        <v>967.85851500000012</v>
      </c>
      <c r="G147" s="59"/>
      <c r="H147" s="60"/>
      <c r="I147" s="26"/>
    </row>
    <row r="148" spans="1:14" s="2" customFormat="1" ht="15.75" customHeight="1" x14ac:dyDescent="0.3">
      <c r="A148" s="68">
        <v>3</v>
      </c>
      <c r="B148" s="69"/>
      <c r="C148" s="41" t="s">
        <v>171</v>
      </c>
      <c r="D148" s="41">
        <f>(2.75*4.7+2.35*4.7+2.75*3+2.75*4+2.4*1.2+1.5*1.2+1.5*1.2+2.75*0.9+0.9*1.4+0.75*2.75)*10.764</f>
        <v>597.37508999999989</v>
      </c>
      <c r="E148" s="41">
        <f>(2*2.75)*10.764</f>
        <v>59.201999999999998</v>
      </c>
      <c r="F148" s="41">
        <f t="shared" si="3"/>
        <v>955.26463499999977</v>
      </c>
      <c r="G148" s="59"/>
      <c r="H148" s="60"/>
      <c r="I148" s="26"/>
    </row>
    <row r="149" spans="1:14" s="2" customFormat="1" ht="15.75" customHeight="1" x14ac:dyDescent="0.3">
      <c r="A149" s="68">
        <v>4</v>
      </c>
      <c r="B149" s="69"/>
      <c r="C149" s="41" t="s">
        <v>171</v>
      </c>
      <c r="D149" s="41">
        <f>(6.2*2.75+2.9*1.46+3.2*2.35+3.2*2.75+4.2*2.75+1.2*2.4+1.2*1.5+1.2*1.2+0.9*4+1.3*1.1+0.75*2.7+0.6*2.1+1.4*1.2)*10.764</f>
        <v>702.5555159999999</v>
      </c>
      <c r="E149" s="41">
        <v>0</v>
      </c>
      <c r="F149" s="41">
        <f t="shared" si="3"/>
        <v>1053.8332739999998</v>
      </c>
      <c r="G149" s="59"/>
      <c r="H149" s="60"/>
      <c r="I149" s="26"/>
    </row>
    <row r="150" spans="1:14" s="2" customFormat="1" ht="15.75" customHeight="1" x14ac:dyDescent="0.3">
      <c r="A150" s="68">
        <v>5</v>
      </c>
      <c r="B150" s="69"/>
      <c r="C150" s="41" t="s">
        <v>173</v>
      </c>
      <c r="D150" s="41">
        <f>(4.7*2.75+2.2*1.85+2.4*2.35+3.3*2.75+1.5*1.65+1.2*2.4+1.5*1.2+2.4*0.9+0.75*2.35)*10.764</f>
        <v>460.56465000000009</v>
      </c>
      <c r="E150" s="41">
        <f>(2*2.75)*10.764</f>
        <v>59.201999999999998</v>
      </c>
      <c r="F150" s="41">
        <f t="shared" si="3"/>
        <v>750.04897500000015</v>
      </c>
      <c r="G150" s="61"/>
      <c r="H150" s="62"/>
      <c r="I150" s="26"/>
    </row>
    <row r="151" spans="1:14" s="2" customFormat="1" ht="15.75" customHeight="1" x14ac:dyDescent="0.3">
      <c r="A151" s="65" t="s">
        <v>175</v>
      </c>
      <c r="B151" s="66"/>
      <c r="C151" s="66"/>
      <c r="D151" s="66"/>
      <c r="E151" s="66"/>
      <c r="F151" s="66"/>
      <c r="G151" s="66"/>
      <c r="H151" s="67"/>
      <c r="I151" s="26"/>
    </row>
    <row r="152" spans="1:14" s="2" customFormat="1" ht="15.75" customHeight="1" x14ac:dyDescent="0.3">
      <c r="A152" s="68">
        <v>1</v>
      </c>
      <c r="B152" s="69"/>
      <c r="C152" s="41" t="s">
        <v>171</v>
      </c>
      <c r="D152" s="41">
        <f>(2.75*5+2.85*4+2.9*3.7+1.9*1.2+3.3*2.75+1.2*2.4+1.4*1.2+0.9*4+0.75*2.5+0.75*2.75)*10.764</f>
        <v>638.65503000000001</v>
      </c>
      <c r="E152" s="41">
        <f>(2*2.85)*10.764</f>
        <v>61.354799999999997</v>
      </c>
      <c r="F152" s="41">
        <f t="shared" ref="F152:F156" si="4">D152*(($F$130)+1)+(IF(E152&lt;101,E152,IF(E152&lt;201,E152/2,IF(E152&lt;=301,E152/3,E152/4))))</f>
        <v>1019.337345</v>
      </c>
      <c r="G152" s="57" t="str">
        <f>A151</f>
        <v>2nd, 4th &amp; 6th Floor</v>
      </c>
      <c r="H152" s="58"/>
      <c r="I152" s="26"/>
    </row>
    <row r="153" spans="1:14" s="2" customFormat="1" ht="15.75" customHeight="1" x14ac:dyDescent="0.3">
      <c r="A153" s="68">
        <v>2</v>
      </c>
      <c r="B153" s="69"/>
      <c r="C153" s="41" t="s">
        <v>171</v>
      </c>
      <c r="D153" s="41">
        <f>(2.75*6.05+2.35*4.35+2.75*2.9+2.75*3.9+2.4*1.2+1.5*1.2+1.5*1.2+2.75*0.9+0.75*2.75)*10.764</f>
        <v>609.00020999999992</v>
      </c>
      <c r="E153" s="41">
        <f>(2*2.35)*10.764</f>
        <v>50.590800000000002</v>
      </c>
      <c r="F153" s="41">
        <f t="shared" si="4"/>
        <v>964.09111499999995</v>
      </c>
      <c r="G153" s="59"/>
      <c r="H153" s="60"/>
      <c r="I153" s="26"/>
    </row>
    <row r="154" spans="1:14" s="2" customFormat="1" ht="15.75" customHeight="1" x14ac:dyDescent="0.3">
      <c r="A154" s="68">
        <v>3</v>
      </c>
      <c r="B154" s="69"/>
      <c r="C154" s="41" t="s">
        <v>171</v>
      </c>
      <c r="D154" s="41">
        <f>(2.75*4.7+2.35*4.7+2.75*3+2.75*4+2.4*1.2+1.5*1.2+1.5*1.2+2.75*0.9+0.9*1.4+0.75*2.75)*10.764</f>
        <v>597.37508999999989</v>
      </c>
      <c r="E154" s="41">
        <f>(2*2.75)*10.764</f>
        <v>59.201999999999998</v>
      </c>
      <c r="F154" s="41">
        <f t="shared" si="4"/>
        <v>955.26463499999977</v>
      </c>
      <c r="G154" s="59"/>
      <c r="H154" s="60"/>
      <c r="I154" s="26"/>
    </row>
    <row r="155" spans="1:14" s="2" customFormat="1" ht="15.75" customHeight="1" x14ac:dyDescent="0.3">
      <c r="A155" s="68">
        <v>4</v>
      </c>
      <c r="B155" s="69"/>
      <c r="C155" s="41" t="s">
        <v>171</v>
      </c>
      <c r="D155" s="41">
        <f>(6.2*2.75+2.9*1.46+3.2*2.35+3.2*2.75+4.2*2.75+1.2*2.4+1.2*1.5+1.2*1.2+0.9*4+1.3*1.1+0.75*2.7+0.6*2.1+1.4*1.2)*10.764</f>
        <v>702.5555159999999</v>
      </c>
      <c r="E155" s="41">
        <v>0</v>
      </c>
      <c r="F155" s="41">
        <f t="shared" si="4"/>
        <v>1053.8332739999998</v>
      </c>
      <c r="G155" s="59"/>
      <c r="H155" s="60"/>
      <c r="I155" s="26"/>
    </row>
    <row r="156" spans="1:14" s="2" customFormat="1" ht="15.75" customHeight="1" x14ac:dyDescent="0.3">
      <c r="A156" s="68">
        <v>5</v>
      </c>
      <c r="B156" s="69"/>
      <c r="C156" s="41" t="s">
        <v>173</v>
      </c>
      <c r="D156" s="41">
        <f>(4.7*2.75+2.2*1.85+2.4*2.35+3.3*2.75+1.5*1.65+1.2*2.4+1.5*1.2+2.4*0.9+0.75*2.75)*10.764</f>
        <v>463.79385000000002</v>
      </c>
      <c r="E156" s="41">
        <f>(2*2.35)*10.764</f>
        <v>50.590800000000002</v>
      </c>
      <c r="F156" s="41">
        <f t="shared" si="4"/>
        <v>746.28157499999998</v>
      </c>
      <c r="G156" s="61"/>
      <c r="H156" s="62"/>
      <c r="I156" s="26"/>
    </row>
    <row r="157" spans="1:14" s="2" customFormat="1" x14ac:dyDescent="0.3">
      <c r="A157" s="64" t="s">
        <v>176</v>
      </c>
      <c r="B157" s="64"/>
      <c r="C157" s="64"/>
      <c r="D157" s="64"/>
      <c r="E157" s="64"/>
      <c r="F157" s="64"/>
      <c r="G157" s="64"/>
      <c r="H157" s="64"/>
      <c r="I157" s="26"/>
      <c r="L157" s="77"/>
      <c r="M157" s="77"/>
    </row>
    <row r="158" spans="1:14" s="2" customFormat="1" x14ac:dyDescent="0.3">
      <c r="A158" s="63">
        <v>1</v>
      </c>
      <c r="B158" s="63"/>
      <c r="C158" s="41" t="s">
        <v>171</v>
      </c>
      <c r="D158" s="41">
        <f>(2.75*5+2.85*4+2.9*3.7+1.9*1.2+3.3*2.75+1.2*2.4+1.4*1.2+2.85*0.9+1.2*0.9+0.75*(2.75+2.5))*10.764</f>
        <v>639.13940999999988</v>
      </c>
      <c r="E158" s="41">
        <f>(2*2.85)*10.764</f>
        <v>61.354799999999997</v>
      </c>
      <c r="F158" s="41">
        <f>D158*(($F$130)+1)+(IF(E158&lt;101,E158,IF(E158&lt;201,E158/2,IF(E158&lt;=301,E158/3,E158/4))))</f>
        <v>1020.0639149999998</v>
      </c>
      <c r="G158" s="57" t="str">
        <f>A157</f>
        <v>8th Floor</v>
      </c>
      <c r="H158" s="58"/>
      <c r="I158" s="26"/>
      <c r="N158" s="26"/>
    </row>
    <row r="159" spans="1:14" s="2" customFormat="1" x14ac:dyDescent="0.3">
      <c r="A159" s="63">
        <f>A158+1</f>
        <v>2</v>
      </c>
      <c r="B159" s="63"/>
      <c r="C159" s="41" t="s">
        <v>171</v>
      </c>
      <c r="D159" s="41">
        <f>(2.75*6.05+2.35*4.35+2.75*2.9+2.75*3.9+2.4*1.2+1.5*1.2+1.5*1.2+2.75*0.9+0.75*2.75)*10.764</f>
        <v>609.00020999999992</v>
      </c>
      <c r="E159" s="41">
        <f>(2*2.35)*10.764</f>
        <v>50.590800000000002</v>
      </c>
      <c r="F159" s="41">
        <f>D159*(($F$130)+1)+(IF(E159&lt;101,E159,IF(E159&lt;201,E159/2,IF(E159&lt;=301,E159/3,E159/4))))</f>
        <v>964.09111499999995</v>
      </c>
      <c r="G159" s="59"/>
      <c r="H159" s="60"/>
      <c r="I159" s="26"/>
      <c r="N159" s="26"/>
    </row>
    <row r="160" spans="1:14" s="2" customFormat="1" x14ac:dyDescent="0.3">
      <c r="A160" s="63">
        <f>A159+1</f>
        <v>3</v>
      </c>
      <c r="B160" s="63"/>
      <c r="C160" s="41" t="s">
        <v>171</v>
      </c>
      <c r="D160" s="41">
        <f>(2.75*4.7+2.35*4.7+2.75*3+2.75*4+1.5*1.2+1.5*1.2+2.4*1.2+2.75*0.9+1*1.2+0.75*2.75)*10.764</f>
        <v>596.72924999999998</v>
      </c>
      <c r="E160" s="41">
        <f>(2*2.75)*10.764</f>
        <v>59.201999999999998</v>
      </c>
      <c r="F160" s="41">
        <f>D160*(($F$130)+1)+(IF(E160&lt;101,E160,IF(E160&lt;201,E160/2,IF(E160&lt;=301,E160/3,E160/4))))</f>
        <v>954.29587500000002</v>
      </c>
      <c r="G160" s="59"/>
      <c r="H160" s="60"/>
      <c r="I160" s="26"/>
      <c r="N160" s="26"/>
    </row>
    <row r="161" spans="1:14" s="2" customFormat="1" x14ac:dyDescent="0.3">
      <c r="A161" s="63">
        <f>A160+1</f>
        <v>4</v>
      </c>
      <c r="B161" s="63"/>
      <c r="C161" s="41" t="s">
        <v>173</v>
      </c>
      <c r="D161" s="41">
        <f>(6.2*2.75+2.9*1.46+3.2*2.35+3.2*2.75+1.2*1.5+1.2*1.2+0.9*3.2+1.4*1.4+0.75*2.75)*10.764</f>
        <v>513.94332599999996</v>
      </c>
      <c r="E161" s="41">
        <f>(1*2.2+1.3*2.7+2.1*3.4+2.1*2.7)*10.764</f>
        <v>199.34928000000002</v>
      </c>
      <c r="F161" s="41">
        <f>D161*(($F$130)+1)+(IF(E161&lt;101,E161,IF(E161&lt;201,E161/2,IF(E161&lt;=301,E161/3,E161/4))))</f>
        <v>870.58962899999983</v>
      </c>
      <c r="G161" s="59"/>
      <c r="H161" s="60"/>
      <c r="I161" s="26"/>
      <c r="N161" s="26"/>
    </row>
    <row r="162" spans="1:14" s="2" customFormat="1" x14ac:dyDescent="0.3">
      <c r="A162" s="63">
        <f>A161+1</f>
        <v>5</v>
      </c>
      <c r="B162" s="63"/>
      <c r="C162" s="41" t="s">
        <v>173</v>
      </c>
      <c r="D162" s="41">
        <f>(4.7*2.75+2.4*2.35+2.2*1.85+3.3*2.75+1.5*1.65+1.2*2.4+1.5*1.2+2.4*1+0.75*2.75)*10.764</f>
        <v>466.37720999999999</v>
      </c>
      <c r="E162" s="41">
        <f>(2*2.35)*10.764</f>
        <v>50.590800000000002</v>
      </c>
      <c r="F162" s="41">
        <f>D162*(($F$130)+1)+(IF(E162&lt;101,E162,IF(E162&lt;201,E162/2,IF(E162&lt;=301,E162/3,E162/4))))</f>
        <v>750.15661499999987</v>
      </c>
      <c r="G162" s="61"/>
      <c r="H162" s="62"/>
      <c r="I162" s="26"/>
      <c r="N162" s="26"/>
    </row>
    <row r="163" spans="1:14" s="2" customFormat="1" x14ac:dyDescent="0.3">
      <c r="A163" s="64" t="s">
        <v>210</v>
      </c>
      <c r="B163" s="64"/>
      <c r="C163" s="64"/>
      <c r="D163" s="64"/>
      <c r="E163" s="64"/>
      <c r="F163" s="64"/>
      <c r="G163" s="64"/>
      <c r="H163" s="64"/>
      <c r="I163" s="26"/>
      <c r="L163" s="77"/>
      <c r="M163" s="77"/>
    </row>
    <row r="164" spans="1:14" s="2" customFormat="1" x14ac:dyDescent="0.3">
      <c r="A164" s="63">
        <v>1</v>
      </c>
      <c r="B164" s="63"/>
      <c r="C164" s="41" t="s">
        <v>171</v>
      </c>
      <c r="D164" s="41">
        <f>(2.75*5+2.85*4+2.9*3.7+1.9*1.2+3.3*2.75+1.2*2.4+1.4*1.1+2.85*0.9+1.2*0.9+0.75*(2.85+2.5))*10.764</f>
        <v>638.43975</v>
      </c>
      <c r="E164" s="41">
        <f>(2*2.75)*10.764</f>
        <v>59.201999999999998</v>
      </c>
      <c r="F164" s="41">
        <f>D164*(($F$130)+1)+(IF(E164&lt;101,E164,IF(E164&lt;201,E164/2,IF(E164&lt;=301,E164/3,E164/4))))</f>
        <v>1016.861625</v>
      </c>
      <c r="G164" s="57" t="str">
        <f>A163</f>
        <v>9th &amp; 11th Floor</v>
      </c>
      <c r="H164" s="58"/>
      <c r="I164" s="26"/>
      <c r="N164" s="26"/>
    </row>
    <row r="165" spans="1:14" s="2" customFormat="1" x14ac:dyDescent="0.3">
      <c r="A165" s="63">
        <f>A164+1</f>
        <v>2</v>
      </c>
      <c r="B165" s="63"/>
      <c r="C165" s="41" t="s">
        <v>171</v>
      </c>
      <c r="D165" s="41">
        <f>(2.75*6.05+2.35*4.35+2.75*2.9+2.4*1.2+1.5*1.2+1.5*1.2+2.75*3.9+0.9*2.75+0.75*2.35)*10.764</f>
        <v>605.77101000000005</v>
      </c>
      <c r="E165" s="41">
        <f>(2*2.75)*10.764</f>
        <v>59.201999999999998</v>
      </c>
      <c r="F165" s="41">
        <f>D165*(($F$130)+1)+(IF(E165&lt;101,E165,IF(E165&lt;201,E165/2,IF(E165&lt;=301,E165/3,E165/4))))</f>
        <v>967.85851500000012</v>
      </c>
      <c r="G165" s="59"/>
      <c r="H165" s="60"/>
      <c r="I165" s="26"/>
      <c r="N165" s="26"/>
    </row>
    <row r="166" spans="1:14" s="2" customFormat="1" x14ac:dyDescent="0.3">
      <c r="A166" s="63">
        <f>A165+1</f>
        <v>3</v>
      </c>
      <c r="B166" s="63"/>
      <c r="C166" s="41" t="s">
        <v>171</v>
      </c>
      <c r="D166" s="41">
        <f>(2.75*4.7+2.35*4.7+2.75*3+2.75*4+2.4*1.2+1.5*1.2+1.5*1.2+2.75*0.9+1*1.4+0.75*2.75)*10.764</f>
        <v>598.88204999999994</v>
      </c>
      <c r="E166" s="41">
        <f>(2*2.75)*10.764</f>
        <v>59.201999999999998</v>
      </c>
      <c r="F166" s="41">
        <f>D166*(($F$130)+1)+(IF(E166&lt;101,E166,IF(E166&lt;201,E166/2,IF(E166&lt;=301,E166/3,E166/4))))</f>
        <v>957.5250749999999</v>
      </c>
      <c r="G166" s="59"/>
      <c r="H166" s="60"/>
      <c r="I166" s="26"/>
      <c r="N166" s="26"/>
    </row>
    <row r="167" spans="1:14" s="2" customFormat="1" x14ac:dyDescent="0.3">
      <c r="A167" s="63">
        <f>A166+1</f>
        <v>4</v>
      </c>
      <c r="B167" s="63"/>
      <c r="C167" s="41" t="s">
        <v>173</v>
      </c>
      <c r="D167" s="41">
        <f>(6.2*2.75+2.9*1.46+3.2*2.35+3.2*2.75+1.2*1.2+1.2*1.5+0.9*3+0.75*2.9+1.4*1.4)*10.764</f>
        <v>513.21675599999992</v>
      </c>
      <c r="E167" s="41">
        <v>0</v>
      </c>
      <c r="F167" s="41">
        <f>D167*(($F$130)+1)+(IF(E167&lt;101,E167,IF(E167&lt;201,E167/2,IF(E167&lt;=301,E167/3,E167/4))))</f>
        <v>769.82513399999993</v>
      </c>
      <c r="G167" s="59"/>
      <c r="H167" s="60"/>
      <c r="I167" s="26"/>
      <c r="N167" s="26"/>
    </row>
    <row r="168" spans="1:14" s="2" customFormat="1" x14ac:dyDescent="0.3">
      <c r="A168" s="63">
        <f>A167+1</f>
        <v>5</v>
      </c>
      <c r="B168" s="63"/>
      <c r="C168" s="41" t="s">
        <v>173</v>
      </c>
      <c r="D168" s="41">
        <f>(4.7*2.75+2.2*1.85+2.404*2.35+3.3*2.75+1.5*1.65+1.2*2.4+1.5*1.2+2.4*0.9+2.75*0.75)*10.764</f>
        <v>463.89503160000004</v>
      </c>
      <c r="E168" s="41">
        <f>(2*2.75)*10.764</f>
        <v>59.201999999999998</v>
      </c>
      <c r="F168" s="41">
        <f>D168*(($F$130)+1)+(IF(E168&lt;101,E168,IF(E168&lt;201,E168/2,IF(E168&lt;=301,E168/3,E168/4))))</f>
        <v>755.04454740000006</v>
      </c>
      <c r="G168" s="61"/>
      <c r="H168" s="62"/>
      <c r="I168" s="26"/>
      <c r="N168" s="26"/>
    </row>
    <row r="169" spans="1:14" s="2" customFormat="1" x14ac:dyDescent="0.3">
      <c r="A169" s="64" t="s">
        <v>211</v>
      </c>
      <c r="B169" s="64"/>
      <c r="C169" s="64"/>
      <c r="D169" s="64"/>
      <c r="E169" s="64"/>
      <c r="F169" s="64"/>
      <c r="G169" s="64"/>
      <c r="H169" s="64"/>
      <c r="I169" s="26"/>
      <c r="L169" s="77"/>
      <c r="M169" s="77"/>
    </row>
    <row r="170" spans="1:14" s="2" customFormat="1" x14ac:dyDescent="0.3">
      <c r="A170" s="63">
        <v>1</v>
      </c>
      <c r="B170" s="63"/>
      <c r="C170" s="41" t="s">
        <v>171</v>
      </c>
      <c r="D170" s="41">
        <f>(2.75*5+2.85*4+2.9*3.7+1.9*1.2+3.3*2.75+1.2*2.4+1.4*1.1+2.85*0.9+1.2*0.9+0.75*(2.75+2.5))*10.764</f>
        <v>637.63244999999995</v>
      </c>
      <c r="E170" s="41">
        <f>(2*2.85)*10.764</f>
        <v>61.354799999999997</v>
      </c>
      <c r="F170" s="41">
        <f>D170*(($F$130)+1)+(IF(E170&lt;101,E170,IF(E170&lt;201,E170/2,IF(E170&lt;=301,E170/3,E170/4))))</f>
        <v>1017.8034749999998</v>
      </c>
      <c r="G170" s="57" t="str">
        <f>A169</f>
        <v>10th &amp; 12th Floor</v>
      </c>
      <c r="H170" s="58"/>
      <c r="I170" s="26"/>
      <c r="N170" s="26"/>
    </row>
    <row r="171" spans="1:14" s="2" customFormat="1" x14ac:dyDescent="0.3">
      <c r="A171" s="63">
        <v>2</v>
      </c>
      <c r="B171" s="63"/>
      <c r="C171" s="41" t="s">
        <v>171</v>
      </c>
      <c r="D171" s="41">
        <f>(2.75*6.05+2.35*4.35+2.75*2.9+2.4*1.2+1.5*1.2+1.5*1.2+2.75*3.9+0.9*2.75+0.75*2.75)*10.764</f>
        <v>609.00020999999992</v>
      </c>
      <c r="E171" s="41">
        <f>(2*2.35)*10.764</f>
        <v>50.590800000000002</v>
      </c>
      <c r="F171" s="41">
        <f>D171*(($F$130)+1)+(IF(E171&lt;101,E171,IF(E171&lt;201,E171/2,IF(E171&lt;=301,E171/3,E171/4))))</f>
        <v>964.09111499999995</v>
      </c>
      <c r="G171" s="59"/>
      <c r="H171" s="60"/>
      <c r="I171" s="26"/>
      <c r="N171" s="26"/>
    </row>
    <row r="172" spans="1:14" s="2" customFormat="1" x14ac:dyDescent="0.3">
      <c r="A172" s="63">
        <f>A171+1</f>
        <v>3</v>
      </c>
      <c r="B172" s="63"/>
      <c r="C172" s="41" t="s">
        <v>171</v>
      </c>
      <c r="D172" s="41">
        <f>(2.75*4.7+2.35*4.7+2.75*3+2.75*4+2.4*1.2+1.5*1.2+1.5*1.2+2.75*0.9+1*1.4+0.75*2.75)*10.764</f>
        <v>598.88204999999994</v>
      </c>
      <c r="E172" s="41">
        <f>(2*2.75)*10.764</f>
        <v>59.201999999999998</v>
      </c>
      <c r="F172" s="41">
        <f>D172*(($F$130)+1)+(IF(E172&lt;101,E172,IF(E172&lt;201,E172/2,IF(E172&lt;=301,E172/3,E172/4))))</f>
        <v>957.5250749999999</v>
      </c>
      <c r="G172" s="59"/>
      <c r="H172" s="60"/>
      <c r="I172" s="26"/>
      <c r="N172" s="26"/>
    </row>
    <row r="173" spans="1:14" s="2" customFormat="1" x14ac:dyDescent="0.3">
      <c r="A173" s="63">
        <f>A172+1</f>
        <v>4</v>
      </c>
      <c r="B173" s="63"/>
      <c r="C173" s="41" t="s">
        <v>173</v>
      </c>
      <c r="D173" s="41">
        <f>(6.2*2.75+2.9*1.46+3.2*2.35+3.2*2.75+1.2*1.2+1.2*1.5+0.9*3+0.75*2.9+1.4*1.4)*10.764</f>
        <v>513.21675599999992</v>
      </c>
      <c r="E173" s="41">
        <v>0</v>
      </c>
      <c r="F173" s="41">
        <f>D173*(($F$130)+1)+(IF(E173&lt;101,E173,IF(E173&lt;201,E173/2,IF(E173&lt;=301,E173/3,E173/4))))</f>
        <v>769.82513399999993</v>
      </c>
      <c r="G173" s="59"/>
      <c r="H173" s="60"/>
      <c r="I173" s="26"/>
      <c r="N173" s="26"/>
    </row>
    <row r="174" spans="1:14" s="2" customFormat="1" x14ac:dyDescent="0.3">
      <c r="A174" s="63">
        <f>A173+1</f>
        <v>5</v>
      </c>
      <c r="B174" s="63"/>
      <c r="C174" s="41" t="s">
        <v>173</v>
      </c>
      <c r="D174" s="41">
        <f>(4.7*2.75+2.2*1.85+2.4*2.35+3.3*2.75+1.5*1.65+1.2*2.4+1.5*1.2+2.4*0.9+0.75*2.75)*10.764</f>
        <v>463.79385000000002</v>
      </c>
      <c r="E174" s="41">
        <f>(2*2.35)*10.764</f>
        <v>50.590800000000002</v>
      </c>
      <c r="F174" s="41">
        <f>D174*(($F$130)+1)+(IF(E174&lt;101,E174,IF(E174&lt;201,E174/2,IF(E174&lt;=301,E174/3,E174/4))))</f>
        <v>746.28157499999998</v>
      </c>
      <c r="G174" s="61"/>
      <c r="H174" s="62"/>
      <c r="I174" s="26"/>
      <c r="N174" s="26"/>
    </row>
    <row r="175" spans="1:14" s="2" customFormat="1" x14ac:dyDescent="0.3">
      <c r="A175" s="64" t="s">
        <v>212</v>
      </c>
      <c r="B175" s="64"/>
      <c r="C175" s="64"/>
      <c r="D175" s="64"/>
      <c r="E175" s="64"/>
      <c r="F175" s="64"/>
      <c r="G175" s="64"/>
      <c r="H175" s="64"/>
      <c r="I175" s="26"/>
      <c r="L175" s="77"/>
      <c r="M175" s="77"/>
    </row>
    <row r="176" spans="1:14" s="2" customFormat="1" x14ac:dyDescent="0.3">
      <c r="A176" s="63">
        <v>1</v>
      </c>
      <c r="B176" s="63"/>
      <c r="C176" s="41" t="s">
        <v>171</v>
      </c>
      <c r="D176" s="41">
        <f>(2.75*5+2.85*4+2.9*3.7+1.9*1.2+3.3*2.75+1.2*2.4+1.4*1.1+2.85*0.9+1.2*0.9+0.75*(2.85+2.5))*10.764</f>
        <v>638.43975</v>
      </c>
      <c r="E176" s="41">
        <f>(2*2.75)*10.764</f>
        <v>59.201999999999998</v>
      </c>
      <c r="F176" s="41">
        <f>D176*(($F$130)+1)+(IF(E176&lt;101,E176,IF(E176&lt;201,E176/2,IF(E176&lt;=301,E176/3,E176/4))))</f>
        <v>1016.861625</v>
      </c>
      <c r="G176" s="57" t="str">
        <f>A175</f>
        <v>13th Floor</v>
      </c>
      <c r="H176" s="58"/>
      <c r="I176" s="26"/>
      <c r="N176" s="26"/>
    </row>
    <row r="177" spans="1:14" s="2" customFormat="1" x14ac:dyDescent="0.3">
      <c r="A177" s="63">
        <v>2</v>
      </c>
      <c r="B177" s="63"/>
      <c r="C177" s="41" t="s">
        <v>171</v>
      </c>
      <c r="D177" s="41">
        <f>(2.75*6.05+2.35*4.35+2.75*2.9+2.4*1.2+1.5*1.2+1.5*1.2+2.75*3.9+0.9*2.75+0.75*2.35)*10.764</f>
        <v>605.77101000000005</v>
      </c>
      <c r="E177" s="41">
        <f>(2*2.75)*10.764</f>
        <v>59.201999999999998</v>
      </c>
      <c r="F177" s="41">
        <f>D177*(($F$130)+1)+(IF(E177&lt;101,E177,IF(E177&lt;201,E177/2,IF(E177&lt;=301,E177/3,E177/4))))</f>
        <v>967.85851500000012</v>
      </c>
      <c r="G177" s="59"/>
      <c r="H177" s="60"/>
      <c r="I177" s="26"/>
      <c r="N177" s="26"/>
    </row>
    <row r="178" spans="1:14" s="2" customFormat="1" x14ac:dyDescent="0.3">
      <c r="A178" s="63">
        <f>A177+1</f>
        <v>3</v>
      </c>
      <c r="B178" s="63"/>
      <c r="C178" s="41" t="s">
        <v>171</v>
      </c>
      <c r="D178" s="41">
        <f>(2.75*4.7+2.35*4.7+2.75*3+2.75*4+2.4*1.2+1.5*1.2+1.5*1.2+2.75*0.9+1*1.4+0.75*2.75)*10.764</f>
        <v>598.88204999999994</v>
      </c>
      <c r="E178" s="41">
        <f>(2*2.75)*10.764</f>
        <v>59.201999999999998</v>
      </c>
      <c r="F178" s="41">
        <f>D178*(($F$130)+1)+(IF(E178&lt;101,E178,IF(E178&lt;201,E178/2,IF(E178&lt;=301,E178/3,E178/4))))</f>
        <v>957.5250749999999</v>
      </c>
      <c r="G178" s="59"/>
      <c r="H178" s="60"/>
      <c r="I178" s="26"/>
      <c r="N178" s="26"/>
    </row>
    <row r="179" spans="1:14" s="2" customFormat="1" x14ac:dyDescent="0.3">
      <c r="A179" s="63">
        <f>A178+1</f>
        <v>4</v>
      </c>
      <c r="B179" s="63"/>
      <c r="C179" s="41" t="s">
        <v>173</v>
      </c>
      <c r="D179" s="41">
        <f>(6.2*2.75+2.9*1.46+3.2*2.35+3.2*2.75+1.2*1.2+1.2*1.5+0.9*3+0.75*2.9+1.4*1.4)*10.764</f>
        <v>513.21675599999992</v>
      </c>
      <c r="E179" s="41">
        <v>0</v>
      </c>
      <c r="F179" s="41">
        <f>D179*(($F$130)+1)+(IF(E179&lt;101,E179,IF(E179&lt;201,E179/2,IF(E179&lt;=301,E179/3,E179/4))))</f>
        <v>769.82513399999993</v>
      </c>
      <c r="G179" s="59"/>
      <c r="H179" s="60"/>
      <c r="I179" s="26"/>
      <c r="N179" s="26"/>
    </row>
    <row r="180" spans="1:14" s="2" customFormat="1" x14ac:dyDescent="0.3">
      <c r="A180" s="63">
        <f>A179+1</f>
        <v>5</v>
      </c>
      <c r="B180" s="63"/>
      <c r="C180" s="41" t="s">
        <v>173</v>
      </c>
      <c r="D180" s="41">
        <f>(4.7*2.75+2.2*1.85+2.4*2.35+3.3*2.75+1.5*1.65+1.2*2.4+1.5*1.2+2.4*0.9+0.75*2.35)*10.764</f>
        <v>460.56465000000009</v>
      </c>
      <c r="E180" s="41">
        <f>(2*2.75)*10.764</f>
        <v>59.201999999999998</v>
      </c>
      <c r="F180" s="41">
        <f>D180*(($F$130)+1)+(IF(E180&lt;101,E180,IF(E180&lt;201,E180/2,IF(E180&lt;=301,E180/3,E180/4))))</f>
        <v>750.04897500000015</v>
      </c>
      <c r="G180" s="61"/>
      <c r="H180" s="62"/>
      <c r="I180" s="26"/>
      <c r="N180" s="26"/>
    </row>
    <row r="181" spans="1:14" s="2" customFormat="1" x14ac:dyDescent="0.3">
      <c r="A181" s="64" t="s">
        <v>215</v>
      </c>
      <c r="B181" s="64"/>
      <c r="C181" s="64"/>
      <c r="D181" s="64"/>
      <c r="E181" s="64"/>
      <c r="F181" s="64"/>
      <c r="G181" s="64"/>
      <c r="H181" s="64"/>
      <c r="I181" s="26"/>
      <c r="L181" s="77"/>
      <c r="M181" s="77"/>
    </row>
    <row r="182" spans="1:14" s="2" customFormat="1" x14ac:dyDescent="0.3">
      <c r="A182" s="63">
        <v>1</v>
      </c>
      <c r="B182" s="63"/>
      <c r="C182" s="41" t="s">
        <v>171</v>
      </c>
      <c r="D182" s="41">
        <f>(2.75*5+2.85*4+2.9*2.87+1.9*1.2+3.3*2.75+1.2*2.4+1.4*1.1+2.85*0.9+1.2*1.8+0.75*(2.85+2.5+2.75))*10.764</f>
        <v>646.356672</v>
      </c>
      <c r="E182" s="41">
        <f>0.75*2.9*10.764</f>
        <v>23.411699999999996</v>
      </c>
      <c r="F182" s="41">
        <f>D182*(($F$130)+1)+(IF(E182&lt;101,E182,IF(E182&lt;201,E182/2,IF(E182&lt;=301,E182/3,E182/4))))</f>
        <v>992.94670800000006</v>
      </c>
      <c r="G182" s="63" t="str">
        <f>A181</f>
        <v>14th Floor</v>
      </c>
      <c r="H182" s="63"/>
      <c r="I182" s="26"/>
      <c r="N182" s="26"/>
    </row>
    <row r="183" spans="1:14" s="2" customFormat="1" x14ac:dyDescent="0.3">
      <c r="A183" s="63">
        <v>2</v>
      </c>
      <c r="B183" s="63"/>
      <c r="C183" s="41" t="s">
        <v>171</v>
      </c>
      <c r="D183" s="41">
        <f>(2.75*3.45+3.4*2.75+2.4*2.35+3.3*2.75+1.5*1.65+1.2*2.45+1.2*0.9+0.9*2.4+0.9*2.5+0.75*(2.75+2.35))*10.764</f>
        <v>519.71282999999994</v>
      </c>
      <c r="E183" s="41">
        <v>0</v>
      </c>
      <c r="F183" s="41">
        <f>D183*(($F$130)+1)+(IF(E183&lt;101,E183,IF(E183&lt;201,E183/2,IF(E183&lt;=301,E183/3,E183/4))))</f>
        <v>779.56924499999991</v>
      </c>
      <c r="G183" s="63"/>
      <c r="H183" s="63"/>
      <c r="I183" s="26"/>
      <c r="N183" s="26"/>
    </row>
    <row r="184" spans="1:14" x14ac:dyDescent="0.3">
      <c r="A184" s="72" t="s">
        <v>167</v>
      </c>
      <c r="B184" s="72"/>
      <c r="C184" s="72"/>
      <c r="D184" s="72"/>
      <c r="E184" s="72"/>
      <c r="F184" s="72"/>
      <c r="G184" s="72"/>
      <c r="H184" s="72"/>
    </row>
    <row r="185" spans="1:14" x14ac:dyDescent="0.3">
      <c r="A185" s="72" t="s">
        <v>169</v>
      </c>
      <c r="B185" s="72"/>
      <c r="C185" s="72"/>
      <c r="D185" s="72"/>
      <c r="E185" s="72"/>
      <c r="F185" s="72"/>
      <c r="G185" s="72"/>
      <c r="H185" s="72"/>
    </row>
    <row r="186" spans="1:14" s="2" customFormat="1" x14ac:dyDescent="0.3">
      <c r="A186" s="64" t="s">
        <v>170</v>
      </c>
      <c r="B186" s="64"/>
      <c r="C186" s="64"/>
      <c r="D186" s="64"/>
      <c r="E186" s="64"/>
      <c r="F186" s="64"/>
      <c r="G186" s="64"/>
      <c r="H186" s="64"/>
      <c r="I186" s="26"/>
      <c r="L186" s="77"/>
      <c r="M186" s="77"/>
    </row>
    <row r="187" spans="1:14" s="2" customFormat="1" ht="15.75" customHeight="1" x14ac:dyDescent="0.3">
      <c r="A187" s="63">
        <v>1</v>
      </c>
      <c r="B187" s="63"/>
      <c r="C187" s="63" t="s">
        <v>174</v>
      </c>
      <c r="D187" s="63"/>
      <c r="E187" s="63"/>
      <c r="F187" s="63"/>
      <c r="G187" s="63" t="str">
        <f>A186</f>
        <v>Ground Floor for Residential</v>
      </c>
      <c r="H187" s="63"/>
      <c r="I187" s="26"/>
      <c r="N187" s="26"/>
    </row>
    <row r="188" spans="1:14" s="2" customFormat="1" ht="15.75" customHeight="1" x14ac:dyDescent="0.3">
      <c r="A188" s="63">
        <f>A187+1</f>
        <v>2</v>
      </c>
      <c r="B188" s="63"/>
      <c r="C188" s="41" t="s">
        <v>171</v>
      </c>
      <c r="D188" s="41">
        <f>(2.75*5+2.75*4+2.75*3.7+1.75*1.2+3.45*2.7+1.2*2.4+0.9*1.2+0.9*3.9+0.75*(2.75+2.75))*10.764</f>
        <v>623.61234000000002</v>
      </c>
      <c r="E188" s="41">
        <v>0</v>
      </c>
      <c r="F188" s="41">
        <f>D188*(($F$130)+1)+(IF(E188&lt;101,E188,IF(E188&lt;201,E188/2,IF(E188&lt;=301,E188/3,E188/4))))</f>
        <v>935.41850999999997</v>
      </c>
      <c r="G188" s="63"/>
      <c r="H188" s="63"/>
      <c r="I188" s="26"/>
      <c r="N188" s="26"/>
    </row>
    <row r="189" spans="1:14" s="2" customFormat="1" ht="15.75" customHeight="1" x14ac:dyDescent="0.3">
      <c r="A189" s="63">
        <f>A188+1</f>
        <v>3</v>
      </c>
      <c r="B189" s="63"/>
      <c r="C189" s="41" t="s">
        <v>171</v>
      </c>
      <c r="D189" s="41">
        <f>(2.75*4.7+2.75*3.7+2.75*3.7+1.75*1.5+3.45*2.75+1.2*2.4+0.9*1.4+0.9*3.9+0.75*(2.75+2.75+2.5))*10.764</f>
        <v>635.47964999999999</v>
      </c>
      <c r="E189" s="41">
        <v>0</v>
      </c>
      <c r="F189" s="41">
        <f>D189*(($F$130)+1)+(IF(E189&lt;101,E189,IF(E189&lt;201,E189/2,IF(E189&lt;=301,E189/3,E189/4))))</f>
        <v>953.21947499999999</v>
      </c>
      <c r="G189" s="63"/>
      <c r="H189" s="63"/>
      <c r="I189" s="26"/>
      <c r="N189" s="26"/>
    </row>
    <row r="190" spans="1:14" s="2" customFormat="1" ht="15.75" customHeight="1" x14ac:dyDescent="0.3">
      <c r="A190" s="63">
        <f>A189+1</f>
        <v>4</v>
      </c>
      <c r="B190" s="63"/>
      <c r="C190" s="41" t="s">
        <v>171</v>
      </c>
      <c r="D190" s="41">
        <f>(2.75*4.7+2.35*4.7+2.75*3+2.75*4+2.4*1.2+1.5*1.2+1.5*1.2+2.75*0.9+1.1*1.4+0.75*(2.35+2.75))*10.764</f>
        <v>619.36055999999996</v>
      </c>
      <c r="E190" s="41">
        <v>0</v>
      </c>
      <c r="F190" s="41">
        <f>D190*(($F$130)+1)+(IF(E190&lt;101,E190,IF(E190&lt;201,E190/2,IF(E190&lt;=301,E190/3,E190/4))))</f>
        <v>929.04083999999989</v>
      </c>
      <c r="G190" s="63"/>
      <c r="H190" s="63"/>
      <c r="I190" s="26"/>
      <c r="N190" s="26"/>
    </row>
    <row r="191" spans="1:14" s="2" customFormat="1" ht="15.75" customHeight="1" x14ac:dyDescent="0.3">
      <c r="A191" s="65" t="s">
        <v>208</v>
      </c>
      <c r="B191" s="66"/>
      <c r="C191" s="66"/>
      <c r="D191" s="66"/>
      <c r="E191" s="66"/>
      <c r="F191" s="66"/>
      <c r="G191" s="66"/>
      <c r="H191" s="67"/>
      <c r="I191" s="26"/>
    </row>
    <row r="192" spans="1:14" s="2" customFormat="1" ht="15.75" customHeight="1" x14ac:dyDescent="0.3">
      <c r="A192" s="68">
        <v>1</v>
      </c>
      <c r="B192" s="69"/>
      <c r="C192" s="41" t="s">
        <v>171</v>
      </c>
      <c r="D192" s="41">
        <f>(2.75*6.05+2.35*4.35+2.75*2.9+2.75*3.9+2.4*1.2+1.5*1.2+1.5*1.2+2.75*0.9+0.75*2.35)*10.764</f>
        <v>605.77101000000005</v>
      </c>
      <c r="E192" s="41">
        <f>(2*2.75)*10.764</f>
        <v>59.201999999999998</v>
      </c>
      <c r="F192" s="41">
        <f t="shared" ref="F192:F195" si="5">D192*(($F$130)+1)+(IF(E192&lt;101,E192,IF(E192&lt;201,E192/2,IF(E192&lt;=301,E192/3,E192/4))))</f>
        <v>967.85851500000012</v>
      </c>
      <c r="G192" s="57" t="str">
        <f>A191</f>
        <v>1st Floor for Residential</v>
      </c>
      <c r="H192" s="58"/>
      <c r="I192" s="26"/>
    </row>
    <row r="193" spans="1:14" s="2" customFormat="1" ht="15.75" customHeight="1" x14ac:dyDescent="0.3">
      <c r="A193" s="68">
        <v>2</v>
      </c>
      <c r="B193" s="69"/>
      <c r="C193" s="41" t="s">
        <v>171</v>
      </c>
      <c r="D193" s="41">
        <f>(2.75*5+2.75*4+2.75*3.7+1.75*1.2+3.45*2.7+1.2*2.4+0.9*2.75+0.9*1.2+1*1.2+0.75*2.75)*10.764</f>
        <v>603.18765000000008</v>
      </c>
      <c r="E193" s="41">
        <f>(2*2.75+1.5*2.5)*10.764</f>
        <v>99.566999999999993</v>
      </c>
      <c r="F193" s="41">
        <f t="shared" si="5"/>
        <v>1004.3484750000001</v>
      </c>
      <c r="G193" s="59"/>
      <c r="H193" s="60"/>
      <c r="I193" s="26"/>
    </row>
    <row r="194" spans="1:14" s="2" customFormat="1" ht="15.75" customHeight="1" x14ac:dyDescent="0.3">
      <c r="A194" s="68">
        <v>3</v>
      </c>
      <c r="B194" s="69"/>
      <c r="C194" s="41" t="s">
        <v>171</v>
      </c>
      <c r="D194" s="41">
        <f>(2.75*4.7+2.75*3.7+2.75*3.7+1.75*1.5+3.45*2.75+1.2*2.4+2.75*0.9+0.9*1.5+0.9*1.4+0.75*2.75)*10.764</f>
        <v>596.48706000000004</v>
      </c>
      <c r="E194" s="41">
        <f>(1.5*2.5+2*2.75)*10.764</f>
        <v>99.566999999999993</v>
      </c>
      <c r="F194" s="41">
        <f t="shared" si="5"/>
        <v>994.29759000000013</v>
      </c>
      <c r="G194" s="59"/>
      <c r="H194" s="60"/>
      <c r="I194" s="26"/>
    </row>
    <row r="195" spans="1:14" s="2" customFormat="1" ht="15.75" customHeight="1" x14ac:dyDescent="0.3">
      <c r="A195" s="68">
        <v>4</v>
      </c>
      <c r="B195" s="69"/>
      <c r="C195" s="41" t="s">
        <v>171</v>
      </c>
      <c r="D195" s="41">
        <f>(2.75*4.7+2.35*4.7+2.75*3+2.75*4+2.4*1.2+1.5*1.2+1.5*1.2+2.75*0.9+1.2*1.4+0.75*2.35)*10.764</f>
        <v>598.66676999999993</v>
      </c>
      <c r="E195" s="41">
        <f>(2*2.75)*10.764</f>
        <v>59.201999999999998</v>
      </c>
      <c r="F195" s="41">
        <f t="shared" si="5"/>
        <v>957.20215499999995</v>
      </c>
      <c r="G195" s="61"/>
      <c r="H195" s="62"/>
      <c r="I195" s="26"/>
    </row>
    <row r="196" spans="1:14" s="2" customFormat="1" ht="15.75" customHeight="1" x14ac:dyDescent="0.3">
      <c r="A196" s="65" t="s">
        <v>209</v>
      </c>
      <c r="B196" s="66"/>
      <c r="C196" s="66"/>
      <c r="D196" s="66"/>
      <c r="E196" s="66"/>
      <c r="F196" s="66"/>
      <c r="G196" s="66"/>
      <c r="H196" s="67"/>
      <c r="I196" s="26"/>
    </row>
    <row r="197" spans="1:14" s="2" customFormat="1" ht="15.75" customHeight="1" x14ac:dyDescent="0.3">
      <c r="A197" s="68">
        <v>1</v>
      </c>
      <c r="B197" s="69"/>
      <c r="C197" s="41" t="s">
        <v>171</v>
      </c>
      <c r="D197" s="41">
        <f>(2.75*6.05+2.35*4.35+2.75*2.9+2.75*3.9+2.4*1.2+1.5*1.2+1.5*1.2+2.75*0.9+0.75*2.35)*10.764</f>
        <v>605.77101000000005</v>
      </c>
      <c r="E197" s="41">
        <f>(2*2.75)*10.764</f>
        <v>59.201999999999998</v>
      </c>
      <c r="F197" s="41">
        <f t="shared" ref="F197:F200" si="6">D197*(($F$130)+1)+(IF(E197&lt;101,E197,IF(E197&lt;201,E197/2,IF(E197&lt;=301,E197/3,E197/4))))</f>
        <v>967.85851500000012</v>
      </c>
      <c r="G197" s="57" t="str">
        <f>A196</f>
        <v>3rd, 5th &amp; 7th Floor for Residential</v>
      </c>
      <c r="H197" s="58"/>
      <c r="I197" s="26"/>
    </row>
    <row r="198" spans="1:14" s="2" customFormat="1" ht="15.75" customHeight="1" x14ac:dyDescent="0.3">
      <c r="A198" s="68">
        <v>2</v>
      </c>
      <c r="B198" s="69"/>
      <c r="C198" s="41" t="s">
        <v>171</v>
      </c>
      <c r="D198" s="41">
        <f>(2.75*5+2.75*4+2.75*3.7+1.75*1.2+3.45*2.7+1.2*2.4+0.9*2.75+0.9*1.2+1*1.2+0.75*2.75)*10.764</f>
        <v>603.18765000000008</v>
      </c>
      <c r="E198" s="41">
        <f>(2*2.75+1.5*2.5)*10.764</f>
        <v>99.566999999999993</v>
      </c>
      <c r="F198" s="41">
        <f t="shared" si="6"/>
        <v>1004.3484750000001</v>
      </c>
      <c r="G198" s="59"/>
      <c r="H198" s="60"/>
      <c r="I198" s="26"/>
    </row>
    <row r="199" spans="1:14" s="2" customFormat="1" ht="15.75" customHeight="1" x14ac:dyDescent="0.3">
      <c r="A199" s="68">
        <v>3</v>
      </c>
      <c r="B199" s="69"/>
      <c r="C199" s="41" t="s">
        <v>171</v>
      </c>
      <c r="D199" s="41">
        <f>(2.75*4.7+2.75*3.7+2.75*3.7+1.75*1.5+3.45*2.75+1.2*2.4+2.75*0.9+0.9*1.5+0.9*1.4+0.75*2.75)*10.764</f>
        <v>596.48706000000004</v>
      </c>
      <c r="E199" s="41">
        <f>(1.5*2.5+2*2.75)*10.764</f>
        <v>99.566999999999993</v>
      </c>
      <c r="F199" s="41">
        <f t="shared" si="6"/>
        <v>994.29759000000013</v>
      </c>
      <c r="G199" s="59"/>
      <c r="H199" s="60"/>
      <c r="I199" s="26"/>
    </row>
    <row r="200" spans="1:14" s="2" customFormat="1" ht="15.75" customHeight="1" x14ac:dyDescent="0.3">
      <c r="A200" s="68">
        <v>4</v>
      </c>
      <c r="B200" s="69"/>
      <c r="C200" s="41" t="s">
        <v>171</v>
      </c>
      <c r="D200" s="41">
        <f>(2.75*4.7+2.35*4.7+2.75*3+2.75*4+2.4*1.2+1.5*1.2+1.5*1.2+2.75*0.9+1.2*1.4+0.75*2.35)*10.764</f>
        <v>598.66676999999993</v>
      </c>
      <c r="E200" s="41">
        <f>(2*2.75)*10.764</f>
        <v>59.201999999999998</v>
      </c>
      <c r="F200" s="41">
        <f t="shared" si="6"/>
        <v>957.20215499999995</v>
      </c>
      <c r="G200" s="61"/>
      <c r="H200" s="62"/>
      <c r="I200" s="26"/>
    </row>
    <row r="201" spans="1:14" s="2" customFormat="1" ht="15.75" customHeight="1" x14ac:dyDescent="0.3">
      <c r="A201" s="65" t="s">
        <v>175</v>
      </c>
      <c r="B201" s="66"/>
      <c r="C201" s="66"/>
      <c r="D201" s="66"/>
      <c r="E201" s="66"/>
      <c r="F201" s="66"/>
      <c r="G201" s="66"/>
      <c r="H201" s="67"/>
      <c r="I201" s="26"/>
    </row>
    <row r="202" spans="1:14" s="2" customFormat="1" ht="15.75" customHeight="1" x14ac:dyDescent="0.3">
      <c r="A202" s="68">
        <v>1</v>
      </c>
      <c r="B202" s="69"/>
      <c r="C202" s="41" t="s">
        <v>171</v>
      </c>
      <c r="D202" s="41">
        <f>(2.75*6.05+2.35*4.35+2.75*2.9+2.75*3.9+2.4*1.2+1.5*1.2+1.5*1.2+2.75*0.9+0.75*2.75)*10.764</f>
        <v>609.00020999999992</v>
      </c>
      <c r="E202" s="41">
        <f>(2*2.35)*10.764</f>
        <v>50.590800000000002</v>
      </c>
      <c r="F202" s="41">
        <f t="shared" ref="F202:F205" si="7">D202*(($F$130)+1)+(IF(E202&lt;101,E202,IF(E202&lt;201,E202/2,IF(E202&lt;=301,E202/3,E202/4))))</f>
        <v>964.09111499999995</v>
      </c>
      <c r="G202" s="57" t="str">
        <f>A201</f>
        <v>2nd, 4th &amp; 6th Floor</v>
      </c>
      <c r="H202" s="58"/>
      <c r="I202" s="26"/>
    </row>
    <row r="203" spans="1:14" s="2" customFormat="1" ht="15.75" customHeight="1" x14ac:dyDescent="0.3">
      <c r="A203" s="68">
        <v>2</v>
      </c>
      <c r="B203" s="69"/>
      <c r="C203" s="41" t="s">
        <v>171</v>
      </c>
      <c r="D203" s="41">
        <f>(2.75*5+2.75*4+2.75*3.7+1.75*1.2+3.45*2.7+1.2*2.4+0.9*2.75+0.9*1.2+1*1.2+0.75*(2.75+2.4))*10.764</f>
        <v>622.56285000000003</v>
      </c>
      <c r="E203" s="41">
        <f>(2*2.75)*10.764</f>
        <v>59.201999999999998</v>
      </c>
      <c r="F203" s="41">
        <f t="shared" si="7"/>
        <v>993.04627500000004</v>
      </c>
      <c r="G203" s="59"/>
      <c r="H203" s="60"/>
      <c r="I203" s="26"/>
    </row>
    <row r="204" spans="1:14" s="2" customFormat="1" ht="15.75" customHeight="1" x14ac:dyDescent="0.3">
      <c r="A204" s="68">
        <v>3</v>
      </c>
      <c r="B204" s="69"/>
      <c r="C204" s="41" t="s">
        <v>171</v>
      </c>
      <c r="D204" s="41">
        <f>(2.75*4.7+2.75*3.7+2.75*3.7+1.75*1.5+3.45*2.75+1.2*2.4+2.75*0.9+0.9*1.5+0.9*1.4+0.75*(2.75+2.5))*10.764</f>
        <v>616.66956000000005</v>
      </c>
      <c r="E204" s="41">
        <f>(2*2.75)*10.764</f>
        <v>59.201999999999998</v>
      </c>
      <c r="F204" s="41">
        <f t="shared" si="7"/>
        <v>984.20634000000007</v>
      </c>
      <c r="G204" s="59"/>
      <c r="H204" s="60"/>
      <c r="I204" s="26"/>
    </row>
    <row r="205" spans="1:14" s="2" customFormat="1" ht="15.75" customHeight="1" x14ac:dyDescent="0.3">
      <c r="A205" s="68">
        <v>4</v>
      </c>
      <c r="B205" s="69"/>
      <c r="C205" s="41" t="s">
        <v>171</v>
      </c>
      <c r="D205" s="41">
        <f>(2.75*4.7+2.35*4.7+2.75*3+2.75*4+2.4*1.2+1.5*1.2+1.5*1.2+2.75*0.9+1.2*1.4+0.75*2.75)*10.764</f>
        <v>601.89596999999992</v>
      </c>
      <c r="E205" s="41">
        <f>(2*2.35)*10.764</f>
        <v>50.590800000000002</v>
      </c>
      <c r="F205" s="41">
        <f t="shared" si="7"/>
        <v>953.43475499999977</v>
      </c>
      <c r="G205" s="61"/>
      <c r="H205" s="62"/>
      <c r="I205" s="26"/>
    </row>
    <row r="206" spans="1:14" s="2" customFormat="1" x14ac:dyDescent="0.3">
      <c r="A206" s="64" t="s">
        <v>178</v>
      </c>
      <c r="B206" s="64"/>
      <c r="C206" s="64"/>
      <c r="D206" s="64"/>
      <c r="E206" s="64"/>
      <c r="F206" s="64"/>
      <c r="G206" s="64"/>
      <c r="H206" s="64"/>
      <c r="I206" s="26"/>
      <c r="L206" s="77"/>
      <c r="M206" s="77"/>
    </row>
    <row r="207" spans="1:14" s="2" customFormat="1" ht="15.75" customHeight="1" x14ac:dyDescent="0.3">
      <c r="A207" s="63">
        <v>1</v>
      </c>
      <c r="B207" s="63"/>
      <c r="C207" s="41" t="s">
        <v>171</v>
      </c>
      <c r="D207" s="41">
        <f>(2.75*6.05+2.35*4.35+2.75*2.9+2.75*3.9+2.4*1.2+1.5*1.2+1.5*1.2+2.75*0.9+0.75*2.75)*10.764</f>
        <v>609.00020999999992</v>
      </c>
      <c r="E207" s="41">
        <f>(2*2.35)*10.764</f>
        <v>50.590800000000002</v>
      </c>
      <c r="F207" s="41">
        <f>D207*(($F$130)+1)+(IF(E207&lt;101,E207,IF(E207&lt;201,E207/2,IF(E207&lt;=301,E207/3,E207/4))))</f>
        <v>964.09111499999995</v>
      </c>
      <c r="G207" s="57" t="str">
        <f>A206</f>
        <v>8th Floor (Part Refuge Area)</v>
      </c>
      <c r="H207" s="58"/>
      <c r="I207" s="26"/>
      <c r="N207" s="26"/>
    </row>
    <row r="208" spans="1:14" s="2" customFormat="1" ht="15.75" customHeight="1" x14ac:dyDescent="0.3">
      <c r="A208" s="63">
        <f>A207+1</f>
        <v>2</v>
      </c>
      <c r="B208" s="63"/>
      <c r="C208" s="41" t="s">
        <v>171</v>
      </c>
      <c r="D208" s="41">
        <f>(2.75*5+2.75*4+2.75*3.7+1.75*1.2+3.45*2.7+1.2*2.4+2.75*0.9+1.2*0.9+1*1.2+0.75*(2.75+2.5))*10.764</f>
        <v>623.37015000000008</v>
      </c>
      <c r="E208" s="41">
        <f>(2*2.75)*10.764</f>
        <v>59.201999999999998</v>
      </c>
      <c r="F208" s="41">
        <f>D208*(($F$130)+1)+(IF(E208&lt;101,E208,IF(E208&lt;201,E208/2,IF(E208&lt;=301,E208/3,E208/4))))</f>
        <v>994.25722500000006</v>
      </c>
      <c r="G208" s="59"/>
      <c r="H208" s="60"/>
      <c r="I208" s="26"/>
      <c r="N208" s="26"/>
    </row>
    <row r="209" spans="1:14" s="2" customFormat="1" ht="15.75" customHeight="1" x14ac:dyDescent="0.3">
      <c r="A209" s="63">
        <f>A208+1</f>
        <v>3</v>
      </c>
      <c r="B209" s="63"/>
      <c r="C209" s="68" t="s">
        <v>177</v>
      </c>
      <c r="D209" s="165"/>
      <c r="E209" s="165"/>
      <c r="F209" s="69"/>
      <c r="G209" s="59"/>
      <c r="H209" s="60"/>
      <c r="I209" s="26"/>
      <c r="N209" s="26"/>
    </row>
    <row r="210" spans="1:14" s="2" customFormat="1" ht="15.75" customHeight="1" x14ac:dyDescent="0.3">
      <c r="A210" s="63">
        <f>A209+1</f>
        <v>4</v>
      </c>
      <c r="B210" s="63"/>
      <c r="C210" s="41" t="s">
        <v>171</v>
      </c>
      <c r="D210" s="41">
        <f>(2.75*4.7+2.35*4.7+2.75*3+2.75*4+2.4*1.5*1.2+1.5*1.2+2.75*0.9+1.2*1.4+0.75*2.75)*10.764</f>
        <v>598.02092999999991</v>
      </c>
      <c r="E210" s="41">
        <f>(2*2.35)*10.764</f>
        <v>50.590800000000002</v>
      </c>
      <c r="F210" s="41">
        <f>D210*(($F$130)+1)+(IF(E210&lt;101,E210,IF(E210&lt;201,E210/2,IF(E210&lt;=301,E210/3,E210/4))))</f>
        <v>947.62219499999992</v>
      </c>
      <c r="G210" s="61"/>
      <c r="H210" s="62"/>
      <c r="I210" s="26"/>
      <c r="N210" s="26"/>
    </row>
    <row r="211" spans="1:14" s="2" customFormat="1" x14ac:dyDescent="0.3">
      <c r="A211" s="64" t="s">
        <v>210</v>
      </c>
      <c r="B211" s="64"/>
      <c r="C211" s="64"/>
      <c r="D211" s="64"/>
      <c r="E211" s="64"/>
      <c r="F211" s="64"/>
      <c r="G211" s="64"/>
      <c r="H211" s="64"/>
      <c r="I211" s="26"/>
      <c r="L211" s="77"/>
      <c r="M211" s="77"/>
    </row>
    <row r="212" spans="1:14" s="2" customFormat="1" ht="15.75" customHeight="1" x14ac:dyDescent="0.3">
      <c r="A212" s="63">
        <v>1</v>
      </c>
      <c r="B212" s="63"/>
      <c r="C212" s="41" t="s">
        <v>171</v>
      </c>
      <c r="D212" s="41">
        <f>(2.75*6.05+2.35*4.35+2.75*2.9+2.75*3.9+2.4*1.2+1.5*1.2+1.5*1.2+2.75*0.9+0.75*2.35)*10.764</f>
        <v>605.77101000000005</v>
      </c>
      <c r="E212" s="41">
        <f>(2*2.75)*10.764</f>
        <v>59.201999999999998</v>
      </c>
      <c r="F212" s="41">
        <f>D212*(($F$130)+1)+(IF(E212&lt;101,E212,IF(E212&lt;201,E212/2,IF(E212&lt;=301,E212/3,E212/4))))</f>
        <v>967.85851500000012</v>
      </c>
      <c r="G212" s="57" t="str">
        <f>A211</f>
        <v>9th &amp; 11th Floor</v>
      </c>
      <c r="H212" s="58"/>
      <c r="I212" s="26"/>
      <c r="N212" s="26"/>
    </row>
    <row r="213" spans="1:14" s="2" customFormat="1" x14ac:dyDescent="0.3">
      <c r="A213" s="63">
        <f>A212+1</f>
        <v>2</v>
      </c>
      <c r="B213" s="63"/>
      <c r="C213" s="41" t="s">
        <v>171</v>
      </c>
      <c r="D213" s="41">
        <f>(2.75*5+2.75*4+2.75*3.7+1.75*1.2+3.45*2.7+1.2*2.4+1*1.2+2.75*0.9+1.2*0.9+0.75*2.75+0.75*2.5)*10.764</f>
        <v>623.37015000000008</v>
      </c>
      <c r="E213" s="41">
        <f>(2*2.75+1.5*2.5)*10.764</f>
        <v>99.566999999999993</v>
      </c>
      <c r="F213" s="41">
        <f>D213*(($F$130)+1)+(IF(E213&lt;101,E213,IF(E213&lt;201,E213/2,IF(E213&lt;=301,E213/3,E213/4))))</f>
        <v>1034.6222250000001</v>
      </c>
      <c r="G213" s="59"/>
      <c r="H213" s="60"/>
      <c r="I213" s="26"/>
      <c r="N213" s="26"/>
    </row>
    <row r="214" spans="1:14" s="2" customFormat="1" x14ac:dyDescent="0.3">
      <c r="A214" s="63">
        <f>A213+1</f>
        <v>3</v>
      </c>
      <c r="B214" s="63"/>
      <c r="C214" s="41" t="s">
        <v>171</v>
      </c>
      <c r="D214" s="41">
        <f>(2.75*4.7+2.75*3.7+2.75*3.7+1.75*1.5+3.45*2.75+1.2*2.4+0.9*1.4+2.75*0.9+1.5*0.9+0.75*2.75)*10.764</f>
        <v>596.48706000000004</v>
      </c>
      <c r="E214" s="41">
        <f>(2*2.75+2.5*1.5)*10.764</f>
        <v>99.566999999999993</v>
      </c>
      <c r="F214" s="41">
        <f>D214*(($F$130)+1)+(IF(E214&lt;101,E214,IF(E214&lt;201,E214/2,IF(E214&lt;=301,E214/3,E214/4))))</f>
        <v>994.29759000000013</v>
      </c>
      <c r="G214" s="59"/>
      <c r="H214" s="60"/>
      <c r="I214" s="26"/>
      <c r="N214" s="26"/>
    </row>
    <row r="215" spans="1:14" s="2" customFormat="1" x14ac:dyDescent="0.3">
      <c r="A215" s="63">
        <f>A214+1</f>
        <v>4</v>
      </c>
      <c r="B215" s="63"/>
      <c r="C215" s="41" t="s">
        <v>171</v>
      </c>
      <c r="D215" s="41">
        <f>(2.75*4.7+2.35*4.7+2.75*3+2.75*4+2.4*1.2+1.5*1.2+1.5*1.2+2.75*0.9+0.75*2.35+1.2*1.4)*10.764</f>
        <v>598.66676999999993</v>
      </c>
      <c r="E215" s="41">
        <f>(2*2.75)*10.764</f>
        <v>59.201999999999998</v>
      </c>
      <c r="F215" s="41">
        <f>D215*(($F$130)+1)+(IF(E215&lt;101,E215,IF(E215&lt;201,E215/2,IF(E215&lt;=301,E215/3,E215/4))))</f>
        <v>957.20215499999995</v>
      </c>
      <c r="G215" s="61"/>
      <c r="H215" s="62"/>
      <c r="I215" s="26"/>
      <c r="N215" s="26"/>
    </row>
    <row r="216" spans="1:14" s="2" customFormat="1" x14ac:dyDescent="0.3">
      <c r="A216" s="64" t="s">
        <v>211</v>
      </c>
      <c r="B216" s="64"/>
      <c r="C216" s="64"/>
      <c r="D216" s="64"/>
      <c r="E216" s="64"/>
      <c r="F216" s="64"/>
      <c r="G216" s="64"/>
      <c r="H216" s="64"/>
      <c r="I216" s="26"/>
      <c r="L216" s="77"/>
      <c r="M216" s="77"/>
    </row>
    <row r="217" spans="1:14" s="2" customFormat="1" ht="15.75" customHeight="1" x14ac:dyDescent="0.3">
      <c r="A217" s="63">
        <v>1</v>
      </c>
      <c r="B217" s="63"/>
      <c r="C217" s="41" t="s">
        <v>171</v>
      </c>
      <c r="D217" s="41">
        <f>(2.75*6.05+2.35*4.35+2.75*2.9+2.75*3.9+2.4*1.2+1.5*1.2+1.5*1.2+2.75*0.9+0.75*2.75)*10.764</f>
        <v>609.00020999999992</v>
      </c>
      <c r="E217" s="41">
        <f>(2*2.35)*10.764</f>
        <v>50.590800000000002</v>
      </c>
      <c r="F217" s="41">
        <f>D217*(($F$130)+1)+(IF(E217&lt;101,E217,IF(E217&lt;201,E217/2,IF(E217&lt;=301,E217/3,E217/4))))</f>
        <v>964.09111499999995</v>
      </c>
      <c r="G217" s="57" t="str">
        <f>A216</f>
        <v>10th &amp; 12th Floor</v>
      </c>
      <c r="H217" s="58"/>
      <c r="I217" s="26"/>
      <c r="N217" s="26"/>
    </row>
    <row r="218" spans="1:14" s="2" customFormat="1" ht="15.75" customHeight="1" x14ac:dyDescent="0.3">
      <c r="A218" s="63">
        <f>A217+1</f>
        <v>2</v>
      </c>
      <c r="B218" s="63"/>
      <c r="C218" s="41" t="s">
        <v>171</v>
      </c>
      <c r="D218" s="41">
        <f>(2.75*5+2.75*4+2.75*3.7+1.75*1.2+3.45*2.7+1.2*2.4+1*1.2+2.75*0.9+1.2*0.9+0.75*2.75+0.75*2.5)*10.764</f>
        <v>623.37015000000008</v>
      </c>
      <c r="E218" s="41">
        <f>(2*2.75)*10.764</f>
        <v>59.201999999999998</v>
      </c>
      <c r="F218" s="41">
        <f>D218*(($F$130)+1)+(IF(E218&lt;101,E218,IF(E218&lt;201,E218/2,IF(E218&lt;=301,E218/3,E218/4))))</f>
        <v>994.25722500000006</v>
      </c>
      <c r="G218" s="59"/>
      <c r="H218" s="60"/>
      <c r="I218" s="26"/>
      <c r="N218" s="26"/>
    </row>
    <row r="219" spans="1:14" s="2" customFormat="1" ht="15.75" customHeight="1" x14ac:dyDescent="0.3">
      <c r="A219" s="68">
        <v>3</v>
      </c>
      <c r="B219" s="69"/>
      <c r="C219" s="41" t="s">
        <v>171</v>
      </c>
      <c r="D219" s="41">
        <f>(2.75*4.7+2.75*3.7+2.75*3.7+1.75*1.5+3.45*2.75+1.2*2.4+2.75*0.9+0.9*1.5+0.9*1.4+0.75*(2.75+2.5))*10.764</f>
        <v>616.66956000000005</v>
      </c>
      <c r="E219" s="41">
        <f>(2*2.75)*10.764</f>
        <v>59.201999999999998</v>
      </c>
      <c r="F219" s="41">
        <f t="shared" ref="F219" si="8">D219*(($F$130)+1)+(IF(E219&lt;101,E219,IF(E219&lt;201,E219/2,IF(E219&lt;=301,E219/3,E219/4))))</f>
        <v>984.20634000000007</v>
      </c>
      <c r="G219" s="59"/>
      <c r="H219" s="60"/>
      <c r="I219" s="26"/>
    </row>
    <row r="220" spans="1:14" s="2" customFormat="1" ht="15.75" customHeight="1" x14ac:dyDescent="0.3">
      <c r="A220" s="63">
        <v>4</v>
      </c>
      <c r="B220" s="63"/>
      <c r="C220" s="41" t="s">
        <v>171</v>
      </c>
      <c r="D220" s="41">
        <f>(2.75*4.7+2.35*4.7+2.75*3+2.75*4+2.4*1.2+1.5*1.2+1.5*1.2+2.75*0.9+0.75*2.75+1.2*1.4)*10.764</f>
        <v>601.89596999999992</v>
      </c>
      <c r="E220" s="41">
        <f>(2*2.35)*10.764</f>
        <v>50.590800000000002</v>
      </c>
      <c r="F220" s="41">
        <f>D220*(($F$130)+1)+(IF(E220&lt;101,E220,IF(E220&lt;201,E220/2,IF(E220&lt;=301,E220/3,E220/4))))</f>
        <v>953.43475499999977</v>
      </c>
      <c r="G220" s="61"/>
      <c r="H220" s="62"/>
      <c r="I220" s="26"/>
      <c r="N220" s="26"/>
    </row>
    <row r="221" spans="1:14" s="2" customFormat="1" x14ac:dyDescent="0.3">
      <c r="A221" s="64" t="s">
        <v>216</v>
      </c>
      <c r="B221" s="64"/>
      <c r="C221" s="64"/>
      <c r="D221" s="64"/>
      <c r="E221" s="64"/>
      <c r="F221" s="64"/>
      <c r="G221" s="64"/>
      <c r="H221" s="64"/>
      <c r="I221" s="26"/>
      <c r="L221" s="77"/>
      <c r="M221" s="77"/>
    </row>
    <row r="222" spans="1:14" s="2" customFormat="1" ht="15.75" customHeight="1" x14ac:dyDescent="0.3">
      <c r="A222" s="63">
        <v>1</v>
      </c>
      <c r="B222" s="63"/>
      <c r="C222" s="41" t="s">
        <v>171</v>
      </c>
      <c r="D222" s="41">
        <f>(2.75*6.05+2.35*4.35+2.75*2.9+2.75*3.9+2.4*1.2+1.5*1.2+1.5*1.2+2.75*0.9+0.75*2.35)*10.764</f>
        <v>605.77101000000005</v>
      </c>
      <c r="E222" s="41">
        <f>(2*2.75)*10.764</f>
        <v>59.201999999999998</v>
      </c>
      <c r="F222" s="41">
        <f>D222*(($F$130)+1)+(IF(E222&lt;101,E222,IF(E222&lt;201,E222/2,IF(E222&lt;=301,E222/3,E222/4))))</f>
        <v>967.85851500000012</v>
      </c>
      <c r="G222" s="57" t="str">
        <f>A221</f>
        <v>13th Floor (Part Refuge Area)</v>
      </c>
      <c r="H222" s="58"/>
      <c r="I222" s="26"/>
      <c r="N222" s="26"/>
    </row>
    <row r="223" spans="1:14" s="2" customFormat="1" ht="15.75" customHeight="1" x14ac:dyDescent="0.3">
      <c r="A223" s="63">
        <f>A222+1</f>
        <v>2</v>
      </c>
      <c r="B223" s="63"/>
      <c r="C223" s="41" t="s">
        <v>171</v>
      </c>
      <c r="D223" s="41">
        <f>(2.75*5+2.75*4+2.75*3.7+1.75*1.2+3.45*2.7+1.2*2.4+1*1.2+2.75*0.9+1.2*0.9+0.75*2.75+0.75*2.5)*10.764</f>
        <v>623.37015000000008</v>
      </c>
      <c r="E223" s="41">
        <f>(2*2.75+1.5*2.5)*10.764</f>
        <v>99.566999999999993</v>
      </c>
      <c r="F223" s="41">
        <f>D223*(($F$130)+1)+(IF(E223&lt;101,E223,IF(E223&lt;201,E223/2,IF(E223&lt;=301,E223/3,E223/4))))</f>
        <v>1034.6222250000001</v>
      </c>
      <c r="G223" s="59"/>
      <c r="H223" s="60"/>
      <c r="I223" s="26"/>
      <c r="N223" s="26"/>
    </row>
    <row r="224" spans="1:14" s="2" customFormat="1" ht="15.75" customHeight="1" x14ac:dyDescent="0.3">
      <c r="A224" s="63">
        <f>A223+1</f>
        <v>3</v>
      </c>
      <c r="B224" s="63"/>
      <c r="C224" s="68" t="s">
        <v>177</v>
      </c>
      <c r="D224" s="165"/>
      <c r="E224" s="165"/>
      <c r="F224" s="69"/>
      <c r="G224" s="59"/>
      <c r="H224" s="60"/>
      <c r="I224" s="26"/>
      <c r="N224" s="26"/>
    </row>
    <row r="225" spans="1:14" s="2" customFormat="1" ht="15.75" customHeight="1" x14ac:dyDescent="0.3">
      <c r="A225" s="63">
        <f>A224+1</f>
        <v>4</v>
      </c>
      <c r="B225" s="63"/>
      <c r="C225" s="41" t="s">
        <v>171</v>
      </c>
      <c r="D225" s="41">
        <f>(2.75*4.7+2.35*4.7+2.75*3+2.75*4+2.4*1.2+1.5*1.2+1.5*1.2+2.75*0.9+0.75*2.35+1.2*1.4)*10.764</f>
        <v>598.66676999999993</v>
      </c>
      <c r="E225" s="41">
        <f>(2*2.75)*10.764</f>
        <v>59.201999999999998</v>
      </c>
      <c r="F225" s="41">
        <f>D225*(($F$130)+1)+(IF(E225&lt;101,E225,IF(E225&lt;201,E225/2,IF(E225&lt;=301,E225/3,E225/4))))</f>
        <v>957.20215499999995</v>
      </c>
      <c r="G225" s="61"/>
      <c r="H225" s="62"/>
      <c r="I225" s="26"/>
      <c r="N225" s="26"/>
    </row>
    <row r="226" spans="1:14" x14ac:dyDescent="0.3">
      <c r="A226" s="72" t="s">
        <v>168</v>
      </c>
      <c r="B226" s="72"/>
      <c r="C226" s="72"/>
      <c r="D226" s="72"/>
      <c r="E226" s="72"/>
      <c r="F226" s="72"/>
      <c r="G226" s="72"/>
      <c r="H226" s="72"/>
    </row>
    <row r="227" spans="1:14" x14ac:dyDescent="0.3">
      <c r="A227" s="72" t="s">
        <v>169</v>
      </c>
      <c r="B227" s="72"/>
      <c r="C227" s="72"/>
      <c r="D227" s="72"/>
      <c r="E227" s="72"/>
      <c r="F227" s="72"/>
      <c r="G227" s="72"/>
      <c r="H227" s="72"/>
    </row>
    <row r="228" spans="1:14" s="2" customFormat="1" x14ac:dyDescent="0.3">
      <c r="A228" s="64" t="s">
        <v>217</v>
      </c>
      <c r="B228" s="64"/>
      <c r="C228" s="64"/>
      <c r="D228" s="64"/>
      <c r="E228" s="64"/>
      <c r="F228" s="64"/>
      <c r="G228" s="64"/>
      <c r="H228" s="64"/>
      <c r="I228" s="26"/>
      <c r="L228" s="77"/>
      <c r="M228" s="77"/>
    </row>
    <row r="229" spans="1:14" s="2" customFormat="1" ht="15.75" customHeight="1" x14ac:dyDescent="0.3">
      <c r="A229" s="64" t="s">
        <v>208</v>
      </c>
      <c r="B229" s="64"/>
      <c r="C229" s="64"/>
      <c r="D229" s="64"/>
      <c r="E229" s="64"/>
      <c r="F229" s="64"/>
      <c r="G229" s="64"/>
      <c r="H229" s="64"/>
      <c r="I229" s="26"/>
    </row>
    <row r="230" spans="1:14" s="2" customFormat="1" ht="15.75" customHeight="1" x14ac:dyDescent="0.3">
      <c r="A230" s="63">
        <v>1</v>
      </c>
      <c r="B230" s="63"/>
      <c r="C230" s="41" t="s">
        <v>173</v>
      </c>
      <c r="D230" s="41">
        <f>(2.75*5+2.85*2.25+2.75*3.3+1.5*1.2+1.5*0.9+1.7*1.3+1.2*2.2+0.75*2.25+0.75*2.5)*10.764</f>
        <v>439.1712</v>
      </c>
      <c r="E230" s="41">
        <v>0</v>
      </c>
      <c r="F230" s="41">
        <f t="shared" ref="F230:F234" si="9">D230*(($F$130)+1)+(IF(E230&lt;101,E230,IF(E230&lt;201,E230/2,IF(E230&lt;=301,E230/3,E230/4))))</f>
        <v>658.7568</v>
      </c>
      <c r="G230" s="63" t="str">
        <f>A229</f>
        <v>1st Floor for Residential</v>
      </c>
      <c r="H230" s="63"/>
      <c r="I230" s="26"/>
    </row>
    <row r="231" spans="1:14" s="2" customFormat="1" ht="15.75" customHeight="1" x14ac:dyDescent="0.3">
      <c r="A231" s="63">
        <v>2</v>
      </c>
      <c r="B231" s="63"/>
      <c r="C231" s="41" t="s">
        <v>173</v>
      </c>
      <c r="D231" s="41">
        <f>(2.75*5+2.35*5+2.8*3+1.2*1.2+1.5*1.2+0.9*2.8+1.6*1.2+0.75*2.35)*10.764</f>
        <v>466.53866999999997</v>
      </c>
      <c r="E231" s="41">
        <f>(2*2.75)*10.764</f>
        <v>59.201999999999998</v>
      </c>
      <c r="F231" s="41">
        <f t="shared" si="9"/>
        <v>759.01000499999998</v>
      </c>
      <c r="G231" s="63"/>
      <c r="H231" s="63"/>
      <c r="I231" s="26"/>
    </row>
    <row r="232" spans="1:14" s="2" customFormat="1" ht="15.75" customHeight="1" x14ac:dyDescent="0.3">
      <c r="A232" s="63">
        <v>3</v>
      </c>
      <c r="B232" s="63"/>
      <c r="C232" s="41" t="s">
        <v>171</v>
      </c>
      <c r="D232" s="41">
        <f>(5.65*2.75+2.75*4+2.75*3.3+1.8*1.1+2.8*3+1.5*1.2+1.2*1.2+0.9*2.8+1.1*0.9+0.75*2.7)*10.764</f>
        <v>589.51736999999991</v>
      </c>
      <c r="E232" s="41">
        <f>(2*2.75)*10.764</f>
        <v>59.201999999999998</v>
      </c>
      <c r="F232" s="41">
        <f t="shared" si="9"/>
        <v>943.47805499999981</v>
      </c>
      <c r="G232" s="63"/>
      <c r="H232" s="63"/>
      <c r="I232" s="26"/>
    </row>
    <row r="233" spans="1:14" s="2" customFormat="1" ht="15.75" customHeight="1" x14ac:dyDescent="0.3">
      <c r="A233" s="63">
        <v>4</v>
      </c>
      <c r="B233" s="63"/>
      <c r="C233" s="41" t="s">
        <v>171</v>
      </c>
      <c r="D233" s="41">
        <f>(5.65*2.75+2.8*4.85+2.75*3.55+1.8*1.2+2.8*3+1.5*1.2+1.2*1.2+0.9*2.8+0.9*1.2+0.75*2.3)*10.764</f>
        <v>624.36581999999987</v>
      </c>
      <c r="E233" s="41">
        <f>(2.75*2)*10.764</f>
        <v>59.201999999999998</v>
      </c>
      <c r="F233" s="41">
        <f t="shared" si="9"/>
        <v>995.75072999999975</v>
      </c>
      <c r="G233" s="63"/>
      <c r="H233" s="63"/>
      <c r="I233" s="26"/>
    </row>
    <row r="234" spans="1:14" s="2" customFormat="1" ht="15.75" customHeight="1" x14ac:dyDescent="0.3">
      <c r="A234" s="63">
        <v>5</v>
      </c>
      <c r="B234" s="63"/>
      <c r="C234" s="41" t="s">
        <v>173</v>
      </c>
      <c r="D234" s="41">
        <f>(2.75*4.7+2.65*4.7+2.75*3+1.5*1.2+1.2*1.2+0.9*2.75+1.4*1.2)*10.764</f>
        <v>441.59309999999994</v>
      </c>
      <c r="E234" s="41">
        <v>0</v>
      </c>
      <c r="F234" s="41">
        <f t="shared" si="9"/>
        <v>662.38964999999985</v>
      </c>
      <c r="G234" s="63"/>
      <c r="H234" s="63"/>
      <c r="I234" s="26"/>
    </row>
    <row r="235" spans="1:14" s="2" customFormat="1" ht="15.75" customHeight="1" x14ac:dyDescent="0.3">
      <c r="A235" s="63">
        <v>6</v>
      </c>
      <c r="B235" s="63"/>
      <c r="C235" s="41" t="s">
        <v>173</v>
      </c>
      <c r="D235" s="41">
        <f>(2.75*5.15+2.85*2.25+1.5*1.2+1.5*0.9+2.75*3.45+1.2*2.4+1.8*0.9+0.75*2.25+0.75*2.5)*10.764</f>
        <v>444.28410000000002</v>
      </c>
      <c r="E235" s="41">
        <v>0</v>
      </c>
      <c r="F235" s="41">
        <f t="shared" ref="F235" si="10">D235*(($F$130)+1)+(IF(E235&lt;101,E235,IF(E235&lt;201,E235/2,IF(E235&lt;=301,E235/3,E235/4))))</f>
        <v>666.42615000000001</v>
      </c>
      <c r="G235" s="63"/>
      <c r="H235" s="63"/>
      <c r="I235" s="26"/>
    </row>
    <row r="236" spans="1:14" s="2" customFormat="1" ht="15.75" customHeight="1" x14ac:dyDescent="0.3">
      <c r="A236" s="65" t="s">
        <v>218</v>
      </c>
      <c r="B236" s="66"/>
      <c r="C236" s="66"/>
      <c r="D236" s="66"/>
      <c r="E236" s="66"/>
      <c r="F236" s="66"/>
      <c r="G236" s="66"/>
      <c r="H236" s="67"/>
      <c r="I236" s="26"/>
    </row>
    <row r="237" spans="1:14" s="2" customFormat="1" ht="15.75" customHeight="1" x14ac:dyDescent="0.3">
      <c r="A237" s="68">
        <v>1</v>
      </c>
      <c r="B237" s="69"/>
      <c r="C237" s="41" t="s">
        <v>173</v>
      </c>
      <c r="D237" s="41">
        <f>(2.75*5+2.85*2.25+2.75*3.3+1.5*1.2+1.5*0.9+1.7*1.3+1.2*2.2+0.75*2.5+0.75*2.25)*10.764</f>
        <v>439.1712</v>
      </c>
      <c r="E237" s="41">
        <v>0</v>
      </c>
      <c r="F237" s="41">
        <f t="shared" ref="F237:F242" si="11">D237*(($F$130)+1)+(IF(E237&lt;101,E237,IF(E237&lt;201,E237/2,IF(E237&lt;=301,E237/3,E237/4))))</f>
        <v>658.7568</v>
      </c>
      <c r="G237" s="57" t="str">
        <f>A236</f>
        <v>3rd, 5th &amp; 7th Floor</v>
      </c>
      <c r="H237" s="58"/>
      <c r="I237" s="26"/>
    </row>
    <row r="238" spans="1:14" s="2" customFormat="1" ht="15.75" customHeight="1" x14ac:dyDescent="0.3">
      <c r="A238" s="68">
        <v>2</v>
      </c>
      <c r="B238" s="69"/>
      <c r="C238" s="41" t="s">
        <v>173</v>
      </c>
      <c r="D238" s="41">
        <f>(2.75*5+2.35*5+2.8*3+1.2*1.2+1.5*1.2+0.9*2.8+1.6*1.2+0.75*2.35)*10.764</f>
        <v>466.53866999999997</v>
      </c>
      <c r="E238" s="41">
        <f>(2*2.35)*10.764</f>
        <v>50.590800000000002</v>
      </c>
      <c r="F238" s="41">
        <f t="shared" si="11"/>
        <v>750.39880500000004</v>
      </c>
      <c r="G238" s="59"/>
      <c r="H238" s="60"/>
      <c r="I238" s="26"/>
    </row>
    <row r="239" spans="1:14" s="2" customFormat="1" ht="15.75" customHeight="1" x14ac:dyDescent="0.3">
      <c r="A239" s="68">
        <v>3</v>
      </c>
      <c r="B239" s="69"/>
      <c r="C239" s="41" t="s">
        <v>171</v>
      </c>
      <c r="D239" s="41">
        <f>(5.65*2.75+2.75*4+2.75*3.3+1.8*1.1+2.8*3+1.5*1.2+1.2*1.2+0.9*2.8+1.1*0.9+0.75*2.7)*10.764</f>
        <v>589.51736999999991</v>
      </c>
      <c r="E239" s="41">
        <f>(2*2.75)*10.764</f>
        <v>59.201999999999998</v>
      </c>
      <c r="F239" s="41">
        <f t="shared" si="11"/>
        <v>943.47805499999981</v>
      </c>
      <c r="G239" s="59"/>
      <c r="H239" s="60"/>
      <c r="I239" s="26"/>
    </row>
    <row r="240" spans="1:14" s="2" customFormat="1" ht="15.75" customHeight="1" x14ac:dyDescent="0.3">
      <c r="A240" s="68">
        <v>4</v>
      </c>
      <c r="B240" s="69"/>
      <c r="C240" s="41" t="s">
        <v>171</v>
      </c>
      <c r="D240" s="41">
        <f>(5.65*2.75+2.8*4.85+2.75*3.55+1.8*1.2+2.8*3+1.5*1.2+1.2*1.2+0.9*2.8+0.9*1.2+0.75*2.3)*10.764</f>
        <v>624.36581999999987</v>
      </c>
      <c r="E240" s="41">
        <f>(2.75*2)*10.764</f>
        <v>59.201999999999998</v>
      </c>
      <c r="F240" s="41">
        <f t="shared" si="11"/>
        <v>995.75072999999975</v>
      </c>
      <c r="G240" s="59"/>
      <c r="H240" s="60"/>
      <c r="I240" s="26"/>
    </row>
    <row r="241" spans="1:14" s="2" customFormat="1" ht="15.75" customHeight="1" x14ac:dyDescent="0.3">
      <c r="A241" s="68">
        <v>5</v>
      </c>
      <c r="B241" s="69"/>
      <c r="C241" s="41" t="s">
        <v>173</v>
      </c>
      <c r="D241" s="41">
        <f>(2.75*4.7+2.65*4.7+2.75*3+1.5*1.2+1.2*1.2+0.9*2.75+1.4*1.2)*10.764</f>
        <v>441.59309999999994</v>
      </c>
      <c r="E241" s="41">
        <v>0</v>
      </c>
      <c r="F241" s="41">
        <f t="shared" si="11"/>
        <v>662.38964999999985</v>
      </c>
      <c r="G241" s="59"/>
      <c r="H241" s="60"/>
      <c r="I241" s="26"/>
    </row>
    <row r="242" spans="1:14" s="2" customFormat="1" ht="15.75" customHeight="1" x14ac:dyDescent="0.3">
      <c r="A242" s="68">
        <v>6</v>
      </c>
      <c r="B242" s="69"/>
      <c r="C242" s="41" t="s">
        <v>173</v>
      </c>
      <c r="D242" s="41">
        <f>(2.75*5.15+2.85*2.25+1.5*1.2+1.5*0.9+2.75*3.45+1.2*2.4+1.8*0.9+0.75*2.25)*10.764</f>
        <v>424.10160000000002</v>
      </c>
      <c r="E242" s="41">
        <v>0</v>
      </c>
      <c r="F242" s="41">
        <f t="shared" si="11"/>
        <v>636.15240000000006</v>
      </c>
      <c r="G242" s="61"/>
      <c r="H242" s="62"/>
      <c r="I242" s="26"/>
    </row>
    <row r="243" spans="1:14" s="2" customFormat="1" ht="15.75" customHeight="1" x14ac:dyDescent="0.3">
      <c r="A243" s="65" t="s">
        <v>175</v>
      </c>
      <c r="B243" s="66"/>
      <c r="C243" s="66"/>
      <c r="D243" s="66"/>
      <c r="E243" s="66"/>
      <c r="F243" s="66"/>
      <c r="G243" s="66"/>
      <c r="H243" s="67"/>
      <c r="I243" s="26"/>
    </row>
    <row r="244" spans="1:14" s="2" customFormat="1" ht="15.75" customHeight="1" x14ac:dyDescent="0.3">
      <c r="A244" s="68">
        <v>1</v>
      </c>
      <c r="B244" s="69"/>
      <c r="C244" s="41" t="s">
        <v>173</v>
      </c>
      <c r="D244" s="41">
        <f>(2.75*5+2.85*2.25+2.75*3.3+1.5*1.2+1.5*0.9+1.7*1.3+1.2*2.2+0.75*2.5)*10.764</f>
        <v>421.00695000000002</v>
      </c>
      <c r="E244" s="41">
        <f>2*2.5*10.764</f>
        <v>53.819999999999993</v>
      </c>
      <c r="F244" s="41">
        <f t="shared" ref="F244:F248" si="12">D244*(($F$130)+1)+(IF(E244&lt;101,E244,IF(E244&lt;201,E244/2,IF(E244&lt;=301,E244/3,E244/4))))</f>
        <v>685.3304250000001</v>
      </c>
      <c r="G244" s="57" t="str">
        <f>A243</f>
        <v>2nd, 4th &amp; 6th Floor</v>
      </c>
      <c r="H244" s="58"/>
      <c r="I244" s="26"/>
    </row>
    <row r="245" spans="1:14" s="2" customFormat="1" ht="15.75" customHeight="1" x14ac:dyDescent="0.3">
      <c r="A245" s="68">
        <v>2</v>
      </c>
      <c r="B245" s="69"/>
      <c r="C245" s="41" t="s">
        <v>173</v>
      </c>
      <c r="D245" s="41">
        <f>(2.75*5+2.35*5+2.8*3+1.2*1.2+1.5*1.2+0.9*2.8+1.6*1.2+0.75*2.75)*10.764</f>
        <v>469.76786999999996</v>
      </c>
      <c r="E245" s="41">
        <f>(2*2.75)*10.764</f>
        <v>59.201999999999998</v>
      </c>
      <c r="F245" s="41">
        <f t="shared" si="12"/>
        <v>763.85380499999997</v>
      </c>
      <c r="G245" s="59"/>
      <c r="H245" s="60"/>
      <c r="I245" s="26"/>
    </row>
    <row r="246" spans="1:14" s="2" customFormat="1" ht="15.75" customHeight="1" x14ac:dyDescent="0.3">
      <c r="A246" s="68">
        <v>3</v>
      </c>
      <c r="B246" s="69"/>
      <c r="C246" s="41" t="s">
        <v>171</v>
      </c>
      <c r="D246" s="41">
        <f>(5.65*2.75+2.75*4+2.75*3.3+1.8*1.1+2.8*3+1.5*1.2+1.2*1.2+0.9*2.8+1.1*0.9+0.75*2.75)*10.764</f>
        <v>589.92101999999988</v>
      </c>
      <c r="E246" s="41">
        <f>(2*2.75)*10.764</f>
        <v>59.201999999999998</v>
      </c>
      <c r="F246" s="41">
        <f t="shared" si="12"/>
        <v>944.08352999999988</v>
      </c>
      <c r="G246" s="59"/>
      <c r="H246" s="60"/>
      <c r="I246" s="26"/>
    </row>
    <row r="247" spans="1:14" s="2" customFormat="1" ht="15.75" customHeight="1" x14ac:dyDescent="0.3">
      <c r="A247" s="68">
        <v>4</v>
      </c>
      <c r="B247" s="69"/>
      <c r="C247" s="41" t="s">
        <v>171</v>
      </c>
      <c r="D247" s="41">
        <f>(5.65*2.75+2.8*4.85+2.75*3.55+1.8*1.2+2.8*3+1.5*1.2+1.2*1.2+0.9*2.8+0.9*1.2+0.75*2.75)*10.764</f>
        <v>627.99866999999983</v>
      </c>
      <c r="E247" s="41">
        <f>(2.75*2)*10.764</f>
        <v>59.201999999999998</v>
      </c>
      <c r="F247" s="41">
        <f t="shared" si="12"/>
        <v>1001.2000049999997</v>
      </c>
      <c r="G247" s="59"/>
      <c r="H247" s="60"/>
      <c r="I247" s="26"/>
    </row>
    <row r="248" spans="1:14" s="2" customFormat="1" ht="15.75" customHeight="1" x14ac:dyDescent="0.3">
      <c r="A248" s="68">
        <v>5</v>
      </c>
      <c r="B248" s="69"/>
      <c r="C248" s="41" t="s">
        <v>173</v>
      </c>
      <c r="D248" s="41">
        <f>(2.75*4.7+2.65*4.7+2.75*3+1.5*1.2+1.2*1.2+0.9*2.75+1.4*1.2)*10.764</f>
        <v>441.59309999999994</v>
      </c>
      <c r="E248" s="41">
        <v>0</v>
      </c>
      <c r="F248" s="41">
        <f t="shared" si="12"/>
        <v>662.38964999999985</v>
      </c>
      <c r="G248" s="59"/>
      <c r="H248" s="60"/>
      <c r="I248" s="26"/>
    </row>
    <row r="249" spans="1:14" s="2" customFormat="1" ht="15.75" customHeight="1" x14ac:dyDescent="0.3">
      <c r="A249" s="68">
        <v>6</v>
      </c>
      <c r="B249" s="69"/>
      <c r="C249" s="41" t="s">
        <v>173</v>
      </c>
      <c r="D249" s="41">
        <f>(2.75*5.15+2.85*2.25+1.5*1.2+1.5*0.9+2.75*3.45+1.2*2.4+1.8*0.9+0.75*2.5)*10.764</f>
        <v>426.11985000000004</v>
      </c>
      <c r="E249" s="41">
        <f>2*2.75*10.764</f>
        <v>59.201999999999998</v>
      </c>
      <c r="F249" s="41">
        <f t="shared" ref="F249" si="13">D249*(($F$130)+1)+(IF(E249&lt;101,E249,IF(E249&lt;201,E249/2,IF(E249&lt;=301,E249/3,E249/4))))</f>
        <v>698.38177500000006</v>
      </c>
      <c r="G249" s="61"/>
      <c r="H249" s="62"/>
      <c r="I249" s="26"/>
    </row>
    <row r="250" spans="1:14" s="2" customFormat="1" x14ac:dyDescent="0.3">
      <c r="A250" s="64" t="s">
        <v>178</v>
      </c>
      <c r="B250" s="64"/>
      <c r="C250" s="64"/>
      <c r="D250" s="64"/>
      <c r="E250" s="64"/>
      <c r="F250" s="64"/>
      <c r="G250" s="64"/>
      <c r="H250" s="64"/>
      <c r="I250" s="26"/>
      <c r="L250" s="77"/>
      <c r="M250" s="77"/>
    </row>
    <row r="251" spans="1:14" s="2" customFormat="1" ht="15.75" customHeight="1" x14ac:dyDescent="0.3">
      <c r="A251" s="63">
        <v>1</v>
      </c>
      <c r="B251" s="63"/>
      <c r="C251" s="41" t="s">
        <v>173</v>
      </c>
      <c r="D251" s="41">
        <f>(2.75*5+2.85*2.25+2.75*3.3+1.5*0.9+1.5*1.2+1.7*1+1.2*2.5+0.75*2.5)*10.764</f>
        <v>419.39235000000002</v>
      </c>
      <c r="E251" s="41">
        <f>2.5*2*10.764</f>
        <v>53.819999999999993</v>
      </c>
      <c r="F251" s="41">
        <f>D251*(($F$130)+1)+(IF(E251&lt;101,E251,IF(E251&lt;201,E251/2,IF(E251&lt;=301,E251/3,E251/4))))</f>
        <v>682.90852500000005</v>
      </c>
      <c r="G251" s="57" t="str">
        <f>A250</f>
        <v>8th Floor (Part Refuge Area)</v>
      </c>
      <c r="H251" s="58"/>
      <c r="I251" s="26"/>
      <c r="N251" s="26"/>
    </row>
    <row r="252" spans="1:14" s="2" customFormat="1" ht="15.75" customHeight="1" x14ac:dyDescent="0.3">
      <c r="A252" s="63">
        <f>A251+1</f>
        <v>2</v>
      </c>
      <c r="B252" s="63"/>
      <c r="C252" s="41" t="s">
        <v>173</v>
      </c>
      <c r="D252" s="41">
        <f>(2.75*5+2.35*5+2.8*3+1.5*1.2+1.2*1.2+0.9*2.8+1.5*1.2+0.75*2.75)*10.764</f>
        <v>468.47618999999992</v>
      </c>
      <c r="E252" s="41">
        <f>(2*2.75)*10.764</f>
        <v>59.201999999999998</v>
      </c>
      <c r="F252" s="41">
        <f>D252*(($F$130)+1)+(IF(E252&lt;101,E252,IF(E252&lt;201,E252/2,IF(E252&lt;=301,E252/3,E252/4))))</f>
        <v>761.9162849999999</v>
      </c>
      <c r="G252" s="59"/>
      <c r="H252" s="60"/>
      <c r="I252" s="26"/>
      <c r="N252" s="26"/>
    </row>
    <row r="253" spans="1:14" s="2" customFormat="1" ht="15.75" customHeight="1" x14ac:dyDescent="0.3">
      <c r="A253" s="63">
        <f>A252+1</f>
        <v>3</v>
      </c>
      <c r="B253" s="63"/>
      <c r="C253" s="41" t="s">
        <v>171</v>
      </c>
      <c r="D253" s="41">
        <f>(5.65*2.75+2.75*4+2.75*3.3+1.8*1.1+2.8*3+1.5*1.2+1.2*1.2+0.9*2.8+1.1*0.9+0.75*2.75)*10.764</f>
        <v>589.92101999999988</v>
      </c>
      <c r="E253" s="41">
        <f>(2*2.75)*10.764</f>
        <v>59.201999999999998</v>
      </c>
      <c r="F253" s="41">
        <f>D253*(($F$130)+1)+(IF(E253&lt;101,E253,IF(E253&lt;201,E253/2,IF(E253&lt;=301,E253/3,E253/4))))</f>
        <v>944.08352999999988</v>
      </c>
      <c r="G253" s="59"/>
      <c r="H253" s="60"/>
      <c r="I253" s="26"/>
      <c r="N253" s="26"/>
    </row>
    <row r="254" spans="1:14" s="2" customFormat="1" ht="15.75" customHeight="1" x14ac:dyDescent="0.3">
      <c r="A254" s="63">
        <f>A253+1</f>
        <v>4</v>
      </c>
      <c r="B254" s="63"/>
      <c r="C254" s="68" t="s">
        <v>177</v>
      </c>
      <c r="D254" s="165"/>
      <c r="E254" s="165"/>
      <c r="F254" s="69"/>
      <c r="G254" s="59"/>
      <c r="H254" s="60"/>
      <c r="I254" s="26"/>
      <c r="N254" s="26"/>
    </row>
    <row r="255" spans="1:14" s="2" customFormat="1" ht="15.75" customHeight="1" x14ac:dyDescent="0.3">
      <c r="A255" s="63">
        <f>A254+1</f>
        <v>5</v>
      </c>
      <c r="B255" s="63"/>
      <c r="C255" s="41" t="s">
        <v>171</v>
      </c>
      <c r="D255" s="41">
        <f>(2.75*4.7+2.65*4.7+2.75*3+1.5*1.2+1.2*1.2+1.2*1.2+0.9*2.75+1.5*2.8+2.75*4)*10.764</f>
        <v>602.62253999999996</v>
      </c>
      <c r="E255" s="41">
        <v>0</v>
      </c>
      <c r="F255" s="41">
        <f>D255*(($F$130)+1)+(IF(E255&lt;101,E255,IF(E255&lt;201,E255/2,IF(E255&lt;=301,E255/3,E255/4))))</f>
        <v>903.93380999999999</v>
      </c>
      <c r="G255" s="59"/>
      <c r="H255" s="60"/>
      <c r="I255" s="26"/>
      <c r="N255" s="26"/>
    </row>
    <row r="256" spans="1:14" s="2" customFormat="1" ht="15.75" customHeight="1" x14ac:dyDescent="0.3">
      <c r="A256" s="63">
        <f>A255+1</f>
        <v>6</v>
      </c>
      <c r="B256" s="63"/>
      <c r="C256" s="41" t="s">
        <v>173</v>
      </c>
      <c r="D256" s="41">
        <f>(2.75*5.15+2.75*3.45+1.5*0.9+1.5*1.2+2.85*2.25+1.8*0.8+1.4*2.2+0.75*2.5)*10.764</f>
        <v>426.33512999999999</v>
      </c>
      <c r="E256" s="41">
        <f>2.5*2*10.764</f>
        <v>53.819999999999993</v>
      </c>
      <c r="F256" s="41">
        <f>D256*(($F$130)+1)+(IF(E256&lt;101,E256,IF(E256&lt;201,E256/2,IF(E256&lt;=301,E256/3,E256/4))))</f>
        <v>693.32269500000007</v>
      </c>
      <c r="G256" s="61"/>
      <c r="H256" s="62"/>
      <c r="I256" s="26"/>
      <c r="N256" s="26"/>
    </row>
    <row r="257" spans="1:14" s="2" customFormat="1" x14ac:dyDescent="0.3">
      <c r="A257" s="64" t="s">
        <v>210</v>
      </c>
      <c r="B257" s="64"/>
      <c r="C257" s="64"/>
      <c r="D257" s="64"/>
      <c r="E257" s="64"/>
      <c r="F257" s="64"/>
      <c r="G257" s="64"/>
      <c r="H257" s="64"/>
      <c r="I257" s="26"/>
      <c r="L257" s="77"/>
      <c r="M257" s="77"/>
    </row>
    <row r="258" spans="1:14" s="2" customFormat="1" x14ac:dyDescent="0.3">
      <c r="A258" s="63">
        <v>1</v>
      </c>
      <c r="B258" s="63"/>
      <c r="C258" s="41" t="s">
        <v>173</v>
      </c>
      <c r="D258" s="41">
        <f>(2.75*5+2.75*3.3+2.85*2.25+1.5*1.2+1.5*0.9+1.7*1.1+1.2*2.4+0.75*2.25+0.75*2.75)*10.764</f>
        <v>440.11304999999999</v>
      </c>
      <c r="E258" s="41">
        <v>0</v>
      </c>
      <c r="F258" s="41">
        <f t="shared" ref="F258:F263" si="14">D258*(($F$130)+1)+(IF(E258&lt;101,E258,IF(E258&lt;201,E258/2,IF(E258&lt;=301,E258/3,E258/4))))</f>
        <v>660.16957500000001</v>
      </c>
      <c r="G258" s="57" t="str">
        <f>A257</f>
        <v>9th &amp; 11th Floor</v>
      </c>
      <c r="H258" s="58"/>
      <c r="I258" s="26"/>
      <c r="N258" s="26"/>
    </row>
    <row r="259" spans="1:14" s="2" customFormat="1" ht="15.75" customHeight="1" x14ac:dyDescent="0.3">
      <c r="A259" s="63">
        <f>A258+1</f>
        <v>2</v>
      </c>
      <c r="B259" s="63"/>
      <c r="C259" s="41" t="s">
        <v>173</v>
      </c>
      <c r="D259" s="41">
        <f>(2.75*5+2.35*5+2.8*3+1.2*1.2+1.5*1.2+0.9*2.8+1.5*1.3+0.75*2.35)*10.764</f>
        <v>466.86158999999998</v>
      </c>
      <c r="E259" s="41">
        <f>(2*2.35)*10.764</f>
        <v>50.590800000000002</v>
      </c>
      <c r="F259" s="41">
        <f t="shared" si="14"/>
        <v>750.88318499999991</v>
      </c>
      <c r="G259" s="59"/>
      <c r="H259" s="60"/>
      <c r="I259" s="26"/>
      <c r="N259" s="26"/>
    </row>
    <row r="260" spans="1:14" s="2" customFormat="1" x14ac:dyDescent="0.3">
      <c r="A260" s="63">
        <f>A259+1</f>
        <v>3</v>
      </c>
      <c r="B260" s="63"/>
      <c r="C260" s="41" t="s">
        <v>171</v>
      </c>
      <c r="D260" s="41">
        <f>(5.65*2.75+2.75*4+2.75*3.3+1.8*1.1+2.8*3+1.5*1.2+1.2*1.2+0.9*2.8+1.1*0.9+0.75*2.7)*10.764</f>
        <v>589.51736999999991</v>
      </c>
      <c r="E260" s="41">
        <f>(2*2.75)*10.764</f>
        <v>59.201999999999998</v>
      </c>
      <c r="F260" s="41">
        <f t="shared" si="14"/>
        <v>943.47805499999981</v>
      </c>
      <c r="G260" s="59"/>
      <c r="H260" s="60"/>
      <c r="I260" s="26"/>
      <c r="N260" s="26"/>
    </row>
    <row r="261" spans="1:14" s="2" customFormat="1" x14ac:dyDescent="0.3">
      <c r="A261" s="63">
        <f>A260+1</f>
        <v>4</v>
      </c>
      <c r="B261" s="63"/>
      <c r="C261" s="41" t="s">
        <v>171</v>
      </c>
      <c r="D261" s="41">
        <f>(5.65*2.75+2.8*4.85+2.75*3.55+1.8*1.2+2.8*3+1.5*1.2+1.2*1.2+0.9*2.8+1.2*0.9+0.75*2.5)*10.764</f>
        <v>625.98041999999987</v>
      </c>
      <c r="E261" s="41">
        <f>(2*2.75)*10.764</f>
        <v>59.201999999999998</v>
      </c>
      <c r="F261" s="41">
        <f t="shared" si="14"/>
        <v>998.1726299999998</v>
      </c>
      <c r="G261" s="59"/>
      <c r="H261" s="60"/>
      <c r="I261" s="26"/>
      <c r="N261" s="26"/>
    </row>
    <row r="262" spans="1:14" s="2" customFormat="1" x14ac:dyDescent="0.3">
      <c r="A262" s="63">
        <f>A261+1</f>
        <v>5</v>
      </c>
      <c r="B262" s="63"/>
      <c r="C262" s="41" t="s">
        <v>173</v>
      </c>
      <c r="D262" s="41">
        <f>(2.75*4.7+2.65*4.7+2.75*3+1.5*1.2+1.2*1.2+0.9*2.75+1.2*1.2)*10.764</f>
        <v>439.00973999999991</v>
      </c>
      <c r="E262" s="41">
        <v>0</v>
      </c>
      <c r="F262" s="41">
        <f t="shared" si="14"/>
        <v>658.51460999999983</v>
      </c>
      <c r="G262" s="59"/>
      <c r="H262" s="60"/>
      <c r="I262" s="26"/>
      <c r="N262" s="26"/>
    </row>
    <row r="263" spans="1:14" s="2" customFormat="1" x14ac:dyDescent="0.3">
      <c r="A263" s="63">
        <f>A262+1</f>
        <v>6</v>
      </c>
      <c r="B263" s="63"/>
      <c r="C263" s="41" t="s">
        <v>173</v>
      </c>
      <c r="D263" s="41">
        <f>(2.75*5.15+2.85*2.25+1.5*1.2+1.5*1.2+2.75*3.45+1.7*0.8+1.2*2.5+0.75*2.25+0.75*2.75)*10.764</f>
        <v>449.63919000000004</v>
      </c>
      <c r="E263" s="41">
        <v>0</v>
      </c>
      <c r="F263" s="41">
        <f t="shared" si="14"/>
        <v>674.45878500000003</v>
      </c>
      <c r="G263" s="61"/>
      <c r="H263" s="62"/>
      <c r="I263" s="26"/>
      <c r="N263" s="26"/>
    </row>
    <row r="264" spans="1:14" s="2" customFormat="1" x14ac:dyDescent="0.3">
      <c r="A264" s="64" t="s">
        <v>219</v>
      </c>
      <c r="B264" s="64"/>
      <c r="C264" s="64"/>
      <c r="D264" s="64"/>
      <c r="E264" s="64"/>
      <c r="F264" s="64"/>
      <c r="G264" s="64"/>
      <c r="H264" s="64"/>
      <c r="I264" s="26"/>
      <c r="L264" s="77"/>
      <c r="M264" s="77"/>
    </row>
    <row r="265" spans="1:14" s="2" customFormat="1" x14ac:dyDescent="0.3">
      <c r="A265" s="63">
        <v>1</v>
      </c>
      <c r="B265" s="63"/>
      <c r="C265" s="41" t="s">
        <v>173</v>
      </c>
      <c r="D265" s="41">
        <f>(2.75*5+2.75*3.3+2.85*2.25+1.5*1.2+1.5*0.9+1.7*1.1+1.2*2.4+0.75*2.25+0.75*2.5)*10.764</f>
        <v>438.09480000000002</v>
      </c>
      <c r="E265" s="41">
        <f>2*2.75*10.764</f>
        <v>59.201999999999998</v>
      </c>
      <c r="F265" s="41">
        <f t="shared" ref="F265:F270" si="15">D265*(($F$130)+1)+(IF(E265&lt;101,E265,IF(E265&lt;201,E265/2,IF(E265&lt;=301,E265/3,E265/4))))</f>
        <v>716.3442</v>
      </c>
      <c r="G265" s="63" t="str">
        <f>A264</f>
        <v>10th, 12th &amp; 14th Floor</v>
      </c>
      <c r="H265" s="63"/>
      <c r="I265" s="26"/>
      <c r="N265" s="26"/>
    </row>
    <row r="266" spans="1:14" s="2" customFormat="1" ht="15.75" customHeight="1" x14ac:dyDescent="0.3">
      <c r="A266" s="63">
        <f>A265+1</f>
        <v>2</v>
      </c>
      <c r="B266" s="63"/>
      <c r="C266" s="41" t="s">
        <v>173</v>
      </c>
      <c r="D266" s="41">
        <f>(2.75*5+2.35*5+2.8*3+1.2*1.2+1.5*1.2+0.9*2.8+1.5*1.3+0.75*2.75)*10.764</f>
        <v>470.09078999999997</v>
      </c>
      <c r="E266" s="41">
        <f>(2*2.75)*10.764</f>
        <v>59.201999999999998</v>
      </c>
      <c r="F266" s="41">
        <f t="shared" si="15"/>
        <v>764.33818499999995</v>
      </c>
      <c r="G266" s="63"/>
      <c r="H266" s="63"/>
      <c r="I266" s="26"/>
      <c r="N266" s="26"/>
    </row>
    <row r="267" spans="1:14" s="2" customFormat="1" x14ac:dyDescent="0.3">
      <c r="A267" s="63">
        <f>A266+1</f>
        <v>3</v>
      </c>
      <c r="B267" s="63"/>
      <c r="C267" s="41" t="s">
        <v>171</v>
      </c>
      <c r="D267" s="41">
        <f>(5.65*2.75+2.75*4+2.75*3.3+1.8*1.1+2.8*3+1.5*1.2+1.2*1.2+0.9*2.8+1.1*0.9+0.75*2.75)*10.764</f>
        <v>589.92101999999988</v>
      </c>
      <c r="E267" s="41">
        <f>(2*2.75)*10.764</f>
        <v>59.201999999999998</v>
      </c>
      <c r="F267" s="41">
        <f t="shared" si="15"/>
        <v>944.08352999999988</v>
      </c>
      <c r="G267" s="63"/>
      <c r="H267" s="63"/>
      <c r="I267" s="26"/>
      <c r="N267" s="26"/>
    </row>
    <row r="268" spans="1:14" s="2" customFormat="1" x14ac:dyDescent="0.3">
      <c r="A268" s="63">
        <f>A267+1</f>
        <v>4</v>
      </c>
      <c r="B268" s="63"/>
      <c r="C268" s="41" t="s">
        <v>171</v>
      </c>
      <c r="D268" s="41">
        <f>(5.65*2.75+2.8*4.85+2.75*3.55+1.8*1.2+2.8*3+1.5*1.2+1.2*1.2+0.9*2.8+1.2*0.9+0.75*2.75)*10.764</f>
        <v>627.99866999999983</v>
      </c>
      <c r="E268" s="41">
        <f>(2*2.75)*10.764</f>
        <v>59.201999999999998</v>
      </c>
      <c r="F268" s="41">
        <f t="shared" si="15"/>
        <v>1001.2000049999997</v>
      </c>
      <c r="G268" s="63"/>
      <c r="H268" s="63"/>
      <c r="I268" s="26"/>
      <c r="N268" s="26"/>
    </row>
    <row r="269" spans="1:14" s="2" customFormat="1" x14ac:dyDescent="0.3">
      <c r="A269" s="63">
        <f>A268+1</f>
        <v>5</v>
      </c>
      <c r="B269" s="63"/>
      <c r="C269" s="41" t="s">
        <v>173</v>
      </c>
      <c r="D269" s="41">
        <f>(2.75*4.7+2.65*4.7+2.75*3+1.5*1.2+1.2*1.2+0.9*2.75+1.2*1.2)*10.764</f>
        <v>439.00973999999991</v>
      </c>
      <c r="E269" s="41">
        <v>0</v>
      </c>
      <c r="F269" s="41">
        <f t="shared" si="15"/>
        <v>658.51460999999983</v>
      </c>
      <c r="G269" s="63"/>
      <c r="H269" s="63"/>
      <c r="I269" s="26"/>
      <c r="N269" s="26"/>
    </row>
    <row r="270" spans="1:14" s="2" customFormat="1" x14ac:dyDescent="0.3">
      <c r="A270" s="63">
        <f>A269+1</f>
        <v>6</v>
      </c>
      <c r="B270" s="63"/>
      <c r="C270" s="41" t="s">
        <v>173</v>
      </c>
      <c r="D270" s="41">
        <f>(2.75*5.15+2.85*2.25+1.5*1.2+1.5*1.2+2.75*3.45+1.7*0.8+1.2*2.5+0.75*2.5)*10.764</f>
        <v>429.45669000000004</v>
      </c>
      <c r="E270" s="41">
        <f>(2*2.75)*10.764</f>
        <v>59.201999999999998</v>
      </c>
      <c r="F270" s="41">
        <f t="shared" si="15"/>
        <v>703.38703500000008</v>
      </c>
      <c r="G270" s="63"/>
      <c r="H270" s="63"/>
      <c r="I270" s="26"/>
      <c r="N270" s="26"/>
    </row>
    <row r="271" spans="1:14" s="2" customFormat="1" x14ac:dyDescent="0.3">
      <c r="A271" s="64" t="s">
        <v>216</v>
      </c>
      <c r="B271" s="64"/>
      <c r="C271" s="64"/>
      <c r="D271" s="64"/>
      <c r="E271" s="64"/>
      <c r="F271" s="64"/>
      <c r="G271" s="64"/>
      <c r="H271" s="64"/>
      <c r="I271" s="26"/>
      <c r="L271" s="77"/>
      <c r="M271" s="77"/>
    </row>
    <row r="272" spans="1:14" s="2" customFormat="1" ht="15.75" customHeight="1" x14ac:dyDescent="0.3">
      <c r="A272" s="63">
        <v>1</v>
      </c>
      <c r="B272" s="63"/>
      <c r="C272" s="41" t="s">
        <v>173</v>
      </c>
      <c r="D272" s="41">
        <f>(2.75*5+2.75*3.3+2.85*2.25+1.5*1.2+1.5*0.9+1.7*1.1+1.2*2.4+0.75*2.25+0.75*2.75)*10.764</f>
        <v>440.11304999999999</v>
      </c>
      <c r="E272" s="41">
        <v>0</v>
      </c>
      <c r="F272" s="41">
        <f>D272*(($F$130)+1)+(IF(E272&lt;101,E272,IF(E272&lt;201,E272/2,IF(E272&lt;=301,E272/3,E272/4))))</f>
        <v>660.16957500000001</v>
      </c>
      <c r="G272" s="63" t="str">
        <f>A271</f>
        <v>13th Floor (Part Refuge Area)</v>
      </c>
      <c r="H272" s="63"/>
      <c r="I272" s="26"/>
      <c r="N272" s="26"/>
    </row>
    <row r="273" spans="1:14" s="2" customFormat="1" ht="15.75" customHeight="1" x14ac:dyDescent="0.3">
      <c r="A273" s="63">
        <f>A272+1</f>
        <v>2</v>
      </c>
      <c r="B273" s="63"/>
      <c r="C273" s="41" t="s">
        <v>173</v>
      </c>
      <c r="D273" s="41">
        <f>(2.75*5+2.35*5+2.8*3+1.2*1.2+1.5*1.2+0.9*2.8+1.5*1.3+0.75*2.35)*10.764</f>
        <v>466.86158999999998</v>
      </c>
      <c r="E273" s="41">
        <f>(2*2.75)*10.764</f>
        <v>59.201999999999998</v>
      </c>
      <c r="F273" s="41">
        <f>D273*(($F$130)+1)+(IF(E273&lt;101,E273,IF(E273&lt;201,E273/2,IF(E273&lt;=301,E273/3,E273/4))))</f>
        <v>759.49438499999997</v>
      </c>
      <c r="G273" s="63"/>
      <c r="H273" s="63"/>
      <c r="I273" s="26"/>
      <c r="N273" s="26"/>
    </row>
    <row r="274" spans="1:14" s="2" customFormat="1" ht="15.75" customHeight="1" x14ac:dyDescent="0.3">
      <c r="A274" s="63">
        <f>A273+1</f>
        <v>3</v>
      </c>
      <c r="B274" s="63"/>
      <c r="C274" s="41" t="s">
        <v>171</v>
      </c>
      <c r="D274" s="41">
        <f>(5.65*2.75+2.75*4+2.75*3.3+1.8*1.1+2.8*3+1.5*1.2+1.2*1.2+0.9*2.8+1.1*0.9+0.75*2.7)*10.764</f>
        <v>589.51736999999991</v>
      </c>
      <c r="E274" s="41">
        <f>(2*2.75)*10.764</f>
        <v>59.201999999999998</v>
      </c>
      <c r="F274" s="41">
        <f>D274*(($F$130)+1)+(IF(E274&lt;101,E274,IF(E274&lt;201,E274/2,IF(E274&lt;=301,E274/3,E274/4))))</f>
        <v>943.47805499999981</v>
      </c>
      <c r="G274" s="63"/>
      <c r="H274" s="63"/>
      <c r="I274" s="26"/>
      <c r="N274" s="26"/>
    </row>
    <row r="275" spans="1:14" s="2" customFormat="1" ht="15.75" customHeight="1" x14ac:dyDescent="0.3">
      <c r="A275" s="63">
        <f>A274+1</f>
        <v>4</v>
      </c>
      <c r="B275" s="63"/>
      <c r="C275" s="63" t="s">
        <v>177</v>
      </c>
      <c r="D275" s="63"/>
      <c r="E275" s="63"/>
      <c r="F275" s="63"/>
      <c r="G275" s="63"/>
      <c r="H275" s="63"/>
      <c r="I275" s="26"/>
      <c r="N275" s="26"/>
    </row>
    <row r="276" spans="1:14" s="2" customFormat="1" ht="15.75" customHeight="1" x14ac:dyDescent="0.3">
      <c r="A276" s="63">
        <f>A275+1</f>
        <v>5</v>
      </c>
      <c r="B276" s="63"/>
      <c r="C276" s="41" t="s">
        <v>171</v>
      </c>
      <c r="D276" s="41">
        <f>(2.75*4.7+2.65*4.7+2.75*3+2.8*3+1.5*1.2+1.2*1.2+1.5*1.2+1.2*1.2+1.2*1.2+0.9*2.75)*10.764</f>
        <v>564.30269999999985</v>
      </c>
      <c r="E276" s="41">
        <v>0</v>
      </c>
      <c r="F276" s="41">
        <f>D276*(($F$130)+1)+(IF(E276&lt;101,E276,IF(E276&lt;201,E276/2,IF(E276&lt;=301,E276/3,E276/4))))</f>
        <v>846.45404999999982</v>
      </c>
      <c r="G276" s="63"/>
      <c r="H276" s="63"/>
      <c r="I276" s="26"/>
      <c r="N276" s="26"/>
    </row>
    <row r="277" spans="1:14" s="2" customFormat="1" ht="15.75" customHeight="1" x14ac:dyDescent="0.3">
      <c r="A277" s="63">
        <f>A276+1</f>
        <v>6</v>
      </c>
      <c r="B277" s="63"/>
      <c r="C277" s="41" t="s">
        <v>173</v>
      </c>
      <c r="D277" s="41">
        <f>(2.75*5.15+2.75*3.45+1.5*0.9+1.5*1.2+2.85*2.25+1.8*0.8+1.4*2.2+0.75*2.5)*10.764</f>
        <v>426.33512999999999</v>
      </c>
      <c r="E277" s="41">
        <v>0</v>
      </c>
      <c r="F277" s="41">
        <f>D277*(($F$130)+1)+(IF(E277&lt;101,E277,IF(E277&lt;201,E277/2,IF(E277&lt;=301,E277/3,E277/4))))</f>
        <v>639.50269500000002</v>
      </c>
      <c r="G277" s="63"/>
      <c r="H277" s="63"/>
      <c r="I277" s="26"/>
      <c r="N277" s="26"/>
    </row>
    <row r="278" spans="1:14" s="1" customFormat="1" x14ac:dyDescent="0.3">
      <c r="A278" s="137" t="s">
        <v>72</v>
      </c>
      <c r="B278" s="137"/>
      <c r="C278" s="137"/>
      <c r="D278" s="137"/>
      <c r="E278" s="137"/>
      <c r="F278" s="137"/>
      <c r="G278" s="137"/>
      <c r="H278" s="137"/>
    </row>
    <row r="279" spans="1:14" s="1" customFormat="1" ht="17.25" customHeight="1" x14ac:dyDescent="0.3">
      <c r="A279" s="39" t="s">
        <v>161</v>
      </c>
      <c r="B279" s="148" t="s">
        <v>233</v>
      </c>
      <c r="C279" s="149"/>
      <c r="D279" s="149"/>
      <c r="E279" s="149"/>
      <c r="F279" s="149"/>
      <c r="G279" s="149"/>
      <c r="H279" s="150"/>
    </row>
    <row r="280" spans="1:14" s="1" customFormat="1" x14ac:dyDescent="0.3">
      <c r="A280" s="39" t="s">
        <v>161</v>
      </c>
      <c r="B280" s="148" t="str">
        <f>(IF(F129="Saleable area Loading :","We have considered Saleable area of Flats as per our Calculation.","We considered Saleable area of Flat as per Builder area Sheet."))</f>
        <v>We have considered Saleable area of Flats as per our Calculation.</v>
      </c>
      <c r="C280" s="149"/>
      <c r="D280" s="149"/>
      <c r="E280" s="149"/>
      <c r="F280" s="149"/>
      <c r="G280" s="149"/>
      <c r="H280" s="150"/>
    </row>
    <row r="281" spans="1:14" s="1" customFormat="1" x14ac:dyDescent="0.3">
      <c r="A281" s="45" t="s">
        <v>161</v>
      </c>
      <c r="B281" s="83" t="s">
        <v>131</v>
      </c>
      <c r="C281" s="84"/>
      <c r="D281" s="84"/>
      <c r="E281" s="84"/>
      <c r="F281" s="84"/>
      <c r="G281" s="84"/>
      <c r="H281" s="85"/>
    </row>
    <row r="282" spans="1:14" s="1" customFormat="1" x14ac:dyDescent="0.3">
      <c r="A282" s="45" t="s">
        <v>161</v>
      </c>
      <c r="B282" s="83" t="s">
        <v>192</v>
      </c>
      <c r="C282" s="84"/>
      <c r="D282" s="84"/>
      <c r="E282" s="84"/>
      <c r="F282" s="84"/>
      <c r="G282" s="84"/>
      <c r="H282" s="85"/>
    </row>
    <row r="283" spans="1:14" s="1" customFormat="1" x14ac:dyDescent="0.3">
      <c r="A283" s="45" t="s">
        <v>161</v>
      </c>
      <c r="B283" s="83" t="s">
        <v>160</v>
      </c>
      <c r="C283" s="84"/>
      <c r="D283" s="84"/>
      <c r="E283" s="84"/>
      <c r="F283" s="84"/>
      <c r="G283" s="84"/>
      <c r="H283" s="85"/>
    </row>
    <row r="284" spans="1:14" s="1" customFormat="1" x14ac:dyDescent="0.3">
      <c r="A284" s="45" t="s">
        <v>161</v>
      </c>
      <c r="B284" s="83" t="s">
        <v>132</v>
      </c>
      <c r="C284" s="84"/>
      <c r="D284" s="84"/>
      <c r="E284" s="84"/>
      <c r="F284" s="84"/>
      <c r="G284" s="84"/>
      <c r="H284" s="85"/>
    </row>
    <row r="285" spans="1:14" s="1" customFormat="1" ht="34.5" customHeight="1" x14ac:dyDescent="0.3">
      <c r="A285" s="45" t="s">
        <v>161</v>
      </c>
      <c r="B285" s="83" t="s">
        <v>165</v>
      </c>
      <c r="C285" s="84"/>
      <c r="D285" s="84"/>
      <c r="E285" s="84"/>
      <c r="F285" s="84"/>
      <c r="G285" s="84"/>
      <c r="H285" s="85"/>
    </row>
    <row r="286" spans="1:14" s="1" customFormat="1" x14ac:dyDescent="0.3">
      <c r="A286" s="45" t="s">
        <v>161</v>
      </c>
      <c r="B286" s="148" t="s">
        <v>133</v>
      </c>
      <c r="C286" s="149"/>
      <c r="D286" s="149"/>
      <c r="E286" s="149"/>
      <c r="F286" s="149"/>
      <c r="G286" s="149"/>
      <c r="H286" s="150"/>
    </row>
    <row r="287" spans="1:14" s="1" customFormat="1" hidden="1" x14ac:dyDescent="0.3">
      <c r="A287" s="45" t="s">
        <v>161</v>
      </c>
      <c r="B287" s="148" t="s">
        <v>193</v>
      </c>
      <c r="C287" s="149"/>
      <c r="D287" s="149"/>
      <c r="E287" s="149"/>
      <c r="F287" s="149"/>
      <c r="G287" s="149"/>
      <c r="H287" s="150"/>
    </row>
    <row r="288" spans="1:14" s="1" customFormat="1" ht="30.75" customHeight="1" x14ac:dyDescent="0.3">
      <c r="A288" s="45" t="s">
        <v>161</v>
      </c>
      <c r="B288" s="148" t="s">
        <v>213</v>
      </c>
      <c r="C288" s="149"/>
      <c r="D288" s="149"/>
      <c r="E288" s="149"/>
      <c r="F288" s="149"/>
      <c r="G288" s="149"/>
      <c r="H288" s="150"/>
    </row>
    <row r="289" spans="1:8" s="1" customFormat="1" x14ac:dyDescent="0.3">
      <c r="A289" s="45" t="s">
        <v>161</v>
      </c>
      <c r="B289" s="148" t="s">
        <v>214</v>
      </c>
      <c r="C289" s="149"/>
      <c r="D289" s="149"/>
      <c r="E289" s="149"/>
      <c r="F289" s="149"/>
      <c r="G289" s="149"/>
      <c r="H289" s="150"/>
    </row>
    <row r="290" spans="1:8" s="1" customFormat="1" x14ac:dyDescent="0.3">
      <c r="A290" s="45" t="s">
        <v>161</v>
      </c>
      <c r="B290" s="148" t="s">
        <v>228</v>
      </c>
      <c r="C290" s="149"/>
      <c r="D290" s="149"/>
      <c r="E290" s="149"/>
      <c r="F290" s="149"/>
      <c r="G290" s="149"/>
      <c r="H290" s="150"/>
    </row>
    <row r="291" spans="1:8" x14ac:dyDescent="0.3">
      <c r="A291" s="138" t="s">
        <v>65</v>
      </c>
      <c r="B291" s="138"/>
      <c r="C291" s="138"/>
      <c r="D291" s="138"/>
      <c r="E291" s="138"/>
      <c r="F291" s="138"/>
      <c r="G291" s="138"/>
      <c r="H291" s="138"/>
    </row>
    <row r="292" spans="1:8" x14ac:dyDescent="0.3">
      <c r="A292" s="88" t="s">
        <v>66</v>
      </c>
      <c r="B292" s="88"/>
      <c r="C292" s="88"/>
      <c r="D292" s="88"/>
      <c r="E292" s="88"/>
      <c r="F292" s="88"/>
      <c r="G292" s="88"/>
      <c r="H292" s="88"/>
    </row>
    <row r="293" spans="1:8" ht="15.75" customHeight="1" x14ac:dyDescent="0.3">
      <c r="A293" s="141" t="s">
        <v>67</v>
      </c>
      <c r="B293" s="141"/>
      <c r="C293" s="141"/>
      <c r="D293" s="141"/>
      <c r="E293" s="141"/>
      <c r="F293" s="141"/>
      <c r="G293" s="141"/>
      <c r="H293" s="141"/>
    </row>
    <row r="294" spans="1:8" x14ac:dyDescent="0.3">
      <c r="A294" s="88" t="s">
        <v>68</v>
      </c>
      <c r="B294" s="88"/>
      <c r="C294" s="88"/>
      <c r="D294" s="88"/>
      <c r="E294" s="88"/>
      <c r="F294" s="88"/>
      <c r="G294" s="88"/>
      <c r="H294" s="88"/>
    </row>
    <row r="295" spans="1:8" x14ac:dyDescent="0.3">
      <c r="A295" s="88" t="s">
        <v>69</v>
      </c>
      <c r="B295" s="88"/>
      <c r="C295" s="88"/>
      <c r="D295" s="88"/>
      <c r="E295" s="88"/>
      <c r="F295" s="88"/>
      <c r="G295" s="88"/>
      <c r="H295" s="88"/>
    </row>
    <row r="296" spans="1:8" x14ac:dyDescent="0.3">
      <c r="A296" s="88" t="s">
        <v>134</v>
      </c>
      <c r="B296" s="88"/>
      <c r="C296" s="88"/>
      <c r="D296" s="88"/>
      <c r="E296" s="88"/>
      <c r="F296" s="88"/>
      <c r="G296" s="88"/>
      <c r="H296" s="88"/>
    </row>
    <row r="297" spans="1:8" ht="35.25" customHeight="1" x14ac:dyDescent="0.3">
      <c r="A297" s="112" t="s">
        <v>135</v>
      </c>
      <c r="B297" s="112"/>
      <c r="C297" s="112"/>
      <c r="D297" s="112"/>
      <c r="E297" s="112"/>
      <c r="F297" s="112"/>
      <c r="G297" s="112"/>
      <c r="H297" s="112"/>
    </row>
    <row r="298" spans="1:8" x14ac:dyDescent="0.3">
      <c r="A298" s="135" t="s">
        <v>81</v>
      </c>
      <c r="B298" s="135"/>
      <c r="C298" s="135" t="s">
        <v>229</v>
      </c>
      <c r="D298" s="135"/>
      <c r="E298" s="135" t="s">
        <v>114</v>
      </c>
      <c r="F298" s="135"/>
      <c r="G298" s="135" t="s">
        <v>234</v>
      </c>
      <c r="H298" s="135"/>
    </row>
    <row r="299" spans="1:8" x14ac:dyDescent="0.3">
      <c r="A299" s="134" t="s">
        <v>83</v>
      </c>
      <c r="B299" s="134"/>
      <c r="C299" s="134"/>
      <c r="D299" s="134"/>
      <c r="E299" s="134"/>
      <c r="F299" s="134"/>
      <c r="G299" s="134"/>
      <c r="H299" s="134"/>
    </row>
    <row r="300" spans="1:8" x14ac:dyDescent="0.3">
      <c r="A300" s="134"/>
      <c r="B300" s="134"/>
      <c r="C300" s="134"/>
      <c r="D300" s="134"/>
      <c r="E300" s="134"/>
      <c r="F300" s="134"/>
      <c r="G300" s="134"/>
      <c r="H300" s="134"/>
    </row>
    <row r="301" spans="1:8" x14ac:dyDescent="0.3">
      <c r="A301" s="134"/>
      <c r="B301" s="134"/>
      <c r="C301" s="134"/>
      <c r="D301" s="134"/>
      <c r="E301" s="134"/>
      <c r="F301" s="134"/>
      <c r="G301" s="134"/>
      <c r="H301" s="134"/>
    </row>
    <row r="302" spans="1:8" x14ac:dyDescent="0.3">
      <c r="A302" s="134"/>
      <c r="B302" s="134"/>
      <c r="C302" s="134"/>
      <c r="D302" s="134"/>
      <c r="E302" s="134"/>
      <c r="F302" s="134"/>
      <c r="G302" s="134"/>
      <c r="H302" s="134"/>
    </row>
    <row r="303" spans="1:8" x14ac:dyDescent="0.3">
      <c r="A303" s="53" t="s">
        <v>70</v>
      </c>
      <c r="B303" s="54"/>
      <c r="C303" s="54"/>
      <c r="D303" s="53" t="str">
        <f>E8</f>
        <v>Panvelkar Empire</v>
      </c>
      <c r="F303" s="54"/>
      <c r="G303" s="54"/>
      <c r="H303" s="54"/>
    </row>
    <row r="304" spans="1:8" x14ac:dyDescent="0.3">
      <c r="A304" s="54"/>
      <c r="B304" s="54"/>
      <c r="C304" s="54"/>
      <c r="D304" s="54"/>
      <c r="E304" s="54"/>
      <c r="F304" s="54"/>
      <c r="G304" s="54"/>
      <c r="H304" s="54"/>
    </row>
    <row r="305" spans="1:8" x14ac:dyDescent="0.3">
      <c r="A305" s="54"/>
      <c r="B305" s="54"/>
      <c r="C305" s="54"/>
      <c r="D305" s="54"/>
      <c r="E305" s="54"/>
      <c r="F305" s="54"/>
      <c r="G305" s="54"/>
      <c r="H305" s="54"/>
    </row>
    <row r="306" spans="1:8" ht="15" customHeight="1" x14ac:dyDescent="0.3"/>
    <row r="346" spans="1:1" x14ac:dyDescent="0.3">
      <c r="A346" s="55" t="s">
        <v>71</v>
      </c>
    </row>
  </sheetData>
  <mergeCells count="465">
    <mergeCell ref="B290:H290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133:H133"/>
    <mergeCell ref="C135:F135"/>
    <mergeCell ref="A136:B136"/>
    <mergeCell ref="A137:B137"/>
    <mergeCell ref="A138:B138"/>
    <mergeCell ref="B289:H289"/>
    <mergeCell ref="G152:H156"/>
    <mergeCell ref="G158:H162"/>
    <mergeCell ref="G164:H168"/>
    <mergeCell ref="G170:H174"/>
    <mergeCell ref="G176:H180"/>
    <mergeCell ref="L271:M271"/>
    <mergeCell ref="A272:B272"/>
    <mergeCell ref="A273:B273"/>
    <mergeCell ref="A274:B274"/>
    <mergeCell ref="A275:B275"/>
    <mergeCell ref="A276:B276"/>
    <mergeCell ref="A277:B277"/>
    <mergeCell ref="A139:H139"/>
    <mergeCell ref="A140:B140"/>
    <mergeCell ref="G140:H144"/>
    <mergeCell ref="A141:B141"/>
    <mergeCell ref="A142:B142"/>
    <mergeCell ref="A143:B143"/>
    <mergeCell ref="A144:B144"/>
    <mergeCell ref="A181:H181"/>
    <mergeCell ref="L181:M181"/>
    <mergeCell ref="A182:B182"/>
    <mergeCell ref="A183:B183"/>
    <mergeCell ref="A203:B203"/>
    <mergeCell ref="A204:B204"/>
    <mergeCell ref="A205:B205"/>
    <mergeCell ref="A226:H226"/>
    <mergeCell ref="A186:H186"/>
    <mergeCell ref="G146:H150"/>
    <mergeCell ref="A164:B164"/>
    <mergeCell ref="A165:B165"/>
    <mergeCell ref="A166:B166"/>
    <mergeCell ref="A167:B167"/>
    <mergeCell ref="A215:B215"/>
    <mergeCell ref="A257:H257"/>
    <mergeCell ref="A270:B270"/>
    <mergeCell ref="A249:B249"/>
    <mergeCell ref="B286:H286"/>
    <mergeCell ref="A222:B222"/>
    <mergeCell ref="G222:H225"/>
    <mergeCell ref="A223:B223"/>
    <mergeCell ref="A224:B224"/>
    <mergeCell ref="C224:F224"/>
    <mergeCell ref="A225:B225"/>
    <mergeCell ref="G182:H183"/>
    <mergeCell ref="A196:H196"/>
    <mergeCell ref="A197:B197"/>
    <mergeCell ref="G197:H200"/>
    <mergeCell ref="A198:B198"/>
    <mergeCell ref="A199:B199"/>
    <mergeCell ref="A200:B200"/>
    <mergeCell ref="A219:B219"/>
    <mergeCell ref="A221:H221"/>
    <mergeCell ref="B287:H287"/>
    <mergeCell ref="B279:H279"/>
    <mergeCell ref="B280:H280"/>
    <mergeCell ref="B281:H281"/>
    <mergeCell ref="B282:H282"/>
    <mergeCell ref="B285:H285"/>
    <mergeCell ref="A231:B231"/>
    <mergeCell ref="G272:H277"/>
    <mergeCell ref="C275:F275"/>
    <mergeCell ref="A236:H236"/>
    <mergeCell ref="A237:B237"/>
    <mergeCell ref="G237:H242"/>
    <mergeCell ref="A238:B238"/>
    <mergeCell ref="L264:M264"/>
    <mergeCell ref="A265:B265"/>
    <mergeCell ref="A177:B177"/>
    <mergeCell ref="A178:B178"/>
    <mergeCell ref="A179:B179"/>
    <mergeCell ref="A180:B180"/>
    <mergeCell ref="A216:H216"/>
    <mergeCell ref="A260:B260"/>
    <mergeCell ref="A261:B261"/>
    <mergeCell ref="A262:B262"/>
    <mergeCell ref="A263:B263"/>
    <mergeCell ref="A232:B232"/>
    <mergeCell ref="A233:B233"/>
    <mergeCell ref="A245:B245"/>
    <mergeCell ref="A246:B246"/>
    <mergeCell ref="A264:H264"/>
    <mergeCell ref="A256:B256"/>
    <mergeCell ref="C254:F254"/>
    <mergeCell ref="A251:B251"/>
    <mergeCell ref="A252:B252"/>
    <mergeCell ref="A253:B253"/>
    <mergeCell ref="A234:B234"/>
    <mergeCell ref="A243:H243"/>
    <mergeCell ref="A244:B244"/>
    <mergeCell ref="L257:M257"/>
    <mergeCell ref="A258:B258"/>
    <mergeCell ref="A259:B259"/>
    <mergeCell ref="L216:M216"/>
    <mergeCell ref="A217:B217"/>
    <mergeCell ref="A218:B218"/>
    <mergeCell ref="A220:B220"/>
    <mergeCell ref="A254:B254"/>
    <mergeCell ref="A255:B255"/>
    <mergeCell ref="L228:M228"/>
    <mergeCell ref="L221:M221"/>
    <mergeCell ref="A239:B239"/>
    <mergeCell ref="A240:B240"/>
    <mergeCell ref="A241:B241"/>
    <mergeCell ref="A242:B242"/>
    <mergeCell ref="L175:M175"/>
    <mergeCell ref="A176:B176"/>
    <mergeCell ref="G244:H249"/>
    <mergeCell ref="G251:H256"/>
    <mergeCell ref="A202:B202"/>
    <mergeCell ref="L211:M211"/>
    <mergeCell ref="A212:B212"/>
    <mergeCell ref="A213:B213"/>
    <mergeCell ref="A250:H250"/>
    <mergeCell ref="L250:M250"/>
    <mergeCell ref="L206:M206"/>
    <mergeCell ref="A207:B207"/>
    <mergeCell ref="A208:B208"/>
    <mergeCell ref="A209:B209"/>
    <mergeCell ref="A210:B210"/>
    <mergeCell ref="C209:F209"/>
    <mergeCell ref="A247:B247"/>
    <mergeCell ref="A248:B248"/>
    <mergeCell ref="A235:B235"/>
    <mergeCell ref="A229:H229"/>
    <mergeCell ref="A230:B230"/>
    <mergeCell ref="A206:H206"/>
    <mergeCell ref="A214:B214"/>
    <mergeCell ref="A227:H227"/>
    <mergeCell ref="D57:H57"/>
    <mergeCell ref="E39:H39"/>
    <mergeCell ref="A39:D39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D56:H56"/>
    <mergeCell ref="A103:B103"/>
    <mergeCell ref="A74:B74"/>
    <mergeCell ref="F108:H108"/>
    <mergeCell ref="A107:H107"/>
    <mergeCell ref="G123:H123"/>
    <mergeCell ref="A106:B106"/>
    <mergeCell ref="E126:F126"/>
    <mergeCell ref="G126:H126"/>
    <mergeCell ref="G124:H124"/>
    <mergeCell ref="A125:B125"/>
    <mergeCell ref="C125:D125"/>
    <mergeCell ref="E125:F125"/>
    <mergeCell ref="G125:H125"/>
    <mergeCell ref="A124:B124"/>
    <mergeCell ref="F116:H116"/>
    <mergeCell ref="A117:E117"/>
    <mergeCell ref="C122:D122"/>
    <mergeCell ref="A88:B88"/>
    <mergeCell ref="A89:B89"/>
    <mergeCell ref="A90:B90"/>
    <mergeCell ref="A91:B91"/>
    <mergeCell ref="A92:B92"/>
    <mergeCell ref="A79:B79"/>
    <mergeCell ref="C79:H79"/>
    <mergeCell ref="A296:H296"/>
    <mergeCell ref="A293:H293"/>
    <mergeCell ref="A122:B122"/>
    <mergeCell ref="D129:D130"/>
    <mergeCell ref="E129:E130"/>
    <mergeCell ref="G129:H130"/>
    <mergeCell ref="A147:B147"/>
    <mergeCell ref="A128:H128"/>
    <mergeCell ref="A151:H151"/>
    <mergeCell ref="A153:B153"/>
    <mergeCell ref="A154:B154"/>
    <mergeCell ref="A155:B155"/>
    <mergeCell ref="A156:B156"/>
    <mergeCell ref="A162:B162"/>
    <mergeCell ref="G134:H138"/>
    <mergeCell ref="C129:C130"/>
    <mergeCell ref="A163:H163"/>
    <mergeCell ref="A173:B173"/>
    <mergeCell ref="B288:H288"/>
    <mergeCell ref="A271:H271"/>
    <mergeCell ref="A266:B266"/>
    <mergeCell ref="A267:B267"/>
    <mergeCell ref="A268:B268"/>
    <mergeCell ref="A269:B269"/>
    <mergeCell ref="A299:H302"/>
    <mergeCell ref="A298:B298"/>
    <mergeCell ref="E298:F298"/>
    <mergeCell ref="C298:D298"/>
    <mergeCell ref="G298:H298"/>
    <mergeCell ref="A119:E119"/>
    <mergeCell ref="F119:H119"/>
    <mergeCell ref="A120:E120"/>
    <mergeCell ref="F120:H120"/>
    <mergeCell ref="A228:H228"/>
    <mergeCell ref="A123:B123"/>
    <mergeCell ref="A148:B148"/>
    <mergeCell ref="A294:H294"/>
    <mergeCell ref="A121:H121"/>
    <mergeCell ref="A297:H297"/>
    <mergeCell ref="A295:H295"/>
    <mergeCell ref="A278:H278"/>
    <mergeCell ref="B129:B130"/>
    <mergeCell ref="A145:H145"/>
    <mergeCell ref="B284:H284"/>
    <mergeCell ref="A291:H291"/>
    <mergeCell ref="A292:H292"/>
    <mergeCell ref="E122:F122"/>
    <mergeCell ref="G122:H122"/>
    <mergeCell ref="D63:H63"/>
    <mergeCell ref="A69:B69"/>
    <mergeCell ref="G68:H68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59:C59"/>
    <mergeCell ref="D58:H58"/>
    <mergeCell ref="E69:F78"/>
    <mergeCell ref="G69:H78"/>
    <mergeCell ref="A77:B77"/>
    <mergeCell ref="A78:B78"/>
    <mergeCell ref="D59:H59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5:B75"/>
    <mergeCell ref="A68:B68"/>
    <mergeCell ref="A71:B71"/>
    <mergeCell ref="A63:C6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58:C58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46:B46"/>
    <mergeCell ref="C46:E46"/>
    <mergeCell ref="G46:H46"/>
    <mergeCell ref="G48:H48"/>
    <mergeCell ref="D52:H52"/>
    <mergeCell ref="C48:E48"/>
    <mergeCell ref="A55:C57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A36:B36"/>
    <mergeCell ref="C36:H36"/>
    <mergeCell ref="C35:H35"/>
    <mergeCell ref="A76:B76"/>
    <mergeCell ref="C123:D123"/>
    <mergeCell ref="E123:F123"/>
    <mergeCell ref="F114:H114"/>
    <mergeCell ref="A108:E108"/>
    <mergeCell ref="A93:B93"/>
    <mergeCell ref="C93:H93"/>
    <mergeCell ref="A95:B95"/>
    <mergeCell ref="C95:H95"/>
    <mergeCell ref="A96:B96"/>
    <mergeCell ref="E96:F96"/>
    <mergeCell ref="G96:H96"/>
    <mergeCell ref="A97:B97"/>
    <mergeCell ref="E97:F106"/>
    <mergeCell ref="A113:E113"/>
    <mergeCell ref="F113:H113"/>
    <mergeCell ref="A114:E114"/>
    <mergeCell ref="A116:E116"/>
    <mergeCell ref="F110:H110"/>
    <mergeCell ref="F117:H117"/>
    <mergeCell ref="A118:E118"/>
    <mergeCell ref="F112:H112"/>
    <mergeCell ref="F115:H115"/>
    <mergeCell ref="F118:H118"/>
    <mergeCell ref="L133:M133"/>
    <mergeCell ref="L186:M186"/>
    <mergeCell ref="L157:M157"/>
    <mergeCell ref="A195:B195"/>
    <mergeCell ref="A185:H185"/>
    <mergeCell ref="A187:B187"/>
    <mergeCell ref="A189:B189"/>
    <mergeCell ref="A190:B190"/>
    <mergeCell ref="A152:B152"/>
    <mergeCell ref="A193:B193"/>
    <mergeCell ref="A184:H184"/>
    <mergeCell ref="A174:B174"/>
    <mergeCell ref="A175:H175"/>
    <mergeCell ref="A170:B170"/>
    <mergeCell ref="A171:B171"/>
    <mergeCell ref="A172:B172"/>
    <mergeCell ref="A157:H157"/>
    <mergeCell ref="A158:B158"/>
    <mergeCell ref="A159:B159"/>
    <mergeCell ref="A160:B160"/>
    <mergeCell ref="A161:B161"/>
    <mergeCell ref="A168:B168"/>
    <mergeCell ref="A169:H169"/>
    <mergeCell ref="L163:M163"/>
    <mergeCell ref="L169:M169"/>
    <mergeCell ref="A45:B45"/>
    <mergeCell ref="C45:H45"/>
    <mergeCell ref="B283:H283"/>
    <mergeCell ref="A98:B98"/>
    <mergeCell ref="A99:B99"/>
    <mergeCell ref="F109:H109"/>
    <mergeCell ref="A109:E109"/>
    <mergeCell ref="A111:E111"/>
    <mergeCell ref="A188:B188"/>
    <mergeCell ref="A134:B134"/>
    <mergeCell ref="A135:B135"/>
    <mergeCell ref="A112:E112"/>
    <mergeCell ref="A115:E115"/>
    <mergeCell ref="A100:B100"/>
    <mergeCell ref="A101:B101"/>
    <mergeCell ref="A102:B102"/>
    <mergeCell ref="A104:B104"/>
    <mergeCell ref="A105:B105"/>
    <mergeCell ref="A110:E110"/>
    <mergeCell ref="G97:H106"/>
    <mergeCell ref="A194:B194"/>
    <mergeCell ref="A150:B150"/>
    <mergeCell ref="A149:B149"/>
    <mergeCell ref="F111:H111"/>
    <mergeCell ref="G258:H263"/>
    <mergeCell ref="G265:H270"/>
    <mergeCell ref="G187:H190"/>
    <mergeCell ref="G192:H195"/>
    <mergeCell ref="G202:H205"/>
    <mergeCell ref="G207:H210"/>
    <mergeCell ref="G212:H215"/>
    <mergeCell ref="G217:H220"/>
    <mergeCell ref="G230:H235"/>
    <mergeCell ref="A211:H211"/>
    <mergeCell ref="A201:H201"/>
    <mergeCell ref="C187:F187"/>
    <mergeCell ref="A192:B192"/>
    <mergeCell ref="A146:B146"/>
    <mergeCell ref="A191:H191"/>
    <mergeCell ref="A126:B126"/>
    <mergeCell ref="C126:D126"/>
    <mergeCell ref="A131:H131"/>
    <mergeCell ref="A127:H127"/>
    <mergeCell ref="A129:A130"/>
    <mergeCell ref="A132:H132"/>
    <mergeCell ref="C124:D124"/>
    <mergeCell ref="E124:F124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4" max="16383" man="1"/>
    <brk id="92" max="16383" man="1"/>
    <brk id="302" max="16383" man="1"/>
    <brk id="34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3"/>
    <col min="2" max="2" width="22.21875" style="13" customWidth="1"/>
    <col min="3" max="3" width="37" style="13" customWidth="1"/>
    <col min="4" max="5" width="11.44140625" style="13" customWidth="1"/>
    <col min="6" max="6" width="14" style="13" customWidth="1"/>
    <col min="7" max="7" width="20" style="13" customWidth="1"/>
    <col min="8" max="8" width="16.44140625" style="13" customWidth="1"/>
    <col min="9" max="16384" width="8.77734375" style="13"/>
  </cols>
  <sheetData>
    <row r="1" spans="1:9" ht="15" customHeight="1" x14ac:dyDescent="0.3"/>
    <row r="2" spans="1:9" ht="15" customHeight="1" x14ac:dyDescent="0.3">
      <c r="A2" s="14"/>
      <c r="B2" s="14"/>
      <c r="C2" s="14"/>
      <c r="D2" s="14"/>
      <c r="E2" s="14"/>
      <c r="F2" s="14"/>
      <c r="G2" s="14"/>
      <c r="H2" s="14"/>
    </row>
    <row r="3" spans="1:9" ht="15.75" customHeight="1" x14ac:dyDescent="0.3">
      <c r="A3" s="14"/>
      <c r="B3" s="166" t="s">
        <v>115</v>
      </c>
      <c r="C3" s="166"/>
      <c r="D3" s="166"/>
      <c r="E3" s="166"/>
      <c r="F3" s="166"/>
      <c r="G3" s="166"/>
      <c r="H3" s="166"/>
    </row>
    <row r="4" spans="1:9" x14ac:dyDescent="0.3">
      <c r="A4" s="14"/>
      <c r="B4" s="15" t="s">
        <v>116</v>
      </c>
      <c r="C4" s="15" t="s">
        <v>117</v>
      </c>
      <c r="D4" s="15" t="s">
        <v>73</v>
      </c>
      <c r="E4" s="15" t="s">
        <v>118</v>
      </c>
      <c r="F4" s="15" t="s">
        <v>124</v>
      </c>
      <c r="G4" s="15" t="s">
        <v>125</v>
      </c>
      <c r="H4" s="15" t="s">
        <v>119</v>
      </c>
    </row>
    <row r="5" spans="1:9" ht="15" customHeight="1" x14ac:dyDescent="0.3">
      <c r="A5" s="14"/>
      <c r="B5" s="17" t="s">
        <v>120</v>
      </c>
      <c r="C5" s="18"/>
      <c r="D5" s="17"/>
      <c r="E5" s="17"/>
      <c r="F5" s="19">
        <f>E5*1.6</f>
        <v>0</v>
      </c>
      <c r="G5" s="19" t="e">
        <f>H5/F5</f>
        <v>#DIV/0!</v>
      </c>
      <c r="H5" s="20"/>
    </row>
    <row r="6" spans="1:9" x14ac:dyDescent="0.3">
      <c r="A6" s="14"/>
      <c r="B6" s="17" t="s">
        <v>120</v>
      </c>
      <c r="C6" s="21"/>
      <c r="D6" s="17"/>
      <c r="E6" s="17"/>
      <c r="F6" s="19">
        <f t="shared" ref="F6:F11" si="0">E6*1.6</f>
        <v>0</v>
      </c>
      <c r="G6" s="19" t="e">
        <f t="shared" ref="G6:G11" si="1">H6/F6</f>
        <v>#DIV/0!</v>
      </c>
      <c r="H6" s="20"/>
    </row>
    <row r="7" spans="1:9" ht="15" customHeight="1" x14ac:dyDescent="0.3">
      <c r="A7" s="14"/>
      <c r="B7" s="17" t="s">
        <v>120</v>
      </c>
      <c r="C7" s="18"/>
      <c r="D7" s="17"/>
      <c r="E7" s="17"/>
      <c r="F7" s="19">
        <f t="shared" si="0"/>
        <v>0</v>
      </c>
      <c r="G7" s="19" t="e">
        <f t="shared" si="1"/>
        <v>#DIV/0!</v>
      </c>
      <c r="H7" s="20"/>
    </row>
    <row r="8" spans="1:9" x14ac:dyDescent="0.3">
      <c r="A8" s="14"/>
      <c r="B8" s="17" t="s">
        <v>120</v>
      </c>
      <c r="C8" s="21"/>
      <c r="D8" s="17"/>
      <c r="E8" s="17"/>
      <c r="F8" s="19">
        <f t="shared" si="0"/>
        <v>0</v>
      </c>
      <c r="G8" s="19" t="e">
        <f t="shared" si="1"/>
        <v>#DIV/0!</v>
      </c>
      <c r="H8" s="20"/>
    </row>
    <row r="9" spans="1:9" ht="15" customHeight="1" x14ac:dyDescent="0.3">
      <c r="A9" s="14"/>
      <c r="B9" s="17" t="s">
        <v>120</v>
      </c>
      <c r="C9" s="21"/>
      <c r="D9" s="17"/>
      <c r="E9" s="17"/>
      <c r="F9" s="19">
        <f t="shared" si="0"/>
        <v>0</v>
      </c>
      <c r="G9" s="19" t="e">
        <f t="shared" si="1"/>
        <v>#DIV/0!</v>
      </c>
      <c r="H9" s="20"/>
    </row>
    <row r="10" spans="1:9" ht="15" customHeight="1" x14ac:dyDescent="0.3">
      <c r="A10" s="14"/>
      <c r="B10" s="17" t="s">
        <v>121</v>
      </c>
      <c r="C10" s="18"/>
      <c r="D10" s="17"/>
      <c r="E10" s="17"/>
      <c r="F10" s="19">
        <f t="shared" si="0"/>
        <v>0</v>
      </c>
      <c r="G10" s="19" t="e">
        <f t="shared" si="1"/>
        <v>#DIV/0!</v>
      </c>
      <c r="H10" s="20"/>
    </row>
    <row r="11" spans="1:9" ht="15" customHeight="1" x14ac:dyDescent="0.3">
      <c r="A11" s="14"/>
      <c r="B11" s="17" t="s">
        <v>121</v>
      </c>
      <c r="C11" s="18"/>
      <c r="D11" s="17"/>
      <c r="E11" s="17"/>
      <c r="F11" s="19">
        <f t="shared" si="0"/>
        <v>0</v>
      </c>
      <c r="G11" s="19" t="e">
        <f t="shared" si="1"/>
        <v>#DIV/0!</v>
      </c>
      <c r="H11" s="20"/>
    </row>
    <row r="12" spans="1:9" ht="15" customHeight="1" x14ac:dyDescent="0.3">
      <c r="A12" s="14"/>
      <c r="B12" s="22" t="s">
        <v>122</v>
      </c>
      <c r="C12" s="17"/>
      <c r="D12" s="17"/>
      <c r="E12" s="17"/>
      <c r="F12" s="17"/>
      <c r="G12" s="23" t="e">
        <f>AVERAGE(G5:G11)</f>
        <v>#DIV/0!</v>
      </c>
      <c r="H12" s="17"/>
    </row>
    <row r="13" spans="1:9" ht="15" customHeight="1" x14ac:dyDescent="0.3">
      <c r="B13" s="22" t="s">
        <v>123</v>
      </c>
      <c r="C13" s="17"/>
      <c r="D13" s="17"/>
      <c r="E13" s="17"/>
      <c r="F13" s="24"/>
      <c r="G13" s="22"/>
      <c r="H13" s="22"/>
      <c r="I13" s="16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2025-07-11T12:04:47Z</cp:lastPrinted>
  <dcterms:created xsi:type="dcterms:W3CDTF">2019-07-16T09:29:46Z</dcterms:created>
  <dcterms:modified xsi:type="dcterms:W3CDTF">2025-07-11T12:06:09Z</dcterms:modified>
</cp:coreProperties>
</file>