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July 2025\18-07-2025\"/>
    </mc:Choice>
  </mc:AlternateContent>
  <bookViews>
    <workbookView xWindow="0" yWindow="0" windowWidth="19200" windowHeight="6640"/>
  </bookViews>
  <sheets>
    <sheet name="Report (2)" sheetId="1" r:id="rId1"/>
    <sheet name="C%" sheetId="2" r:id="rId2"/>
    <sheet name="C% (2)" sheetId="4" r:id="rId3"/>
    <sheet name="C% (3)" sheetId="5" r:id="rId4"/>
    <sheet name="Note" sheetId="6" r:id="rId5"/>
    <sheet name="Valuation" sheetId="7" r:id="rId6"/>
    <sheet name="Flat detail" sheetId="3" r:id="rId7"/>
  </sheets>
  <definedNames>
    <definedName name="_xlnm.Print_Area" localSheetId="0">'Report (2)'!$A$1:$J$287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8" i="1" l="1"/>
  <c r="L94" i="1" l="1"/>
  <c r="L93" i="1"/>
  <c r="L92" i="1"/>
  <c r="L91" i="1"/>
  <c r="L80" i="1"/>
  <c r="L79" i="1"/>
  <c r="L78" i="1"/>
  <c r="L77" i="1"/>
  <c r="L66" i="1"/>
  <c r="L65" i="1"/>
  <c r="L64" i="1"/>
  <c r="L63" i="1"/>
  <c r="I70" i="1"/>
  <c r="I56" i="1"/>
  <c r="I84" i="1"/>
  <c r="L89" i="1" l="1"/>
  <c r="L90" i="1" s="1"/>
  <c r="L95" i="1" s="1"/>
  <c r="L96" i="1" s="1"/>
  <c r="D96" i="1"/>
  <c r="D90" i="1"/>
  <c r="D94" i="1"/>
  <c r="D88" i="1"/>
  <c r="D92" i="1"/>
  <c r="D95" i="1"/>
  <c r="D89" i="1"/>
  <c r="L88" i="1"/>
  <c r="L83" i="1"/>
  <c r="L85" i="1" s="1"/>
  <c r="L87" i="1"/>
  <c r="H87" i="1"/>
  <c r="D87" i="1"/>
  <c r="L86" i="1"/>
  <c r="D91" i="1"/>
  <c r="D93" i="1"/>
  <c r="F87" i="1"/>
  <c r="D82" i="1"/>
  <c r="D76" i="1"/>
  <c r="L75" i="1"/>
  <c r="L76" i="1" s="1"/>
  <c r="L81" i="1" s="1"/>
  <c r="L82" i="1" s="1"/>
  <c r="D81" i="1"/>
  <c r="D75" i="1"/>
  <c r="L74" i="1"/>
  <c r="D80" i="1"/>
  <c r="D74" i="1"/>
  <c r="L69" i="1"/>
  <c r="L71" i="1" s="1"/>
  <c r="L73" i="1"/>
  <c r="F73" i="1"/>
  <c r="D73" i="1"/>
  <c r="L72" i="1"/>
  <c r="D77" i="1"/>
  <c r="D79" i="1"/>
  <c r="H73" i="1"/>
  <c r="D78" i="1"/>
  <c r="L60" i="1"/>
  <c r="L55" i="1"/>
  <c r="L57" i="1" s="1"/>
  <c r="D65" i="1"/>
  <c r="L59" i="1"/>
  <c r="D64" i="1"/>
  <c r="D59" i="1"/>
  <c r="L61" i="1"/>
  <c r="L62" i="1" s="1"/>
  <c r="L67" i="1" s="1"/>
  <c r="L68" i="1" s="1"/>
  <c r="D66" i="1"/>
  <c r="D63" i="1"/>
  <c r="L58" i="1"/>
  <c r="D68" i="1"/>
  <c r="D62" i="1"/>
  <c r="D67" i="1"/>
  <c r="D61" i="1"/>
  <c r="L84" i="1" l="1"/>
  <c r="L70" i="1"/>
  <c r="K84" i="1"/>
  <c r="K85" i="1" s="1"/>
  <c r="K70" i="1"/>
  <c r="K71" i="1" s="1"/>
  <c r="F59" i="1"/>
  <c r="L56" i="1"/>
  <c r="H59" i="1"/>
  <c r="D60" i="1"/>
  <c r="K56" i="1" s="1"/>
  <c r="K83" i="1" l="1"/>
  <c r="C85" i="1" s="1"/>
  <c r="K69" i="1"/>
  <c r="C71" i="1" s="1"/>
  <c r="K57" i="1"/>
  <c r="K55" i="1" s="1"/>
  <c r="C57" i="1" s="1"/>
  <c r="F3" i="1" l="1"/>
  <c r="F6" i="7" l="1"/>
  <c r="G6" i="7" s="1"/>
  <c r="F5" i="7"/>
  <c r="G5" i="7" s="1"/>
  <c r="G7" i="7" s="1"/>
  <c r="G110" i="1" l="1"/>
  <c r="D151" i="1" l="1"/>
  <c r="C14" i="1" l="1"/>
  <c r="G112" i="1"/>
  <c r="G109" i="1"/>
  <c r="B16" i="5"/>
  <c r="O7" i="5" s="1"/>
  <c r="H19" i="5" s="1"/>
  <c r="B14" i="5"/>
  <c r="E9" i="5" s="1"/>
  <c r="B12" i="5"/>
  <c r="M7" i="5" s="1"/>
  <c r="H17" i="5" s="1"/>
  <c r="B10" i="5"/>
  <c r="E7" i="5" s="1"/>
  <c r="B8" i="5"/>
  <c r="K7" i="5" s="1"/>
  <c r="H15" i="5" s="1"/>
  <c r="I6" i="5"/>
  <c r="G13" i="5" s="1"/>
  <c r="B6" i="5"/>
  <c r="J7" i="5" s="1"/>
  <c r="H14" i="5" s="1"/>
  <c r="E4" i="5"/>
  <c r="B16" i="4"/>
  <c r="E10" i="4" s="1"/>
  <c r="B14" i="4"/>
  <c r="N7" i="4" s="1"/>
  <c r="H18" i="4" s="1"/>
  <c r="B12" i="4"/>
  <c r="M7" i="4" s="1"/>
  <c r="H17" i="4" s="1"/>
  <c r="B10" i="4"/>
  <c r="L7" i="4" s="1"/>
  <c r="H16" i="4" s="1"/>
  <c r="B8" i="4"/>
  <c r="K7" i="4" s="1"/>
  <c r="H15" i="4" s="1"/>
  <c r="K6" i="4"/>
  <c r="G15" i="4" s="1"/>
  <c r="I6" i="4"/>
  <c r="G13" i="4" s="1"/>
  <c r="B6" i="4"/>
  <c r="J6" i="4" s="1"/>
  <c r="G14" i="4" s="1"/>
  <c r="E4" i="4"/>
  <c r="I168" i="1"/>
  <c r="D174" i="1"/>
  <c r="D173" i="1"/>
  <c r="D172" i="1"/>
  <c r="D171" i="1"/>
  <c r="D170" i="1"/>
  <c r="D169" i="1"/>
  <c r="D168" i="1"/>
  <c r="D166" i="1"/>
  <c r="D165" i="1"/>
  <c r="D164" i="1"/>
  <c r="D163" i="1"/>
  <c r="D162" i="1"/>
  <c r="D161" i="1"/>
  <c r="D160" i="1"/>
  <c r="D138" i="1"/>
  <c r="G138" i="1" s="1"/>
  <c r="D139" i="1"/>
  <c r="I149" i="1"/>
  <c r="D125" i="1"/>
  <c r="D122" i="1"/>
  <c r="D121" i="1"/>
  <c r="D147" i="1"/>
  <c r="D146" i="1"/>
  <c r="D123" i="1"/>
  <c r="D145" i="1"/>
  <c r="D144" i="1"/>
  <c r="D142" i="1"/>
  <c r="D141" i="1"/>
  <c r="D126" i="1"/>
  <c r="D127" i="1"/>
  <c r="D143" i="1"/>
  <c r="E6" i="5" l="1"/>
  <c r="E8" i="5"/>
  <c r="M6" i="5"/>
  <c r="G17" i="5" s="1"/>
  <c r="L7" i="5"/>
  <c r="H16" i="5" s="1"/>
  <c r="M6" i="4"/>
  <c r="G17" i="4" s="1"/>
  <c r="E8" i="4"/>
  <c r="E6" i="4"/>
  <c r="N6" i="4"/>
  <c r="G18" i="4" s="1"/>
  <c r="E9" i="4"/>
  <c r="L6" i="5"/>
  <c r="G16" i="5" s="1"/>
  <c r="E5" i="4"/>
  <c r="J7" i="4"/>
  <c r="H14" i="4" s="1"/>
  <c r="J6" i="5"/>
  <c r="G14" i="5" s="1"/>
  <c r="E10" i="5"/>
  <c r="E5" i="5"/>
  <c r="D112" i="1"/>
  <c r="G113" i="1"/>
  <c r="I7" i="5"/>
  <c r="H13" i="5" s="1"/>
  <c r="N6" i="5"/>
  <c r="G18" i="5" s="1"/>
  <c r="N7" i="5"/>
  <c r="H18" i="5" s="1"/>
  <c r="K6" i="5"/>
  <c r="G15" i="5" s="1"/>
  <c r="O6" i="5"/>
  <c r="G19" i="5" s="1"/>
  <c r="I7" i="4"/>
  <c r="H13" i="4" s="1"/>
  <c r="O6" i="4"/>
  <c r="G19" i="4" s="1"/>
  <c r="O7" i="4"/>
  <c r="H19" i="4" s="1"/>
  <c r="L6" i="4"/>
  <c r="G16" i="4" s="1"/>
  <c r="E7" i="4"/>
  <c r="D154" i="1"/>
  <c r="D153" i="1"/>
  <c r="C110" i="1" s="1"/>
  <c r="C113" i="1" s="1"/>
  <c r="D134" i="1"/>
  <c r="D133" i="1"/>
  <c r="L133" i="1" s="1"/>
  <c r="D131" i="1"/>
  <c r="D130" i="1"/>
  <c r="I129" i="1"/>
  <c r="H20" i="4" l="1"/>
  <c r="G20" i="4"/>
  <c r="H20" i="5"/>
  <c r="G20" i="5"/>
  <c r="D110" i="1"/>
  <c r="D124" i="1"/>
  <c r="D109" i="1" s="1"/>
  <c r="D113"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E10" i="2" s="1"/>
  <c r="B14" i="2"/>
  <c r="E9" i="2" s="1"/>
  <c r="B12" i="2"/>
  <c r="M6" i="2" s="1"/>
  <c r="G17" i="2" s="1"/>
  <c r="B10" i="2"/>
  <c r="L7" i="2" s="1"/>
  <c r="H16" i="2" s="1"/>
  <c r="B8" i="2"/>
  <c r="K6" i="2" s="1"/>
  <c r="G15" i="2" s="1"/>
  <c r="I6" i="2"/>
  <c r="G13" i="2" s="1"/>
  <c r="B6" i="2"/>
  <c r="J7" i="2" s="1"/>
  <c r="H14" i="2" s="1"/>
  <c r="E4" i="2"/>
  <c r="E6" i="2" l="1"/>
  <c r="O6" i="2"/>
  <c r="G19" i="2" s="1"/>
  <c r="O7" i="2"/>
  <c r="H19" i="2" s="1"/>
  <c r="K7" i="2"/>
  <c r="H15" i="2" s="1"/>
  <c r="M7" i="2"/>
  <c r="H17" i="2" s="1"/>
  <c r="E8" i="2"/>
  <c r="L34" i="3"/>
  <c r="K34" i="3" s="1"/>
  <c r="E34" i="3"/>
  <c r="I34" i="3"/>
  <c r="H34" i="3" s="1"/>
  <c r="L6" i="2"/>
  <c r="G16" i="2" s="1"/>
  <c r="E7" i="2"/>
  <c r="I7" i="2"/>
  <c r="H13" i="2" s="1"/>
  <c r="E5" i="2"/>
  <c r="J6" i="2"/>
  <c r="G14" i="2" s="1"/>
  <c r="N6" i="2"/>
  <c r="G18" i="2" s="1"/>
  <c r="N7" i="2"/>
  <c r="H18" i="2" s="1"/>
  <c r="G106" i="1"/>
  <c r="D49" i="1"/>
  <c r="H46" i="1"/>
  <c r="C46" i="1"/>
  <c r="F41" i="1"/>
  <c r="F42" i="1" s="1"/>
  <c r="D51" i="1" s="1"/>
  <c r="F7" i="1"/>
  <c r="G20" i="2" l="1"/>
  <c r="H20" i="2"/>
  <c r="D34" i="3"/>
  <c r="D36" i="3" s="1"/>
  <c r="E36" i="3"/>
</calcChain>
</file>

<file path=xl/sharedStrings.xml><?xml version="1.0" encoding="utf-8"?>
<sst xmlns="http://schemas.openxmlformats.org/spreadsheetml/2006/main" count="567" uniqueCount="255">
  <si>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</si>
  <si>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</si>
  <si>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</si>
  <si>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</si>
  <si>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</si>
  <si>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</si>
  <si>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</si>
  <si>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</si>
  <si>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</si>
  <si>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</si>
  <si>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</si>
  <si>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</si>
  <si>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</si>
  <si>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</si>
  <si>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</si>
  <si>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</si>
  <si>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</si>
  <si>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</si>
  <si>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</si>
  <si>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</si>
  <si>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</si>
  <si>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</si>
  <si>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</si>
  <si>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</si>
  <si>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</si>
  <si>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</si>
  <si>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</si>
  <si>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</si>
  <si>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</si>
  <si>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</si>
  <si>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</si>
  <si>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</si>
  <si>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</si>
  <si>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</si>
  <si>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</si>
  <si>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</si>
  <si>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</si>
  <si>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</si>
  <si>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</si>
  <si>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</si>
  <si>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</si>
  <si>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</si>
  <si>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</si>
  <si>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</si>
  <si>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</si>
  <si>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</si>
  <si>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</si>
  <si>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</si>
  <si>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</si>
  <si>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</si>
  <si>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</si>
  <si>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</si>
  <si>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</si>
  <si>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</si>
  <si>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</si>
  <si>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</si>
  <si>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</si>
  <si>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</si>
  <si>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</si>
  <si>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</si>
  <si>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</si>
  <si>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</si>
  <si>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</si>
  <si>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</si>
  <si>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</si>
  <si>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</si>
  <si>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Projected life of the structure: 60 Years After Completion</t>
  </si>
  <si>
    <t>Material laying at Site: :Bricks, Cement &amp; Steel etc.</t>
  </si>
  <si>
    <t>Type of Work</t>
  </si>
  <si>
    <t>Plinth</t>
  </si>
  <si>
    <t>RCC</t>
  </si>
  <si>
    <t>Plaster</t>
  </si>
  <si>
    <t>Flooring</t>
  </si>
  <si>
    <t>Finishing</t>
  </si>
  <si>
    <t>Wheather the construction is as per approved Building plan : Under Construction</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</si>
  <si>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</si>
  <si>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</si>
  <si>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</si>
  <si>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</si>
  <si>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</si>
  <si>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</si>
  <si>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</si>
  <si>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</si>
  <si>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</si>
  <si>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</si>
  <si>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</si>
  <si>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</si>
  <si>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</si>
  <si>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</si>
  <si>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Flat No.</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</si>
  <si>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</si>
  <si>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</si>
  <si>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</si>
  <si>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</si>
  <si>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</si>
  <si>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</si>
  <si>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</si>
  <si>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</si>
  <si>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</si>
  <si>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</si>
  <si>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</si>
  <si>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</si>
  <si>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</si>
  <si>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</si>
  <si>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Google Map :</t>
  </si>
  <si>
    <t xml:space="preserve">Remarks: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</si>
  <si>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</si>
  <si>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</si>
  <si>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</si>
  <si>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</si>
  <si>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</si>
  <si>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</si>
  <si>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</si>
  <si>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</si>
  <si>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</si>
  <si>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</si>
  <si>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</si>
  <si>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</si>
  <si>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</si>
  <si>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</si>
  <si>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</si>
  <si>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</si>
  <si>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</si>
  <si>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</si>
  <si>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</si>
  <si>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</si>
  <si>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</si>
  <si>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</si>
  <si>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</si>
  <si>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</si>
  <si>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</si>
  <si>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</si>
  <si>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</si>
  <si>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</si>
  <si>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</si>
  <si>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</si>
  <si>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</si>
  <si>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</si>
  <si>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</si>
  <si>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</si>
  <si>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</si>
  <si>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</si>
  <si>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</si>
  <si>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</si>
  <si>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</si>
  <si>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</si>
  <si>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</si>
  <si>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</si>
  <si>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</si>
  <si>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</si>
  <si>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 xml:space="preserve">P52000019615
</t>
  </si>
  <si>
    <t>M/s.Vrindavan Land Developers</t>
  </si>
  <si>
    <t>Umroli</t>
  </si>
  <si>
    <t>Karjat</t>
  </si>
  <si>
    <t>Raigad</t>
  </si>
  <si>
    <t>BP/M.UMROLI/T.KARJAT/285</t>
  </si>
  <si>
    <t>07/02/2019.</t>
  </si>
  <si>
    <t>Building Type - A</t>
  </si>
  <si>
    <t>A wing</t>
  </si>
  <si>
    <t>Ground Floor is For Parking</t>
  </si>
  <si>
    <t>1st To 3rd Floor is For Residential</t>
  </si>
  <si>
    <t>1BHK</t>
  </si>
  <si>
    <t>1RK</t>
  </si>
  <si>
    <t>1st To 3rd Floor</t>
  </si>
  <si>
    <t>4th Floor</t>
  </si>
  <si>
    <t>Open Terrace</t>
  </si>
  <si>
    <t>B wing</t>
  </si>
  <si>
    <t>Office</t>
  </si>
  <si>
    <t>Ground Floor is For Parking &amp; Residential</t>
  </si>
  <si>
    <t>Ground Floor</t>
  </si>
  <si>
    <t>Builder Saleable area</t>
  </si>
  <si>
    <t>Recommended rate of the Office Per Sq. Ft. ( on Saleable area)</t>
  </si>
  <si>
    <t>Residential + Commercial</t>
  </si>
  <si>
    <t>Karjat - Neral Road</t>
  </si>
  <si>
    <t>Paresh Ghare Farm House</t>
  </si>
  <si>
    <t>Open Plot</t>
  </si>
  <si>
    <t>Gaonthan</t>
  </si>
  <si>
    <t>Ghar No 245</t>
  </si>
  <si>
    <t>Madhuban</t>
  </si>
  <si>
    <t>Other Charges</t>
  </si>
  <si>
    <t>50000/-</t>
  </si>
  <si>
    <t>A Wing</t>
  </si>
  <si>
    <t>B Wing</t>
  </si>
  <si>
    <t>Total Flat</t>
  </si>
  <si>
    <t>Grand Total</t>
  </si>
  <si>
    <t>Quality of construction: Average</t>
  </si>
  <si>
    <t>23/10/2020.</t>
  </si>
  <si>
    <t>Pratiksha</t>
  </si>
  <si>
    <t>Market Research Data</t>
  </si>
  <si>
    <t>Source</t>
  </si>
  <si>
    <t>Distance from proposed property</t>
  </si>
  <si>
    <t>Net Carpet</t>
  </si>
  <si>
    <t>Saleable Area</t>
  </si>
  <si>
    <t>Rate on Saleable</t>
  </si>
  <si>
    <t>Market Value</t>
  </si>
  <si>
    <t>Average</t>
  </si>
  <si>
    <t xml:space="preserve">Valuation Adopted </t>
  </si>
  <si>
    <t>Housing</t>
  </si>
  <si>
    <t>Flats = 78 &amp; Office = 01</t>
  </si>
  <si>
    <t>Building Type A (A &amp; B wing) = G + 4th Floor
Building Type B = G + 4th Floor</t>
  </si>
  <si>
    <t>1.8 Km from Bhivpuri  Railway Station</t>
  </si>
  <si>
    <t>SSNR-RA/BP/M.UMROLI/T.KARJAT/285
Valid Up to: 
Building Type A (A &amp; B wing) = G + 4th Floor
Building Type B = G + 4th Floor</t>
  </si>
  <si>
    <t>02 Buildings (03 Wings)</t>
  </si>
  <si>
    <t>Construction details:</t>
  </si>
  <si>
    <t>Basement</t>
  </si>
  <si>
    <t>Ground</t>
  </si>
  <si>
    <t>Podium</t>
  </si>
  <si>
    <t>Floors</t>
  </si>
  <si>
    <t xml:space="preserve">Stage of construction: </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</si>
  <si>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</si>
  <si>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</si>
  <si>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</si>
  <si>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</si>
  <si>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</si>
  <si>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</si>
  <si>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</si>
  <si>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</si>
  <si>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</si>
  <si>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</si>
  <si>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</si>
  <si>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</si>
  <si>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</si>
  <si>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</si>
  <si>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</si>
  <si>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</si>
  <si>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</si>
  <si>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</si>
  <si>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</si>
  <si>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</si>
  <si>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</si>
  <si>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</si>
  <si>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</si>
  <si>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</si>
  <si>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</si>
  <si>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</si>
  <si>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Building Type A (A &amp; B Wing)
Building Type B (A Wing)
</t>
  </si>
  <si>
    <t>Type A (A wing) = G + 4th Floor</t>
  </si>
  <si>
    <t>Type A (B wing) = G + 4th Floor</t>
  </si>
  <si>
    <t>Type B (A Wing) = G + 4th Floor</t>
  </si>
  <si>
    <t>150000/-</t>
  </si>
  <si>
    <t>Maintenance for 1 Year</t>
  </si>
  <si>
    <t>15000/-</t>
  </si>
  <si>
    <t>Building A Type A Total Area Details :</t>
  </si>
  <si>
    <t>Building B Type B Total Area Details :</t>
  </si>
  <si>
    <t>Building Type B</t>
  </si>
  <si>
    <t xml:space="preserve">Office No. 1031, Wing J, Akshar Business Park, Plot No. 03 Sector 25, Near APMC Market, 
Vashi, Navi Mumbai, Maharashtra 400703 TEL: 022-46090378/79/80                                                                                                     E mail : vsjcapf@gmail.com. Web site : www.vsjadon.com
</t>
  </si>
  <si>
    <t>Location Link</t>
  </si>
  <si>
    <t>https://goo.gl/maps/EfmpYEkqi62RUMax9?coh=178572&amp;entry=tt</t>
  </si>
  <si>
    <t>Contact Details ( Name &amp; Contact No.)</t>
  </si>
  <si>
    <t>Site Meet Person Contact Details ( Name &amp; Contact No.)</t>
  </si>
  <si>
    <t>18.9583873,73.3237788</t>
  </si>
  <si>
    <t xml:space="preserve">
</t>
  </si>
  <si>
    <t xml:space="preserve">PHOTOGRAPHS OF PROPERTY : </t>
  </si>
  <si>
    <t>Mr.Vijay Kumar 8767834646</t>
  </si>
  <si>
    <r>
      <t xml:space="preserve">1. Building Type A (A Wing) = All work completed. Provide OC
  Building Type A (B Wing) = Construction work is stopped. Work is same as last visit (dtd.11/11/2024).
  Building Type B (A Wing) = Construction work is stopped. Work is same as last visit (dtd.02/11/2022).
2. We considered Saleable area as per Builder area sheet.
3. We considered Carpet area as per Approved Plan.
4. We have considered rate by verifying it from market inquire.
5. We have considered Other charges from cost sheet.
6. Car parking is subjected to authentic documentation.
7. Construction work of Building Type - B = (A Wing) is stopped because they want to complete first building type A.
8. In Building Type A- Wing A, there is Parking on Ground Floor in place of flat no.1, 2 as per approved plan &amp; as per sale plan there is  1BHK, 1RK flats respectively.
9. In Building Type A- Wing B, there is Parking on Ground Floor in place of flat no.3 as per approved plan &amp; as per sale plan there is  1BHK flat.
10. In Building Type A- Wing A &amp; B, on there is partially residential &amp; partially Natural Terrace on 4th Floor as per Approved Plan &amp; as per sale plan whole floor is for residential.
11. </t>
    </r>
    <r>
      <rPr>
        <b/>
        <sz val="11"/>
        <color rgb="FFFF0000"/>
        <rFont val="Times New Roman"/>
        <family val="1"/>
      </rPr>
      <t>As per RERA, completion period of project Madhuban is expired on 31/12/2024 but still project is under construction.</t>
    </r>
    <r>
      <rPr>
        <b/>
        <sz val="11"/>
        <color theme="1"/>
        <rFont val="Times New Roman"/>
        <family val="1"/>
      </rPr>
      <t xml:space="preserve">
11. On site we met Mr. Vijay : 8767834646.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</si>
</sst>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4"/>
      <color indexed="8"/>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b/>
      <sz val="12"/>
      <color theme="1"/>
      <name val="Times New Roman"/>
      <family val="1"/>
    </font>
    <font>
      <sz val="11"/>
      <color rgb="FFFF0000"/>
      <name val="Calibri"/>
      <family val="2"/>
    </font>
    <font>
      <sz val="11"/>
      <name val="Calibri"/>
      <family val="2"/>
    </font>
    <font>
      <sz val="11"/>
      <color theme="0"/>
      <name val="Calibri"/>
      <family val="2"/>
    </font>
    <font>
      <sz val="12"/>
      <name val="Times New Roman"/>
      <family val="1"/>
    </font>
    <font>
      <b/>
      <sz val="12"/>
      <name val="Times New Roman"/>
      <family val="1"/>
    </font>
    <font>
      <sz val="11"/>
      <color rgb="FF000000"/>
      <name val="Times New Roman"/>
      <family val="1"/>
    </font>
    <font>
      <u/>
      <sz val="11"/>
      <color theme="10"/>
      <name val="Calibri"/>
      <family val="2"/>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0"/>
    <xf numFmtId="0" fontId="11" fillId="0" borderId="0"/>
    <xf numFmtId="0" fontId="3" fillId="0" borderId="0"/>
    <xf numFmtId="0" fontId="11" fillId="0" borderId="0"/>
    <xf numFmtId="0" fontId="1" fillId="0" borderId="0"/>
    <xf numFmtId="165" fontId="11" fillId="0" borderId="0" applyFont="0" applyFill="0" applyBorder="0" applyAlignment="0" applyProtection="0"/>
    <xf numFmtId="0" fontId="27" fillId="0" borderId="0" applyNumberFormat="0" applyFill="0" applyBorder="0" applyAlignment="0" applyProtection="0"/>
  </cellStyleXfs>
  <cellXfs count="251">
    <xf numFmtId="0" fontId="0" fillId="0" borderId="0" xfId="0"/>
    <xf numFmtId="0" fontId="6" fillId="0" borderId="0" xfId="1" applyFont="1"/>
    <xf numFmtId="0" fontId="7" fillId="0" borderId="3" xfId="1" applyFont="1" applyBorder="1" applyAlignment="1">
      <alignment horizontal="left" vertical="top"/>
    </xf>
    <xf numFmtId="0" fontId="7" fillId="0" borderId="4" xfId="1" applyFont="1" applyBorder="1" applyAlignment="1">
      <alignment vertical="top" wrapText="1"/>
    </xf>
    <xf numFmtId="0" fontId="7" fillId="0" borderId="1" xfId="1" applyFont="1" applyBorder="1" applyAlignment="1">
      <alignment vertical="top"/>
    </xf>
    <xf numFmtId="0" fontId="7" fillId="0" borderId="4" xfId="1" applyFont="1" applyBorder="1" applyAlignment="1">
      <alignment vertical="top"/>
    </xf>
    <xf numFmtId="0" fontId="8" fillId="0" borderId="3" xfId="1" applyFont="1" applyBorder="1" applyAlignment="1">
      <alignment vertical="top" wrapText="1"/>
    </xf>
    <xf numFmtId="0" fontId="7" fillId="0" borderId="3" xfId="1" applyFont="1" applyBorder="1" applyAlignment="1">
      <alignment vertical="top" wrapText="1"/>
    </xf>
    <xf numFmtId="0" fontId="7" fillId="2" borderId="4" xfId="1" applyFont="1" applyFill="1" applyBorder="1" applyAlignment="1">
      <alignment vertical="top"/>
    </xf>
    <xf numFmtId="0" fontId="7" fillId="0" borderId="0" xfId="2" applyFont="1"/>
    <xf numFmtId="0" fontId="13" fillId="0" borderId="0" xfId="0" applyFont="1" applyAlignment="1">
      <alignment horizontal="center" vertical="center"/>
    </xf>
    <xf numFmtId="1" fontId="14" fillId="0" borderId="4" xfId="1" applyNumberFormat="1" applyFont="1" applyBorder="1" applyAlignment="1">
      <alignment horizontal="center" vertical="top" wrapText="1"/>
    </xf>
    <xf numFmtId="1" fontId="16" fillId="0" borderId="4" xfId="1" applyNumberFormat="1" applyFont="1" applyBorder="1" applyAlignment="1">
      <alignment horizontal="center" vertical="top" wrapText="1"/>
    </xf>
    <xf numFmtId="0" fontId="13" fillId="0" borderId="0" xfId="1" applyFont="1" applyAlignment="1">
      <alignment horizontal="center" vertical="center"/>
    </xf>
    <xf numFmtId="1" fontId="12" fillId="0" borderId="4" xfId="1" applyNumberFormat="1" applyFont="1" applyBorder="1" applyAlignment="1">
      <alignment horizontal="center" vertical="center" wrapText="1"/>
    </xf>
    <xf numFmtId="0" fontId="16" fillId="0" borderId="0" xfId="1" applyFont="1" applyAlignment="1">
      <alignment vertical="top"/>
    </xf>
    <xf numFmtId="0" fontId="5" fillId="0" borderId="0" xfId="1" applyFont="1" applyAlignment="1">
      <alignment vertical="top" wrapText="1"/>
    </xf>
    <xf numFmtId="0" fontId="5" fillId="0" borderId="0" xfId="1" applyFont="1" applyAlignment="1">
      <alignment vertical="top"/>
    </xf>
    <xf numFmtId="0" fontId="17" fillId="0" borderId="0" xfId="1" applyFont="1"/>
    <xf numFmtId="0" fontId="6" fillId="0" borderId="0" xfId="0" applyFont="1"/>
    <xf numFmtId="0" fontId="3" fillId="0" borderId="0" xfId="3"/>
    <xf numFmtId="0" fontId="19" fillId="3" borderId="4" xfId="3" applyFont="1" applyFill="1" applyBorder="1"/>
    <xf numFmtId="0" fontId="3" fillId="0" borderId="4" xfId="3" applyBorder="1"/>
    <xf numFmtId="0" fontId="3" fillId="0" borderId="13" xfId="3" applyBorder="1"/>
    <xf numFmtId="0" fontId="3" fillId="0" borderId="0" xfId="3" applyAlignment="1">
      <alignment wrapText="1"/>
    </xf>
    <xf numFmtId="0" fontId="3" fillId="0" borderId="4" xfId="3" applyBorder="1" applyAlignment="1">
      <alignment wrapText="1"/>
    </xf>
    <xf numFmtId="0" fontId="18" fillId="0" borderId="0" xfId="3" applyFont="1"/>
    <xf numFmtId="0" fontId="0" fillId="3" borderId="4" xfId="0" applyFill="1" applyBorder="1"/>
    <xf numFmtId="0" fontId="0" fillId="0" borderId="9" xfId="0" applyBorder="1"/>
    <xf numFmtId="0" fontId="19" fillId="0" borderId="4" xfId="0" applyFont="1" applyBorder="1"/>
    <xf numFmtId="0" fontId="19" fillId="0" borderId="4" xfId="0" applyFont="1" applyBorder="1" applyAlignment="1">
      <alignment horizontal="center"/>
    </xf>
    <xf numFmtId="0" fontId="0" fillId="0" borderId="4" xfId="0" applyBorder="1"/>
    <xf numFmtId="0" fontId="2" fillId="0" borderId="0" xfId="3" applyFont="1"/>
    <xf numFmtId="0" fontId="13" fillId="0" borderId="4" xfId="0" applyFont="1" applyBorder="1" applyAlignment="1">
      <alignment horizontal="center" vertical="center"/>
    </xf>
    <xf numFmtId="0" fontId="20" fillId="0" borderId="4" xfId="0" applyFont="1" applyBorder="1" applyAlignment="1">
      <alignment horizontal="center" vertical="center"/>
    </xf>
    <xf numFmtId="14" fontId="0" fillId="0" borderId="0" xfId="0" applyNumberFormat="1"/>
    <xf numFmtId="0" fontId="11" fillId="0" borderId="0" xfId="4"/>
    <xf numFmtId="0" fontId="1" fillId="0" borderId="0" xfId="5"/>
    <xf numFmtId="0" fontId="1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19" fillId="0" borderId="4" xfId="5" applyFont="1" applyBorder="1" applyAlignment="1">
      <alignment horizontal="center" vertical="center"/>
    </xf>
    <xf numFmtId="1" fontId="18" fillId="0" borderId="4" xfId="5" applyNumberFormat="1" applyFont="1" applyBorder="1" applyAlignment="1">
      <alignment horizontal="center" vertical="center"/>
    </xf>
    <xf numFmtId="0" fontId="11" fillId="0" borderId="4" xfId="4" applyBorder="1" applyAlignment="1">
      <alignment horizontal="center" vertical="center"/>
    </xf>
    <xf numFmtId="0" fontId="21" fillId="0" borderId="0" xfId="4" applyFont="1"/>
    <xf numFmtId="0" fontId="22" fillId="3" borderId="19" xfId="0" applyFont="1" applyFill="1" applyBorder="1"/>
    <xf numFmtId="0" fontId="23" fillId="0" borderId="20" xfId="0" applyFont="1" applyBorder="1"/>
    <xf numFmtId="0" fontId="24" fillId="0" borderId="21" xfId="1" applyFont="1" applyBorder="1" applyAlignment="1" applyProtection="1">
      <alignment horizontal="center" vertical="top"/>
      <protection locked="0"/>
    </xf>
    <xf numFmtId="0" fontId="24" fillId="0" borderId="4" xfId="1" applyFont="1" applyBorder="1" applyAlignment="1" applyProtection="1">
      <alignment horizontal="center" vertical="top"/>
      <protection locked="0"/>
    </xf>
    <xf numFmtId="0" fontId="23" fillId="0" borderId="3" xfId="0" applyFont="1" applyBorder="1"/>
    <xf numFmtId="0" fontId="23" fillId="0" borderId="23" xfId="0" applyFont="1" applyBorder="1"/>
    <xf numFmtId="0" fontId="26" fillId="0" borderId="0" xfId="0" applyFont="1" applyProtection="1">
      <protection hidden="1"/>
    </xf>
    <xf numFmtId="0" fontId="13" fillId="0" borderId="24" xfId="1" applyFont="1" applyBorder="1"/>
    <xf numFmtId="0" fontId="26" fillId="0" borderId="24" xfId="0" applyFont="1" applyBorder="1" applyProtection="1">
      <protection hidden="1"/>
    </xf>
    <xf numFmtId="1" fontId="0" fillId="0" borderId="24" xfId="0" applyNumberFormat="1" applyBorder="1"/>
    <xf numFmtId="1" fontId="0" fillId="0" borderId="24" xfId="0" applyNumberFormat="1" applyBorder="1" applyAlignment="1">
      <alignment horizontal="right"/>
    </xf>
    <xf numFmtId="0" fontId="26" fillId="0" borderId="32" xfId="0" applyFont="1" applyBorder="1" applyProtection="1">
      <protection hidden="1"/>
    </xf>
    <xf numFmtId="1" fontId="0" fillId="0" borderId="33" xfId="0" applyNumberFormat="1" applyBorder="1"/>
    <xf numFmtId="0" fontId="24" fillId="0" borderId="4" xfId="1" applyFont="1" applyBorder="1" applyAlignment="1" applyProtection="1">
      <alignment horizontal="center" vertical="top" wrapText="1"/>
      <protection locked="0"/>
    </xf>
    <xf numFmtId="0" fontId="24" fillId="0" borderId="4" xfId="1" applyFont="1" applyBorder="1" applyAlignment="1" applyProtection="1">
      <alignment horizontal="center" wrapText="1"/>
      <protection locked="0"/>
    </xf>
    <xf numFmtId="1" fontId="24" fillId="0" borderId="4" xfId="1" applyNumberFormat="1" applyFont="1" applyBorder="1" applyAlignment="1" applyProtection="1">
      <alignment horizontal="center" wrapText="1"/>
      <protection locked="0"/>
    </xf>
    <xf numFmtId="0" fontId="24" fillId="0" borderId="27" xfId="1" applyFont="1" applyBorder="1" applyAlignment="1" applyProtection="1">
      <alignment horizontal="center" wrapText="1"/>
      <protection locked="0"/>
    </xf>
    <xf numFmtId="0" fontId="16" fillId="0" borderId="0" xfId="1" applyFont="1" applyAlignment="1">
      <alignment vertical="top" wrapText="1"/>
    </xf>
    <xf numFmtId="0" fontId="7" fillId="2" borderId="4" xfId="1" applyFont="1" applyFill="1" applyBorder="1" applyAlignment="1">
      <alignment horizontal="left" vertical="top"/>
    </xf>
    <xf numFmtId="0" fontId="7" fillId="2" borderId="4" xfId="1" applyFont="1" applyFill="1" applyBorder="1" applyAlignment="1">
      <alignment horizontal="left" vertical="top"/>
    </xf>
    <xf numFmtId="0" fontId="5" fillId="0" borderId="6" xfId="1" applyFont="1" applyBorder="1" applyAlignment="1">
      <alignment horizontal="left" vertical="top" wrapText="1"/>
    </xf>
    <xf numFmtId="0" fontId="24" fillId="0" borderId="21" xfId="1" applyFont="1" applyBorder="1" applyAlignment="1" applyProtection="1">
      <alignment horizontal="center" vertical="top" wrapText="1"/>
      <protection locked="0"/>
    </xf>
    <xf numFmtId="0" fontId="24" fillId="0" borderId="4" xfId="1" applyFont="1" applyBorder="1" applyAlignment="1" applyProtection="1">
      <alignment horizontal="center" vertical="top" wrapText="1"/>
      <protection locked="0"/>
    </xf>
    <xf numFmtId="9" fontId="24" fillId="2" borderId="5" xfId="1" applyNumberFormat="1" applyFont="1" applyFill="1" applyBorder="1" applyAlignment="1" applyProtection="1">
      <alignment horizontal="center" vertical="center" wrapText="1"/>
      <protection hidden="1"/>
    </xf>
    <xf numFmtId="9" fontId="24" fillId="2" borderId="7" xfId="1" applyNumberFormat="1" applyFont="1" applyFill="1" applyBorder="1" applyAlignment="1" applyProtection="1">
      <alignment horizontal="center" vertical="center" wrapText="1"/>
      <protection hidden="1"/>
    </xf>
    <xf numFmtId="9" fontId="24" fillId="2" borderId="11" xfId="1" applyNumberFormat="1" applyFont="1" applyFill="1" applyBorder="1" applyAlignment="1" applyProtection="1">
      <alignment horizontal="center" vertical="center" wrapText="1"/>
      <protection hidden="1"/>
    </xf>
    <xf numFmtId="9" fontId="24" fillId="2" borderId="12" xfId="1" applyNumberFormat="1" applyFont="1" applyFill="1" applyBorder="1" applyAlignment="1" applyProtection="1">
      <alignment horizontal="center" vertical="center" wrapText="1"/>
      <protection hidden="1"/>
    </xf>
    <xf numFmtId="9" fontId="24" fillId="2" borderId="30" xfId="1" applyNumberFormat="1" applyFont="1" applyFill="1" applyBorder="1" applyAlignment="1" applyProtection="1">
      <alignment horizontal="center" vertical="center" wrapText="1"/>
      <protection hidden="1"/>
    </xf>
    <xf numFmtId="9" fontId="24" fillId="2" borderId="31" xfId="1" applyNumberFormat="1" applyFont="1" applyFill="1" applyBorder="1" applyAlignment="1" applyProtection="1">
      <alignment horizontal="center" vertical="center" wrapText="1"/>
      <protection hidden="1"/>
    </xf>
    <xf numFmtId="9" fontId="24" fillId="2" borderId="6" xfId="1" applyNumberFormat="1" applyFont="1" applyFill="1" applyBorder="1" applyAlignment="1" applyProtection="1">
      <alignment horizontal="center" vertical="center" wrapText="1"/>
      <protection hidden="1"/>
    </xf>
    <xf numFmtId="9" fontId="24" fillId="2" borderId="25" xfId="1" applyNumberFormat="1" applyFont="1" applyFill="1" applyBorder="1" applyAlignment="1" applyProtection="1">
      <alignment horizontal="center" vertical="center" wrapText="1"/>
      <protection hidden="1"/>
    </xf>
    <xf numFmtId="9" fontId="24" fillId="2" borderId="0" xfId="1" applyNumberFormat="1" applyFont="1" applyFill="1" applyAlignment="1" applyProtection="1">
      <alignment horizontal="center" vertical="center" wrapText="1"/>
      <protection hidden="1"/>
    </xf>
    <xf numFmtId="9" fontId="24" fillId="2" borderId="24" xfId="1" applyNumberFormat="1" applyFont="1" applyFill="1" applyBorder="1" applyAlignment="1" applyProtection="1">
      <alignment horizontal="center" vertical="center" wrapText="1"/>
      <protection hidden="1"/>
    </xf>
    <xf numFmtId="9" fontId="24" fillId="2" borderId="32" xfId="1" applyNumberFormat="1" applyFont="1" applyFill="1" applyBorder="1" applyAlignment="1" applyProtection="1">
      <alignment horizontal="center" vertical="center" wrapText="1"/>
      <protection hidden="1"/>
    </xf>
    <xf numFmtId="9" fontId="24" fillId="2" borderId="33" xfId="1" applyNumberFormat="1" applyFont="1" applyFill="1" applyBorder="1" applyAlignment="1" applyProtection="1">
      <alignment horizontal="center" vertical="center" wrapText="1"/>
      <protection hidden="1"/>
    </xf>
    <xf numFmtId="0" fontId="24" fillId="0" borderId="26" xfId="1" applyFont="1" applyBorder="1" applyAlignment="1" applyProtection="1">
      <alignment horizontal="center" vertical="top" wrapText="1"/>
      <protection locked="0"/>
    </xf>
    <xf numFmtId="0" fontId="24" fillId="0" borderId="27" xfId="1" applyFont="1" applyBorder="1" applyAlignment="1" applyProtection="1">
      <alignment horizontal="center" vertical="top" wrapText="1"/>
      <protection locked="0"/>
    </xf>
    <xf numFmtId="9" fontId="24" fillId="2" borderId="28" xfId="1" applyNumberFormat="1" applyFont="1" applyFill="1" applyBorder="1" applyAlignment="1" applyProtection="1">
      <alignment horizontal="center" vertical="center" wrapText="1"/>
      <protection hidden="1"/>
    </xf>
    <xf numFmtId="9" fontId="24" fillId="2" borderId="29" xfId="1" applyNumberFormat="1" applyFont="1" applyFill="1" applyBorder="1" applyAlignment="1" applyProtection="1">
      <alignment horizontal="center" vertical="center" wrapText="1"/>
      <protection hidden="1"/>
    </xf>
    <xf numFmtId="1" fontId="12" fillId="0" borderId="1"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0" fontId="25" fillId="0" borderId="14" xfId="1" applyFont="1" applyBorder="1" applyAlignment="1" applyProtection="1">
      <alignment horizontal="left" vertical="top" wrapText="1"/>
      <protection locked="0"/>
    </xf>
    <xf numFmtId="0" fontId="25" fillId="0" borderId="15" xfId="1" applyFont="1" applyBorder="1" applyAlignment="1" applyProtection="1">
      <alignment horizontal="left" vertical="top" wrapText="1"/>
      <protection locked="0"/>
    </xf>
    <xf numFmtId="0" fontId="25" fillId="0" borderId="16" xfId="1" applyFont="1" applyBorder="1" applyAlignment="1" applyProtection="1">
      <alignment horizontal="left" vertical="top" wrapText="1"/>
      <protection locked="0"/>
    </xf>
    <xf numFmtId="0" fontId="25" fillId="0" borderId="17" xfId="1" applyFont="1" applyBorder="1" applyAlignment="1" applyProtection="1">
      <alignment horizontal="left" vertical="top" wrapText="1"/>
      <protection locked="0"/>
    </xf>
    <xf numFmtId="0" fontId="25" fillId="0" borderId="18" xfId="1" applyFont="1" applyBorder="1" applyAlignment="1" applyProtection="1">
      <alignment horizontal="left" vertical="top" wrapText="1"/>
      <protection locked="0"/>
    </xf>
    <xf numFmtId="0" fontId="24" fillId="0" borderId="1" xfId="1" applyFont="1" applyBorder="1" applyAlignment="1" applyProtection="1">
      <alignment horizontal="center" vertical="top"/>
      <protection locked="0"/>
    </xf>
    <xf numFmtId="0" fontId="24" fillId="0" borderId="22" xfId="1" applyFont="1" applyBorder="1" applyAlignment="1" applyProtection="1">
      <alignment horizontal="center" vertical="top"/>
      <protection locked="0"/>
    </xf>
    <xf numFmtId="0" fontId="25" fillId="0" borderId="21" xfId="1" applyFont="1" applyBorder="1" applyAlignment="1" applyProtection="1">
      <alignment horizontal="left" vertical="top"/>
      <protection locked="0"/>
    </xf>
    <xf numFmtId="0" fontId="25" fillId="0" borderId="4" xfId="1" applyFont="1" applyBorder="1" applyAlignment="1" applyProtection="1">
      <alignment horizontal="left" vertical="top"/>
      <protection locked="0"/>
    </xf>
    <xf numFmtId="0" fontId="25" fillId="0" borderId="1" xfId="1" applyFont="1" applyBorder="1" applyAlignment="1" applyProtection="1">
      <alignment horizontal="left" vertical="top" wrapText="1"/>
      <protection locked="0"/>
    </xf>
    <xf numFmtId="0" fontId="25" fillId="0" borderId="2" xfId="1" applyFont="1" applyBorder="1" applyAlignment="1" applyProtection="1">
      <alignment horizontal="left" vertical="top" wrapText="1"/>
      <protection locked="0"/>
    </xf>
    <xf numFmtId="0" fontId="25" fillId="0" borderId="22" xfId="1" applyFont="1" applyBorder="1" applyAlignment="1" applyProtection="1">
      <alignment horizontal="left" vertical="top" wrapText="1"/>
      <protection locked="0"/>
    </xf>
    <xf numFmtId="0" fontId="24" fillId="0" borderId="1" xfId="1" applyFont="1" applyBorder="1" applyAlignment="1" applyProtection="1">
      <alignment horizontal="center" vertical="top" wrapText="1"/>
      <protection locked="0"/>
    </xf>
    <xf numFmtId="0" fontId="24" fillId="0" borderId="3" xfId="1" applyFont="1" applyBorder="1" applyAlignment="1" applyProtection="1">
      <alignment horizontal="center" vertical="top" wrapText="1"/>
      <protection locked="0"/>
    </xf>
    <xf numFmtId="0" fontId="24" fillId="0" borderId="2" xfId="1" applyFont="1" applyBorder="1" applyAlignment="1" applyProtection="1">
      <alignment horizontal="center" vertical="top" wrapText="1"/>
      <protection locked="0"/>
    </xf>
    <xf numFmtId="0" fontId="24" fillId="0" borderId="22" xfId="1" applyFont="1" applyBorder="1" applyAlignment="1" applyProtection="1">
      <alignment horizontal="center" vertical="top" wrapText="1"/>
      <protection locked="0"/>
    </xf>
    <xf numFmtId="0" fontId="24" fillId="0" borderId="3" xfId="1" applyFont="1" applyBorder="1" applyAlignment="1" applyProtection="1">
      <alignment horizontal="center" vertical="top"/>
      <protection locked="0"/>
    </xf>
    <xf numFmtId="1" fontId="14" fillId="0" borderId="1"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1" fontId="12" fillId="0" borderId="11" xfId="1" applyNumberFormat="1" applyFont="1" applyBorder="1" applyAlignment="1">
      <alignment horizontal="center" vertical="center" wrapText="1"/>
    </xf>
    <xf numFmtId="1" fontId="12" fillId="0" borderId="12" xfId="1" applyNumberFormat="1" applyFont="1" applyBorder="1" applyAlignment="1">
      <alignment horizontal="center" vertical="center" wrapText="1"/>
    </xf>
    <xf numFmtId="1" fontId="12" fillId="0" borderId="8" xfId="1" applyNumberFormat="1" applyFont="1" applyBorder="1" applyAlignment="1">
      <alignment horizontal="center" vertical="center" wrapText="1"/>
    </xf>
    <xf numFmtId="1" fontId="12" fillId="0" borderId="10"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17" fillId="0" borderId="1" xfId="0" applyNumberFormat="1" applyFont="1" applyBorder="1" applyAlignment="1">
      <alignment horizontal="center" vertical="top" wrapText="1"/>
    </xf>
    <xf numFmtId="1" fontId="17" fillId="0" borderId="2" xfId="0" applyNumberFormat="1" applyFont="1" applyBorder="1" applyAlignment="1">
      <alignment horizontal="center" vertical="top" wrapText="1"/>
    </xf>
    <xf numFmtId="1" fontId="17" fillId="0" borderId="3" xfId="0" applyNumberFormat="1" applyFont="1"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11" xfId="1" applyFont="1" applyBorder="1" applyAlignment="1">
      <alignment horizontal="center" vertical="top" wrapText="1"/>
    </xf>
    <xf numFmtId="0" fontId="5" fillId="0" borderId="0" xfId="1" applyFont="1" applyAlignment="1">
      <alignment horizontal="center" vertical="top" wrapText="1"/>
    </xf>
    <xf numFmtId="0" fontId="5" fillId="0" borderId="12"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1" fontId="14" fillId="0" borderId="4" xfId="0" applyNumberFormat="1" applyFont="1" applyBorder="1" applyAlignment="1">
      <alignment horizontal="left" vertical="top" wrapText="1"/>
    </xf>
    <xf numFmtId="0" fontId="17"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12" fillId="0" borderId="2" xfId="1" applyNumberFormat="1" applyFont="1" applyBorder="1" applyAlignment="1">
      <alignment horizontal="center" vertical="center" wrapText="1"/>
    </xf>
    <xf numFmtId="1" fontId="12" fillId="0" borderId="6" xfId="1" applyNumberFormat="1" applyFont="1" applyBorder="1" applyAlignment="1">
      <alignment horizontal="center" vertical="center" wrapText="1"/>
    </xf>
    <xf numFmtId="1" fontId="12" fillId="0" borderId="9" xfId="1" applyNumberFormat="1" applyFont="1" applyBorder="1" applyAlignment="1">
      <alignment horizontal="center" vertical="center" wrapText="1"/>
    </xf>
    <xf numFmtId="1" fontId="12" fillId="0" borderId="4" xfId="1" applyNumberFormat="1" applyFont="1" applyBorder="1" applyAlignment="1">
      <alignment horizontal="center" vertical="center" wrapText="1"/>
    </xf>
    <xf numFmtId="1" fontId="14" fillId="0" borderId="4" xfId="1" applyNumberFormat="1" applyFont="1" applyBorder="1" applyAlignment="1">
      <alignment horizontal="center" vertical="center" wrapText="1"/>
    </xf>
    <xf numFmtId="0" fontId="15" fillId="0" borderId="1" xfId="1" applyFont="1" applyBorder="1" applyAlignment="1">
      <alignment horizontal="center" vertical="top"/>
    </xf>
    <xf numFmtId="0" fontId="15" fillId="0" borderId="2" xfId="1" applyFont="1" applyBorder="1" applyAlignment="1">
      <alignment horizontal="center" vertical="top"/>
    </xf>
    <xf numFmtId="0" fontId="15" fillId="0" borderId="3" xfId="1" applyFont="1" applyBorder="1" applyAlignment="1">
      <alignment horizontal="center" vertical="top"/>
    </xf>
    <xf numFmtId="1" fontId="14" fillId="0" borderId="1" xfId="1" applyNumberFormat="1" applyFont="1" applyBorder="1" applyAlignment="1">
      <alignment horizontal="center" vertical="top" wrapText="1"/>
    </xf>
    <xf numFmtId="1" fontId="14" fillId="0" borderId="3" xfId="1" applyNumberFormat="1" applyFont="1" applyBorder="1" applyAlignment="1">
      <alignment horizontal="center" vertical="top" wrapText="1"/>
    </xf>
    <xf numFmtId="1" fontId="5" fillId="0" borderId="1" xfId="1" applyNumberFormat="1" applyFont="1" applyBorder="1" applyAlignment="1">
      <alignment horizontal="center" vertical="top" wrapText="1"/>
    </xf>
    <xf numFmtId="1" fontId="5" fillId="0" borderId="3" xfId="1" applyNumberFormat="1" applyFont="1" applyBorder="1" applyAlignment="1">
      <alignment horizontal="center" vertical="top" wrapText="1"/>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10" fillId="0" borderId="1" xfId="1" applyFont="1" applyBorder="1" applyAlignment="1">
      <alignment horizontal="left" vertical="top"/>
    </xf>
    <xf numFmtId="0" fontId="10" fillId="0" borderId="3" xfId="1" applyFont="1" applyBorder="1" applyAlignment="1">
      <alignment horizontal="left" vertical="top"/>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7" fillId="0" borderId="4" xfId="1" applyFont="1" applyBorder="1" applyAlignment="1">
      <alignment horizontal="left" vertical="top"/>
    </xf>
    <xf numFmtId="0" fontId="7" fillId="0" borderId="4" xfId="1" applyFont="1" applyBorder="1" applyAlignment="1">
      <alignment horizontal="center" vertical="top"/>
    </xf>
    <xf numFmtId="14" fontId="7" fillId="0" borderId="1" xfId="1" applyNumberFormat="1" applyFont="1" applyBorder="1" applyAlignment="1">
      <alignment horizontal="lef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5" fillId="0" borderId="4" xfId="1" applyFont="1" applyBorder="1" applyAlignment="1">
      <alignment horizontal="left" vertical="top"/>
    </xf>
    <xf numFmtId="0" fontId="7" fillId="0" borderId="4" xfId="1" applyFont="1" applyBorder="1" applyAlignment="1">
      <alignment horizontal="left" vertical="top" wrapText="1"/>
    </xf>
    <xf numFmtId="0" fontId="7" fillId="2" borderId="4" xfId="1" applyFont="1" applyFill="1" applyBorder="1" applyAlignment="1">
      <alignment horizontal="left" vertical="top" wrapText="1"/>
    </xf>
    <xf numFmtId="164" fontId="7" fillId="0" borderId="1" xfId="1" applyNumberFormat="1" applyFont="1" applyBorder="1" applyAlignment="1">
      <alignment horizontal="left" vertical="top"/>
    </xf>
    <xf numFmtId="164" fontId="7" fillId="0" borderId="2" xfId="1" applyNumberFormat="1" applyFont="1" applyBorder="1" applyAlignment="1">
      <alignment horizontal="left" vertical="top"/>
    </xf>
    <xf numFmtId="164" fontId="7" fillId="0" borderId="3" xfId="1" applyNumberFormat="1" applyFont="1" applyBorder="1" applyAlignment="1">
      <alignment horizontal="left" vertical="top"/>
    </xf>
    <xf numFmtId="0" fontId="9" fillId="0" borderId="3" xfId="1" applyFont="1" applyBorder="1" applyAlignment="1">
      <alignment horizontal="left" vertical="top"/>
    </xf>
    <xf numFmtId="2" fontId="7" fillId="0" borderId="1" xfId="1" applyNumberFormat="1" applyFont="1" applyBorder="1" applyAlignment="1">
      <alignment horizontal="left" vertical="top" wrapText="1"/>
    </xf>
    <xf numFmtId="2" fontId="7" fillId="0" borderId="2" xfId="1" applyNumberFormat="1" applyFont="1" applyBorder="1" applyAlignment="1">
      <alignment horizontal="left" vertical="top" wrapText="1"/>
    </xf>
    <xf numFmtId="2" fontId="7" fillId="0" borderId="3" xfId="1" applyNumberFormat="1" applyFont="1" applyBorder="1" applyAlignment="1">
      <alignment horizontal="left" vertical="top" wrapText="1"/>
    </xf>
    <xf numFmtId="0" fontId="27" fillId="0" borderId="1" xfId="7" applyBorder="1" applyAlignment="1">
      <alignment horizontal="left" vertical="top"/>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7" fillId="2" borderId="4" xfId="1" applyFont="1" applyFill="1" applyBorder="1" applyAlignment="1">
      <alignment horizontal="left" vertical="top"/>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9" fillId="0" borderId="4" xfId="5" applyFont="1" applyBorder="1" applyAlignment="1">
      <alignment horizontal="left"/>
    </xf>
    <xf numFmtId="0" fontId="0" fillId="3" borderId="4" xfId="0" applyFill="1" applyBorder="1" applyAlignment="1">
      <alignment horizontal="center" wrapText="1"/>
    </xf>
    <xf numFmtId="0" fontId="19" fillId="0" borderId="4" xfId="0" applyFont="1" applyBorder="1" applyAlignment="1">
      <alignment horizontal="center"/>
    </xf>
    <xf numFmtId="0" fontId="6" fillId="0" borderId="4" xfId="1" applyFont="1" applyBorder="1" applyAlignment="1">
      <alignment horizontal="left"/>
    </xf>
    <xf numFmtId="14" fontId="7" fillId="0" borderId="4" xfId="1" applyNumberFormat="1" applyFont="1" applyBorder="1" applyAlignment="1">
      <alignment horizontal="left" vertical="top"/>
    </xf>
    <xf numFmtId="0" fontId="5" fillId="0" borderId="4" xfId="1" applyFont="1" applyBorder="1" applyAlignment="1">
      <alignment vertical="top"/>
    </xf>
    <xf numFmtId="0" fontId="6" fillId="0" borderId="4" xfId="1" applyFont="1" applyBorder="1" applyAlignment="1">
      <alignment horizontal="center" vertical="top" wrapText="1"/>
    </xf>
    <xf numFmtId="0" fontId="9" fillId="0" borderId="4" xfId="1" applyFont="1" applyBorder="1" applyAlignment="1">
      <alignment horizontal="left" vertical="top" wrapText="1"/>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460980</xdr:colOff>
      <xdr:row>261</xdr:row>
      <xdr:rowOff>8479</xdr:rowOff>
    </xdr:from>
    <xdr:to>
      <xdr:col>8</xdr:col>
      <xdr:colOff>409575</xdr:colOff>
      <xdr:row>279</xdr:row>
      <xdr:rowOff>171860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60980" y="55015354"/>
          <a:ext cx="5482620" cy="3600000"/>
        </a:xfrm>
        <a:prstGeom prst="rect">
          <a:avLst/>
        </a:prstGeom>
        <a:ln>
          <a:solidFill>
            <a:schemeClr val="tx1"/>
          </a:solidFill>
        </a:ln>
      </xdr:spPr>
    </xdr:pic>
    <xdr:clientData/>
  </xdr:twoCellAnchor>
  <xdr:twoCellAnchor editAs="oneCell">
    <xdr:from>
      <xdr:col>0</xdr:col>
      <xdr:colOff>457200</xdr:colOff>
      <xdr:row>240</xdr:row>
      <xdr:rowOff>0</xdr:rowOff>
    </xdr:from>
    <xdr:to>
      <xdr:col>8</xdr:col>
      <xdr:colOff>409575</xdr:colOff>
      <xdr:row>258</xdr:row>
      <xdr:rowOff>171000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57200" y="51006375"/>
          <a:ext cx="5486400" cy="3600000"/>
        </a:xfrm>
        <a:prstGeom prst="rect">
          <a:avLst/>
        </a:prstGeom>
        <a:ln>
          <a:solidFill>
            <a:schemeClr val="tx1"/>
          </a:solidFill>
        </a:ln>
      </xdr:spPr>
    </xdr:pic>
    <xdr:clientData/>
  </xdr:twoCellAnchor>
  <xdr:twoCellAnchor>
    <xdr:from>
      <xdr:col>11</xdr:col>
      <xdr:colOff>129888</xdr:colOff>
      <xdr:row>191</xdr:row>
      <xdr:rowOff>51954</xdr:rowOff>
    </xdr:from>
    <xdr:to>
      <xdr:col>14</xdr:col>
      <xdr:colOff>311727</xdr:colOff>
      <xdr:row>193</xdr:row>
      <xdr:rowOff>45095</xdr:rowOff>
    </xdr:to>
    <xdr:sp macro="" textlink="">
      <xdr:nvSpPr>
        <xdr:cNvPr id="37" name="TextBox 4">
          <a:extLst>
            <a:ext uri="{FF2B5EF4-FFF2-40B4-BE49-F238E27FC236}">
              <a16:creationId xmlns:a16="http://schemas.microsoft.com/office/drawing/2014/main" id="{00000000-0008-0000-0000-000025000000}"/>
            </a:ext>
          </a:extLst>
        </xdr:cNvPr>
        <xdr:cNvSpPr txBox="1"/>
      </xdr:nvSpPr>
      <xdr:spPr>
        <a:xfrm>
          <a:off x="6987888" y="42472840"/>
          <a:ext cx="2000248"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0000"/>
              </a:solidFill>
            </a:rPr>
            <a:t>Type B (A wing)</a:t>
          </a:r>
        </a:p>
      </xdr:txBody>
    </xdr:sp>
    <xdr:clientData/>
  </xdr:twoCellAnchor>
  <xdr:twoCellAnchor>
    <xdr:from>
      <xdr:col>11</xdr:col>
      <xdr:colOff>51955</xdr:colOff>
      <xdr:row>193</xdr:row>
      <xdr:rowOff>164933</xdr:rowOff>
    </xdr:from>
    <xdr:to>
      <xdr:col>13</xdr:col>
      <xdr:colOff>562840</xdr:colOff>
      <xdr:row>195</xdr:row>
      <xdr:rowOff>158074</xdr:rowOff>
    </xdr:to>
    <xdr:sp macro="" textlink="">
      <xdr:nvSpPr>
        <xdr:cNvPr id="39" name="TextBox 4">
          <a:extLst>
            <a:ext uri="{FF2B5EF4-FFF2-40B4-BE49-F238E27FC236}">
              <a16:creationId xmlns:a16="http://schemas.microsoft.com/office/drawing/2014/main" id="{00000000-0008-0000-0000-000027000000}"/>
            </a:ext>
          </a:extLst>
        </xdr:cNvPr>
        <xdr:cNvSpPr txBox="1"/>
      </xdr:nvSpPr>
      <xdr:spPr>
        <a:xfrm>
          <a:off x="6996546" y="42966819"/>
          <a:ext cx="1723158"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0000"/>
              </a:solidFill>
            </a:rPr>
            <a:t>Type A (B wing)</a:t>
          </a:r>
        </a:p>
      </xdr:txBody>
    </xdr:sp>
    <xdr:clientData/>
  </xdr:twoCellAnchor>
  <xdr:twoCellAnchor>
    <xdr:from>
      <xdr:col>11</xdr:col>
      <xdr:colOff>0</xdr:colOff>
      <xdr:row>203</xdr:row>
      <xdr:rowOff>120542</xdr:rowOff>
    </xdr:from>
    <xdr:to>
      <xdr:col>13</xdr:col>
      <xdr:colOff>85684</xdr:colOff>
      <xdr:row>205</xdr:row>
      <xdr:rowOff>29502</xdr:rowOff>
    </xdr:to>
    <xdr:sp macro="" textlink="">
      <xdr:nvSpPr>
        <xdr:cNvPr id="18" name="TextBox 17"/>
        <xdr:cNvSpPr txBox="1"/>
      </xdr:nvSpPr>
      <xdr:spPr>
        <a:xfrm>
          <a:off x="7264400" y="43643442"/>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Type B (A Wing)</a:t>
          </a:r>
        </a:p>
      </xdr:txBody>
    </xdr:sp>
    <xdr:clientData/>
  </xdr:twoCellAnchor>
  <xdr:twoCellAnchor>
    <xdr:from>
      <xdr:col>12</xdr:col>
      <xdr:colOff>12700</xdr:colOff>
      <xdr:row>188</xdr:row>
      <xdr:rowOff>31750</xdr:rowOff>
    </xdr:from>
    <xdr:to>
      <xdr:col>14</xdr:col>
      <xdr:colOff>98384</xdr:colOff>
      <xdr:row>189</xdr:row>
      <xdr:rowOff>99460</xdr:rowOff>
    </xdr:to>
    <xdr:sp macro="" textlink="">
      <xdr:nvSpPr>
        <xdr:cNvPr id="19" name="TextBox 18"/>
        <xdr:cNvSpPr txBox="1"/>
      </xdr:nvSpPr>
      <xdr:spPr>
        <a:xfrm>
          <a:off x="7924800" y="40868600"/>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Type A (A Wing)</a:t>
          </a:r>
        </a:p>
      </xdr:txBody>
    </xdr:sp>
    <xdr:clientData/>
  </xdr:twoCellAnchor>
  <xdr:twoCellAnchor>
    <xdr:from>
      <xdr:col>15</xdr:col>
      <xdr:colOff>250713</xdr:colOff>
      <xdr:row>188</xdr:row>
      <xdr:rowOff>0</xdr:rowOff>
    </xdr:from>
    <xdr:to>
      <xdr:col>17</xdr:col>
      <xdr:colOff>336397</xdr:colOff>
      <xdr:row>189</xdr:row>
      <xdr:rowOff>67710</xdr:rowOff>
    </xdr:to>
    <xdr:sp macro="" textlink="">
      <xdr:nvSpPr>
        <xdr:cNvPr id="20" name="TextBox 19"/>
        <xdr:cNvSpPr txBox="1"/>
      </xdr:nvSpPr>
      <xdr:spPr>
        <a:xfrm>
          <a:off x="10105913" y="40836850"/>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Type A (B Wing)</a:t>
          </a:r>
        </a:p>
      </xdr:txBody>
    </xdr:sp>
    <xdr:clientData/>
  </xdr:twoCellAnchor>
  <xdr:twoCellAnchor>
    <xdr:from>
      <xdr:col>0</xdr:col>
      <xdr:colOff>114300</xdr:colOff>
      <xdr:row>188</xdr:row>
      <xdr:rowOff>69850</xdr:rowOff>
    </xdr:from>
    <xdr:to>
      <xdr:col>9</xdr:col>
      <xdr:colOff>348709</xdr:colOff>
      <xdr:row>225</xdr:row>
      <xdr:rowOff>152616</xdr:rowOff>
    </xdr:to>
    <xdr:grpSp>
      <xdr:nvGrpSpPr>
        <xdr:cNvPr id="3" name="Group 2"/>
        <xdr:cNvGrpSpPr/>
      </xdr:nvGrpSpPr>
      <xdr:grpSpPr>
        <a:xfrm>
          <a:off x="114300" y="40728900"/>
          <a:ext cx="6381209" cy="6680416"/>
          <a:chOff x="114300" y="40728900"/>
          <a:chExt cx="6381209" cy="6680416"/>
        </a:xfrm>
      </xdr:grpSpPr>
      <xdr:pic>
        <xdr:nvPicPr>
          <xdr:cNvPr id="23" name="Picture 2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247685" y="45249316"/>
            <a:ext cx="161831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889354" y="40728900"/>
            <a:ext cx="161831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14300" y="42989108"/>
            <a:ext cx="287733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60532" y="40728900"/>
            <a:ext cx="1618313"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618176" y="40728900"/>
            <a:ext cx="287733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77196" y="42989108"/>
            <a:ext cx="1618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19335" y="45249316"/>
            <a:ext cx="1618313"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125258" y="42989108"/>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483510" y="45249316"/>
            <a:ext cx="1618313" cy="2160000"/>
          </a:xfrm>
          <a:prstGeom prst="rect">
            <a:avLst/>
          </a:prstGeom>
          <a:ln>
            <a:solidFill>
              <a:schemeClr val="tx1"/>
            </a:solidFill>
          </a:ln>
        </xdr:spPr>
      </xdr:pic>
      <xdr:sp macro="" textlink="">
        <xdr:nvSpPr>
          <xdr:cNvPr id="35" name="TextBox 34"/>
          <xdr:cNvSpPr txBox="1"/>
        </xdr:nvSpPr>
        <xdr:spPr>
          <a:xfrm>
            <a:off x="382782" y="42545000"/>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solidFill>
                  <a:srgbClr val="FFFF00"/>
                </a:solidFill>
              </a:rPr>
              <a:t>Bldg Type A (A Wing)</a:t>
            </a:r>
          </a:p>
        </xdr:txBody>
      </xdr:sp>
      <xdr:sp macro="" textlink="">
        <xdr:nvSpPr>
          <xdr:cNvPr id="47" name="TextBox 46"/>
          <xdr:cNvSpPr txBox="1"/>
        </xdr:nvSpPr>
        <xdr:spPr>
          <a:xfrm>
            <a:off x="2016354" y="42456100"/>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solidFill>
                  <a:srgbClr val="FFFF00"/>
                </a:solidFill>
              </a:rPr>
              <a:t>Bldg Type A (B Wing)</a:t>
            </a:r>
          </a:p>
        </xdr:txBody>
      </xdr:sp>
      <xdr:sp macro="" textlink="">
        <xdr:nvSpPr>
          <xdr:cNvPr id="48" name="TextBox 47"/>
          <xdr:cNvSpPr txBox="1"/>
        </xdr:nvSpPr>
        <xdr:spPr>
          <a:xfrm>
            <a:off x="4678626" y="42284650"/>
            <a:ext cx="13810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solidFill>
                  <a:srgbClr val="FFFF00"/>
                </a:solidFill>
              </a:rPr>
              <a:t>Bldg Type B (A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396240</xdr:colOff>
      <xdr:row>0</xdr:row>
      <xdr:rowOff>152400</xdr:rowOff>
    </xdr:from>
    <xdr:to>
      <xdr:col>10</xdr:col>
      <xdr:colOff>312773</xdr:colOff>
      <xdr:row>20</xdr:row>
      <xdr:rowOff>94800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152400"/>
          <a:ext cx="4793333"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8</xdr:row>
      <xdr:rowOff>160020</xdr:rowOff>
    </xdr:from>
    <xdr:to>
      <xdr:col>6</xdr:col>
      <xdr:colOff>1147281</xdr:colOff>
      <xdr:row>32</xdr:row>
      <xdr:rowOff>68040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11522" r="19102" b="5242"/>
        <a:stretch/>
      </xdr:blipFill>
      <xdr:spPr>
        <a:xfrm>
          <a:off x="1043940" y="2621280"/>
          <a:ext cx="7464261"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fmpYEkqi62RUMax9?coh=178572&amp;entry=tt"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9"/>
  <sheetViews>
    <sheetView tabSelected="1" view="pageBreakPreview" zoomScaleNormal="100" zoomScaleSheetLayoutView="100" workbookViewId="0">
      <selection activeCell="F9" sqref="F9:J9"/>
    </sheetView>
  </sheetViews>
  <sheetFormatPr defaultRowHeight="14" x14ac:dyDescent="0.3"/>
  <cols>
    <col min="1" max="1" width="8.7265625" style="1" customWidth="1"/>
    <col min="2" max="2" width="9.7265625" style="1" customWidth="1"/>
    <col min="3" max="3" width="14.453125" style="1" customWidth="1"/>
    <col min="4" max="4" width="7.26953125" style="1" customWidth="1"/>
    <col min="5" max="5" width="5.54296875" style="1" customWidth="1"/>
    <col min="6" max="6" width="11.54296875" style="1" customWidth="1"/>
    <col min="7" max="8" width="9.7265625" style="1" customWidth="1"/>
    <col min="9" max="9" width="11.26953125" style="1" customWidth="1"/>
    <col min="10" max="10" width="6.7265625" style="1" customWidth="1"/>
    <col min="11" max="254" width="9.26953125" style="1"/>
    <col min="255" max="255" width="8.7265625" style="1" customWidth="1"/>
    <col min="256" max="256" width="9.7265625" style="1" customWidth="1"/>
    <col min="257" max="257" width="14.453125" style="1" customWidth="1"/>
    <col min="258" max="258" width="7.26953125" style="1" customWidth="1"/>
    <col min="259" max="259" width="5.54296875" style="1" customWidth="1"/>
    <col min="260" max="260" width="9" style="1" customWidth="1"/>
    <col min="261" max="262" width="9.7265625" style="1" customWidth="1"/>
    <col min="263" max="263" width="11.26953125" style="1" customWidth="1"/>
    <col min="264" max="264" width="2.7265625" style="1" customWidth="1"/>
    <col min="265" max="265" width="3.54296875" style="1" customWidth="1"/>
    <col min="266" max="510" width="9.26953125" style="1"/>
    <col min="511" max="511" width="8.7265625" style="1" customWidth="1"/>
    <col min="512" max="512" width="9.7265625" style="1" customWidth="1"/>
    <col min="513" max="513" width="14.453125" style="1" customWidth="1"/>
    <col min="514" max="514" width="7.26953125" style="1" customWidth="1"/>
    <col min="515" max="515" width="5.54296875" style="1" customWidth="1"/>
    <col min="516" max="516" width="9" style="1" customWidth="1"/>
    <col min="517" max="518" width="9.7265625" style="1" customWidth="1"/>
    <col min="519" max="519" width="11.26953125" style="1" customWidth="1"/>
    <col min="520" max="520" width="2.7265625" style="1" customWidth="1"/>
    <col min="521" max="521" width="3.54296875" style="1" customWidth="1"/>
    <col min="522" max="766" width="9.26953125" style="1"/>
    <col min="767" max="767" width="8.7265625" style="1" customWidth="1"/>
    <col min="768" max="768" width="9.7265625" style="1" customWidth="1"/>
    <col min="769" max="769" width="14.453125" style="1" customWidth="1"/>
    <col min="770" max="770" width="7.26953125" style="1" customWidth="1"/>
    <col min="771" max="771" width="5.54296875" style="1" customWidth="1"/>
    <col min="772" max="772" width="9" style="1" customWidth="1"/>
    <col min="773" max="774" width="9.7265625" style="1" customWidth="1"/>
    <col min="775" max="775" width="11.26953125" style="1" customWidth="1"/>
    <col min="776" max="776" width="2.7265625" style="1" customWidth="1"/>
    <col min="777" max="777" width="3.54296875" style="1" customWidth="1"/>
    <col min="778" max="1022" width="9.26953125" style="1"/>
    <col min="1023" max="1023" width="8.7265625" style="1" customWidth="1"/>
    <col min="1024" max="1024" width="9.7265625" style="1" customWidth="1"/>
    <col min="1025" max="1025" width="14.453125" style="1" customWidth="1"/>
    <col min="1026" max="1026" width="7.26953125" style="1" customWidth="1"/>
    <col min="1027" max="1027" width="5.54296875" style="1" customWidth="1"/>
    <col min="1028" max="1028" width="9" style="1" customWidth="1"/>
    <col min="1029" max="1030" width="9.7265625" style="1" customWidth="1"/>
    <col min="1031" max="1031" width="11.26953125" style="1" customWidth="1"/>
    <col min="1032" max="1032" width="2.7265625" style="1" customWidth="1"/>
    <col min="1033" max="1033" width="3.54296875" style="1" customWidth="1"/>
    <col min="1034" max="1278" width="9.26953125" style="1"/>
    <col min="1279" max="1279" width="8.7265625" style="1" customWidth="1"/>
    <col min="1280" max="1280" width="9.7265625" style="1" customWidth="1"/>
    <col min="1281" max="1281" width="14.453125" style="1" customWidth="1"/>
    <col min="1282" max="1282" width="7.26953125" style="1" customWidth="1"/>
    <col min="1283" max="1283" width="5.54296875" style="1" customWidth="1"/>
    <col min="1284" max="1284" width="9" style="1" customWidth="1"/>
    <col min="1285" max="1286" width="9.7265625" style="1" customWidth="1"/>
    <col min="1287" max="1287" width="11.26953125" style="1" customWidth="1"/>
    <col min="1288" max="1288" width="2.7265625" style="1" customWidth="1"/>
    <col min="1289" max="1289" width="3.54296875" style="1" customWidth="1"/>
    <col min="1290" max="1534" width="9.26953125" style="1"/>
    <col min="1535" max="1535" width="8.7265625" style="1" customWidth="1"/>
    <col min="1536" max="1536" width="9.7265625" style="1" customWidth="1"/>
    <col min="1537" max="1537" width="14.453125" style="1" customWidth="1"/>
    <col min="1538" max="1538" width="7.26953125" style="1" customWidth="1"/>
    <col min="1539" max="1539" width="5.54296875" style="1" customWidth="1"/>
    <col min="1540" max="1540" width="9" style="1" customWidth="1"/>
    <col min="1541" max="1542" width="9.7265625" style="1" customWidth="1"/>
    <col min="1543" max="1543" width="11.26953125" style="1" customWidth="1"/>
    <col min="1544" max="1544" width="2.7265625" style="1" customWidth="1"/>
    <col min="1545" max="1545" width="3.54296875" style="1" customWidth="1"/>
    <col min="1546" max="1790" width="9.26953125" style="1"/>
    <col min="1791" max="1791" width="8.7265625" style="1" customWidth="1"/>
    <col min="1792" max="1792" width="9.7265625" style="1" customWidth="1"/>
    <col min="1793" max="1793" width="14.453125" style="1" customWidth="1"/>
    <col min="1794" max="1794" width="7.26953125" style="1" customWidth="1"/>
    <col min="1795" max="1795" width="5.54296875" style="1" customWidth="1"/>
    <col min="1796" max="1796" width="9" style="1" customWidth="1"/>
    <col min="1797" max="1798" width="9.7265625" style="1" customWidth="1"/>
    <col min="1799" max="1799" width="11.26953125" style="1" customWidth="1"/>
    <col min="1800" max="1800" width="2.7265625" style="1" customWidth="1"/>
    <col min="1801" max="1801" width="3.54296875" style="1" customWidth="1"/>
    <col min="1802" max="2046" width="9.26953125" style="1"/>
    <col min="2047" max="2047" width="8.7265625" style="1" customWidth="1"/>
    <col min="2048" max="2048" width="9.7265625" style="1" customWidth="1"/>
    <col min="2049" max="2049" width="14.453125" style="1" customWidth="1"/>
    <col min="2050" max="2050" width="7.26953125" style="1" customWidth="1"/>
    <col min="2051" max="2051" width="5.54296875" style="1" customWidth="1"/>
    <col min="2052" max="2052" width="9" style="1" customWidth="1"/>
    <col min="2053" max="2054" width="9.7265625" style="1" customWidth="1"/>
    <col min="2055" max="2055" width="11.26953125" style="1" customWidth="1"/>
    <col min="2056" max="2056" width="2.7265625" style="1" customWidth="1"/>
    <col min="2057" max="2057" width="3.54296875" style="1" customWidth="1"/>
    <col min="2058" max="2302" width="9.26953125" style="1"/>
    <col min="2303" max="2303" width="8.7265625" style="1" customWidth="1"/>
    <col min="2304" max="2304" width="9.7265625" style="1" customWidth="1"/>
    <col min="2305" max="2305" width="14.453125" style="1" customWidth="1"/>
    <col min="2306" max="2306" width="7.26953125" style="1" customWidth="1"/>
    <col min="2307" max="2307" width="5.54296875" style="1" customWidth="1"/>
    <col min="2308" max="2308" width="9" style="1" customWidth="1"/>
    <col min="2309" max="2310" width="9.7265625" style="1" customWidth="1"/>
    <col min="2311" max="2311" width="11.26953125" style="1" customWidth="1"/>
    <col min="2312" max="2312" width="2.7265625" style="1" customWidth="1"/>
    <col min="2313" max="2313" width="3.54296875" style="1" customWidth="1"/>
    <col min="2314" max="2558" width="9.26953125" style="1"/>
    <col min="2559" max="2559" width="8.7265625" style="1" customWidth="1"/>
    <col min="2560" max="2560" width="9.7265625" style="1" customWidth="1"/>
    <col min="2561" max="2561" width="14.453125" style="1" customWidth="1"/>
    <col min="2562" max="2562" width="7.26953125" style="1" customWidth="1"/>
    <col min="2563" max="2563" width="5.54296875" style="1" customWidth="1"/>
    <col min="2564" max="2564" width="9" style="1" customWidth="1"/>
    <col min="2565" max="2566" width="9.7265625" style="1" customWidth="1"/>
    <col min="2567" max="2567" width="11.26953125" style="1" customWidth="1"/>
    <col min="2568" max="2568" width="2.7265625" style="1" customWidth="1"/>
    <col min="2569" max="2569" width="3.54296875" style="1" customWidth="1"/>
    <col min="2570" max="2814" width="9.26953125" style="1"/>
    <col min="2815" max="2815" width="8.7265625" style="1" customWidth="1"/>
    <col min="2816" max="2816" width="9.7265625" style="1" customWidth="1"/>
    <col min="2817" max="2817" width="14.453125" style="1" customWidth="1"/>
    <col min="2818" max="2818" width="7.26953125" style="1" customWidth="1"/>
    <col min="2819" max="2819" width="5.54296875" style="1" customWidth="1"/>
    <col min="2820" max="2820" width="9" style="1" customWidth="1"/>
    <col min="2821" max="2822" width="9.7265625" style="1" customWidth="1"/>
    <col min="2823" max="2823" width="11.26953125" style="1" customWidth="1"/>
    <col min="2824" max="2824" width="2.7265625" style="1" customWidth="1"/>
    <col min="2825" max="2825" width="3.54296875" style="1" customWidth="1"/>
    <col min="2826" max="3070" width="9.26953125" style="1"/>
    <col min="3071" max="3071" width="8.7265625" style="1" customWidth="1"/>
    <col min="3072" max="3072" width="9.7265625" style="1" customWidth="1"/>
    <col min="3073" max="3073" width="14.453125" style="1" customWidth="1"/>
    <col min="3074" max="3074" width="7.26953125" style="1" customWidth="1"/>
    <col min="3075" max="3075" width="5.54296875" style="1" customWidth="1"/>
    <col min="3076" max="3076" width="9" style="1" customWidth="1"/>
    <col min="3077" max="3078" width="9.7265625" style="1" customWidth="1"/>
    <col min="3079" max="3079" width="11.26953125" style="1" customWidth="1"/>
    <col min="3080" max="3080" width="2.7265625" style="1" customWidth="1"/>
    <col min="3081" max="3081" width="3.54296875" style="1" customWidth="1"/>
    <col min="3082" max="3326" width="9.26953125" style="1"/>
    <col min="3327" max="3327" width="8.7265625" style="1" customWidth="1"/>
    <col min="3328" max="3328" width="9.7265625" style="1" customWidth="1"/>
    <col min="3329" max="3329" width="14.453125" style="1" customWidth="1"/>
    <col min="3330" max="3330" width="7.26953125" style="1" customWidth="1"/>
    <col min="3331" max="3331" width="5.54296875" style="1" customWidth="1"/>
    <col min="3332" max="3332" width="9" style="1" customWidth="1"/>
    <col min="3333" max="3334" width="9.7265625" style="1" customWidth="1"/>
    <col min="3335" max="3335" width="11.26953125" style="1" customWidth="1"/>
    <col min="3336" max="3336" width="2.7265625" style="1" customWidth="1"/>
    <col min="3337" max="3337" width="3.54296875" style="1" customWidth="1"/>
    <col min="3338" max="3582" width="9.26953125" style="1"/>
    <col min="3583" max="3583" width="8.7265625" style="1" customWidth="1"/>
    <col min="3584" max="3584" width="9.7265625" style="1" customWidth="1"/>
    <col min="3585" max="3585" width="14.453125" style="1" customWidth="1"/>
    <col min="3586" max="3586" width="7.26953125" style="1" customWidth="1"/>
    <col min="3587" max="3587" width="5.54296875" style="1" customWidth="1"/>
    <col min="3588" max="3588" width="9" style="1" customWidth="1"/>
    <col min="3589" max="3590" width="9.7265625" style="1" customWidth="1"/>
    <col min="3591" max="3591" width="11.26953125" style="1" customWidth="1"/>
    <col min="3592" max="3592" width="2.7265625" style="1" customWidth="1"/>
    <col min="3593" max="3593" width="3.54296875" style="1" customWidth="1"/>
    <col min="3594" max="3838" width="9.26953125" style="1"/>
    <col min="3839" max="3839" width="8.7265625" style="1" customWidth="1"/>
    <col min="3840" max="3840" width="9.7265625" style="1" customWidth="1"/>
    <col min="3841" max="3841" width="14.453125" style="1" customWidth="1"/>
    <col min="3842" max="3842" width="7.26953125" style="1" customWidth="1"/>
    <col min="3843" max="3843" width="5.54296875" style="1" customWidth="1"/>
    <col min="3844" max="3844" width="9" style="1" customWidth="1"/>
    <col min="3845" max="3846" width="9.7265625" style="1" customWidth="1"/>
    <col min="3847" max="3847" width="11.26953125" style="1" customWidth="1"/>
    <col min="3848" max="3848" width="2.7265625" style="1" customWidth="1"/>
    <col min="3849" max="3849" width="3.54296875" style="1" customWidth="1"/>
    <col min="3850" max="4094" width="9.26953125" style="1"/>
    <col min="4095" max="4095" width="8.7265625" style="1" customWidth="1"/>
    <col min="4096" max="4096" width="9.7265625" style="1" customWidth="1"/>
    <col min="4097" max="4097" width="14.453125" style="1" customWidth="1"/>
    <col min="4098" max="4098" width="7.26953125" style="1" customWidth="1"/>
    <col min="4099" max="4099" width="5.54296875" style="1" customWidth="1"/>
    <col min="4100" max="4100" width="9" style="1" customWidth="1"/>
    <col min="4101" max="4102" width="9.7265625" style="1" customWidth="1"/>
    <col min="4103" max="4103" width="11.26953125" style="1" customWidth="1"/>
    <col min="4104" max="4104" width="2.7265625" style="1" customWidth="1"/>
    <col min="4105" max="4105" width="3.54296875" style="1" customWidth="1"/>
    <col min="4106" max="4350" width="9.26953125" style="1"/>
    <col min="4351" max="4351" width="8.7265625" style="1" customWidth="1"/>
    <col min="4352" max="4352" width="9.7265625" style="1" customWidth="1"/>
    <col min="4353" max="4353" width="14.453125" style="1" customWidth="1"/>
    <col min="4354" max="4354" width="7.26953125" style="1" customWidth="1"/>
    <col min="4355" max="4355" width="5.54296875" style="1" customWidth="1"/>
    <col min="4356" max="4356" width="9" style="1" customWidth="1"/>
    <col min="4357" max="4358" width="9.7265625" style="1" customWidth="1"/>
    <col min="4359" max="4359" width="11.26953125" style="1" customWidth="1"/>
    <col min="4360" max="4360" width="2.7265625" style="1" customWidth="1"/>
    <col min="4361" max="4361" width="3.54296875" style="1" customWidth="1"/>
    <col min="4362" max="4606" width="9.26953125" style="1"/>
    <col min="4607" max="4607" width="8.7265625" style="1" customWidth="1"/>
    <col min="4608" max="4608" width="9.7265625" style="1" customWidth="1"/>
    <col min="4609" max="4609" width="14.453125" style="1" customWidth="1"/>
    <col min="4610" max="4610" width="7.26953125" style="1" customWidth="1"/>
    <col min="4611" max="4611" width="5.54296875" style="1" customWidth="1"/>
    <col min="4612" max="4612" width="9" style="1" customWidth="1"/>
    <col min="4613" max="4614" width="9.7265625" style="1" customWidth="1"/>
    <col min="4615" max="4615" width="11.26953125" style="1" customWidth="1"/>
    <col min="4616" max="4616" width="2.7265625" style="1" customWidth="1"/>
    <col min="4617" max="4617" width="3.54296875" style="1" customWidth="1"/>
    <col min="4618" max="4862" width="9.26953125" style="1"/>
    <col min="4863" max="4863" width="8.7265625" style="1" customWidth="1"/>
    <col min="4864" max="4864" width="9.7265625" style="1" customWidth="1"/>
    <col min="4865" max="4865" width="14.453125" style="1" customWidth="1"/>
    <col min="4866" max="4866" width="7.26953125" style="1" customWidth="1"/>
    <col min="4867" max="4867" width="5.54296875" style="1" customWidth="1"/>
    <col min="4868" max="4868" width="9" style="1" customWidth="1"/>
    <col min="4869" max="4870" width="9.7265625" style="1" customWidth="1"/>
    <col min="4871" max="4871" width="11.26953125" style="1" customWidth="1"/>
    <col min="4872" max="4872" width="2.7265625" style="1" customWidth="1"/>
    <col min="4873" max="4873" width="3.54296875" style="1" customWidth="1"/>
    <col min="4874" max="5118" width="9.26953125" style="1"/>
    <col min="5119" max="5119" width="8.7265625" style="1" customWidth="1"/>
    <col min="5120" max="5120" width="9.7265625" style="1" customWidth="1"/>
    <col min="5121" max="5121" width="14.453125" style="1" customWidth="1"/>
    <col min="5122" max="5122" width="7.26953125" style="1" customWidth="1"/>
    <col min="5123" max="5123" width="5.54296875" style="1" customWidth="1"/>
    <col min="5124" max="5124" width="9" style="1" customWidth="1"/>
    <col min="5125" max="5126" width="9.7265625" style="1" customWidth="1"/>
    <col min="5127" max="5127" width="11.26953125" style="1" customWidth="1"/>
    <col min="5128" max="5128" width="2.7265625" style="1" customWidth="1"/>
    <col min="5129" max="5129" width="3.54296875" style="1" customWidth="1"/>
    <col min="5130" max="5374" width="9.26953125" style="1"/>
    <col min="5375" max="5375" width="8.7265625" style="1" customWidth="1"/>
    <col min="5376" max="5376" width="9.7265625" style="1" customWidth="1"/>
    <col min="5377" max="5377" width="14.453125" style="1" customWidth="1"/>
    <col min="5378" max="5378" width="7.26953125" style="1" customWidth="1"/>
    <col min="5379" max="5379" width="5.54296875" style="1" customWidth="1"/>
    <col min="5380" max="5380" width="9" style="1" customWidth="1"/>
    <col min="5381" max="5382" width="9.7265625" style="1" customWidth="1"/>
    <col min="5383" max="5383" width="11.26953125" style="1" customWidth="1"/>
    <col min="5384" max="5384" width="2.7265625" style="1" customWidth="1"/>
    <col min="5385" max="5385" width="3.54296875" style="1" customWidth="1"/>
    <col min="5386" max="5630" width="9.26953125" style="1"/>
    <col min="5631" max="5631" width="8.7265625" style="1" customWidth="1"/>
    <col min="5632" max="5632" width="9.7265625" style="1" customWidth="1"/>
    <col min="5633" max="5633" width="14.453125" style="1" customWidth="1"/>
    <col min="5634" max="5634" width="7.26953125" style="1" customWidth="1"/>
    <col min="5635" max="5635" width="5.54296875" style="1" customWidth="1"/>
    <col min="5636" max="5636" width="9" style="1" customWidth="1"/>
    <col min="5637" max="5638" width="9.7265625" style="1" customWidth="1"/>
    <col min="5639" max="5639" width="11.26953125" style="1" customWidth="1"/>
    <col min="5640" max="5640" width="2.7265625" style="1" customWidth="1"/>
    <col min="5641" max="5641" width="3.54296875" style="1" customWidth="1"/>
    <col min="5642" max="5886" width="9.26953125" style="1"/>
    <col min="5887" max="5887" width="8.7265625" style="1" customWidth="1"/>
    <col min="5888" max="5888" width="9.7265625" style="1" customWidth="1"/>
    <col min="5889" max="5889" width="14.453125" style="1" customWidth="1"/>
    <col min="5890" max="5890" width="7.26953125" style="1" customWidth="1"/>
    <col min="5891" max="5891" width="5.54296875" style="1" customWidth="1"/>
    <col min="5892" max="5892" width="9" style="1" customWidth="1"/>
    <col min="5893" max="5894" width="9.7265625" style="1" customWidth="1"/>
    <col min="5895" max="5895" width="11.26953125" style="1" customWidth="1"/>
    <col min="5896" max="5896" width="2.7265625" style="1" customWidth="1"/>
    <col min="5897" max="5897" width="3.54296875" style="1" customWidth="1"/>
    <col min="5898" max="6142" width="9.26953125" style="1"/>
    <col min="6143" max="6143" width="8.7265625" style="1" customWidth="1"/>
    <col min="6144" max="6144" width="9.7265625" style="1" customWidth="1"/>
    <col min="6145" max="6145" width="14.453125" style="1" customWidth="1"/>
    <col min="6146" max="6146" width="7.26953125" style="1" customWidth="1"/>
    <col min="6147" max="6147" width="5.54296875" style="1" customWidth="1"/>
    <col min="6148" max="6148" width="9" style="1" customWidth="1"/>
    <col min="6149" max="6150" width="9.7265625" style="1" customWidth="1"/>
    <col min="6151" max="6151" width="11.26953125" style="1" customWidth="1"/>
    <col min="6152" max="6152" width="2.7265625" style="1" customWidth="1"/>
    <col min="6153" max="6153" width="3.54296875" style="1" customWidth="1"/>
    <col min="6154" max="6398" width="9.26953125" style="1"/>
    <col min="6399" max="6399" width="8.7265625" style="1" customWidth="1"/>
    <col min="6400" max="6400" width="9.7265625" style="1" customWidth="1"/>
    <col min="6401" max="6401" width="14.453125" style="1" customWidth="1"/>
    <col min="6402" max="6402" width="7.26953125" style="1" customWidth="1"/>
    <col min="6403" max="6403" width="5.54296875" style="1" customWidth="1"/>
    <col min="6404" max="6404" width="9" style="1" customWidth="1"/>
    <col min="6405" max="6406" width="9.7265625" style="1" customWidth="1"/>
    <col min="6407" max="6407" width="11.26953125" style="1" customWidth="1"/>
    <col min="6408" max="6408" width="2.7265625" style="1" customWidth="1"/>
    <col min="6409" max="6409" width="3.54296875" style="1" customWidth="1"/>
    <col min="6410" max="6654" width="9.26953125" style="1"/>
    <col min="6655" max="6655" width="8.7265625" style="1" customWidth="1"/>
    <col min="6656" max="6656" width="9.7265625" style="1" customWidth="1"/>
    <col min="6657" max="6657" width="14.453125" style="1" customWidth="1"/>
    <col min="6658" max="6658" width="7.26953125" style="1" customWidth="1"/>
    <col min="6659" max="6659" width="5.54296875" style="1" customWidth="1"/>
    <col min="6660" max="6660" width="9" style="1" customWidth="1"/>
    <col min="6661" max="6662" width="9.7265625" style="1" customWidth="1"/>
    <col min="6663" max="6663" width="11.26953125" style="1" customWidth="1"/>
    <col min="6664" max="6664" width="2.7265625" style="1" customWidth="1"/>
    <col min="6665" max="6665" width="3.54296875" style="1" customWidth="1"/>
    <col min="6666" max="6910" width="9.26953125" style="1"/>
    <col min="6911" max="6911" width="8.7265625" style="1" customWidth="1"/>
    <col min="6912" max="6912" width="9.7265625" style="1" customWidth="1"/>
    <col min="6913" max="6913" width="14.453125" style="1" customWidth="1"/>
    <col min="6914" max="6914" width="7.26953125" style="1" customWidth="1"/>
    <col min="6915" max="6915" width="5.54296875" style="1" customWidth="1"/>
    <col min="6916" max="6916" width="9" style="1" customWidth="1"/>
    <col min="6917" max="6918" width="9.7265625" style="1" customWidth="1"/>
    <col min="6919" max="6919" width="11.26953125" style="1" customWidth="1"/>
    <col min="6920" max="6920" width="2.7265625" style="1" customWidth="1"/>
    <col min="6921" max="6921" width="3.54296875" style="1" customWidth="1"/>
    <col min="6922" max="7166" width="9.26953125" style="1"/>
    <col min="7167" max="7167" width="8.7265625" style="1" customWidth="1"/>
    <col min="7168" max="7168" width="9.7265625" style="1" customWidth="1"/>
    <col min="7169" max="7169" width="14.453125" style="1" customWidth="1"/>
    <col min="7170" max="7170" width="7.26953125" style="1" customWidth="1"/>
    <col min="7171" max="7171" width="5.54296875" style="1" customWidth="1"/>
    <col min="7172" max="7172" width="9" style="1" customWidth="1"/>
    <col min="7173" max="7174" width="9.7265625" style="1" customWidth="1"/>
    <col min="7175" max="7175" width="11.26953125" style="1" customWidth="1"/>
    <col min="7176" max="7176" width="2.7265625" style="1" customWidth="1"/>
    <col min="7177" max="7177" width="3.54296875" style="1" customWidth="1"/>
    <col min="7178" max="7422" width="9.26953125" style="1"/>
    <col min="7423" max="7423" width="8.7265625" style="1" customWidth="1"/>
    <col min="7424" max="7424" width="9.7265625" style="1" customWidth="1"/>
    <col min="7425" max="7425" width="14.453125" style="1" customWidth="1"/>
    <col min="7426" max="7426" width="7.26953125" style="1" customWidth="1"/>
    <col min="7427" max="7427" width="5.54296875" style="1" customWidth="1"/>
    <col min="7428" max="7428" width="9" style="1" customWidth="1"/>
    <col min="7429" max="7430" width="9.7265625" style="1" customWidth="1"/>
    <col min="7431" max="7431" width="11.26953125" style="1" customWidth="1"/>
    <col min="7432" max="7432" width="2.7265625" style="1" customWidth="1"/>
    <col min="7433" max="7433" width="3.54296875" style="1" customWidth="1"/>
    <col min="7434" max="7678" width="9.26953125" style="1"/>
    <col min="7679" max="7679" width="8.7265625" style="1" customWidth="1"/>
    <col min="7680" max="7680" width="9.7265625" style="1" customWidth="1"/>
    <col min="7681" max="7681" width="14.453125" style="1" customWidth="1"/>
    <col min="7682" max="7682" width="7.26953125" style="1" customWidth="1"/>
    <col min="7683" max="7683" width="5.54296875" style="1" customWidth="1"/>
    <col min="7684" max="7684" width="9" style="1" customWidth="1"/>
    <col min="7685" max="7686" width="9.7265625" style="1" customWidth="1"/>
    <col min="7687" max="7687" width="11.26953125" style="1" customWidth="1"/>
    <col min="7688" max="7688" width="2.7265625" style="1" customWidth="1"/>
    <col min="7689" max="7689" width="3.54296875" style="1" customWidth="1"/>
    <col min="7690" max="7934" width="9.26953125" style="1"/>
    <col min="7935" max="7935" width="8.7265625" style="1" customWidth="1"/>
    <col min="7936" max="7936" width="9.7265625" style="1" customWidth="1"/>
    <col min="7937" max="7937" width="14.453125" style="1" customWidth="1"/>
    <col min="7938" max="7938" width="7.26953125" style="1" customWidth="1"/>
    <col min="7939" max="7939" width="5.54296875" style="1" customWidth="1"/>
    <col min="7940" max="7940" width="9" style="1" customWidth="1"/>
    <col min="7941" max="7942" width="9.7265625" style="1" customWidth="1"/>
    <col min="7943" max="7943" width="11.26953125" style="1" customWidth="1"/>
    <col min="7944" max="7944" width="2.7265625" style="1" customWidth="1"/>
    <col min="7945" max="7945" width="3.54296875" style="1" customWidth="1"/>
    <col min="7946" max="8190" width="9.26953125" style="1"/>
    <col min="8191" max="8191" width="8.7265625" style="1" customWidth="1"/>
    <col min="8192" max="8192" width="9.7265625" style="1" customWidth="1"/>
    <col min="8193" max="8193" width="14.453125" style="1" customWidth="1"/>
    <col min="8194" max="8194" width="7.26953125" style="1" customWidth="1"/>
    <col min="8195" max="8195" width="5.54296875" style="1" customWidth="1"/>
    <col min="8196" max="8196" width="9" style="1" customWidth="1"/>
    <col min="8197" max="8198" width="9.7265625" style="1" customWidth="1"/>
    <col min="8199" max="8199" width="11.26953125" style="1" customWidth="1"/>
    <col min="8200" max="8200" width="2.7265625" style="1" customWidth="1"/>
    <col min="8201" max="8201" width="3.54296875" style="1" customWidth="1"/>
    <col min="8202" max="8446" width="9.26953125" style="1"/>
    <col min="8447" max="8447" width="8.7265625" style="1" customWidth="1"/>
    <col min="8448" max="8448" width="9.7265625" style="1" customWidth="1"/>
    <col min="8449" max="8449" width="14.453125" style="1" customWidth="1"/>
    <col min="8450" max="8450" width="7.26953125" style="1" customWidth="1"/>
    <col min="8451" max="8451" width="5.54296875" style="1" customWidth="1"/>
    <col min="8452" max="8452" width="9" style="1" customWidth="1"/>
    <col min="8453" max="8454" width="9.7265625" style="1" customWidth="1"/>
    <col min="8455" max="8455" width="11.26953125" style="1" customWidth="1"/>
    <col min="8456" max="8456" width="2.7265625" style="1" customWidth="1"/>
    <col min="8457" max="8457" width="3.54296875" style="1" customWidth="1"/>
    <col min="8458" max="8702" width="9.26953125" style="1"/>
    <col min="8703" max="8703" width="8.7265625" style="1" customWidth="1"/>
    <col min="8704" max="8704" width="9.7265625" style="1" customWidth="1"/>
    <col min="8705" max="8705" width="14.453125" style="1" customWidth="1"/>
    <col min="8706" max="8706" width="7.26953125" style="1" customWidth="1"/>
    <col min="8707" max="8707" width="5.54296875" style="1" customWidth="1"/>
    <col min="8708" max="8708" width="9" style="1" customWidth="1"/>
    <col min="8709" max="8710" width="9.7265625" style="1" customWidth="1"/>
    <col min="8711" max="8711" width="11.26953125" style="1" customWidth="1"/>
    <col min="8712" max="8712" width="2.7265625" style="1" customWidth="1"/>
    <col min="8713" max="8713" width="3.54296875" style="1" customWidth="1"/>
    <col min="8714" max="8958" width="9.26953125" style="1"/>
    <col min="8959" max="8959" width="8.7265625" style="1" customWidth="1"/>
    <col min="8960" max="8960" width="9.7265625" style="1" customWidth="1"/>
    <col min="8961" max="8961" width="14.453125" style="1" customWidth="1"/>
    <col min="8962" max="8962" width="7.26953125" style="1" customWidth="1"/>
    <col min="8963" max="8963" width="5.54296875" style="1" customWidth="1"/>
    <col min="8964" max="8964" width="9" style="1" customWidth="1"/>
    <col min="8965" max="8966" width="9.7265625" style="1" customWidth="1"/>
    <col min="8967" max="8967" width="11.26953125" style="1" customWidth="1"/>
    <col min="8968" max="8968" width="2.7265625" style="1" customWidth="1"/>
    <col min="8969" max="8969" width="3.54296875" style="1" customWidth="1"/>
    <col min="8970" max="9214" width="9.26953125" style="1"/>
    <col min="9215" max="9215" width="8.7265625" style="1" customWidth="1"/>
    <col min="9216" max="9216" width="9.7265625" style="1" customWidth="1"/>
    <col min="9217" max="9217" width="14.453125" style="1" customWidth="1"/>
    <col min="9218" max="9218" width="7.26953125" style="1" customWidth="1"/>
    <col min="9219" max="9219" width="5.54296875" style="1" customWidth="1"/>
    <col min="9220" max="9220" width="9" style="1" customWidth="1"/>
    <col min="9221" max="9222" width="9.7265625" style="1" customWidth="1"/>
    <col min="9223" max="9223" width="11.26953125" style="1" customWidth="1"/>
    <col min="9224" max="9224" width="2.7265625" style="1" customWidth="1"/>
    <col min="9225" max="9225" width="3.54296875" style="1" customWidth="1"/>
    <col min="9226" max="9470" width="9.26953125" style="1"/>
    <col min="9471" max="9471" width="8.7265625" style="1" customWidth="1"/>
    <col min="9472" max="9472" width="9.7265625" style="1" customWidth="1"/>
    <col min="9473" max="9473" width="14.453125" style="1" customWidth="1"/>
    <col min="9474" max="9474" width="7.26953125" style="1" customWidth="1"/>
    <col min="9475" max="9475" width="5.54296875" style="1" customWidth="1"/>
    <col min="9476" max="9476" width="9" style="1" customWidth="1"/>
    <col min="9477" max="9478" width="9.7265625" style="1" customWidth="1"/>
    <col min="9479" max="9479" width="11.26953125" style="1" customWidth="1"/>
    <col min="9480" max="9480" width="2.7265625" style="1" customWidth="1"/>
    <col min="9481" max="9481" width="3.54296875" style="1" customWidth="1"/>
    <col min="9482" max="9726" width="9.26953125" style="1"/>
    <col min="9727" max="9727" width="8.7265625" style="1" customWidth="1"/>
    <col min="9728" max="9728" width="9.7265625" style="1" customWidth="1"/>
    <col min="9729" max="9729" width="14.453125" style="1" customWidth="1"/>
    <col min="9730" max="9730" width="7.26953125" style="1" customWidth="1"/>
    <col min="9731" max="9731" width="5.54296875" style="1" customWidth="1"/>
    <col min="9732" max="9732" width="9" style="1" customWidth="1"/>
    <col min="9733" max="9734" width="9.7265625" style="1" customWidth="1"/>
    <col min="9735" max="9735" width="11.26953125" style="1" customWidth="1"/>
    <col min="9736" max="9736" width="2.7265625" style="1" customWidth="1"/>
    <col min="9737" max="9737" width="3.54296875" style="1" customWidth="1"/>
    <col min="9738" max="9982" width="9.26953125" style="1"/>
    <col min="9983" max="9983" width="8.7265625" style="1" customWidth="1"/>
    <col min="9984" max="9984" width="9.7265625" style="1" customWidth="1"/>
    <col min="9985" max="9985" width="14.453125" style="1" customWidth="1"/>
    <col min="9986" max="9986" width="7.26953125" style="1" customWidth="1"/>
    <col min="9987" max="9987" width="5.54296875" style="1" customWidth="1"/>
    <col min="9988" max="9988" width="9" style="1" customWidth="1"/>
    <col min="9989" max="9990" width="9.7265625" style="1" customWidth="1"/>
    <col min="9991" max="9991" width="11.26953125" style="1" customWidth="1"/>
    <col min="9992" max="9992" width="2.7265625" style="1" customWidth="1"/>
    <col min="9993" max="9993" width="3.54296875" style="1" customWidth="1"/>
    <col min="9994" max="10238" width="9.26953125" style="1"/>
    <col min="10239" max="10239" width="8.7265625" style="1" customWidth="1"/>
    <col min="10240" max="10240" width="9.7265625" style="1" customWidth="1"/>
    <col min="10241" max="10241" width="14.453125" style="1" customWidth="1"/>
    <col min="10242" max="10242" width="7.26953125" style="1" customWidth="1"/>
    <col min="10243" max="10243" width="5.54296875" style="1" customWidth="1"/>
    <col min="10244" max="10244" width="9" style="1" customWidth="1"/>
    <col min="10245" max="10246" width="9.7265625" style="1" customWidth="1"/>
    <col min="10247" max="10247" width="11.26953125" style="1" customWidth="1"/>
    <col min="10248" max="10248" width="2.7265625" style="1" customWidth="1"/>
    <col min="10249" max="10249" width="3.54296875" style="1" customWidth="1"/>
    <col min="10250" max="10494" width="9.26953125" style="1"/>
    <col min="10495" max="10495" width="8.7265625" style="1" customWidth="1"/>
    <col min="10496" max="10496" width="9.7265625" style="1" customWidth="1"/>
    <col min="10497" max="10497" width="14.453125" style="1" customWidth="1"/>
    <col min="10498" max="10498" width="7.26953125" style="1" customWidth="1"/>
    <col min="10499" max="10499" width="5.54296875" style="1" customWidth="1"/>
    <col min="10500" max="10500" width="9" style="1" customWidth="1"/>
    <col min="10501" max="10502" width="9.7265625" style="1" customWidth="1"/>
    <col min="10503" max="10503" width="11.26953125" style="1" customWidth="1"/>
    <col min="10504" max="10504" width="2.7265625" style="1" customWidth="1"/>
    <col min="10505" max="10505" width="3.54296875" style="1" customWidth="1"/>
    <col min="10506" max="10750" width="9.26953125" style="1"/>
    <col min="10751" max="10751" width="8.7265625" style="1" customWidth="1"/>
    <col min="10752" max="10752" width="9.7265625" style="1" customWidth="1"/>
    <col min="10753" max="10753" width="14.453125" style="1" customWidth="1"/>
    <col min="10754" max="10754" width="7.26953125" style="1" customWidth="1"/>
    <col min="10755" max="10755" width="5.54296875" style="1" customWidth="1"/>
    <col min="10756" max="10756" width="9" style="1" customWidth="1"/>
    <col min="10757" max="10758" width="9.7265625" style="1" customWidth="1"/>
    <col min="10759" max="10759" width="11.26953125" style="1" customWidth="1"/>
    <col min="10760" max="10760" width="2.7265625" style="1" customWidth="1"/>
    <col min="10761" max="10761" width="3.54296875" style="1" customWidth="1"/>
    <col min="10762" max="11006" width="9.26953125" style="1"/>
    <col min="11007" max="11007" width="8.7265625" style="1" customWidth="1"/>
    <col min="11008" max="11008" width="9.7265625" style="1" customWidth="1"/>
    <col min="11009" max="11009" width="14.453125" style="1" customWidth="1"/>
    <col min="11010" max="11010" width="7.26953125" style="1" customWidth="1"/>
    <col min="11011" max="11011" width="5.54296875" style="1" customWidth="1"/>
    <col min="11012" max="11012" width="9" style="1" customWidth="1"/>
    <col min="11013" max="11014" width="9.7265625" style="1" customWidth="1"/>
    <col min="11015" max="11015" width="11.26953125" style="1" customWidth="1"/>
    <col min="11016" max="11016" width="2.7265625" style="1" customWidth="1"/>
    <col min="11017" max="11017" width="3.54296875" style="1" customWidth="1"/>
    <col min="11018" max="11262" width="9.26953125" style="1"/>
    <col min="11263" max="11263" width="8.7265625" style="1" customWidth="1"/>
    <col min="11264" max="11264" width="9.7265625" style="1" customWidth="1"/>
    <col min="11265" max="11265" width="14.453125" style="1" customWidth="1"/>
    <col min="11266" max="11266" width="7.26953125" style="1" customWidth="1"/>
    <col min="11267" max="11267" width="5.54296875" style="1" customWidth="1"/>
    <col min="11268" max="11268" width="9" style="1" customWidth="1"/>
    <col min="11269" max="11270" width="9.7265625" style="1" customWidth="1"/>
    <col min="11271" max="11271" width="11.26953125" style="1" customWidth="1"/>
    <col min="11272" max="11272" width="2.7265625" style="1" customWidth="1"/>
    <col min="11273" max="11273" width="3.54296875" style="1" customWidth="1"/>
    <col min="11274" max="11518" width="9.26953125" style="1"/>
    <col min="11519" max="11519" width="8.7265625" style="1" customWidth="1"/>
    <col min="11520" max="11520" width="9.7265625" style="1" customWidth="1"/>
    <col min="11521" max="11521" width="14.453125" style="1" customWidth="1"/>
    <col min="11522" max="11522" width="7.26953125" style="1" customWidth="1"/>
    <col min="11523" max="11523" width="5.54296875" style="1" customWidth="1"/>
    <col min="11524" max="11524" width="9" style="1" customWidth="1"/>
    <col min="11525" max="11526" width="9.7265625" style="1" customWidth="1"/>
    <col min="11527" max="11527" width="11.26953125" style="1" customWidth="1"/>
    <col min="11528" max="11528" width="2.7265625" style="1" customWidth="1"/>
    <col min="11529" max="11529" width="3.54296875" style="1" customWidth="1"/>
    <col min="11530" max="11774" width="9.26953125" style="1"/>
    <col min="11775" max="11775" width="8.7265625" style="1" customWidth="1"/>
    <col min="11776" max="11776" width="9.7265625" style="1" customWidth="1"/>
    <col min="11777" max="11777" width="14.453125" style="1" customWidth="1"/>
    <col min="11778" max="11778" width="7.26953125" style="1" customWidth="1"/>
    <col min="11779" max="11779" width="5.54296875" style="1" customWidth="1"/>
    <col min="11780" max="11780" width="9" style="1" customWidth="1"/>
    <col min="11781" max="11782" width="9.7265625" style="1" customWidth="1"/>
    <col min="11783" max="11783" width="11.26953125" style="1" customWidth="1"/>
    <col min="11784" max="11784" width="2.7265625" style="1" customWidth="1"/>
    <col min="11785" max="11785" width="3.54296875" style="1" customWidth="1"/>
    <col min="11786" max="12030" width="9.26953125" style="1"/>
    <col min="12031" max="12031" width="8.7265625" style="1" customWidth="1"/>
    <col min="12032" max="12032" width="9.7265625" style="1" customWidth="1"/>
    <col min="12033" max="12033" width="14.453125" style="1" customWidth="1"/>
    <col min="12034" max="12034" width="7.26953125" style="1" customWidth="1"/>
    <col min="12035" max="12035" width="5.54296875" style="1" customWidth="1"/>
    <col min="12036" max="12036" width="9" style="1" customWidth="1"/>
    <col min="12037" max="12038" width="9.7265625" style="1" customWidth="1"/>
    <col min="12039" max="12039" width="11.26953125" style="1" customWidth="1"/>
    <col min="12040" max="12040" width="2.7265625" style="1" customWidth="1"/>
    <col min="12041" max="12041" width="3.54296875" style="1" customWidth="1"/>
    <col min="12042" max="12286" width="9.26953125" style="1"/>
    <col min="12287" max="12287" width="8.7265625" style="1" customWidth="1"/>
    <col min="12288" max="12288" width="9.7265625" style="1" customWidth="1"/>
    <col min="12289" max="12289" width="14.453125" style="1" customWidth="1"/>
    <col min="12290" max="12290" width="7.26953125" style="1" customWidth="1"/>
    <col min="12291" max="12291" width="5.54296875" style="1" customWidth="1"/>
    <col min="12292" max="12292" width="9" style="1" customWidth="1"/>
    <col min="12293" max="12294" width="9.7265625" style="1" customWidth="1"/>
    <col min="12295" max="12295" width="11.26953125" style="1" customWidth="1"/>
    <col min="12296" max="12296" width="2.7265625" style="1" customWidth="1"/>
    <col min="12297" max="12297" width="3.54296875" style="1" customWidth="1"/>
    <col min="12298" max="12542" width="9.26953125" style="1"/>
    <col min="12543" max="12543" width="8.7265625" style="1" customWidth="1"/>
    <col min="12544" max="12544" width="9.7265625" style="1" customWidth="1"/>
    <col min="12545" max="12545" width="14.453125" style="1" customWidth="1"/>
    <col min="12546" max="12546" width="7.26953125" style="1" customWidth="1"/>
    <col min="12547" max="12547" width="5.54296875" style="1" customWidth="1"/>
    <col min="12548" max="12548" width="9" style="1" customWidth="1"/>
    <col min="12549" max="12550" width="9.7265625" style="1" customWidth="1"/>
    <col min="12551" max="12551" width="11.26953125" style="1" customWidth="1"/>
    <col min="12552" max="12552" width="2.7265625" style="1" customWidth="1"/>
    <col min="12553" max="12553" width="3.54296875" style="1" customWidth="1"/>
    <col min="12554" max="12798" width="9.26953125" style="1"/>
    <col min="12799" max="12799" width="8.7265625" style="1" customWidth="1"/>
    <col min="12800" max="12800" width="9.7265625" style="1" customWidth="1"/>
    <col min="12801" max="12801" width="14.453125" style="1" customWidth="1"/>
    <col min="12802" max="12802" width="7.26953125" style="1" customWidth="1"/>
    <col min="12803" max="12803" width="5.54296875" style="1" customWidth="1"/>
    <col min="12804" max="12804" width="9" style="1" customWidth="1"/>
    <col min="12805" max="12806" width="9.7265625" style="1" customWidth="1"/>
    <col min="12807" max="12807" width="11.26953125" style="1" customWidth="1"/>
    <col min="12808" max="12808" width="2.7265625" style="1" customWidth="1"/>
    <col min="12809" max="12809" width="3.54296875" style="1" customWidth="1"/>
    <col min="12810" max="13054" width="9.26953125" style="1"/>
    <col min="13055" max="13055" width="8.7265625" style="1" customWidth="1"/>
    <col min="13056" max="13056" width="9.7265625" style="1" customWidth="1"/>
    <col min="13057" max="13057" width="14.453125" style="1" customWidth="1"/>
    <col min="13058" max="13058" width="7.26953125" style="1" customWidth="1"/>
    <col min="13059" max="13059" width="5.54296875" style="1" customWidth="1"/>
    <col min="13060" max="13060" width="9" style="1" customWidth="1"/>
    <col min="13061" max="13062" width="9.7265625" style="1" customWidth="1"/>
    <col min="13063" max="13063" width="11.26953125" style="1" customWidth="1"/>
    <col min="13064" max="13064" width="2.7265625" style="1" customWidth="1"/>
    <col min="13065" max="13065" width="3.54296875" style="1" customWidth="1"/>
    <col min="13066" max="13310" width="9.26953125" style="1"/>
    <col min="13311" max="13311" width="8.7265625" style="1" customWidth="1"/>
    <col min="13312" max="13312" width="9.7265625" style="1" customWidth="1"/>
    <col min="13313" max="13313" width="14.453125" style="1" customWidth="1"/>
    <col min="13314" max="13314" width="7.26953125" style="1" customWidth="1"/>
    <col min="13315" max="13315" width="5.54296875" style="1" customWidth="1"/>
    <col min="13316" max="13316" width="9" style="1" customWidth="1"/>
    <col min="13317" max="13318" width="9.7265625" style="1" customWidth="1"/>
    <col min="13319" max="13319" width="11.26953125" style="1" customWidth="1"/>
    <col min="13320" max="13320" width="2.7265625" style="1" customWidth="1"/>
    <col min="13321" max="13321" width="3.54296875" style="1" customWidth="1"/>
    <col min="13322" max="13566" width="9.26953125" style="1"/>
    <col min="13567" max="13567" width="8.7265625" style="1" customWidth="1"/>
    <col min="13568" max="13568" width="9.7265625" style="1" customWidth="1"/>
    <col min="13569" max="13569" width="14.453125" style="1" customWidth="1"/>
    <col min="13570" max="13570" width="7.26953125" style="1" customWidth="1"/>
    <col min="13571" max="13571" width="5.54296875" style="1" customWidth="1"/>
    <col min="13572" max="13572" width="9" style="1" customWidth="1"/>
    <col min="13573" max="13574" width="9.7265625" style="1" customWidth="1"/>
    <col min="13575" max="13575" width="11.26953125" style="1" customWidth="1"/>
    <col min="13576" max="13576" width="2.7265625" style="1" customWidth="1"/>
    <col min="13577" max="13577" width="3.54296875" style="1" customWidth="1"/>
    <col min="13578" max="13822" width="9.26953125" style="1"/>
    <col min="13823" max="13823" width="8.7265625" style="1" customWidth="1"/>
    <col min="13824" max="13824" width="9.7265625" style="1" customWidth="1"/>
    <col min="13825" max="13825" width="14.453125" style="1" customWidth="1"/>
    <col min="13826" max="13826" width="7.26953125" style="1" customWidth="1"/>
    <col min="13827" max="13827" width="5.54296875" style="1" customWidth="1"/>
    <col min="13828" max="13828" width="9" style="1" customWidth="1"/>
    <col min="13829" max="13830" width="9.7265625" style="1" customWidth="1"/>
    <col min="13831" max="13831" width="11.26953125" style="1" customWidth="1"/>
    <col min="13832" max="13832" width="2.7265625" style="1" customWidth="1"/>
    <col min="13833" max="13833" width="3.54296875" style="1" customWidth="1"/>
    <col min="13834" max="14078" width="9.26953125" style="1"/>
    <col min="14079" max="14079" width="8.7265625" style="1" customWidth="1"/>
    <col min="14080" max="14080" width="9.7265625" style="1" customWidth="1"/>
    <col min="14081" max="14081" width="14.453125" style="1" customWidth="1"/>
    <col min="14082" max="14082" width="7.26953125" style="1" customWidth="1"/>
    <col min="14083" max="14083" width="5.54296875" style="1" customWidth="1"/>
    <col min="14084" max="14084" width="9" style="1" customWidth="1"/>
    <col min="14085" max="14086" width="9.7265625" style="1" customWidth="1"/>
    <col min="14087" max="14087" width="11.26953125" style="1" customWidth="1"/>
    <col min="14088" max="14088" width="2.7265625" style="1" customWidth="1"/>
    <col min="14089" max="14089" width="3.54296875" style="1" customWidth="1"/>
    <col min="14090" max="14334" width="9.26953125" style="1"/>
    <col min="14335" max="14335" width="8.7265625" style="1" customWidth="1"/>
    <col min="14336" max="14336" width="9.7265625" style="1" customWidth="1"/>
    <col min="14337" max="14337" width="14.453125" style="1" customWidth="1"/>
    <col min="14338" max="14338" width="7.26953125" style="1" customWidth="1"/>
    <col min="14339" max="14339" width="5.54296875" style="1" customWidth="1"/>
    <col min="14340" max="14340" width="9" style="1" customWidth="1"/>
    <col min="14341" max="14342" width="9.7265625" style="1" customWidth="1"/>
    <col min="14343" max="14343" width="11.26953125" style="1" customWidth="1"/>
    <col min="14344" max="14344" width="2.7265625" style="1" customWidth="1"/>
    <col min="14345" max="14345" width="3.54296875" style="1" customWidth="1"/>
    <col min="14346" max="14590" width="9.26953125" style="1"/>
    <col min="14591" max="14591" width="8.7265625" style="1" customWidth="1"/>
    <col min="14592" max="14592" width="9.7265625" style="1" customWidth="1"/>
    <col min="14593" max="14593" width="14.453125" style="1" customWidth="1"/>
    <col min="14594" max="14594" width="7.26953125" style="1" customWidth="1"/>
    <col min="14595" max="14595" width="5.54296875" style="1" customWidth="1"/>
    <col min="14596" max="14596" width="9" style="1" customWidth="1"/>
    <col min="14597" max="14598" width="9.7265625" style="1" customWidth="1"/>
    <col min="14599" max="14599" width="11.26953125" style="1" customWidth="1"/>
    <col min="14600" max="14600" width="2.7265625" style="1" customWidth="1"/>
    <col min="14601" max="14601" width="3.54296875" style="1" customWidth="1"/>
    <col min="14602" max="14846" width="9.26953125" style="1"/>
    <col min="14847" max="14847" width="8.7265625" style="1" customWidth="1"/>
    <col min="14848" max="14848" width="9.7265625" style="1" customWidth="1"/>
    <col min="14849" max="14849" width="14.453125" style="1" customWidth="1"/>
    <col min="14850" max="14850" width="7.26953125" style="1" customWidth="1"/>
    <col min="14851" max="14851" width="5.54296875" style="1" customWidth="1"/>
    <col min="14852" max="14852" width="9" style="1" customWidth="1"/>
    <col min="14853" max="14854" width="9.7265625" style="1" customWidth="1"/>
    <col min="14855" max="14855" width="11.26953125" style="1" customWidth="1"/>
    <col min="14856" max="14856" width="2.7265625" style="1" customWidth="1"/>
    <col min="14857" max="14857" width="3.54296875" style="1" customWidth="1"/>
    <col min="14858" max="15102" width="9.26953125" style="1"/>
    <col min="15103" max="15103" width="8.7265625" style="1" customWidth="1"/>
    <col min="15104" max="15104" width="9.7265625" style="1" customWidth="1"/>
    <col min="15105" max="15105" width="14.453125" style="1" customWidth="1"/>
    <col min="15106" max="15106" width="7.26953125" style="1" customWidth="1"/>
    <col min="15107" max="15107" width="5.54296875" style="1" customWidth="1"/>
    <col min="15108" max="15108" width="9" style="1" customWidth="1"/>
    <col min="15109" max="15110" width="9.7265625" style="1" customWidth="1"/>
    <col min="15111" max="15111" width="11.26953125" style="1" customWidth="1"/>
    <col min="15112" max="15112" width="2.7265625" style="1" customWidth="1"/>
    <col min="15113" max="15113" width="3.54296875" style="1" customWidth="1"/>
    <col min="15114" max="15358" width="9.26953125" style="1"/>
    <col min="15359" max="15359" width="8.7265625" style="1" customWidth="1"/>
    <col min="15360" max="15360" width="9.7265625" style="1" customWidth="1"/>
    <col min="15361" max="15361" width="14.453125" style="1" customWidth="1"/>
    <col min="15362" max="15362" width="7.26953125" style="1" customWidth="1"/>
    <col min="15363" max="15363" width="5.54296875" style="1" customWidth="1"/>
    <col min="15364" max="15364" width="9" style="1" customWidth="1"/>
    <col min="15365" max="15366" width="9.7265625" style="1" customWidth="1"/>
    <col min="15367" max="15367" width="11.26953125" style="1" customWidth="1"/>
    <col min="15368" max="15368" width="2.7265625" style="1" customWidth="1"/>
    <col min="15369" max="15369" width="3.54296875" style="1" customWidth="1"/>
    <col min="15370" max="15614" width="9.26953125" style="1"/>
    <col min="15615" max="15615" width="8.7265625" style="1" customWidth="1"/>
    <col min="15616" max="15616" width="9.7265625" style="1" customWidth="1"/>
    <col min="15617" max="15617" width="14.453125" style="1" customWidth="1"/>
    <col min="15618" max="15618" width="7.26953125" style="1" customWidth="1"/>
    <col min="15619" max="15619" width="5.54296875" style="1" customWidth="1"/>
    <col min="15620" max="15620" width="9" style="1" customWidth="1"/>
    <col min="15621" max="15622" width="9.7265625" style="1" customWidth="1"/>
    <col min="15623" max="15623" width="11.26953125" style="1" customWidth="1"/>
    <col min="15624" max="15624" width="2.7265625" style="1" customWidth="1"/>
    <col min="15625" max="15625" width="3.54296875" style="1" customWidth="1"/>
    <col min="15626" max="15870" width="9.26953125" style="1"/>
    <col min="15871" max="15871" width="8.7265625" style="1" customWidth="1"/>
    <col min="15872" max="15872" width="9.7265625" style="1" customWidth="1"/>
    <col min="15873" max="15873" width="14.453125" style="1" customWidth="1"/>
    <col min="15874" max="15874" width="7.26953125" style="1" customWidth="1"/>
    <col min="15875" max="15875" width="5.54296875" style="1" customWidth="1"/>
    <col min="15876" max="15876" width="9" style="1" customWidth="1"/>
    <col min="15877" max="15878" width="9.7265625" style="1" customWidth="1"/>
    <col min="15879" max="15879" width="11.26953125" style="1" customWidth="1"/>
    <col min="15880" max="15880" width="2.7265625" style="1" customWidth="1"/>
    <col min="15881" max="15881" width="3.54296875" style="1" customWidth="1"/>
    <col min="15882" max="16126" width="9.26953125" style="1"/>
    <col min="16127" max="16127" width="8.7265625" style="1" customWidth="1"/>
    <col min="16128" max="16128" width="9.7265625" style="1" customWidth="1"/>
    <col min="16129" max="16129" width="14.453125" style="1" customWidth="1"/>
    <col min="16130" max="16130" width="7.26953125" style="1" customWidth="1"/>
    <col min="16131" max="16131" width="5.54296875" style="1" customWidth="1"/>
    <col min="16132" max="16132" width="9" style="1" customWidth="1"/>
    <col min="16133" max="16134" width="9.7265625" style="1" customWidth="1"/>
    <col min="16135" max="16135" width="11.26953125" style="1" customWidth="1"/>
    <col min="16136" max="16136" width="2.7265625" style="1" customWidth="1"/>
    <col min="16137" max="16137" width="3.54296875" style="1" customWidth="1"/>
    <col min="16138" max="16384" width="9.26953125" style="1"/>
  </cols>
  <sheetData>
    <row r="1" spans="1:10" ht="43.9" customHeight="1" x14ac:dyDescent="0.3">
      <c r="A1" s="235" t="s">
        <v>245</v>
      </c>
      <c r="B1" s="236"/>
      <c r="C1" s="236"/>
      <c r="D1" s="236"/>
      <c r="E1" s="236"/>
      <c r="F1" s="236"/>
      <c r="G1" s="236"/>
      <c r="H1" s="236"/>
      <c r="I1" s="236"/>
      <c r="J1" s="237"/>
    </row>
    <row r="2" spans="1:10" x14ac:dyDescent="0.3">
      <c r="A2" s="122" t="s">
        <v>0</v>
      </c>
      <c r="B2" s="123"/>
      <c r="C2" s="123"/>
      <c r="D2" s="123"/>
      <c r="E2" s="123"/>
      <c r="F2" s="123"/>
      <c r="G2" s="123"/>
      <c r="H2" s="123"/>
      <c r="I2" s="123"/>
      <c r="J2" s="124"/>
    </row>
    <row r="3" spans="1:10" x14ac:dyDescent="0.3">
      <c r="A3" s="139" t="s">
        <v>1</v>
      </c>
      <c r="B3" s="140"/>
      <c r="C3" s="140"/>
      <c r="D3" s="140"/>
      <c r="E3" s="141"/>
      <c r="F3" s="195" t="str">
        <f ca="1">TEXT(TODAY(),"DD/MM/YYYY")</f>
        <v>18/07/2025</v>
      </c>
      <c r="G3" s="238"/>
      <c r="H3" s="238"/>
      <c r="I3" s="238"/>
      <c r="J3" s="239"/>
    </row>
    <row r="4" spans="1:10" ht="15" customHeight="1" x14ac:dyDescent="0.3">
      <c r="A4" s="139" t="s">
        <v>2</v>
      </c>
      <c r="B4" s="140"/>
      <c r="C4" s="140"/>
      <c r="D4" s="140"/>
      <c r="E4" s="141"/>
      <c r="F4" s="230" t="s">
        <v>149</v>
      </c>
      <c r="G4" s="231"/>
      <c r="H4" s="231"/>
      <c r="I4" s="231"/>
      <c r="J4" s="2"/>
    </row>
    <row r="5" spans="1:10" x14ac:dyDescent="0.3">
      <c r="A5" s="139" t="s">
        <v>3</v>
      </c>
      <c r="B5" s="140"/>
      <c r="C5" s="140"/>
      <c r="D5" s="140"/>
      <c r="E5" s="141"/>
      <c r="F5" s="240">
        <v>45854</v>
      </c>
      <c r="G5" s="241"/>
      <c r="H5" s="241"/>
      <c r="I5" s="241"/>
      <c r="J5" s="242"/>
    </row>
    <row r="6" spans="1:10" ht="16.5" customHeight="1" x14ac:dyDescent="0.3">
      <c r="A6" s="139" t="s">
        <v>4</v>
      </c>
      <c r="B6" s="140"/>
      <c r="C6" s="140"/>
      <c r="D6" s="140"/>
      <c r="E6" s="141"/>
      <c r="F6" s="148" t="s">
        <v>151</v>
      </c>
      <c r="G6" s="149"/>
      <c r="H6" s="149"/>
      <c r="I6" s="149"/>
      <c r="J6" s="150"/>
    </row>
    <row r="7" spans="1:10" ht="15" customHeight="1" x14ac:dyDescent="0.3">
      <c r="A7" s="139" t="s">
        <v>5</v>
      </c>
      <c r="B7" s="140"/>
      <c r="C7" s="140"/>
      <c r="D7" s="140"/>
      <c r="E7" s="141"/>
      <c r="F7" s="148" t="str">
        <f>F6</f>
        <v>M/s.Vrindavan Land Developers</v>
      </c>
      <c r="G7" s="149"/>
      <c r="H7" s="149"/>
      <c r="I7" s="149"/>
      <c r="J7" s="150"/>
    </row>
    <row r="8" spans="1:10" x14ac:dyDescent="0.3">
      <c r="A8" s="139" t="s">
        <v>6</v>
      </c>
      <c r="B8" s="140"/>
      <c r="C8" s="140"/>
      <c r="D8" s="140"/>
      <c r="E8" s="141"/>
      <c r="F8" s="188" t="s">
        <v>178</v>
      </c>
      <c r="G8" s="140"/>
      <c r="H8" s="140"/>
      <c r="I8" s="140"/>
      <c r="J8" s="141"/>
    </row>
    <row r="9" spans="1:10" x14ac:dyDescent="0.3">
      <c r="A9" s="139" t="s">
        <v>248</v>
      </c>
      <c r="B9" s="140"/>
      <c r="C9" s="140"/>
      <c r="D9" s="140"/>
      <c r="E9" s="141"/>
      <c r="F9" s="139">
        <v>2225602843</v>
      </c>
      <c r="G9" s="140"/>
      <c r="H9" s="140"/>
      <c r="I9" s="140"/>
      <c r="J9" s="141"/>
    </row>
    <row r="10" spans="1:10" hidden="1" x14ac:dyDescent="0.3">
      <c r="A10" s="139" t="s">
        <v>249</v>
      </c>
      <c r="B10" s="140"/>
      <c r="C10" s="140"/>
      <c r="D10" s="140"/>
      <c r="E10" s="141"/>
      <c r="F10" s="139" t="s">
        <v>253</v>
      </c>
      <c r="G10" s="140"/>
      <c r="H10" s="140"/>
      <c r="I10" s="140"/>
      <c r="J10" s="141"/>
    </row>
    <row r="11" spans="1:10" ht="30" customHeight="1" x14ac:dyDescent="0.3">
      <c r="A11" s="139" t="s">
        <v>7</v>
      </c>
      <c r="B11" s="140"/>
      <c r="C11" s="140"/>
      <c r="D11" s="140"/>
      <c r="E11" s="141"/>
      <c r="F11" s="198" t="s">
        <v>235</v>
      </c>
      <c r="G11" s="192"/>
      <c r="H11" s="192"/>
      <c r="I11" s="192"/>
      <c r="J11" s="207"/>
    </row>
    <row r="12" spans="1:10" x14ac:dyDescent="0.3">
      <c r="A12" s="139" t="s">
        <v>8</v>
      </c>
      <c r="B12" s="140"/>
      <c r="C12" s="140"/>
      <c r="D12" s="140"/>
      <c r="E12" s="141"/>
      <c r="F12" s="198" t="s">
        <v>9</v>
      </c>
      <c r="G12" s="199"/>
      <c r="H12" s="199"/>
      <c r="I12" s="199"/>
      <c r="J12" s="200"/>
    </row>
    <row r="13" spans="1:10" x14ac:dyDescent="0.3">
      <c r="A13" s="139" t="s">
        <v>10</v>
      </c>
      <c r="B13" s="140"/>
      <c r="C13" s="140"/>
      <c r="D13" s="140"/>
      <c r="E13" s="141"/>
      <c r="F13" s="148" t="s">
        <v>150</v>
      </c>
      <c r="G13" s="140"/>
      <c r="H13" s="140"/>
      <c r="I13" s="140"/>
      <c r="J13" s="141"/>
    </row>
    <row r="14" spans="1:10" x14ac:dyDescent="0.3">
      <c r="A14" s="193" t="s">
        <v>11</v>
      </c>
      <c r="B14" s="193"/>
      <c r="C14" s="148" t="str">
        <f>CONCATENATE((IF(OR(F8="",F8="NA"),"",F8)),", ",(IF(OR(A15="",A15="NA"),"",A15)),", ",(IF(OR(C15="",C15="NA"),"",C15)),", ",(IF(OR(B16="",B16="NA"),"",B16)),", ",(IF(OR(I15="",I15="NA"),"",I15)),", ",(IF(OR(B17="",B17="NA"),"",B17)),", ",(IF(OR(G16="",G16="NA"),"",G16)),".")</f>
        <v>Madhuban, Gaonthan, Ghar No 245, Karjat - Neral Road, Umroli, Karjat, Raigad.</v>
      </c>
      <c r="D14" s="149"/>
      <c r="E14" s="149"/>
      <c r="F14" s="149"/>
      <c r="G14" s="149"/>
      <c r="H14" s="149"/>
      <c r="I14" s="149"/>
      <c r="J14" s="150"/>
    </row>
    <row r="15" spans="1:10" x14ac:dyDescent="0.3">
      <c r="A15" s="148" t="s">
        <v>176</v>
      </c>
      <c r="B15" s="150"/>
      <c r="C15" s="148" t="s">
        <v>177</v>
      </c>
      <c r="D15" s="149"/>
      <c r="E15" s="149"/>
      <c r="F15" s="149"/>
      <c r="G15" s="150"/>
      <c r="H15" s="3" t="s">
        <v>12</v>
      </c>
      <c r="I15" s="232" t="s">
        <v>152</v>
      </c>
      <c r="J15" s="233"/>
    </row>
    <row r="16" spans="1:10" x14ac:dyDescent="0.3">
      <c r="A16" s="4" t="s">
        <v>13</v>
      </c>
      <c r="B16" s="139" t="s">
        <v>173</v>
      </c>
      <c r="C16" s="140"/>
      <c r="D16" s="140"/>
      <c r="E16" s="141"/>
      <c r="F16" s="5" t="s">
        <v>14</v>
      </c>
      <c r="G16" s="139" t="s">
        <v>154</v>
      </c>
      <c r="H16" s="140"/>
      <c r="I16" s="140"/>
      <c r="J16" s="141"/>
    </row>
    <row r="17" spans="1:10" x14ac:dyDescent="0.3">
      <c r="A17" s="4" t="s">
        <v>15</v>
      </c>
      <c r="B17" s="139" t="s">
        <v>153</v>
      </c>
      <c r="C17" s="140"/>
      <c r="D17" s="140"/>
      <c r="E17" s="141"/>
      <c r="F17" s="5" t="s">
        <v>16</v>
      </c>
      <c r="G17" s="139">
        <v>410201</v>
      </c>
      <c r="H17" s="140"/>
      <c r="I17" s="140"/>
      <c r="J17" s="141"/>
    </row>
    <row r="18" spans="1:10" ht="32.25" customHeight="1" x14ac:dyDescent="0.3">
      <c r="A18" s="193" t="s">
        <v>17</v>
      </c>
      <c r="B18" s="193"/>
      <c r="C18" s="234" t="s">
        <v>174</v>
      </c>
      <c r="D18" s="234"/>
      <c r="E18" s="234"/>
      <c r="F18" s="202" t="s">
        <v>18</v>
      </c>
      <c r="G18" s="202"/>
      <c r="H18" s="218" t="s">
        <v>200</v>
      </c>
      <c r="I18" s="218"/>
      <c r="J18" s="219"/>
    </row>
    <row r="19" spans="1:10" ht="15" customHeight="1" x14ac:dyDescent="0.3">
      <c r="A19" s="220" t="s">
        <v>19</v>
      </c>
      <c r="B19" s="221"/>
      <c r="C19" s="221"/>
      <c r="D19" s="221"/>
      <c r="E19" s="222"/>
      <c r="F19" s="224" t="s">
        <v>20</v>
      </c>
      <c r="G19" s="225"/>
      <c r="H19" s="225"/>
      <c r="I19" s="225"/>
      <c r="J19" s="226"/>
    </row>
    <row r="20" spans="1:10" x14ac:dyDescent="0.3">
      <c r="A20" s="214"/>
      <c r="B20" s="215"/>
      <c r="C20" s="215"/>
      <c r="D20" s="215"/>
      <c r="E20" s="223"/>
      <c r="F20" s="227"/>
      <c r="G20" s="228"/>
      <c r="H20" s="228"/>
      <c r="I20" s="228"/>
      <c r="J20" s="229"/>
    </row>
    <row r="21" spans="1:10" ht="15" customHeight="1" x14ac:dyDescent="0.3">
      <c r="A21" s="220" t="s">
        <v>21</v>
      </c>
      <c r="B21" s="221"/>
      <c r="C21" s="221"/>
      <c r="D21" s="221"/>
      <c r="E21" s="222"/>
      <c r="F21" s="220" t="s">
        <v>22</v>
      </c>
      <c r="G21" s="221"/>
      <c r="H21" s="221"/>
      <c r="I21" s="221"/>
      <c r="J21" s="222"/>
    </row>
    <row r="22" spans="1:10" x14ac:dyDescent="0.3">
      <c r="A22" s="214"/>
      <c r="B22" s="215"/>
      <c r="C22" s="215"/>
      <c r="D22" s="215"/>
      <c r="E22" s="223"/>
      <c r="F22" s="214"/>
      <c r="G22" s="215"/>
      <c r="H22" s="215"/>
      <c r="I22" s="215"/>
      <c r="J22" s="223"/>
    </row>
    <row r="23" spans="1:10" ht="15" customHeight="1" x14ac:dyDescent="0.3">
      <c r="A23" s="139" t="s">
        <v>23</v>
      </c>
      <c r="B23" s="140"/>
      <c r="C23" s="140"/>
      <c r="D23" s="140"/>
      <c r="E23" s="141"/>
      <c r="F23" s="230" t="s">
        <v>24</v>
      </c>
      <c r="G23" s="231"/>
      <c r="H23" s="231"/>
      <c r="I23" s="231"/>
      <c r="J23" s="6"/>
    </row>
    <row r="24" spans="1:10" x14ac:dyDescent="0.3">
      <c r="A24" s="139" t="s">
        <v>25</v>
      </c>
      <c r="B24" s="140"/>
      <c r="C24" s="140"/>
      <c r="D24" s="140"/>
      <c r="E24" s="141"/>
      <c r="F24" s="162" t="s">
        <v>26</v>
      </c>
      <c r="G24" s="163"/>
      <c r="H24" s="163"/>
      <c r="I24" s="163"/>
      <c r="J24" s="164"/>
    </row>
    <row r="25" spans="1:10" ht="15" customHeight="1" x14ac:dyDescent="0.3">
      <c r="A25" s="139" t="s">
        <v>27</v>
      </c>
      <c r="B25" s="140"/>
      <c r="C25" s="140"/>
      <c r="D25" s="140"/>
      <c r="E25" s="141"/>
      <c r="F25" s="230" t="s">
        <v>28</v>
      </c>
      <c r="G25" s="231"/>
      <c r="H25" s="231"/>
      <c r="I25" s="231"/>
      <c r="J25" s="6"/>
    </row>
    <row r="26" spans="1:10" x14ac:dyDescent="0.3">
      <c r="A26" s="139" t="s">
        <v>29</v>
      </c>
      <c r="B26" s="140"/>
      <c r="C26" s="140"/>
      <c r="D26" s="140"/>
      <c r="E26" s="141"/>
      <c r="F26" s="162" t="s">
        <v>30</v>
      </c>
      <c r="G26" s="163"/>
      <c r="H26" s="163"/>
      <c r="I26" s="163"/>
      <c r="J26" s="164"/>
    </row>
    <row r="27" spans="1:10" x14ac:dyDescent="0.3">
      <c r="A27" s="216" t="s">
        <v>31</v>
      </c>
      <c r="B27" s="217"/>
      <c r="C27" s="216" t="s">
        <v>32</v>
      </c>
      <c r="D27" s="217"/>
      <c r="E27" s="216" t="s">
        <v>33</v>
      </c>
      <c r="F27" s="217"/>
      <c r="G27" s="216" t="s">
        <v>34</v>
      </c>
      <c r="H27" s="217"/>
      <c r="I27" s="216" t="s">
        <v>35</v>
      </c>
      <c r="J27" s="217"/>
    </row>
    <row r="28" spans="1:10" x14ac:dyDescent="0.3">
      <c r="A28" s="196" t="s">
        <v>36</v>
      </c>
      <c r="B28" s="197"/>
      <c r="C28" s="196" t="s">
        <v>37</v>
      </c>
      <c r="D28" s="197"/>
      <c r="E28" s="196" t="s">
        <v>37</v>
      </c>
      <c r="F28" s="197"/>
      <c r="G28" s="196" t="s">
        <v>37</v>
      </c>
      <c r="H28" s="197"/>
      <c r="I28" s="196" t="s">
        <v>37</v>
      </c>
      <c r="J28" s="197"/>
    </row>
    <row r="29" spans="1:10" x14ac:dyDescent="0.3">
      <c r="A29" s="196" t="s">
        <v>38</v>
      </c>
      <c r="B29" s="197"/>
      <c r="C29" s="196" t="s">
        <v>13</v>
      </c>
      <c r="D29" s="197"/>
      <c r="E29" s="196" t="s">
        <v>13</v>
      </c>
      <c r="F29" s="197"/>
      <c r="G29" s="196" t="s">
        <v>175</v>
      </c>
      <c r="H29" s="197"/>
      <c r="I29" s="196" t="s">
        <v>13</v>
      </c>
      <c r="J29" s="197"/>
    </row>
    <row r="30" spans="1:10" x14ac:dyDescent="0.3">
      <c r="A30" s="139" t="s">
        <v>39</v>
      </c>
      <c r="B30" s="140"/>
      <c r="C30" s="140"/>
      <c r="D30" s="140"/>
      <c r="E30" s="140"/>
      <c r="F30" s="140"/>
      <c r="G30" s="140"/>
      <c r="H30" s="140"/>
      <c r="I30" s="140"/>
      <c r="J30" s="141"/>
    </row>
    <row r="31" spans="1:10" x14ac:dyDescent="0.3">
      <c r="A31" s="139" t="s">
        <v>40</v>
      </c>
      <c r="B31" s="140"/>
      <c r="C31" s="140"/>
      <c r="D31" s="140"/>
      <c r="E31" s="140"/>
      <c r="F31" s="140"/>
      <c r="G31" s="140"/>
      <c r="H31" s="140"/>
      <c r="I31" s="140"/>
      <c r="J31" s="141"/>
    </row>
    <row r="32" spans="1:10" ht="14.5" customHeight="1" x14ac:dyDescent="0.3">
      <c r="A32" s="139" t="s">
        <v>41</v>
      </c>
      <c r="B32" s="141"/>
      <c r="C32" s="133" t="s">
        <v>250</v>
      </c>
      <c r="D32" s="134"/>
      <c r="E32" s="134"/>
      <c r="F32" s="134"/>
      <c r="G32" s="134"/>
      <c r="H32" s="134"/>
      <c r="I32" s="134"/>
      <c r="J32" s="135"/>
    </row>
    <row r="33" spans="1:10" ht="14.5" x14ac:dyDescent="0.3">
      <c r="A33" s="139" t="s">
        <v>246</v>
      </c>
      <c r="B33" s="141"/>
      <c r="C33" s="211" t="s">
        <v>247</v>
      </c>
      <c r="D33" s="140"/>
      <c r="E33" s="140"/>
      <c r="F33" s="140"/>
      <c r="G33" s="140"/>
      <c r="H33" s="140"/>
      <c r="I33" s="140"/>
      <c r="J33" s="141"/>
    </row>
    <row r="34" spans="1:10" x14ac:dyDescent="0.3">
      <c r="A34" s="133" t="s">
        <v>42</v>
      </c>
      <c r="B34" s="134"/>
      <c r="C34" s="134"/>
      <c r="D34" s="134"/>
      <c r="E34" s="134"/>
      <c r="F34" s="134"/>
      <c r="G34" s="134"/>
      <c r="H34" s="134"/>
      <c r="I34" s="134"/>
      <c r="J34" s="135"/>
    </row>
    <row r="35" spans="1:10" ht="15" customHeight="1" x14ac:dyDescent="0.3">
      <c r="A35" s="148" t="s">
        <v>43</v>
      </c>
      <c r="B35" s="149"/>
      <c r="C35" s="149"/>
      <c r="D35" s="149"/>
      <c r="E35" s="150"/>
      <c r="F35" s="212" t="s">
        <v>172</v>
      </c>
      <c r="G35" s="213"/>
      <c r="H35" s="213"/>
      <c r="I35" s="213"/>
      <c r="J35" s="7"/>
    </row>
    <row r="36" spans="1:10" ht="15" customHeight="1" x14ac:dyDescent="0.3">
      <c r="A36" s="214" t="s">
        <v>44</v>
      </c>
      <c r="B36" s="215"/>
      <c r="C36" s="215"/>
      <c r="D36" s="215"/>
      <c r="E36" s="215"/>
      <c r="F36" s="148" t="s">
        <v>45</v>
      </c>
      <c r="G36" s="149"/>
      <c r="H36" s="149"/>
      <c r="I36" s="149"/>
      <c r="J36" s="150"/>
    </row>
    <row r="37" spans="1:10" x14ac:dyDescent="0.3">
      <c r="A37" s="133" t="s">
        <v>46</v>
      </c>
      <c r="B37" s="134"/>
      <c r="C37" s="134"/>
      <c r="D37" s="134"/>
      <c r="E37" s="134"/>
      <c r="F37" s="134"/>
      <c r="G37" s="134"/>
      <c r="H37" s="134"/>
      <c r="I37" s="134"/>
      <c r="J37" s="135"/>
    </row>
    <row r="38" spans="1:10" x14ac:dyDescent="0.3">
      <c r="A38" s="139" t="s">
        <v>47</v>
      </c>
      <c r="B38" s="140"/>
      <c r="C38" s="140"/>
      <c r="D38" s="140"/>
      <c r="E38" s="141"/>
      <c r="F38" s="208">
        <v>2214.58</v>
      </c>
      <c r="G38" s="209"/>
      <c r="H38" s="209"/>
      <c r="I38" s="209"/>
      <c r="J38" s="210"/>
    </row>
    <row r="39" spans="1:10" x14ac:dyDescent="0.3">
      <c r="A39" s="139" t="s">
        <v>48</v>
      </c>
      <c r="B39" s="140"/>
      <c r="C39" s="140"/>
      <c r="D39" s="140"/>
      <c r="E39" s="141"/>
      <c r="F39" s="204">
        <v>1</v>
      </c>
      <c r="G39" s="205"/>
      <c r="H39" s="205"/>
      <c r="I39" s="205"/>
      <c r="J39" s="206"/>
    </row>
    <row r="40" spans="1:10" x14ac:dyDescent="0.3">
      <c r="A40" s="139" t="s">
        <v>49</v>
      </c>
      <c r="B40" s="140"/>
      <c r="C40" s="140"/>
      <c r="D40" s="140"/>
      <c r="E40" s="141"/>
      <c r="F40" s="204">
        <v>0</v>
      </c>
      <c r="G40" s="205"/>
      <c r="H40" s="205"/>
      <c r="I40" s="205"/>
      <c r="J40" s="206"/>
    </row>
    <row r="41" spans="1:10" x14ac:dyDescent="0.3">
      <c r="A41" s="139" t="s">
        <v>50</v>
      </c>
      <c r="B41" s="140"/>
      <c r="C41" s="140"/>
      <c r="D41" s="140"/>
      <c r="E41" s="141"/>
      <c r="F41" s="204">
        <f>F39+F40</f>
        <v>1</v>
      </c>
      <c r="G41" s="205"/>
      <c r="H41" s="205"/>
      <c r="I41" s="205"/>
      <c r="J41" s="206"/>
    </row>
    <row r="42" spans="1:10" x14ac:dyDescent="0.3">
      <c r="A42" s="139" t="s">
        <v>51</v>
      </c>
      <c r="B42" s="140"/>
      <c r="C42" s="140"/>
      <c r="D42" s="140"/>
      <c r="E42" s="141"/>
      <c r="F42" s="204">
        <f>F38*F41</f>
        <v>2214.58</v>
      </c>
      <c r="G42" s="205"/>
      <c r="H42" s="205"/>
      <c r="I42" s="205"/>
      <c r="J42" s="206"/>
    </row>
    <row r="43" spans="1:10" x14ac:dyDescent="0.3">
      <c r="A43" s="139" t="s">
        <v>52</v>
      </c>
      <c r="B43" s="140"/>
      <c r="C43" s="140"/>
      <c r="D43" s="140"/>
      <c r="E43" s="141"/>
      <c r="F43" s="191" t="s">
        <v>202</v>
      </c>
      <c r="G43" s="192"/>
      <c r="H43" s="192"/>
      <c r="I43" s="192"/>
      <c r="J43" s="207"/>
    </row>
    <row r="44" spans="1:10" x14ac:dyDescent="0.3">
      <c r="A44" s="201" t="s">
        <v>53</v>
      </c>
      <c r="B44" s="201"/>
      <c r="C44" s="201"/>
      <c r="D44" s="201"/>
      <c r="E44" s="201"/>
      <c r="F44" s="201"/>
      <c r="G44" s="201"/>
      <c r="H44" s="201"/>
      <c r="I44" s="201"/>
      <c r="J44" s="201"/>
    </row>
    <row r="45" spans="1:10" x14ac:dyDescent="0.3">
      <c r="A45" s="202" t="s">
        <v>54</v>
      </c>
      <c r="B45" s="202"/>
      <c r="C45" s="203" t="s">
        <v>155</v>
      </c>
      <c r="D45" s="203"/>
      <c r="E45" s="203"/>
      <c r="F45" s="203"/>
      <c r="G45" s="65" t="s">
        <v>55</v>
      </c>
      <c r="H45" s="202" t="s">
        <v>156</v>
      </c>
      <c r="I45" s="202"/>
      <c r="J45" s="202"/>
    </row>
    <row r="46" spans="1:10" ht="31.5" customHeight="1" x14ac:dyDescent="0.3">
      <c r="A46" s="202" t="s">
        <v>56</v>
      </c>
      <c r="B46" s="202"/>
      <c r="C46" s="203" t="str">
        <f>C45</f>
        <v>BP/M.UMROLI/T.KARJAT/285</v>
      </c>
      <c r="D46" s="203"/>
      <c r="E46" s="203"/>
      <c r="F46" s="203"/>
      <c r="G46" s="66" t="s">
        <v>55</v>
      </c>
      <c r="H46" s="202" t="str">
        <f>H45</f>
        <v>07/02/2019.</v>
      </c>
      <c r="I46" s="202"/>
      <c r="J46" s="202"/>
    </row>
    <row r="47" spans="1:10" ht="60.75" customHeight="1" x14ac:dyDescent="0.3">
      <c r="A47" s="202" t="s">
        <v>57</v>
      </c>
      <c r="B47" s="202"/>
      <c r="C47" s="203" t="s">
        <v>201</v>
      </c>
      <c r="D47" s="234"/>
      <c r="E47" s="234"/>
      <c r="F47" s="234"/>
      <c r="G47" s="8" t="s">
        <v>55</v>
      </c>
      <c r="H47" s="234" t="s">
        <v>156</v>
      </c>
      <c r="I47" s="234"/>
      <c r="J47" s="234"/>
    </row>
    <row r="48" spans="1:10" ht="15" customHeight="1" x14ac:dyDescent="0.3">
      <c r="A48" s="202" t="s">
        <v>58</v>
      </c>
      <c r="B48" s="202"/>
      <c r="C48" s="234" t="s">
        <v>37</v>
      </c>
      <c r="D48" s="234"/>
      <c r="E48" s="234"/>
      <c r="F48" s="234" t="s">
        <v>59</v>
      </c>
      <c r="G48" s="66" t="s">
        <v>55</v>
      </c>
      <c r="H48" s="202" t="s">
        <v>37</v>
      </c>
      <c r="I48" s="202" t="s">
        <v>37</v>
      </c>
      <c r="J48" s="202"/>
    </row>
    <row r="49" spans="1:12" x14ac:dyDescent="0.3">
      <c r="A49" s="193" t="s">
        <v>60</v>
      </c>
      <c r="B49" s="193"/>
      <c r="C49" s="193"/>
      <c r="D49" s="194" t="str">
        <f>H47</f>
        <v>07/02/2019.</v>
      </c>
      <c r="E49" s="194"/>
      <c r="F49" s="193" t="s">
        <v>61</v>
      </c>
      <c r="G49" s="246"/>
      <c r="H49" s="247">
        <v>46022</v>
      </c>
      <c r="I49" s="193"/>
      <c r="J49" s="193"/>
    </row>
    <row r="50" spans="1:12" x14ac:dyDescent="0.3">
      <c r="A50" s="248" t="s">
        <v>62</v>
      </c>
      <c r="B50" s="248"/>
      <c r="C50" s="248"/>
      <c r="D50" s="248"/>
      <c r="E50" s="248"/>
      <c r="F50" s="248"/>
      <c r="G50" s="248"/>
      <c r="H50" s="248"/>
      <c r="I50" s="248"/>
      <c r="J50" s="248"/>
    </row>
    <row r="51" spans="1:12" x14ac:dyDescent="0.3">
      <c r="A51" s="193" t="s">
        <v>63</v>
      </c>
      <c r="B51" s="193"/>
      <c r="C51" s="193"/>
      <c r="D51" s="194">
        <f>F42</f>
        <v>2214.58</v>
      </c>
      <c r="E51" s="194"/>
      <c r="F51" s="249" t="s">
        <v>64</v>
      </c>
      <c r="G51" s="249"/>
      <c r="H51" s="250" t="s">
        <v>198</v>
      </c>
      <c r="I51" s="250"/>
      <c r="J51" s="250"/>
    </row>
    <row r="52" spans="1:12" ht="29.25" customHeight="1" x14ac:dyDescent="0.3">
      <c r="A52" s="191" t="s">
        <v>65</v>
      </c>
      <c r="B52" s="192"/>
      <c r="C52" s="198" t="s">
        <v>199</v>
      </c>
      <c r="D52" s="199"/>
      <c r="E52" s="199"/>
      <c r="F52" s="199"/>
      <c r="G52" s="199"/>
      <c r="H52" s="199"/>
      <c r="I52" s="199"/>
      <c r="J52" s="200"/>
    </row>
    <row r="53" spans="1:12" x14ac:dyDescent="0.3">
      <c r="A53" s="139" t="s">
        <v>185</v>
      </c>
      <c r="B53" s="140"/>
      <c r="C53" s="140"/>
      <c r="D53" s="148" t="s">
        <v>66</v>
      </c>
      <c r="E53" s="149"/>
      <c r="F53" s="149"/>
      <c r="G53" s="149"/>
      <c r="H53" s="149"/>
      <c r="I53" s="149"/>
      <c r="J53" s="150"/>
    </row>
    <row r="54" spans="1:12" ht="14.5" thickBot="1" x14ac:dyDescent="0.35">
      <c r="A54" s="139" t="s">
        <v>67</v>
      </c>
      <c r="B54" s="140"/>
      <c r="C54" s="140"/>
      <c r="D54" s="140"/>
      <c r="E54" s="140"/>
      <c r="F54" s="140"/>
      <c r="G54" s="140"/>
      <c r="H54" s="140"/>
      <c r="I54" s="140"/>
      <c r="J54" s="141"/>
    </row>
    <row r="55" spans="1:12" ht="15" customHeight="1" x14ac:dyDescent="0.35">
      <c r="A55" s="88" t="s">
        <v>203</v>
      </c>
      <c r="B55" s="89"/>
      <c r="C55" s="90" t="s">
        <v>236</v>
      </c>
      <c r="D55" s="91"/>
      <c r="E55" s="91"/>
      <c r="F55" s="91"/>
      <c r="G55" s="91"/>
      <c r="H55" s="91"/>
      <c r="I55" s="91"/>
      <c r="J55" s="92"/>
      <c r="K55" s="47" t="str">
        <f ca="1">IF(D68=100%,"All work Completed. Possession granted to the Building.",IF(D67=100%,"All work Completed, Waiting for OC",K56&amp;""&amp;K57&amp;""&amp;L56&amp;""&amp;L55&amp;" "&amp;L57))</f>
        <v>All work Completed. Possession granted to the Building.</v>
      </c>
      <c r="L55" s="48" t="str">
        <f ca="1">(IF(C61=(D56+G56+I56),"",IF(C61&gt;0,", RCC upto "&amp;C61&amp;" Slab","")))&amp;(IF(C62=I56,"",IF(C62&gt;0,", Brickwork upto "&amp;C62&amp;" Floor","")))&amp;(IF(C63=I56,"",IF(C63&gt;0,", Internal Plaster upto "&amp;C63&amp;" Floor","")))&amp;(IF(C64=I56,"",IF(C64&gt;0,", External Plaster upto "&amp;C64&amp;" Floor","")))&amp;(IF(C65=I56,"",IF(C65&gt;0,", Flooring upto "&amp;C65&amp;" Floor","")))&amp;(IF(C66=I56,"",IF(C66&gt;0,", Painting upto "&amp;C66&amp;" Floor","")))&amp;(IF(C67=I56,"",IF(C67&gt;0,", Finishing upto "&amp;C67&amp;" Floor","")))&amp;(IF(C68=I56,"",IF(C68&gt;0,", Possession upto "&amp;C68&amp;" Floor","")))</f>
        <v/>
      </c>
    </row>
    <row r="56" spans="1:12" ht="15" customHeight="1" x14ac:dyDescent="0.35">
      <c r="A56" s="49" t="s">
        <v>204</v>
      </c>
      <c r="B56" s="50">
        <v>0</v>
      </c>
      <c r="C56" s="50" t="s">
        <v>205</v>
      </c>
      <c r="D56" s="93">
        <v>1</v>
      </c>
      <c r="E56" s="104"/>
      <c r="F56" s="50" t="s">
        <v>206</v>
      </c>
      <c r="G56" s="50">
        <v>0</v>
      </c>
      <c r="H56" s="50" t="s">
        <v>207</v>
      </c>
      <c r="I56" s="93">
        <f ca="1">--TRIM(RIGHT(SUBSTITUTE(LEFT(C55,_xlfn.AGGREGATE(16,6,FIND({0,1,2,3,4,5,6,7,8,9},C55,ROW(INDIRECT("1:"&amp;LEN(C55)))),1))," ",REPT(" ",LEN(C55))),LEN(C55)))</f>
        <v>4</v>
      </c>
      <c r="J56" s="94"/>
      <c r="K56" s="51" t="str">
        <f ca="1">IF(D59=100%,"Excavation","")&amp;IF(D60=100%,", Plinth","")&amp;IF(D61=100%,", RCC Slab","")&amp;IF(D62=100%,", Brickwork","")&amp;IF(D63=100%,", Internal Plaster","")&amp;IF(D64=100%,", External Plaster","")&amp;IF(D65=100%,", Flooring","")&amp;IF(D66=100%,", Painting","")&amp;IF(D67=100%,", Building common Amenities","")</f>
        <v>Excavation, Plinth, RCC Slab, Brickwork, Internal Plaster, External Plaster, Flooring, Painting, Building common Amenities</v>
      </c>
      <c r="L56" s="52" t="str">
        <f ca="1">(IF(C59=0,"Work not yet Started.",IF(D59=25%,"Piling work in process",IF(D59=50%,"Excavation work in process",IF(D59=100%,"","0")))))&amp;(IF(C60=0%,"",IF(C60=L61,", Footing work is process",IF(C60=L62,", Footing work Completed",IF(C60=L63,", 1st Basement Completed",IF(C60=L64,", 1st &amp; 2nd Basement Completed",IF(C60=L65,", 1st to 3rd Basement Completed",IF(C60=L66,", 1st to 4th Basement Completed",IF(C60=L67,", Plinth work is process",IF(C60=L68,"","0"))))))))))</f>
        <v/>
      </c>
    </row>
    <row r="57" spans="1:12" ht="15" x14ac:dyDescent="0.35">
      <c r="A57" s="95" t="s">
        <v>208</v>
      </c>
      <c r="B57" s="96"/>
      <c r="C57" s="97" t="str">
        <f ca="1">K55</f>
        <v>All work Completed. Possession granted to the Building.</v>
      </c>
      <c r="D57" s="98"/>
      <c r="E57" s="98"/>
      <c r="F57" s="98"/>
      <c r="G57" s="98"/>
      <c r="H57" s="98"/>
      <c r="I57" s="98"/>
      <c r="J57" s="99"/>
      <c r="K57" s="51" t="str">
        <f ca="1">IF(K56&lt;&gt;""," Completed","")</f>
        <v xml:space="preserve"> Completed</v>
      </c>
      <c r="L57" s="52" t="str">
        <f ca="1">IF(L55&lt;&gt;"","Completed","")</f>
        <v/>
      </c>
    </row>
    <row r="58" spans="1:12" ht="15" customHeight="1" x14ac:dyDescent="0.35">
      <c r="A58" s="68" t="s">
        <v>68</v>
      </c>
      <c r="B58" s="69"/>
      <c r="C58" s="60" t="s">
        <v>209</v>
      </c>
      <c r="D58" s="100" t="s">
        <v>210</v>
      </c>
      <c r="E58" s="101"/>
      <c r="F58" s="100" t="s">
        <v>211</v>
      </c>
      <c r="G58" s="101"/>
      <c r="H58" s="100" t="s">
        <v>212</v>
      </c>
      <c r="I58" s="102"/>
      <c r="J58" s="103"/>
      <c r="K58" s="53" t="s">
        <v>213</v>
      </c>
      <c r="L58" s="54">
        <f ca="1">I56*25%</f>
        <v>1</v>
      </c>
    </row>
    <row r="59" spans="1:12" ht="15" customHeight="1" x14ac:dyDescent="0.35">
      <c r="A59" s="68" t="s">
        <v>214</v>
      </c>
      <c r="B59" s="69"/>
      <c r="C59" s="61">
        <v>4</v>
      </c>
      <c r="D59" s="70">
        <f ca="1">((100/I56)*C59)/100</f>
        <v>1</v>
      </c>
      <c r="E59" s="71"/>
      <c r="F59" s="70">
        <f ca="1">(((C60/I56*10)+(40/(D56+G56+I56)*C61)+(7.5/(I56)*C62)+(7.5/(I56)*C63)+(10/I56*C64)+(10/I56*C65)+(5/I56*C66)+(5/I56*C67)+(5/I56*C68))/100)</f>
        <v>1</v>
      </c>
      <c r="G59" s="71"/>
      <c r="H59" s="70">
        <f ca="1">((((C59/I56)*20)+((C60/I56)*25)+(30/(I56+G56+D56)*C61)+(5/I56*C62)+(5/I56*C63)+(5/I56*C64)+(5/I56*C65)+(0/I56*C66)+(0/I56*C67)+(5/I56*C68))/100)</f>
        <v>1</v>
      </c>
      <c r="I59" s="76"/>
      <c r="J59" s="77"/>
      <c r="K59" s="53" t="s">
        <v>215</v>
      </c>
      <c r="L59" s="55">
        <f ca="1">I56*50%</f>
        <v>2</v>
      </c>
    </row>
    <row r="60" spans="1:12" ht="15" customHeight="1" x14ac:dyDescent="0.35">
      <c r="A60" s="68" t="s">
        <v>69</v>
      </c>
      <c r="B60" s="69"/>
      <c r="C60" s="62">
        <v>4</v>
      </c>
      <c r="D60" s="70">
        <f ca="1">((100/I56)*C60)/100</f>
        <v>1</v>
      </c>
      <c r="E60" s="71"/>
      <c r="F60" s="72"/>
      <c r="G60" s="73"/>
      <c r="H60" s="72"/>
      <c r="I60" s="78"/>
      <c r="J60" s="79"/>
      <c r="K60" s="53" t="s">
        <v>216</v>
      </c>
      <c r="L60" s="55">
        <f ca="1">I56</f>
        <v>4</v>
      </c>
    </row>
    <row r="61" spans="1:12" ht="15" customHeight="1" x14ac:dyDescent="0.35">
      <c r="A61" s="68" t="s">
        <v>217</v>
      </c>
      <c r="B61" s="69"/>
      <c r="C61" s="62">
        <v>5</v>
      </c>
      <c r="D61" s="70">
        <f ca="1">((100/(D56+G56+I56))*C61)/100</f>
        <v>1</v>
      </c>
      <c r="E61" s="71"/>
      <c r="F61" s="72"/>
      <c r="G61" s="73"/>
      <c r="H61" s="72"/>
      <c r="I61" s="78"/>
      <c r="J61" s="79"/>
      <c r="K61" s="53" t="s">
        <v>218</v>
      </c>
      <c r="L61" s="56">
        <f ca="1">(IF(B56&gt;1,(I56/(B56+2)),I56/4))</f>
        <v>1</v>
      </c>
    </row>
    <row r="62" spans="1:12" ht="15" customHeight="1" x14ac:dyDescent="0.35">
      <c r="A62" s="68" t="s">
        <v>219</v>
      </c>
      <c r="B62" s="69" t="s">
        <v>220</v>
      </c>
      <c r="C62" s="61">
        <v>4</v>
      </c>
      <c r="D62" s="70">
        <f ca="1">((100/I56)*C62)/100</f>
        <v>1</v>
      </c>
      <c r="E62" s="71"/>
      <c r="F62" s="72"/>
      <c r="G62" s="73"/>
      <c r="H62" s="72"/>
      <c r="I62" s="78"/>
      <c r="J62" s="79"/>
      <c r="K62" s="53" t="s">
        <v>221</v>
      </c>
      <c r="L62" s="56">
        <f ca="1">(IF(B56&gt;1,(I56/(B56+2)+L61),I56/4+L61))</f>
        <v>2</v>
      </c>
    </row>
    <row r="63" spans="1:12" ht="15" customHeight="1" x14ac:dyDescent="0.35">
      <c r="A63" s="68" t="s">
        <v>222</v>
      </c>
      <c r="B63" s="69" t="s">
        <v>220</v>
      </c>
      <c r="C63" s="61">
        <v>4</v>
      </c>
      <c r="D63" s="70">
        <f ca="1">((100/I56)*C63)/100</f>
        <v>1</v>
      </c>
      <c r="E63" s="71"/>
      <c r="F63" s="72"/>
      <c r="G63" s="73"/>
      <c r="H63" s="72"/>
      <c r="I63" s="78"/>
      <c r="J63" s="79"/>
      <c r="K63" s="53" t="s">
        <v>223</v>
      </c>
      <c r="L63" s="56">
        <f>(IF(B56&gt;1,(I56/(B56+2)+L62),0))</f>
        <v>0</v>
      </c>
    </row>
    <row r="64" spans="1:12" ht="15" customHeight="1" x14ac:dyDescent="0.35">
      <c r="A64" s="68" t="s">
        <v>224</v>
      </c>
      <c r="B64" s="69" t="s">
        <v>225</v>
      </c>
      <c r="C64" s="61">
        <v>4</v>
      </c>
      <c r="D64" s="70">
        <f ca="1">((100/(I56))*C64)/100</f>
        <v>1</v>
      </c>
      <c r="E64" s="71"/>
      <c r="F64" s="72"/>
      <c r="G64" s="73"/>
      <c r="H64" s="72"/>
      <c r="I64" s="78"/>
      <c r="J64" s="79"/>
      <c r="K64" s="53" t="s">
        <v>226</v>
      </c>
      <c r="L64" s="56">
        <f>(IF(B56&gt;2,(I56/(B56+2)+L63),0))</f>
        <v>0</v>
      </c>
    </row>
    <row r="65" spans="1:12" ht="15" customHeight="1" x14ac:dyDescent="0.35">
      <c r="A65" s="68" t="s">
        <v>227</v>
      </c>
      <c r="B65" s="69" t="s">
        <v>227</v>
      </c>
      <c r="C65" s="61">
        <v>4</v>
      </c>
      <c r="D65" s="70">
        <f ca="1">((100/I56)*C65)/100</f>
        <v>1</v>
      </c>
      <c r="E65" s="71"/>
      <c r="F65" s="72"/>
      <c r="G65" s="73"/>
      <c r="H65" s="72"/>
      <c r="I65" s="78"/>
      <c r="J65" s="79"/>
      <c r="K65" s="53" t="s">
        <v>228</v>
      </c>
      <c r="L65" s="57">
        <f>(IF(B56&gt;3,(I56/(B56+2)+L64),0))</f>
        <v>0</v>
      </c>
    </row>
    <row r="66" spans="1:12" ht="15" customHeight="1" x14ac:dyDescent="0.35">
      <c r="A66" s="68" t="s">
        <v>229</v>
      </c>
      <c r="B66" s="69"/>
      <c r="C66" s="61">
        <v>4</v>
      </c>
      <c r="D66" s="70">
        <f ca="1">((100/I56)*C66)/100</f>
        <v>1</v>
      </c>
      <c r="E66" s="71"/>
      <c r="F66" s="72"/>
      <c r="G66" s="73"/>
      <c r="H66" s="72"/>
      <c r="I66" s="78"/>
      <c r="J66" s="79"/>
      <c r="K66" s="53" t="s">
        <v>230</v>
      </c>
      <c r="L66" s="56">
        <f>(IF(B56&gt;4,(I56/(B56+2)+L65),0))</f>
        <v>0</v>
      </c>
    </row>
    <row r="67" spans="1:12" ht="15" customHeight="1" x14ac:dyDescent="0.35">
      <c r="A67" s="68" t="s">
        <v>231</v>
      </c>
      <c r="B67" s="69" t="s">
        <v>231</v>
      </c>
      <c r="C67" s="61">
        <v>4</v>
      </c>
      <c r="D67" s="70">
        <f ca="1">((100/(I56))*C67)/100</f>
        <v>1</v>
      </c>
      <c r="E67" s="71"/>
      <c r="F67" s="72"/>
      <c r="G67" s="73"/>
      <c r="H67" s="72"/>
      <c r="I67" s="78"/>
      <c r="J67" s="79"/>
      <c r="K67" s="53" t="s">
        <v>232</v>
      </c>
      <c r="L67" s="56">
        <f ca="1">(IF(B56=1,(I56/(B56+3)+L62),IF(B56=0,(I56/4+L62),IF(B56&gt;1,0))))</f>
        <v>3</v>
      </c>
    </row>
    <row r="68" spans="1:12" ht="15" customHeight="1" thickBot="1" x14ac:dyDescent="0.4">
      <c r="A68" s="82" t="s">
        <v>233</v>
      </c>
      <c r="B68" s="83"/>
      <c r="C68" s="63">
        <v>4</v>
      </c>
      <c r="D68" s="84">
        <f ca="1">((100/(I56))*C68)/100</f>
        <v>1</v>
      </c>
      <c r="E68" s="85"/>
      <c r="F68" s="74"/>
      <c r="G68" s="75"/>
      <c r="H68" s="74"/>
      <c r="I68" s="80"/>
      <c r="J68" s="81"/>
      <c r="K68" s="58" t="s">
        <v>234</v>
      </c>
      <c r="L68" s="59">
        <f ca="1">(IF(B56&gt;1.5,(I56/(B56+2)+L62+MAX(0,L63-L62)+MAX(0,L64-L63)+MAX(0,L65-L64)+MAX(0,L66-L65)+MAX(0,L67-L66)),IF(B56=1,(I56/(B56+3)+L67),IF(B56=0,I56/4+L67))))</f>
        <v>4</v>
      </c>
    </row>
    <row r="69" spans="1:12" ht="15" customHeight="1" x14ac:dyDescent="0.35">
      <c r="A69" s="88" t="s">
        <v>203</v>
      </c>
      <c r="B69" s="89"/>
      <c r="C69" s="90" t="s">
        <v>237</v>
      </c>
      <c r="D69" s="91"/>
      <c r="E69" s="91"/>
      <c r="F69" s="91"/>
      <c r="G69" s="91"/>
      <c r="H69" s="91"/>
      <c r="I69" s="91"/>
      <c r="J69" s="92"/>
      <c r="K69" s="47" t="str">
        <f ca="1">IF(D82=100%,"All work Completed. Possession granted to the Building.",IF(D81=100%,"All work Completed, Waiting for OC",K70&amp;""&amp;K71&amp;""&amp;L70&amp;""&amp;L69&amp;" "&amp;L71))</f>
        <v>Excavation, Plinth, RCC Slab, Brickwork, Internal Plaster Completed, External Plaster upto 3.5 Floor, Flooring upto 2 Floor, Painting upto 2 Floor Completed</v>
      </c>
      <c r="L69" s="48" t="str">
        <f ca="1">(IF(C75=(D70+G70+I70),"",IF(C75&gt;0,", RCC upto "&amp;C75&amp;" Slab","")))&amp;(IF(C76=I70,"",IF(C76&gt;0,", Brickwork upto "&amp;C76&amp;" Floor","")))&amp;(IF(C77=I70,"",IF(C77&gt;0,", Internal Plaster upto "&amp;C77&amp;" Floor","")))&amp;(IF(C78=I70,"",IF(C78&gt;0,", External Plaster upto "&amp;C78&amp;" Floor","")))&amp;(IF(C79=I70,"",IF(C79&gt;0,", Flooring upto "&amp;C79&amp;" Floor","")))&amp;(IF(C80=I70,"",IF(C80&gt;0,", Painting upto "&amp;C80&amp;" Floor","")))&amp;(IF(C81=I70,"",IF(C81&gt;0,", Finishing upto "&amp;C81&amp;" Floor","")))&amp;(IF(C82=I70,"",IF(C82&gt;0,", Possession upto "&amp;C82&amp;" Floor","")))</f>
        <v>, External Plaster upto 3.5 Floor, Flooring upto 2 Floor, Painting upto 2 Floor</v>
      </c>
    </row>
    <row r="70" spans="1:12" ht="15" customHeight="1" x14ac:dyDescent="0.35">
      <c r="A70" s="49" t="s">
        <v>204</v>
      </c>
      <c r="B70" s="50">
        <v>0</v>
      </c>
      <c r="C70" s="50" t="s">
        <v>205</v>
      </c>
      <c r="D70" s="93">
        <v>1</v>
      </c>
      <c r="E70" s="104"/>
      <c r="F70" s="50" t="s">
        <v>206</v>
      </c>
      <c r="G70" s="50">
        <v>0</v>
      </c>
      <c r="H70" s="50" t="s">
        <v>207</v>
      </c>
      <c r="I70" s="93">
        <f ca="1">--TRIM(RIGHT(SUBSTITUTE(LEFT(C69,_xlfn.AGGREGATE(16,6,FIND({0,1,2,3,4,5,6,7,8,9},C69,ROW(INDIRECT("1:"&amp;LEN(C69)))),1))," ",REPT(" ",LEN(C69))),LEN(C69)))</f>
        <v>4</v>
      </c>
      <c r="J70" s="94"/>
      <c r="K70" s="51" t="str">
        <f ca="1">IF(D73=100%,"Excavation","")&amp;IF(D74=100%,", Plinth","")&amp;IF(D75=100%,", RCC Slab","")&amp;IF(D76=100%,", Brickwork","")&amp;IF(D77=100%,", Internal Plaster","")&amp;IF(D78=100%,", External Plaster","")&amp;IF(D79=100%,", Flooring","")&amp;IF(D80=100%,", Painting","")&amp;IF(D81=100%,", Building common Amenities","")</f>
        <v>Excavation, Plinth, RCC Slab, Brickwork, Internal Plaster</v>
      </c>
      <c r="L70" s="52" t="str">
        <f ca="1">(IF(C73=0,"Work not yet Started.",IF(D73=25%,"Piling work in process",IF(D73=50%,"Excavation work in process",IF(D73=100%,"","0")))))&amp;(IF(C74=0%,"",IF(C74=L75,", Footing work is process",IF(C74=L76,", Footing work Completed",IF(C74=L77,", 1st Basement Completed",IF(C74=L78,", 1st &amp; 2nd Basement Completed",IF(C74=L79,", 1st to 3rd Basement Completed",IF(C74=L80,", 1st to 4th Basement Completed",IF(C74=L81,", Plinth work is process",IF(C74=L82,"","0"))))))))))</f>
        <v/>
      </c>
    </row>
    <row r="71" spans="1:12" ht="34.5" customHeight="1" x14ac:dyDescent="0.35">
      <c r="A71" s="95" t="s">
        <v>208</v>
      </c>
      <c r="B71" s="96"/>
      <c r="C71" s="97" t="str">
        <f ca="1">K69</f>
        <v>Excavation, Plinth, RCC Slab, Brickwork, Internal Plaster Completed, External Plaster upto 3.5 Floor, Flooring upto 2 Floor, Painting upto 2 Floor Completed</v>
      </c>
      <c r="D71" s="98"/>
      <c r="E71" s="98"/>
      <c r="F71" s="98"/>
      <c r="G71" s="98"/>
      <c r="H71" s="98"/>
      <c r="I71" s="98"/>
      <c r="J71" s="99"/>
      <c r="K71" s="51" t="str">
        <f ca="1">IF(K70&lt;&gt;""," Completed","")</f>
        <v xml:space="preserve"> Completed</v>
      </c>
      <c r="L71" s="52" t="str">
        <f ca="1">IF(L69&lt;&gt;"","Completed","")</f>
        <v>Completed</v>
      </c>
    </row>
    <row r="72" spans="1:12" ht="15" customHeight="1" x14ac:dyDescent="0.35">
      <c r="A72" s="68" t="s">
        <v>68</v>
      </c>
      <c r="B72" s="69"/>
      <c r="C72" s="60" t="s">
        <v>209</v>
      </c>
      <c r="D72" s="100" t="s">
        <v>210</v>
      </c>
      <c r="E72" s="101"/>
      <c r="F72" s="100" t="s">
        <v>211</v>
      </c>
      <c r="G72" s="101"/>
      <c r="H72" s="100" t="s">
        <v>212</v>
      </c>
      <c r="I72" s="102"/>
      <c r="J72" s="103"/>
      <c r="K72" s="53" t="s">
        <v>213</v>
      </c>
      <c r="L72" s="54">
        <f ca="1">I70*25%</f>
        <v>1</v>
      </c>
    </row>
    <row r="73" spans="1:12" ht="15" customHeight="1" x14ac:dyDescent="0.35">
      <c r="A73" s="68" t="s">
        <v>214</v>
      </c>
      <c r="B73" s="69"/>
      <c r="C73" s="61">
        <v>4</v>
      </c>
      <c r="D73" s="70">
        <f ca="1">((100/I70)*C73)/100</f>
        <v>1</v>
      </c>
      <c r="E73" s="71"/>
      <c r="F73" s="70">
        <f ca="1">(((C74/I70*10)+(40/(D70+G70+I70)*C75)+(7.5/(I70)*C76)+(7.5/(I70)*C77)+(10/I70*C78)+(10/I70*C79)+(5/I70*C80)+(5/I70*C81)+(5/I70*C82))/100)</f>
        <v>0.8125</v>
      </c>
      <c r="G73" s="71"/>
      <c r="H73" s="70">
        <f ca="1">((((C73/I70)*20)+((C74/I70)*25)+(30/(I70+G70+D70)*C75)+(5/I70*C76)+(5/I70*C77)+(5/I70*C78)+(5/I70*C79)+(0/I70*C80)+(0/I70*C81)+(5/I70*C82))/100)</f>
        <v>0.91874999999999996</v>
      </c>
      <c r="I73" s="76"/>
      <c r="J73" s="77"/>
      <c r="K73" s="53" t="s">
        <v>215</v>
      </c>
      <c r="L73" s="55">
        <f ca="1">I70*50%</f>
        <v>2</v>
      </c>
    </row>
    <row r="74" spans="1:12" ht="15" customHeight="1" x14ac:dyDescent="0.35">
      <c r="A74" s="68" t="s">
        <v>69</v>
      </c>
      <c r="B74" s="69"/>
      <c r="C74" s="62">
        <v>4</v>
      </c>
      <c r="D74" s="70">
        <f ca="1">((100/I70)*C74)/100</f>
        <v>1</v>
      </c>
      <c r="E74" s="71"/>
      <c r="F74" s="72"/>
      <c r="G74" s="73"/>
      <c r="H74" s="72"/>
      <c r="I74" s="78"/>
      <c r="J74" s="79"/>
      <c r="K74" s="53" t="s">
        <v>216</v>
      </c>
      <c r="L74" s="55">
        <f ca="1">I70</f>
        <v>4</v>
      </c>
    </row>
    <row r="75" spans="1:12" ht="15" customHeight="1" x14ac:dyDescent="0.35">
      <c r="A75" s="68" t="s">
        <v>217</v>
      </c>
      <c r="B75" s="69"/>
      <c r="C75" s="62">
        <v>5</v>
      </c>
      <c r="D75" s="70">
        <f ca="1">((100/(D70+G70+I70))*C75)/100</f>
        <v>1</v>
      </c>
      <c r="E75" s="71"/>
      <c r="F75" s="72"/>
      <c r="G75" s="73"/>
      <c r="H75" s="72"/>
      <c r="I75" s="78"/>
      <c r="J75" s="79"/>
      <c r="K75" s="53" t="s">
        <v>218</v>
      </c>
      <c r="L75" s="56">
        <f ca="1">(IF(B70&gt;1,(I70/(B70+2)),I70/4))</f>
        <v>1</v>
      </c>
    </row>
    <row r="76" spans="1:12" ht="15" customHeight="1" x14ac:dyDescent="0.35">
      <c r="A76" s="68" t="s">
        <v>219</v>
      </c>
      <c r="B76" s="69" t="s">
        <v>220</v>
      </c>
      <c r="C76" s="61">
        <v>4</v>
      </c>
      <c r="D76" s="70">
        <f ca="1">((100/I70)*C76)/100</f>
        <v>1</v>
      </c>
      <c r="E76" s="71"/>
      <c r="F76" s="72"/>
      <c r="G76" s="73"/>
      <c r="H76" s="72"/>
      <c r="I76" s="78"/>
      <c r="J76" s="79"/>
      <c r="K76" s="53" t="s">
        <v>221</v>
      </c>
      <c r="L76" s="56">
        <f ca="1">(IF(B70&gt;1,(I70/(B70+2)+L75),I70/4+L75))</f>
        <v>2</v>
      </c>
    </row>
    <row r="77" spans="1:12" ht="15" customHeight="1" x14ac:dyDescent="0.35">
      <c r="A77" s="68" t="s">
        <v>222</v>
      </c>
      <c r="B77" s="69" t="s">
        <v>220</v>
      </c>
      <c r="C77" s="61">
        <v>4</v>
      </c>
      <c r="D77" s="70">
        <f ca="1">((100/I70)*C77)/100</f>
        <v>1</v>
      </c>
      <c r="E77" s="71"/>
      <c r="F77" s="72"/>
      <c r="G77" s="73"/>
      <c r="H77" s="72"/>
      <c r="I77" s="78"/>
      <c r="J77" s="79"/>
      <c r="K77" s="53" t="s">
        <v>223</v>
      </c>
      <c r="L77" s="56">
        <f>(IF(B70&gt;1,(I70/(B70+2)+L76),0))</f>
        <v>0</v>
      </c>
    </row>
    <row r="78" spans="1:12" ht="15" customHeight="1" x14ac:dyDescent="0.35">
      <c r="A78" s="68" t="s">
        <v>224</v>
      </c>
      <c r="B78" s="69" t="s">
        <v>225</v>
      </c>
      <c r="C78" s="61">
        <v>3.5</v>
      </c>
      <c r="D78" s="70">
        <f ca="1">((100/(I70))*C78)/100</f>
        <v>0.875</v>
      </c>
      <c r="E78" s="71"/>
      <c r="F78" s="72"/>
      <c r="G78" s="73"/>
      <c r="H78" s="72"/>
      <c r="I78" s="78"/>
      <c r="J78" s="79"/>
      <c r="K78" s="53" t="s">
        <v>226</v>
      </c>
      <c r="L78" s="56">
        <f>(IF(B70&gt;2,(I70/(B70+2)+L77),0))</f>
        <v>0</v>
      </c>
    </row>
    <row r="79" spans="1:12" ht="15" customHeight="1" x14ac:dyDescent="0.35">
      <c r="A79" s="68" t="s">
        <v>227</v>
      </c>
      <c r="B79" s="69" t="s">
        <v>227</v>
      </c>
      <c r="C79" s="61">
        <v>2</v>
      </c>
      <c r="D79" s="70">
        <f ca="1">((100/I70)*C79)/100</f>
        <v>0.5</v>
      </c>
      <c r="E79" s="71"/>
      <c r="F79" s="72"/>
      <c r="G79" s="73"/>
      <c r="H79" s="72"/>
      <c r="I79" s="78"/>
      <c r="J79" s="79"/>
      <c r="K79" s="53" t="s">
        <v>228</v>
      </c>
      <c r="L79" s="57">
        <f>(IF(B70&gt;3,(I70/(B70+2)+L78),0))</f>
        <v>0</v>
      </c>
    </row>
    <row r="80" spans="1:12" ht="15" customHeight="1" x14ac:dyDescent="0.35">
      <c r="A80" s="68" t="s">
        <v>229</v>
      </c>
      <c r="B80" s="69"/>
      <c r="C80" s="61">
        <v>2</v>
      </c>
      <c r="D80" s="70">
        <f ca="1">((100/I70)*C80)/100</f>
        <v>0.5</v>
      </c>
      <c r="E80" s="71"/>
      <c r="F80" s="72"/>
      <c r="G80" s="73"/>
      <c r="H80" s="72"/>
      <c r="I80" s="78"/>
      <c r="J80" s="79"/>
      <c r="K80" s="53" t="s">
        <v>230</v>
      </c>
      <c r="L80" s="56">
        <f>(IF(B70&gt;4,(I70/(B70+2)+L79),0))</f>
        <v>0</v>
      </c>
    </row>
    <row r="81" spans="1:12" ht="15" customHeight="1" x14ac:dyDescent="0.35">
      <c r="A81" s="68" t="s">
        <v>231</v>
      </c>
      <c r="B81" s="69" t="s">
        <v>231</v>
      </c>
      <c r="C81" s="61">
        <v>0</v>
      </c>
      <c r="D81" s="70">
        <f ca="1">((100/(I70))*C81)/100</f>
        <v>0</v>
      </c>
      <c r="E81" s="71"/>
      <c r="F81" s="72"/>
      <c r="G81" s="73"/>
      <c r="H81" s="72"/>
      <c r="I81" s="78"/>
      <c r="J81" s="79"/>
      <c r="K81" s="53" t="s">
        <v>232</v>
      </c>
      <c r="L81" s="56">
        <f ca="1">(IF(B70=1,(I70/(B70+3)+L76),IF(B70=0,(I70/4+L76),IF(B70&gt;1,0))))</f>
        <v>3</v>
      </c>
    </row>
    <row r="82" spans="1:12" ht="15" customHeight="1" thickBot="1" x14ac:dyDescent="0.4">
      <c r="A82" s="82" t="s">
        <v>233</v>
      </c>
      <c r="B82" s="83"/>
      <c r="C82" s="63">
        <v>0</v>
      </c>
      <c r="D82" s="84">
        <f ca="1">((100/(I70))*C82)/100</f>
        <v>0</v>
      </c>
      <c r="E82" s="85"/>
      <c r="F82" s="74"/>
      <c r="G82" s="75"/>
      <c r="H82" s="74"/>
      <c r="I82" s="80"/>
      <c r="J82" s="81"/>
      <c r="K82" s="58" t="s">
        <v>234</v>
      </c>
      <c r="L82" s="59">
        <f ca="1">(IF(B70&gt;1.5,(I70/(B70+2)+L76+MAX(0,L77-L76)+MAX(0,L78-L77)+MAX(0,L79-L78)+MAX(0,L80-L79)+MAX(0,L81-L80)),IF(B70=1,(I70/(B70+3)+L81),IF(B70=0,I70/4+L81))))</f>
        <v>4</v>
      </c>
    </row>
    <row r="83" spans="1:12" ht="15" customHeight="1" x14ac:dyDescent="0.35">
      <c r="A83" s="88" t="s">
        <v>203</v>
      </c>
      <c r="B83" s="89"/>
      <c r="C83" s="90" t="s">
        <v>238</v>
      </c>
      <c r="D83" s="91"/>
      <c r="E83" s="91"/>
      <c r="F83" s="91"/>
      <c r="G83" s="91"/>
      <c r="H83" s="91"/>
      <c r="I83" s="91"/>
      <c r="J83" s="92"/>
      <c r="K83" s="47" t="str">
        <f ca="1">IF(D96=100%,"All work Completed. Possession granted to the Building.",IF(D95=100%,"All work Completed, Waiting for OC",K84&amp;""&amp;K85&amp;""&amp;L84&amp;""&amp;L83&amp;" "&amp;L85))</f>
        <v>Excavation, Plinth Completed, RCC upto 2 Slab Completed</v>
      </c>
      <c r="L83" s="48" t="str">
        <f ca="1">(IF(C89=(D84+G84+I84),"",IF(C89&gt;0,", RCC upto "&amp;C89&amp;" Slab","")))&amp;(IF(C90=I84,"",IF(C90&gt;0,", Brickwork upto "&amp;C90&amp;" Floor","")))&amp;(IF(C91=I84,"",IF(C91&gt;0,", Internal Plaster upto "&amp;C91&amp;" Floor","")))&amp;(IF(C92=I84,"",IF(C92&gt;0,", External Plaster upto "&amp;C92&amp;" Floor","")))&amp;(IF(C93=I84,"",IF(C93&gt;0,", Flooring upto "&amp;C93&amp;" Floor","")))&amp;(IF(C94=I84,"",IF(C94&gt;0,", Painting upto "&amp;C94&amp;" Floor","")))&amp;(IF(C95=I84,"",IF(C95&gt;0,", Finishing upto "&amp;C95&amp;" Floor","")))&amp;(IF(C96=I84,"",IF(C96&gt;0,", Possession upto "&amp;C96&amp;" Floor","")))</f>
        <v>, RCC upto 2 Slab</v>
      </c>
    </row>
    <row r="84" spans="1:12" ht="15" customHeight="1" x14ac:dyDescent="0.35">
      <c r="A84" s="49" t="s">
        <v>204</v>
      </c>
      <c r="B84" s="50">
        <v>0</v>
      </c>
      <c r="C84" s="50" t="s">
        <v>205</v>
      </c>
      <c r="D84" s="93">
        <v>1</v>
      </c>
      <c r="E84" s="104"/>
      <c r="F84" s="50" t="s">
        <v>206</v>
      </c>
      <c r="G84" s="50">
        <v>0</v>
      </c>
      <c r="H84" s="50" t="s">
        <v>207</v>
      </c>
      <c r="I84" s="93">
        <f ca="1">--TRIM(RIGHT(SUBSTITUTE(LEFT(C83,_xlfn.AGGREGATE(16,6,FIND({0,1,2,3,4,5,6,7,8,9},C83,ROW(INDIRECT("1:"&amp;LEN(C83)))),1))," ",REPT(" ",LEN(C83))),LEN(C83)))</f>
        <v>4</v>
      </c>
      <c r="J84" s="94"/>
      <c r="K84" s="51" t="str">
        <f ca="1">IF(D87=100%,"Excavation","")&amp;IF(D88=100%,", Plinth","")&amp;IF(D89=100%,", RCC Slab","")&amp;IF(D90=100%,", Brickwork","")&amp;IF(D91=100%,", Internal Plaster","")&amp;IF(D92=100%,", External Plaster","")&amp;IF(D93=100%,", Flooring","")&amp;IF(D94=100%,", Painting","")&amp;IF(D95=100%,", Building common Amenities","")</f>
        <v>Excavation, Plinth</v>
      </c>
      <c r="L84" s="52" t="str">
        <f ca="1">(IF(C87=0,"Work not yet Started.",IF(D87=25%,"Piling work in process",IF(D87=50%,"Excavation work in process",IF(D87=100%,"","0")))))&amp;(IF(C88=0%,"",IF(C88=L89,", Footing work is process",IF(C88=L90,", Footing work Completed",IF(C88=L91,", 1st Basement Completed",IF(C88=L92,", 1st &amp; 2nd Basement Completed",IF(C88=L93,", 1st to 3rd Basement Completed",IF(C88=L94,", 1st to 4th Basement Completed",IF(C88=L95,", Plinth work is process",IF(C88=L96,"","0"))))))))))</f>
        <v/>
      </c>
    </row>
    <row r="85" spans="1:12" ht="15" customHeight="1" x14ac:dyDescent="0.35">
      <c r="A85" s="95" t="s">
        <v>208</v>
      </c>
      <c r="B85" s="96"/>
      <c r="C85" s="97" t="str">
        <f ca="1">K83</f>
        <v>Excavation, Plinth Completed, RCC upto 2 Slab Completed</v>
      </c>
      <c r="D85" s="98"/>
      <c r="E85" s="98"/>
      <c r="F85" s="98"/>
      <c r="G85" s="98"/>
      <c r="H85" s="98"/>
      <c r="I85" s="98"/>
      <c r="J85" s="99"/>
      <c r="K85" s="51" t="str">
        <f ca="1">IF(K84&lt;&gt;""," Completed","")</f>
        <v xml:space="preserve"> Completed</v>
      </c>
      <c r="L85" s="52" t="str">
        <f ca="1">IF(L83&lt;&gt;"","Completed","")</f>
        <v>Completed</v>
      </c>
    </row>
    <row r="86" spans="1:12" ht="15" customHeight="1" x14ac:dyDescent="0.35">
      <c r="A86" s="68" t="s">
        <v>68</v>
      </c>
      <c r="B86" s="69"/>
      <c r="C86" s="60" t="s">
        <v>209</v>
      </c>
      <c r="D86" s="100" t="s">
        <v>210</v>
      </c>
      <c r="E86" s="101"/>
      <c r="F86" s="100" t="s">
        <v>211</v>
      </c>
      <c r="G86" s="101"/>
      <c r="H86" s="100" t="s">
        <v>212</v>
      </c>
      <c r="I86" s="102"/>
      <c r="J86" s="103"/>
      <c r="K86" s="53" t="s">
        <v>213</v>
      </c>
      <c r="L86" s="54">
        <f ca="1">I84*25%</f>
        <v>1</v>
      </c>
    </row>
    <row r="87" spans="1:12" ht="15" customHeight="1" x14ac:dyDescent="0.35">
      <c r="A87" s="68" t="s">
        <v>214</v>
      </c>
      <c r="B87" s="69"/>
      <c r="C87" s="61">
        <v>4</v>
      </c>
      <c r="D87" s="70">
        <f ca="1">((100/I84)*C87)/100</f>
        <v>1</v>
      </c>
      <c r="E87" s="71"/>
      <c r="F87" s="70">
        <f ca="1">(((C88/I84*10)+(40/(D84+G84+I84)*C89)+(7.5/(I84)*C90)+(7.5/(I84)*C91)+(10/I84*C92)+(10/I84*C93)+(5/I84*C94)+(5/I84*C95)+(5/I84*C96))/100)</f>
        <v>0.26</v>
      </c>
      <c r="G87" s="71"/>
      <c r="H87" s="70">
        <f ca="1">((((C87/I84)*20)+((C88/I84)*25)+(30/(I84+G84+D84)*C89)+(5/I84*C90)+(5/I84*C91)+(5/I84*C92)+(5/I84*C93)+(0/I84*C94)+(0/I84*C95)+(5/I84*C96))/100)</f>
        <v>0.56999999999999995</v>
      </c>
      <c r="I87" s="76"/>
      <c r="J87" s="77"/>
      <c r="K87" s="53" t="s">
        <v>215</v>
      </c>
      <c r="L87" s="55">
        <f ca="1">I84*50%</f>
        <v>2</v>
      </c>
    </row>
    <row r="88" spans="1:12" ht="15" customHeight="1" x14ac:dyDescent="0.35">
      <c r="A88" s="68" t="s">
        <v>69</v>
      </c>
      <c r="B88" s="69"/>
      <c r="C88" s="62">
        <v>4</v>
      </c>
      <c r="D88" s="70">
        <f ca="1">((100/I84)*C88)/100</f>
        <v>1</v>
      </c>
      <c r="E88" s="71"/>
      <c r="F88" s="72"/>
      <c r="G88" s="73"/>
      <c r="H88" s="72"/>
      <c r="I88" s="78"/>
      <c r="J88" s="79"/>
      <c r="K88" s="53" t="s">
        <v>216</v>
      </c>
      <c r="L88" s="55">
        <f ca="1">I84</f>
        <v>4</v>
      </c>
    </row>
    <row r="89" spans="1:12" ht="15" customHeight="1" x14ac:dyDescent="0.35">
      <c r="A89" s="68" t="s">
        <v>217</v>
      </c>
      <c r="B89" s="69"/>
      <c r="C89" s="62">
        <v>2</v>
      </c>
      <c r="D89" s="70">
        <f ca="1">((100/(D84+G84+I84))*C89)/100</f>
        <v>0.4</v>
      </c>
      <c r="E89" s="71"/>
      <c r="F89" s="72"/>
      <c r="G89" s="73"/>
      <c r="H89" s="72"/>
      <c r="I89" s="78"/>
      <c r="J89" s="79"/>
      <c r="K89" s="53" t="s">
        <v>218</v>
      </c>
      <c r="L89" s="56">
        <f ca="1">(IF(B84&gt;1,(I84/(B84+2)),I84/4))</f>
        <v>1</v>
      </c>
    </row>
    <row r="90" spans="1:12" ht="15" customHeight="1" x14ac:dyDescent="0.35">
      <c r="A90" s="68" t="s">
        <v>219</v>
      </c>
      <c r="B90" s="69" t="s">
        <v>220</v>
      </c>
      <c r="C90" s="61">
        <v>0</v>
      </c>
      <c r="D90" s="70">
        <f ca="1">((100/I84)*C90)/100</f>
        <v>0</v>
      </c>
      <c r="E90" s="71"/>
      <c r="F90" s="72"/>
      <c r="G90" s="73"/>
      <c r="H90" s="72"/>
      <c r="I90" s="78"/>
      <c r="J90" s="79"/>
      <c r="K90" s="53" t="s">
        <v>221</v>
      </c>
      <c r="L90" s="56">
        <f ca="1">(IF(B84&gt;1,(I84/(B84+2)+L89),I84/4+L89))</f>
        <v>2</v>
      </c>
    </row>
    <row r="91" spans="1:12" ht="15" customHeight="1" x14ac:dyDescent="0.35">
      <c r="A91" s="68" t="s">
        <v>222</v>
      </c>
      <c r="B91" s="69" t="s">
        <v>220</v>
      </c>
      <c r="C91" s="61">
        <v>0</v>
      </c>
      <c r="D91" s="70">
        <f ca="1">((100/I84)*C91)/100</f>
        <v>0</v>
      </c>
      <c r="E91" s="71"/>
      <c r="F91" s="72"/>
      <c r="G91" s="73"/>
      <c r="H91" s="72"/>
      <c r="I91" s="78"/>
      <c r="J91" s="79"/>
      <c r="K91" s="53" t="s">
        <v>223</v>
      </c>
      <c r="L91" s="56">
        <f>(IF(B84&gt;1,(I84/(B84+2)+L90),0))</f>
        <v>0</v>
      </c>
    </row>
    <row r="92" spans="1:12" ht="15" customHeight="1" x14ac:dyDescent="0.35">
      <c r="A92" s="68" t="s">
        <v>224</v>
      </c>
      <c r="B92" s="69" t="s">
        <v>225</v>
      </c>
      <c r="C92" s="61">
        <v>0</v>
      </c>
      <c r="D92" s="70">
        <f ca="1">((100/(I84))*C92)/100</f>
        <v>0</v>
      </c>
      <c r="E92" s="71"/>
      <c r="F92" s="72"/>
      <c r="G92" s="73"/>
      <c r="H92" s="72"/>
      <c r="I92" s="78"/>
      <c r="J92" s="79"/>
      <c r="K92" s="53" t="s">
        <v>226</v>
      </c>
      <c r="L92" s="56">
        <f>(IF(B84&gt;2,(I84/(B84+2)+L91),0))</f>
        <v>0</v>
      </c>
    </row>
    <row r="93" spans="1:12" ht="15" customHeight="1" x14ac:dyDescent="0.35">
      <c r="A93" s="68" t="s">
        <v>227</v>
      </c>
      <c r="B93" s="69" t="s">
        <v>227</v>
      </c>
      <c r="C93" s="61">
        <v>0</v>
      </c>
      <c r="D93" s="70">
        <f ca="1">((100/I84)*C93)/100</f>
        <v>0</v>
      </c>
      <c r="E93" s="71"/>
      <c r="F93" s="72"/>
      <c r="G93" s="73"/>
      <c r="H93" s="72"/>
      <c r="I93" s="78"/>
      <c r="J93" s="79"/>
      <c r="K93" s="53" t="s">
        <v>228</v>
      </c>
      <c r="L93" s="57">
        <f>(IF(B84&gt;3,(I84/(B84+2)+L92),0))</f>
        <v>0</v>
      </c>
    </row>
    <row r="94" spans="1:12" ht="15" customHeight="1" x14ac:dyDescent="0.35">
      <c r="A94" s="68" t="s">
        <v>229</v>
      </c>
      <c r="B94" s="69"/>
      <c r="C94" s="61">
        <v>0</v>
      </c>
      <c r="D94" s="70">
        <f ca="1">((100/I84)*C94)/100</f>
        <v>0</v>
      </c>
      <c r="E94" s="71"/>
      <c r="F94" s="72"/>
      <c r="G94" s="73"/>
      <c r="H94" s="72"/>
      <c r="I94" s="78"/>
      <c r="J94" s="79"/>
      <c r="K94" s="53" t="s">
        <v>230</v>
      </c>
      <c r="L94" s="56">
        <f>(IF(B84&gt;4,(I84/(B84+2)+L93),0))</f>
        <v>0</v>
      </c>
    </row>
    <row r="95" spans="1:12" ht="15" customHeight="1" x14ac:dyDescent="0.35">
      <c r="A95" s="68" t="s">
        <v>231</v>
      </c>
      <c r="B95" s="69" t="s">
        <v>231</v>
      </c>
      <c r="C95" s="61">
        <v>0</v>
      </c>
      <c r="D95" s="70">
        <f ca="1">((100/(I84))*C95)/100</f>
        <v>0</v>
      </c>
      <c r="E95" s="71"/>
      <c r="F95" s="72"/>
      <c r="G95" s="73"/>
      <c r="H95" s="72"/>
      <c r="I95" s="78"/>
      <c r="J95" s="79"/>
      <c r="K95" s="53" t="s">
        <v>232</v>
      </c>
      <c r="L95" s="56">
        <f ca="1">(IF(B84=1,(I84/(B84+3)+L90),IF(B84=0,(I84/4+L90),IF(B84&gt;1,0))))</f>
        <v>3</v>
      </c>
    </row>
    <row r="96" spans="1:12" ht="15" customHeight="1" thickBot="1" x14ac:dyDescent="0.4">
      <c r="A96" s="82" t="s">
        <v>233</v>
      </c>
      <c r="B96" s="83"/>
      <c r="C96" s="63">
        <v>0</v>
      </c>
      <c r="D96" s="84">
        <f ca="1">((100/(I84))*C96)/100</f>
        <v>0</v>
      </c>
      <c r="E96" s="85"/>
      <c r="F96" s="74"/>
      <c r="G96" s="75"/>
      <c r="H96" s="74"/>
      <c r="I96" s="80"/>
      <c r="J96" s="81"/>
      <c r="K96" s="58" t="s">
        <v>234</v>
      </c>
      <c r="L96" s="59">
        <f ca="1">(IF(B84&gt;1.5,(I84/(B84+2)+L90+MAX(0,L91-L90)+MAX(0,L92-L91)+MAX(0,L93-L92)+MAX(0,L94-L93)+MAX(0,L95-L94)),IF(B84=1,(I84/(B84+3)+L95),IF(B84=0,I84/4+L95))))</f>
        <v>4</v>
      </c>
    </row>
    <row r="97" spans="1:10" x14ac:dyDescent="0.3">
      <c r="A97" s="139" t="s">
        <v>74</v>
      </c>
      <c r="B97" s="140"/>
      <c r="C97" s="140"/>
      <c r="D97" s="140"/>
      <c r="E97" s="140"/>
      <c r="F97" s="140"/>
      <c r="G97" s="140"/>
      <c r="H97" s="140"/>
      <c r="I97" s="140"/>
      <c r="J97" s="141"/>
    </row>
    <row r="98" spans="1:10" x14ac:dyDescent="0.3">
      <c r="A98" s="139" t="s">
        <v>75</v>
      </c>
      <c r="B98" s="140"/>
      <c r="C98" s="140"/>
      <c r="D98" s="140"/>
      <c r="E98" s="140"/>
      <c r="F98" s="140"/>
      <c r="G98" s="140"/>
      <c r="H98" s="140"/>
      <c r="I98" s="140"/>
      <c r="J98" s="141"/>
    </row>
    <row r="99" spans="1:10" ht="15" customHeight="1" x14ac:dyDescent="0.3">
      <c r="A99" s="186" t="s">
        <v>76</v>
      </c>
      <c r="B99" s="187"/>
      <c r="C99" s="188" t="s">
        <v>77</v>
      </c>
      <c r="D99" s="189"/>
      <c r="E99" s="189"/>
      <c r="F99" s="189"/>
      <c r="G99" s="189"/>
      <c r="H99" s="189"/>
      <c r="I99" s="189"/>
      <c r="J99" s="190"/>
    </row>
    <row r="100" spans="1:10" x14ac:dyDescent="0.3">
      <c r="A100" s="133" t="s">
        <v>78</v>
      </c>
      <c r="B100" s="134"/>
      <c r="C100" s="134"/>
      <c r="D100" s="134"/>
      <c r="E100" s="134"/>
      <c r="F100" s="134"/>
      <c r="G100" s="134"/>
      <c r="H100" s="134"/>
      <c r="I100" s="134"/>
      <c r="J100" s="135"/>
    </row>
    <row r="101" spans="1:10" x14ac:dyDescent="0.3">
      <c r="A101" s="139" t="s">
        <v>79</v>
      </c>
      <c r="B101" s="140"/>
      <c r="C101" s="140"/>
      <c r="D101" s="140"/>
      <c r="E101" s="140"/>
      <c r="F101" s="141"/>
      <c r="G101" s="177">
        <v>3100</v>
      </c>
      <c r="H101" s="178"/>
      <c r="I101" s="178"/>
      <c r="J101" s="179"/>
    </row>
    <row r="102" spans="1:10" x14ac:dyDescent="0.3">
      <c r="A102" s="180" t="s">
        <v>171</v>
      </c>
      <c r="B102" s="181"/>
      <c r="C102" s="181"/>
      <c r="D102" s="181"/>
      <c r="E102" s="181"/>
      <c r="F102" s="182"/>
      <c r="G102" s="183">
        <v>4000</v>
      </c>
      <c r="H102" s="184"/>
      <c r="I102" s="184"/>
      <c r="J102" s="185"/>
    </row>
    <row r="103" spans="1:10" x14ac:dyDescent="0.3">
      <c r="A103" s="148" t="s">
        <v>179</v>
      </c>
      <c r="B103" s="149"/>
      <c r="C103" s="149"/>
      <c r="D103" s="149"/>
      <c r="E103" s="149"/>
      <c r="F103" s="150"/>
      <c r="G103" s="142" t="s">
        <v>239</v>
      </c>
      <c r="H103" s="143"/>
      <c r="I103" s="143"/>
      <c r="J103" s="144"/>
    </row>
    <row r="104" spans="1:10" x14ac:dyDescent="0.3">
      <c r="A104" s="139" t="s">
        <v>240</v>
      </c>
      <c r="B104" s="140"/>
      <c r="C104" s="140"/>
      <c r="D104" s="140"/>
      <c r="E104" s="140"/>
      <c r="F104" s="141"/>
      <c r="G104" s="142" t="s">
        <v>241</v>
      </c>
      <c r="H104" s="143"/>
      <c r="I104" s="143"/>
      <c r="J104" s="144"/>
    </row>
    <row r="105" spans="1:10" x14ac:dyDescent="0.3">
      <c r="A105" s="139" t="s">
        <v>80</v>
      </c>
      <c r="B105" s="140"/>
      <c r="C105" s="140"/>
      <c r="D105" s="140"/>
      <c r="E105" s="140"/>
      <c r="F105" s="141"/>
      <c r="G105" s="142" t="s">
        <v>180</v>
      </c>
      <c r="H105" s="143"/>
      <c r="I105" s="143"/>
      <c r="J105" s="144"/>
    </row>
    <row r="106" spans="1:10" s="9" customFormat="1" ht="14.65" customHeight="1" x14ac:dyDescent="0.3">
      <c r="A106" s="133" t="s">
        <v>81</v>
      </c>
      <c r="B106" s="134"/>
      <c r="C106" s="134"/>
      <c r="D106" s="134"/>
      <c r="E106" s="134"/>
      <c r="F106" s="135"/>
      <c r="G106" s="136">
        <f>G101*0.8</f>
        <v>2480</v>
      </c>
      <c r="H106" s="137"/>
      <c r="I106" s="137"/>
      <c r="J106" s="138"/>
    </row>
    <row r="107" spans="1:10" s="10" customFormat="1" ht="15.75" customHeight="1" x14ac:dyDescent="0.35">
      <c r="A107" s="116" t="s">
        <v>82</v>
      </c>
      <c r="B107" s="117"/>
      <c r="C107" s="33" t="s">
        <v>183</v>
      </c>
      <c r="D107" s="145" t="s">
        <v>83</v>
      </c>
      <c r="E107" s="146"/>
      <c r="F107" s="147"/>
      <c r="G107" s="116" t="s">
        <v>84</v>
      </c>
      <c r="H107" s="117"/>
      <c r="I107" s="117"/>
      <c r="J107" s="118"/>
    </row>
    <row r="108" spans="1:10" s="9" customFormat="1" ht="15.75" customHeight="1" x14ac:dyDescent="0.3">
      <c r="A108" s="122" t="s">
        <v>242</v>
      </c>
      <c r="B108" s="123"/>
      <c r="C108" s="123"/>
      <c r="D108" s="123"/>
      <c r="E108" s="123"/>
      <c r="F108" s="123"/>
      <c r="G108" s="123"/>
      <c r="H108" s="123"/>
      <c r="I108" s="123"/>
      <c r="J108" s="124"/>
    </row>
    <row r="109" spans="1:10" s="10" customFormat="1" ht="15.5" x14ac:dyDescent="0.35">
      <c r="A109" s="125" t="s">
        <v>181</v>
      </c>
      <c r="B109" s="126"/>
      <c r="C109" s="33">
        <v>25</v>
      </c>
      <c r="D109" s="130">
        <f>SUM(D121:E127)*3+SUM(D130:E131)+SUM(D133:E134)</f>
        <v>10338.822</v>
      </c>
      <c r="E109" s="131"/>
      <c r="F109" s="132"/>
      <c r="G109" s="127">
        <f>SUM(G121:G127)*3+SUM(G130:G131)+SUM(G133:G134)</f>
        <v>14751</v>
      </c>
      <c r="H109" s="128"/>
      <c r="I109" s="128"/>
      <c r="J109" s="129"/>
    </row>
    <row r="110" spans="1:10" s="10" customFormat="1" ht="15.5" x14ac:dyDescent="0.35">
      <c r="A110" s="125" t="s">
        <v>182</v>
      </c>
      <c r="B110" s="126"/>
      <c r="C110" s="33">
        <f>COUNT(D139)+COUNT(D141:E147)*3+COUNT(D151)+COUNT(D153:E154)</f>
        <v>25</v>
      </c>
      <c r="D110" s="130">
        <f>SUM(D139)+SUM(D141:E147)*3+SUM(D151)+SUM(D153:E154)</f>
        <v>10025.298972000001</v>
      </c>
      <c r="E110" s="131"/>
      <c r="F110" s="132"/>
      <c r="G110" s="127">
        <f>SUM(G139)+SUM(G141:G147)*3+SUM(G151)+SUM(G153:G154)</f>
        <v>14818</v>
      </c>
      <c r="H110" s="128"/>
      <c r="I110" s="128"/>
      <c r="J110" s="129"/>
    </row>
    <row r="111" spans="1:10" s="9" customFormat="1" x14ac:dyDescent="0.3">
      <c r="A111" s="122" t="s">
        <v>243</v>
      </c>
      <c r="B111" s="123"/>
      <c r="C111" s="123"/>
      <c r="D111" s="123"/>
      <c r="E111" s="123"/>
      <c r="F111" s="123"/>
      <c r="G111" s="123"/>
      <c r="H111" s="123"/>
      <c r="I111" s="123"/>
      <c r="J111" s="124"/>
    </row>
    <row r="112" spans="1:10" s="10" customFormat="1" ht="15.5" x14ac:dyDescent="0.35">
      <c r="A112" s="125" t="s">
        <v>181</v>
      </c>
      <c r="B112" s="126"/>
      <c r="C112" s="33">
        <v>28</v>
      </c>
      <c r="D112" s="130">
        <f>SUM(D160:E166)*3+SUM(D168:E174)</f>
        <v>9708.2668799999992</v>
      </c>
      <c r="E112" s="131"/>
      <c r="F112" s="132"/>
      <c r="G112" s="127">
        <f>SUM(G160:G166)*3+SUM(G168:G174)</f>
        <v>13694</v>
      </c>
      <c r="H112" s="128"/>
      <c r="I112" s="128"/>
      <c r="J112" s="129"/>
    </row>
    <row r="113" spans="1:10" s="10" customFormat="1" ht="15.5" x14ac:dyDescent="0.35">
      <c r="A113" s="114" t="s">
        <v>184</v>
      </c>
      <c r="B113" s="115"/>
      <c r="C113" s="34">
        <f>C109+C110+C112</f>
        <v>78</v>
      </c>
      <c r="D113" s="119">
        <f>D109+D110+D112</f>
        <v>30072.387852</v>
      </c>
      <c r="E113" s="120"/>
      <c r="F113" s="121"/>
      <c r="G113" s="116">
        <f>G109+G110+G112</f>
        <v>43263</v>
      </c>
      <c r="H113" s="117"/>
      <c r="I113" s="117"/>
      <c r="J113" s="118"/>
    </row>
    <row r="114" spans="1:10" s="9" customFormat="1" ht="17.5" x14ac:dyDescent="0.3">
      <c r="A114" s="170" t="s">
        <v>87</v>
      </c>
      <c r="B114" s="171"/>
      <c r="C114" s="171"/>
      <c r="D114" s="171"/>
      <c r="E114" s="171"/>
      <c r="F114" s="171"/>
      <c r="G114" s="171"/>
      <c r="H114" s="171"/>
      <c r="I114" s="171"/>
      <c r="J114" s="172"/>
    </row>
    <row r="115" spans="1:10" x14ac:dyDescent="0.3">
      <c r="A115" s="122" t="s">
        <v>88</v>
      </c>
      <c r="B115" s="123"/>
      <c r="C115" s="123"/>
      <c r="D115" s="123"/>
      <c r="E115" s="123"/>
      <c r="F115" s="123"/>
      <c r="G115" s="123"/>
      <c r="H115" s="123"/>
      <c r="I115" s="123"/>
      <c r="J115" s="124"/>
    </row>
    <row r="116" spans="1:10" ht="45" x14ac:dyDescent="0.3">
      <c r="A116" s="173" t="s">
        <v>89</v>
      </c>
      <c r="B116" s="174"/>
      <c r="C116" s="11" t="s">
        <v>90</v>
      </c>
      <c r="D116" s="175" t="s">
        <v>91</v>
      </c>
      <c r="E116" s="176"/>
      <c r="F116" s="12" t="s">
        <v>92</v>
      </c>
      <c r="G116" s="11" t="s">
        <v>170</v>
      </c>
      <c r="H116" s="11" t="s">
        <v>93</v>
      </c>
      <c r="I116" s="173" t="s">
        <v>94</v>
      </c>
      <c r="J116" s="174"/>
    </row>
    <row r="117" spans="1:10" s="13" customFormat="1" ht="15.5" x14ac:dyDescent="0.35">
      <c r="A117" s="105" t="s">
        <v>157</v>
      </c>
      <c r="B117" s="106"/>
      <c r="C117" s="106"/>
      <c r="D117" s="106"/>
      <c r="E117" s="106"/>
      <c r="F117" s="106"/>
      <c r="G117" s="106"/>
      <c r="H117" s="106"/>
      <c r="I117" s="106"/>
      <c r="J117" s="107"/>
    </row>
    <row r="118" spans="1:10" s="13" customFormat="1" ht="15.5" x14ac:dyDescent="0.35">
      <c r="A118" s="105" t="s">
        <v>158</v>
      </c>
      <c r="B118" s="106"/>
      <c r="C118" s="106"/>
      <c r="D118" s="106"/>
      <c r="E118" s="106"/>
      <c r="F118" s="106"/>
      <c r="G118" s="106"/>
      <c r="H118" s="106"/>
      <c r="I118" s="106"/>
      <c r="J118" s="107"/>
    </row>
    <row r="119" spans="1:10" s="13" customFormat="1" ht="15.5" x14ac:dyDescent="0.35">
      <c r="A119" s="105" t="s">
        <v>159</v>
      </c>
      <c r="B119" s="106"/>
      <c r="C119" s="106"/>
      <c r="D119" s="106"/>
      <c r="E119" s="106"/>
      <c r="F119" s="106"/>
      <c r="G119" s="106"/>
      <c r="H119" s="106"/>
      <c r="I119" s="106"/>
      <c r="J119" s="107"/>
    </row>
    <row r="120" spans="1:10" s="13" customFormat="1" ht="15.5" x14ac:dyDescent="0.35">
      <c r="A120" s="105" t="s">
        <v>160</v>
      </c>
      <c r="B120" s="106"/>
      <c r="C120" s="106"/>
      <c r="D120" s="106"/>
      <c r="E120" s="106"/>
      <c r="F120" s="106"/>
      <c r="G120" s="106"/>
      <c r="H120" s="106"/>
      <c r="I120" s="106"/>
      <c r="J120" s="107"/>
    </row>
    <row r="121" spans="1:10" s="13" customFormat="1" ht="15.75" customHeight="1" x14ac:dyDescent="0.35">
      <c r="A121" s="86">
        <v>1</v>
      </c>
      <c r="B121" s="87"/>
      <c r="C121" s="14" t="s">
        <v>161</v>
      </c>
      <c r="D121" s="86">
        <f>(10.1+2.2+1.23+4.95+11.69+3.05*1.1+2.15*1.5+2.75*0.75+1*2.15+0.45*2.1)*10.764</f>
        <v>451.09232999999995</v>
      </c>
      <c r="E121" s="87"/>
      <c r="F121" s="14">
        <v>0</v>
      </c>
      <c r="G121" s="14">
        <v>622</v>
      </c>
      <c r="H121" s="14" t="s">
        <v>95</v>
      </c>
      <c r="I121" s="108" t="s">
        <v>163</v>
      </c>
      <c r="J121" s="109"/>
    </row>
    <row r="122" spans="1:10" s="13" customFormat="1" ht="15.5" x14ac:dyDescent="0.35">
      <c r="A122" s="86">
        <v>2</v>
      </c>
      <c r="B122" s="87"/>
      <c r="C122" s="14" t="s">
        <v>161</v>
      </c>
      <c r="D122" s="86">
        <f>(12.99+2.2+1.23+4.95+11.69+3.05*0.75+2.15*1.5+2.75*0.75+0.45*2.1+1*2.15)*10.764</f>
        <v>470.70972</v>
      </c>
      <c r="E122" s="87"/>
      <c r="F122" s="14">
        <v>0</v>
      </c>
      <c r="G122" s="14">
        <v>665</v>
      </c>
      <c r="H122" s="14" t="s">
        <v>95</v>
      </c>
      <c r="I122" s="110"/>
      <c r="J122" s="111"/>
    </row>
    <row r="123" spans="1:10" s="13" customFormat="1" ht="15.5" x14ac:dyDescent="0.35">
      <c r="A123" s="86">
        <v>3</v>
      </c>
      <c r="B123" s="87"/>
      <c r="C123" s="14" t="s">
        <v>161</v>
      </c>
      <c r="D123" s="86">
        <f>(12.99+2.2+1.23+4.95+11.69+3.05*0.75+2.15*1.5+2.75*0.75+1*2.15)*10.764</f>
        <v>460.53773999999999</v>
      </c>
      <c r="E123" s="87"/>
      <c r="F123" s="14">
        <v>0</v>
      </c>
      <c r="G123" s="14">
        <v>660</v>
      </c>
      <c r="H123" s="14" t="s">
        <v>95</v>
      </c>
      <c r="I123" s="110"/>
      <c r="J123" s="111"/>
    </row>
    <row r="124" spans="1:10" s="13" customFormat="1" ht="15.5" x14ac:dyDescent="0.35">
      <c r="A124" s="86">
        <v>4</v>
      </c>
      <c r="B124" s="87"/>
      <c r="C124" s="14" t="s">
        <v>162</v>
      </c>
      <c r="D124" s="86">
        <f>(17.64+2.88+5.41+2.3*1.5+0.75*3.05)*10.764</f>
        <v>340.86896999999993</v>
      </c>
      <c r="E124" s="87"/>
      <c r="F124" s="14">
        <v>0</v>
      </c>
      <c r="G124" s="14">
        <v>500</v>
      </c>
      <c r="H124" s="14" t="s">
        <v>95</v>
      </c>
      <c r="I124" s="110"/>
      <c r="J124" s="111"/>
    </row>
    <row r="125" spans="1:10" s="13" customFormat="1" ht="15.75" customHeight="1" x14ac:dyDescent="0.35">
      <c r="A125" s="86">
        <v>5</v>
      </c>
      <c r="B125" s="87"/>
      <c r="C125" s="14" t="s">
        <v>162</v>
      </c>
      <c r="D125" s="86">
        <f>(12.2+2.88+4.14+3.05*0.75+2.3*4)*10.764</f>
        <v>330.53552999999999</v>
      </c>
      <c r="E125" s="87"/>
      <c r="F125" s="14">
        <v>0</v>
      </c>
      <c r="G125" s="14">
        <v>415</v>
      </c>
      <c r="H125" s="14" t="s">
        <v>95</v>
      </c>
      <c r="I125" s="110"/>
      <c r="J125" s="111"/>
    </row>
    <row r="126" spans="1:10" s="13" customFormat="1" ht="15.5" x14ac:dyDescent="0.35">
      <c r="A126" s="86">
        <v>6</v>
      </c>
      <c r="B126" s="87"/>
      <c r="C126" s="14" t="s">
        <v>161</v>
      </c>
      <c r="D126" s="86">
        <f>(12.99+2.2+1.23+4.95+11.69+3.05*0.75+2.15*1.5+2.75*0.75+1*2.15)*10.764</f>
        <v>460.53773999999999</v>
      </c>
      <c r="E126" s="87"/>
      <c r="F126" s="14">
        <v>0</v>
      </c>
      <c r="G126" s="14">
        <v>665</v>
      </c>
      <c r="H126" s="14" t="s">
        <v>95</v>
      </c>
      <c r="I126" s="110"/>
      <c r="J126" s="111"/>
    </row>
    <row r="127" spans="1:10" s="13" customFormat="1" ht="15.5" x14ac:dyDescent="0.35">
      <c r="A127" s="86">
        <v>7</v>
      </c>
      <c r="B127" s="87"/>
      <c r="C127" s="14" t="s">
        <v>161</v>
      </c>
      <c r="D127" s="86">
        <f>(10.1+2.2+1.23+4.95+11.69+3.05*1.1+2.15*1.5+2.75*0.75+1*2.15)*10.764</f>
        <v>440.92034999999998</v>
      </c>
      <c r="E127" s="87"/>
      <c r="F127" s="14">
        <v>0</v>
      </c>
      <c r="G127" s="14">
        <v>622</v>
      </c>
      <c r="H127" s="14" t="s">
        <v>95</v>
      </c>
      <c r="I127" s="112"/>
      <c r="J127" s="113"/>
    </row>
    <row r="128" spans="1:10" s="13" customFormat="1" ht="15.5" x14ac:dyDescent="0.35">
      <c r="A128" s="169" t="s">
        <v>164</v>
      </c>
      <c r="B128" s="169"/>
      <c r="C128" s="169"/>
      <c r="D128" s="169"/>
      <c r="E128" s="169"/>
      <c r="F128" s="169"/>
      <c r="G128" s="169"/>
      <c r="H128" s="169"/>
      <c r="I128" s="169"/>
      <c r="J128" s="169"/>
    </row>
    <row r="129" spans="1:12" s="13" customFormat="1" ht="15.5" x14ac:dyDescent="0.35">
      <c r="A129" s="168">
        <v>1</v>
      </c>
      <c r="B129" s="168"/>
      <c r="C129" s="168" t="s">
        <v>165</v>
      </c>
      <c r="D129" s="168"/>
      <c r="E129" s="168"/>
      <c r="F129" s="168"/>
      <c r="G129" s="168"/>
      <c r="H129" s="14" t="s">
        <v>95</v>
      </c>
      <c r="I129" s="168" t="str">
        <f>A128</f>
        <v>4th Floor</v>
      </c>
      <c r="J129" s="168"/>
    </row>
    <row r="130" spans="1:12" s="13" customFormat="1" ht="15.5" x14ac:dyDescent="0.35">
      <c r="A130" s="168">
        <v>2</v>
      </c>
      <c r="B130" s="168"/>
      <c r="C130" s="14" t="s">
        <v>162</v>
      </c>
      <c r="D130" s="168">
        <f>(12.99+4.95+2.2+1.23+1*2.15+2.15*1.5+3.05*0.75)*10.764</f>
        <v>312.50582999999995</v>
      </c>
      <c r="E130" s="168"/>
      <c r="F130" s="14">
        <v>0</v>
      </c>
      <c r="G130" s="14">
        <v>564</v>
      </c>
      <c r="H130" s="14" t="s">
        <v>95</v>
      </c>
      <c r="I130" s="168"/>
      <c r="J130" s="168"/>
    </row>
    <row r="131" spans="1:12" s="13" customFormat="1" ht="15.5" x14ac:dyDescent="0.35">
      <c r="A131" s="168">
        <v>3</v>
      </c>
      <c r="B131" s="168"/>
      <c r="C131" s="14" t="s">
        <v>161</v>
      </c>
      <c r="D131" s="168">
        <f>(12.88+4.95+11.69+2.2+1.23+3.05*0.75+2.75*0.75)*10.764</f>
        <v>401.49720000000002</v>
      </c>
      <c r="E131" s="168"/>
      <c r="F131" s="14">
        <v>0</v>
      </c>
      <c r="G131" s="14">
        <v>660</v>
      </c>
      <c r="H131" s="14" t="s">
        <v>95</v>
      </c>
      <c r="I131" s="168"/>
      <c r="J131" s="168"/>
    </row>
    <row r="132" spans="1:12" s="13" customFormat="1" ht="15.5" x14ac:dyDescent="0.35">
      <c r="A132" s="168">
        <v>4</v>
      </c>
      <c r="B132" s="168"/>
      <c r="C132" s="168" t="s">
        <v>165</v>
      </c>
      <c r="D132" s="168"/>
      <c r="E132" s="168"/>
      <c r="F132" s="168"/>
      <c r="G132" s="168"/>
      <c r="H132" s="14" t="s">
        <v>95</v>
      </c>
      <c r="I132" s="168"/>
      <c r="J132" s="168"/>
    </row>
    <row r="133" spans="1:12" s="13" customFormat="1" ht="15.5" x14ac:dyDescent="0.35">
      <c r="A133" s="168">
        <v>5</v>
      </c>
      <c r="B133" s="168"/>
      <c r="C133" s="14" t="s">
        <v>162</v>
      </c>
      <c r="D133" s="168">
        <f>(13.57+4.14+2.38+3.05*0.75+2.3*1.4)*10.764</f>
        <v>275.53148999999996</v>
      </c>
      <c r="E133" s="168"/>
      <c r="F133" s="14">
        <v>0</v>
      </c>
      <c r="G133" s="14">
        <v>415</v>
      </c>
      <c r="H133" s="14" t="s">
        <v>95</v>
      </c>
      <c r="I133" s="168"/>
      <c r="J133" s="168"/>
      <c r="L133" s="13">
        <f>G133/D133</f>
        <v>1.5061799288349946</v>
      </c>
    </row>
    <row r="134" spans="1:12" s="13" customFormat="1" ht="15.5" x14ac:dyDescent="0.35">
      <c r="A134" s="168">
        <v>6</v>
      </c>
      <c r="B134" s="168"/>
      <c r="C134" s="14" t="s">
        <v>161</v>
      </c>
      <c r="D134" s="168">
        <f>(12.99+2.2+1.23+4.95+11.69+1*2.15+3.05*0.75+2.15*1.5+2.75*0.75+1*2.15)*10.764</f>
        <v>483.68034</v>
      </c>
      <c r="E134" s="168"/>
      <c r="F134" s="14">
        <v>0</v>
      </c>
      <c r="G134" s="14">
        <v>665</v>
      </c>
      <c r="H134" s="14" t="s">
        <v>95</v>
      </c>
      <c r="I134" s="168"/>
      <c r="J134" s="168"/>
    </row>
    <row r="135" spans="1:12" s="13" customFormat="1" ht="15.5" x14ac:dyDescent="0.35">
      <c r="A135" s="168">
        <v>7</v>
      </c>
      <c r="B135" s="168"/>
      <c r="C135" s="168" t="s">
        <v>165</v>
      </c>
      <c r="D135" s="168"/>
      <c r="E135" s="168"/>
      <c r="F135" s="168"/>
      <c r="G135" s="168"/>
      <c r="H135" s="14" t="s">
        <v>95</v>
      </c>
      <c r="I135" s="168"/>
      <c r="J135" s="168"/>
    </row>
    <row r="136" spans="1:12" s="13" customFormat="1" ht="15.5" x14ac:dyDescent="0.35">
      <c r="A136" s="105" t="s">
        <v>166</v>
      </c>
      <c r="B136" s="106"/>
      <c r="C136" s="106"/>
      <c r="D136" s="106"/>
      <c r="E136" s="106"/>
      <c r="F136" s="106"/>
      <c r="G136" s="106"/>
      <c r="H136" s="106"/>
      <c r="I136" s="106"/>
      <c r="J136" s="107"/>
    </row>
    <row r="137" spans="1:12" s="13" customFormat="1" ht="15.5" x14ac:dyDescent="0.35">
      <c r="A137" s="105" t="s">
        <v>168</v>
      </c>
      <c r="B137" s="106"/>
      <c r="C137" s="106"/>
      <c r="D137" s="106"/>
      <c r="E137" s="106"/>
      <c r="F137" s="106"/>
      <c r="G137" s="106"/>
      <c r="H137" s="106"/>
      <c r="I137" s="106"/>
      <c r="J137" s="107"/>
    </row>
    <row r="138" spans="1:12" s="13" customFormat="1" ht="15.5" x14ac:dyDescent="0.35">
      <c r="A138" s="86">
        <v>1</v>
      </c>
      <c r="B138" s="87"/>
      <c r="C138" s="14" t="s">
        <v>167</v>
      </c>
      <c r="D138" s="86">
        <f>19.77*10.764</f>
        <v>212.80427999999998</v>
      </c>
      <c r="E138" s="87"/>
      <c r="F138" s="14">
        <v>0</v>
      </c>
      <c r="G138" s="14">
        <f>D138*1.5+F138</f>
        <v>319.20641999999998</v>
      </c>
      <c r="H138" s="14" t="s">
        <v>95</v>
      </c>
      <c r="I138" s="108" t="s">
        <v>169</v>
      </c>
      <c r="J138" s="109"/>
    </row>
    <row r="139" spans="1:12" s="13" customFormat="1" ht="15.5" x14ac:dyDescent="0.35">
      <c r="A139" s="86">
        <v>2</v>
      </c>
      <c r="B139" s="87"/>
      <c r="C139" s="14" t="s">
        <v>162</v>
      </c>
      <c r="D139" s="86">
        <f>(4.26*3.05+2.6*2.15+2.2+1.23+1*2.6)*10.764</f>
        <v>264.93433199999998</v>
      </c>
      <c r="E139" s="87"/>
      <c r="F139" s="14">
        <v>0</v>
      </c>
      <c r="G139" s="14">
        <v>500</v>
      </c>
      <c r="H139" s="14" t="s">
        <v>95</v>
      </c>
      <c r="I139" s="112"/>
      <c r="J139" s="113"/>
    </row>
    <row r="140" spans="1:12" s="13" customFormat="1" ht="15.5" x14ac:dyDescent="0.35">
      <c r="A140" s="105" t="s">
        <v>160</v>
      </c>
      <c r="B140" s="106"/>
      <c r="C140" s="106"/>
      <c r="D140" s="106"/>
      <c r="E140" s="106"/>
      <c r="F140" s="106"/>
      <c r="G140" s="106"/>
      <c r="H140" s="106"/>
      <c r="I140" s="106"/>
      <c r="J140" s="107"/>
    </row>
    <row r="141" spans="1:12" s="13" customFormat="1" ht="15.5" x14ac:dyDescent="0.35">
      <c r="A141" s="86">
        <v>1</v>
      </c>
      <c r="B141" s="87"/>
      <c r="C141" s="14" t="s">
        <v>161</v>
      </c>
      <c r="D141" s="86">
        <f>(10.1+2.2+1.23+4.95+11.69+0.75*2.75+2.15*1.5+1.1*3.05+1*2.15)*10.764</f>
        <v>440.92034999999998</v>
      </c>
      <c r="E141" s="87"/>
      <c r="F141" s="14">
        <v>0</v>
      </c>
      <c r="G141" s="14">
        <v>622</v>
      </c>
      <c r="H141" s="14" t="s">
        <v>95</v>
      </c>
      <c r="I141" s="108" t="s">
        <v>163</v>
      </c>
      <c r="J141" s="109"/>
    </row>
    <row r="142" spans="1:12" s="13" customFormat="1" ht="15.5" x14ac:dyDescent="0.35">
      <c r="A142" s="86">
        <v>2</v>
      </c>
      <c r="B142" s="87"/>
      <c r="C142" s="14" t="s">
        <v>161</v>
      </c>
      <c r="D142" s="86">
        <f>(12.99+4.95+11.69+1.23+2.2+3.05*0.75+2.15*1.5+2.75*0.75+1*2.15)*10.764</f>
        <v>460.53773999999999</v>
      </c>
      <c r="E142" s="87"/>
      <c r="F142" s="14">
        <v>0</v>
      </c>
      <c r="G142" s="14">
        <v>665</v>
      </c>
      <c r="H142" s="14" t="s">
        <v>95</v>
      </c>
      <c r="I142" s="110"/>
      <c r="J142" s="111"/>
    </row>
    <row r="143" spans="1:12" s="13" customFormat="1" ht="15.5" x14ac:dyDescent="0.35">
      <c r="A143" s="86">
        <v>3</v>
      </c>
      <c r="B143" s="87"/>
      <c r="C143" s="14" t="s">
        <v>162</v>
      </c>
      <c r="D143" s="86">
        <f>(12.2+2.88+4.14+2.3*1.4+3.05*0.75+2*0.75)*10.764</f>
        <v>282.31280999999996</v>
      </c>
      <c r="E143" s="87"/>
      <c r="F143" s="14">
        <v>0</v>
      </c>
      <c r="G143" s="14">
        <v>415</v>
      </c>
      <c r="H143" s="14" t="s">
        <v>95</v>
      </c>
      <c r="I143" s="110"/>
      <c r="J143" s="111"/>
    </row>
    <row r="144" spans="1:12" s="13" customFormat="1" ht="15.5" x14ac:dyDescent="0.35">
      <c r="A144" s="86">
        <v>4</v>
      </c>
      <c r="B144" s="87"/>
      <c r="C144" s="14" t="s">
        <v>162</v>
      </c>
      <c r="D144" s="86">
        <f>(17.54+5.41+2.88+2.3*1.5+3.05*0.75)*10.764</f>
        <v>339.79256999999996</v>
      </c>
      <c r="E144" s="87"/>
      <c r="F144" s="14">
        <v>0</v>
      </c>
      <c r="G144" s="14">
        <v>500</v>
      </c>
      <c r="H144" s="14" t="s">
        <v>95</v>
      </c>
      <c r="I144" s="110"/>
      <c r="J144" s="111"/>
    </row>
    <row r="145" spans="1:10" s="13" customFormat="1" ht="15.5" x14ac:dyDescent="0.35">
      <c r="A145" s="86">
        <v>5</v>
      </c>
      <c r="B145" s="87"/>
      <c r="C145" s="14" t="s">
        <v>161</v>
      </c>
      <c r="D145" s="86">
        <f>(12.09+4.95+11.69+1.23+2.2+3.05*0.75+2.15*1.5+2.75*0.75+1*2.15)*10.764</f>
        <v>450.85013999999995</v>
      </c>
      <c r="E145" s="87"/>
      <c r="F145" s="14">
        <v>0</v>
      </c>
      <c r="G145" s="14">
        <v>660</v>
      </c>
      <c r="H145" s="14" t="s">
        <v>95</v>
      </c>
      <c r="I145" s="110"/>
      <c r="J145" s="111"/>
    </row>
    <row r="146" spans="1:10" s="13" customFormat="1" ht="15.5" x14ac:dyDescent="0.35">
      <c r="A146" s="86">
        <v>6</v>
      </c>
      <c r="B146" s="87"/>
      <c r="C146" s="14" t="s">
        <v>161</v>
      </c>
      <c r="D146" s="86">
        <f>(12.99+4.95+11.69+1.23+2.2+3.05*0.75+2.15*1.5+2.75*0.75+1*2.15+0.45*2.1)*10.764</f>
        <v>470.70972</v>
      </c>
      <c r="E146" s="87"/>
      <c r="F146" s="14">
        <v>0</v>
      </c>
      <c r="G146" s="14">
        <v>665</v>
      </c>
      <c r="H146" s="14" t="s">
        <v>95</v>
      </c>
      <c r="I146" s="110"/>
      <c r="J146" s="111"/>
    </row>
    <row r="147" spans="1:10" s="13" customFormat="1" ht="15.5" x14ac:dyDescent="0.35">
      <c r="A147" s="86">
        <v>7</v>
      </c>
      <c r="B147" s="87"/>
      <c r="C147" s="14" t="s">
        <v>161</v>
      </c>
      <c r="D147" s="86">
        <f>(10.1+2.2+1.23+11.69+4.95+3.05*1.1+2.15*1.5+2.75*0.75+0.45*2.1+1*2.15)*10.764</f>
        <v>451.09232999999995</v>
      </c>
      <c r="E147" s="87"/>
      <c r="F147" s="14">
        <v>0</v>
      </c>
      <c r="G147" s="14">
        <v>622</v>
      </c>
      <c r="H147" s="14" t="s">
        <v>95</v>
      </c>
      <c r="I147" s="112"/>
      <c r="J147" s="113"/>
    </row>
    <row r="148" spans="1:10" s="13" customFormat="1" ht="15.5" x14ac:dyDescent="0.35">
      <c r="A148" s="105" t="s">
        <v>164</v>
      </c>
      <c r="B148" s="106"/>
      <c r="C148" s="106"/>
      <c r="D148" s="106"/>
      <c r="E148" s="106"/>
      <c r="F148" s="106"/>
      <c r="G148" s="106"/>
      <c r="H148" s="106"/>
      <c r="I148" s="106"/>
      <c r="J148" s="107"/>
    </row>
    <row r="149" spans="1:10" s="13" customFormat="1" ht="15.5" x14ac:dyDescent="0.35">
      <c r="A149" s="86">
        <v>1</v>
      </c>
      <c r="B149" s="87"/>
      <c r="C149" s="108" t="s">
        <v>165</v>
      </c>
      <c r="D149" s="166"/>
      <c r="E149" s="166"/>
      <c r="F149" s="166"/>
      <c r="G149" s="109"/>
      <c r="H149" s="14" t="s">
        <v>95</v>
      </c>
      <c r="I149" s="108" t="str">
        <f>A148</f>
        <v>4th Floor</v>
      </c>
      <c r="J149" s="109"/>
    </row>
    <row r="150" spans="1:10" s="13" customFormat="1" ht="15.5" x14ac:dyDescent="0.35">
      <c r="A150" s="86">
        <v>2</v>
      </c>
      <c r="B150" s="87"/>
      <c r="C150" s="112"/>
      <c r="D150" s="167"/>
      <c r="E150" s="167"/>
      <c r="F150" s="167"/>
      <c r="G150" s="113"/>
      <c r="H150" s="14" t="s">
        <v>95</v>
      </c>
      <c r="I150" s="110"/>
      <c r="J150" s="111"/>
    </row>
    <row r="151" spans="1:10" s="13" customFormat="1" ht="15.5" x14ac:dyDescent="0.35">
      <c r="A151" s="86">
        <v>3</v>
      </c>
      <c r="B151" s="87"/>
      <c r="C151" s="14" t="s">
        <v>162</v>
      </c>
      <c r="D151" s="86">
        <f>(12.99+4.95+2.2+1.23+1*2.15+2.15*1.5+3.05*0.75)*10.764</f>
        <v>312.50582999999995</v>
      </c>
      <c r="E151" s="87"/>
      <c r="F151" s="14">
        <v>0</v>
      </c>
      <c r="G151" s="14">
        <v>665</v>
      </c>
      <c r="H151" s="14" t="s">
        <v>95</v>
      </c>
      <c r="I151" s="110"/>
      <c r="J151" s="111"/>
    </row>
    <row r="152" spans="1:10" s="13" customFormat="1" ht="15.5" x14ac:dyDescent="0.35">
      <c r="A152" s="86">
        <v>4</v>
      </c>
      <c r="B152" s="87"/>
      <c r="C152" s="86" t="s">
        <v>165</v>
      </c>
      <c r="D152" s="165"/>
      <c r="E152" s="165"/>
      <c r="F152" s="165"/>
      <c r="G152" s="87"/>
      <c r="H152" s="14" t="s">
        <v>95</v>
      </c>
      <c r="I152" s="110"/>
      <c r="J152" s="111"/>
    </row>
    <row r="153" spans="1:10" s="13" customFormat="1" ht="15.5" x14ac:dyDescent="0.35">
      <c r="A153" s="86">
        <v>5</v>
      </c>
      <c r="B153" s="87"/>
      <c r="C153" s="14" t="s">
        <v>162</v>
      </c>
      <c r="D153" s="86">
        <f>(13.57+4.14+2.38+3.05*0.75+2.3*1.4)*10.764</f>
        <v>275.53148999999996</v>
      </c>
      <c r="E153" s="87"/>
      <c r="F153" s="14">
        <v>0</v>
      </c>
      <c r="G153" s="14">
        <v>660</v>
      </c>
      <c r="H153" s="14" t="s">
        <v>95</v>
      </c>
      <c r="I153" s="110"/>
      <c r="J153" s="111"/>
    </row>
    <row r="154" spans="1:10" s="13" customFormat="1" ht="15.5" x14ac:dyDescent="0.35">
      <c r="A154" s="86">
        <v>6</v>
      </c>
      <c r="B154" s="87"/>
      <c r="C154" s="14" t="s">
        <v>161</v>
      </c>
      <c r="D154" s="86">
        <f>(12.99+2.2+1.23+4.95+11.69+1*2.15+3.05*0.75+2.15*1.5+2.75*0.75+1*2.15)*10.764</f>
        <v>483.68034</v>
      </c>
      <c r="E154" s="87"/>
      <c r="F154" s="14">
        <v>0</v>
      </c>
      <c r="G154" s="14">
        <v>546</v>
      </c>
      <c r="H154" s="14" t="s">
        <v>95</v>
      </c>
      <c r="I154" s="110"/>
      <c r="J154" s="111"/>
    </row>
    <row r="155" spans="1:10" s="13" customFormat="1" ht="15.5" x14ac:dyDescent="0.35">
      <c r="A155" s="86">
        <v>7</v>
      </c>
      <c r="B155" s="87"/>
      <c r="C155" s="86" t="s">
        <v>165</v>
      </c>
      <c r="D155" s="165"/>
      <c r="E155" s="165"/>
      <c r="F155" s="165"/>
      <c r="G155" s="87"/>
      <c r="H155" s="14" t="s">
        <v>95</v>
      </c>
      <c r="I155" s="112"/>
      <c r="J155" s="113"/>
    </row>
    <row r="156" spans="1:10" s="13" customFormat="1" ht="15.5" x14ac:dyDescent="0.35">
      <c r="A156" s="105" t="s">
        <v>244</v>
      </c>
      <c r="B156" s="106"/>
      <c r="C156" s="106"/>
      <c r="D156" s="106"/>
      <c r="E156" s="106"/>
      <c r="F156" s="106"/>
      <c r="G156" s="106"/>
      <c r="H156" s="106"/>
      <c r="I156" s="106"/>
      <c r="J156" s="107"/>
    </row>
    <row r="157" spans="1:10" s="13" customFormat="1" ht="15.5" x14ac:dyDescent="0.35">
      <c r="A157" s="105" t="s">
        <v>158</v>
      </c>
      <c r="B157" s="106"/>
      <c r="C157" s="106"/>
      <c r="D157" s="106"/>
      <c r="E157" s="106"/>
      <c r="F157" s="106"/>
      <c r="G157" s="106"/>
      <c r="H157" s="106"/>
      <c r="I157" s="106"/>
      <c r="J157" s="107"/>
    </row>
    <row r="158" spans="1:10" s="13" customFormat="1" ht="15.5" x14ac:dyDescent="0.35">
      <c r="A158" s="105" t="s">
        <v>159</v>
      </c>
      <c r="B158" s="106"/>
      <c r="C158" s="106"/>
      <c r="D158" s="106"/>
      <c r="E158" s="106"/>
      <c r="F158" s="106"/>
      <c r="G158" s="106"/>
      <c r="H158" s="106"/>
      <c r="I158" s="106"/>
      <c r="J158" s="107"/>
    </row>
    <row r="159" spans="1:10" s="13" customFormat="1" ht="15.5" x14ac:dyDescent="0.35">
      <c r="A159" s="105" t="s">
        <v>160</v>
      </c>
      <c r="B159" s="106"/>
      <c r="C159" s="106"/>
      <c r="D159" s="106"/>
      <c r="E159" s="106"/>
      <c r="F159" s="106"/>
      <c r="G159" s="106"/>
      <c r="H159" s="106"/>
      <c r="I159" s="106"/>
      <c r="J159" s="107"/>
    </row>
    <row r="160" spans="1:10" s="13" customFormat="1" ht="15.5" x14ac:dyDescent="0.35">
      <c r="A160" s="86">
        <v>1</v>
      </c>
      <c r="B160" s="87"/>
      <c r="C160" s="14" t="s">
        <v>161</v>
      </c>
      <c r="D160" s="86">
        <f>(10.98+2.16+1.2+4.73+8.25+3.6*0.75+2.2*1.5+3*0.75+0.75*2.7+1*2.15)*10.764</f>
        <v>427.81517999999994</v>
      </c>
      <c r="E160" s="87"/>
      <c r="F160" s="14">
        <v>0</v>
      </c>
      <c r="G160" s="14">
        <v>560</v>
      </c>
      <c r="H160" s="14" t="s">
        <v>95</v>
      </c>
      <c r="I160" s="108" t="s">
        <v>163</v>
      </c>
      <c r="J160" s="109"/>
    </row>
    <row r="161" spans="1:10" s="13" customFormat="1" ht="15.5" x14ac:dyDescent="0.35">
      <c r="A161" s="86">
        <v>2</v>
      </c>
      <c r="B161" s="87"/>
      <c r="C161" s="14" t="s">
        <v>161</v>
      </c>
      <c r="D161" s="86">
        <f>(10.98+2.16+1.2+4.73+8.25+3.6*0.75+2.2*1.5+3*0.75+0.75*2.7+1*2.15)*10.764</f>
        <v>427.81517999999994</v>
      </c>
      <c r="E161" s="87"/>
      <c r="F161" s="14">
        <v>0</v>
      </c>
      <c r="G161" s="14">
        <v>560</v>
      </c>
      <c r="H161" s="14" t="s">
        <v>95</v>
      </c>
      <c r="I161" s="110"/>
      <c r="J161" s="111"/>
    </row>
    <row r="162" spans="1:10" s="13" customFormat="1" ht="15.5" x14ac:dyDescent="0.35">
      <c r="A162" s="86">
        <v>3</v>
      </c>
      <c r="B162" s="87"/>
      <c r="C162" s="14" t="s">
        <v>161</v>
      </c>
      <c r="D162" s="86">
        <f>(11.59+2.16+1.2+5.18+7.98+3.05*0.75+2.15*1.4+2.75*0.75+1*2.15)*10.764</f>
        <v>404.94167999999996</v>
      </c>
      <c r="E162" s="87"/>
      <c r="F162" s="14">
        <v>0</v>
      </c>
      <c r="G162" s="14">
        <v>561</v>
      </c>
      <c r="H162" s="14" t="s">
        <v>95</v>
      </c>
      <c r="I162" s="110"/>
      <c r="J162" s="111"/>
    </row>
    <row r="163" spans="1:10" s="13" customFormat="1" ht="15.5" x14ac:dyDescent="0.35">
      <c r="A163" s="86">
        <v>4</v>
      </c>
      <c r="B163" s="87"/>
      <c r="C163" s="14" t="s">
        <v>162</v>
      </c>
      <c r="D163" s="86">
        <f>(9.52+2.88+3.61+2.3*1+3.05*1.5)*10.764</f>
        <v>246.33413999999996</v>
      </c>
      <c r="E163" s="87"/>
      <c r="F163" s="14">
        <v>0</v>
      </c>
      <c r="G163" s="14">
        <v>351</v>
      </c>
      <c r="H163" s="14" t="s">
        <v>95</v>
      </c>
      <c r="I163" s="110"/>
      <c r="J163" s="111"/>
    </row>
    <row r="164" spans="1:10" s="13" customFormat="1" ht="15.5" x14ac:dyDescent="0.35">
      <c r="A164" s="86">
        <v>5</v>
      </c>
      <c r="B164" s="87"/>
      <c r="C164" s="14" t="s">
        <v>162</v>
      </c>
      <c r="D164" s="86">
        <f>(9.15+3.5+2.88+3.05*1.4+2.3*1.1)*10.764</f>
        <v>240.36011999999999</v>
      </c>
      <c r="E164" s="87"/>
      <c r="F164" s="14">
        <v>0</v>
      </c>
      <c r="G164" s="14">
        <v>351</v>
      </c>
      <c r="H164" s="14" t="s">
        <v>95</v>
      </c>
      <c r="I164" s="110"/>
      <c r="J164" s="111"/>
    </row>
    <row r="165" spans="1:10" s="13" customFormat="1" ht="15.5" x14ac:dyDescent="0.35">
      <c r="A165" s="86">
        <v>6</v>
      </c>
      <c r="B165" s="87"/>
      <c r="C165" s="14" t="s">
        <v>161</v>
      </c>
      <c r="D165" s="86">
        <f>(10.98+4.34+7.8+1.2*1.3+1.2*1+0.45*2.7+1*2.55+3.05*0.75+2.55*1.3+3*0.75)*10.764</f>
        <v>403.62308999999993</v>
      </c>
      <c r="E165" s="87"/>
      <c r="F165" s="14">
        <v>0</v>
      </c>
      <c r="G165" s="14">
        <v>564</v>
      </c>
      <c r="H165" s="14" t="s">
        <v>95</v>
      </c>
      <c r="I165" s="110"/>
      <c r="J165" s="111"/>
    </row>
    <row r="166" spans="1:10" s="13" customFormat="1" ht="15.5" x14ac:dyDescent="0.35">
      <c r="A166" s="86">
        <v>7</v>
      </c>
      <c r="B166" s="87"/>
      <c r="C166" s="14" t="s">
        <v>161</v>
      </c>
      <c r="D166" s="86">
        <f>(10.98+4.34+7.8+1.2*1.3+1.2*1+0.45*2.7+1*2.55+3.05*0.75+2.55*1.3+3*0.75)*10.764</f>
        <v>403.62308999999993</v>
      </c>
      <c r="E166" s="87"/>
      <c r="F166" s="14">
        <v>0</v>
      </c>
      <c r="G166" s="14">
        <v>564</v>
      </c>
      <c r="H166" s="14" t="s">
        <v>95</v>
      </c>
      <c r="I166" s="112"/>
      <c r="J166" s="113"/>
    </row>
    <row r="167" spans="1:10" s="13" customFormat="1" ht="15.5" x14ac:dyDescent="0.35">
      <c r="A167" s="105" t="s">
        <v>164</v>
      </c>
      <c r="B167" s="106"/>
      <c r="C167" s="106"/>
      <c r="D167" s="106"/>
      <c r="E167" s="106"/>
      <c r="F167" s="106"/>
      <c r="G167" s="106"/>
      <c r="H167" s="106"/>
      <c r="I167" s="106"/>
      <c r="J167" s="107"/>
    </row>
    <row r="168" spans="1:10" s="13" customFormat="1" ht="15.5" x14ac:dyDescent="0.35">
      <c r="A168" s="86">
        <v>1</v>
      </c>
      <c r="B168" s="87"/>
      <c r="C168" s="14" t="s">
        <v>162</v>
      </c>
      <c r="D168" s="86">
        <f>(10.98+2.16+1.2+4.73+3.05*0.75+2.15*1.5+1*2.15)*10.764</f>
        <v>287.74862999999999</v>
      </c>
      <c r="E168" s="87"/>
      <c r="F168" s="14">
        <v>58</v>
      </c>
      <c r="G168" s="14">
        <v>475</v>
      </c>
      <c r="H168" s="14" t="s">
        <v>95</v>
      </c>
      <c r="I168" s="108" t="str">
        <f>A167</f>
        <v>4th Floor</v>
      </c>
      <c r="J168" s="109"/>
    </row>
    <row r="169" spans="1:10" s="13" customFormat="1" ht="15.5" x14ac:dyDescent="0.35">
      <c r="A169" s="86">
        <v>2</v>
      </c>
      <c r="B169" s="87"/>
      <c r="C169" s="14" t="s">
        <v>162</v>
      </c>
      <c r="D169" s="86">
        <f>(10.98+2.16+1.2+4.73+3.05*0.75+2.15*1.5+1*2.15)*10.764</f>
        <v>287.74862999999999</v>
      </c>
      <c r="E169" s="87"/>
      <c r="F169" s="14">
        <v>58</v>
      </c>
      <c r="G169" s="14">
        <v>475</v>
      </c>
      <c r="H169" s="14" t="s">
        <v>95</v>
      </c>
      <c r="I169" s="110"/>
      <c r="J169" s="111"/>
    </row>
    <row r="170" spans="1:10" s="13" customFormat="1" ht="15.5" x14ac:dyDescent="0.35">
      <c r="A170" s="86">
        <v>3</v>
      </c>
      <c r="B170" s="87"/>
      <c r="C170" s="14" t="s">
        <v>161</v>
      </c>
      <c r="D170" s="86">
        <f>(11.59+2.16+1.2+5.18+7.98+3.05*0.75+2.15*1.4+2.75*0.75+1*2.15)*10.764</f>
        <v>404.94167999999996</v>
      </c>
      <c r="E170" s="87"/>
      <c r="F170" s="14">
        <v>0</v>
      </c>
      <c r="G170" s="14">
        <v>561</v>
      </c>
      <c r="H170" s="14" t="s">
        <v>95</v>
      </c>
      <c r="I170" s="110"/>
      <c r="J170" s="111"/>
    </row>
    <row r="171" spans="1:10" s="13" customFormat="1" ht="15.5" x14ac:dyDescent="0.35">
      <c r="A171" s="86">
        <v>4</v>
      </c>
      <c r="B171" s="87"/>
      <c r="C171" s="14" t="s">
        <v>162</v>
      </c>
      <c r="D171" s="86">
        <f>(9.52+2.88+3.61+2.3*1+3.05*1.5)*10.764</f>
        <v>246.33413999999996</v>
      </c>
      <c r="E171" s="87"/>
      <c r="F171" s="14">
        <v>0</v>
      </c>
      <c r="G171" s="14">
        <v>351</v>
      </c>
      <c r="H171" s="14" t="s">
        <v>95</v>
      </c>
      <c r="I171" s="110"/>
      <c r="J171" s="111"/>
    </row>
    <row r="172" spans="1:10" s="13" customFormat="1" ht="15.5" x14ac:dyDescent="0.35">
      <c r="A172" s="86">
        <v>5</v>
      </c>
      <c r="B172" s="87"/>
      <c r="C172" s="14" t="s">
        <v>162</v>
      </c>
      <c r="D172" s="86">
        <f>(9.15+3.5+2.88+3.05*1.4+2.3*1.1)*10.764</f>
        <v>240.36011999999999</v>
      </c>
      <c r="E172" s="87"/>
      <c r="F172" s="14">
        <v>0</v>
      </c>
      <c r="G172" s="14">
        <v>351</v>
      </c>
      <c r="H172" s="14" t="s">
        <v>95</v>
      </c>
      <c r="I172" s="110"/>
      <c r="J172" s="111"/>
    </row>
    <row r="173" spans="1:10" s="13" customFormat="1" ht="15.5" x14ac:dyDescent="0.35">
      <c r="A173" s="86">
        <v>6</v>
      </c>
      <c r="B173" s="87"/>
      <c r="C173" s="14" t="s">
        <v>162</v>
      </c>
      <c r="D173" s="86">
        <f>(10.98+4.34+1.2*1.8+1.2*1+1*2.55+3.05*0.75+2.55*1.3)*10.764</f>
        <v>288.82502999999997</v>
      </c>
      <c r="E173" s="87"/>
      <c r="F173" s="14">
        <v>0</v>
      </c>
      <c r="G173" s="14">
        <v>474</v>
      </c>
      <c r="H173" s="14" t="s">
        <v>95</v>
      </c>
      <c r="I173" s="110"/>
      <c r="J173" s="111"/>
    </row>
    <row r="174" spans="1:10" s="13" customFormat="1" ht="15.5" x14ac:dyDescent="0.35">
      <c r="A174" s="86">
        <v>7</v>
      </c>
      <c r="B174" s="87"/>
      <c r="C174" s="14" t="s">
        <v>162</v>
      </c>
      <c r="D174" s="86">
        <f>(10.98+4.59+1.2*1.8+1.2*1+3.05*0.75+2.55*1.2+1*2.55)*10.764</f>
        <v>288.77121</v>
      </c>
      <c r="E174" s="87"/>
      <c r="F174" s="14">
        <v>0</v>
      </c>
      <c r="G174" s="14">
        <v>474</v>
      </c>
      <c r="H174" s="14" t="s">
        <v>95</v>
      </c>
      <c r="I174" s="112"/>
      <c r="J174" s="113"/>
    </row>
    <row r="175" spans="1:10" s="10" customFormat="1" ht="15.75" customHeight="1" x14ac:dyDescent="0.35">
      <c r="A175" s="160" t="s">
        <v>105</v>
      </c>
      <c r="B175" s="160"/>
      <c r="C175" s="160"/>
      <c r="D175" s="160"/>
      <c r="E175" s="160"/>
      <c r="F175" s="160"/>
      <c r="G175" s="160"/>
      <c r="H175" s="160"/>
      <c r="I175" s="160"/>
      <c r="J175" s="160"/>
    </row>
    <row r="176" spans="1:10" s="19" customFormat="1" ht="228.5" customHeight="1" x14ac:dyDescent="0.3">
      <c r="A176" s="161" t="s">
        <v>254</v>
      </c>
      <c r="B176" s="161"/>
      <c r="C176" s="161"/>
      <c r="D176" s="161"/>
      <c r="E176" s="161"/>
      <c r="F176" s="161"/>
      <c r="G176" s="161"/>
      <c r="H176" s="161"/>
      <c r="I176" s="161"/>
      <c r="J176" s="161"/>
    </row>
    <row r="177" spans="1:10" x14ac:dyDescent="0.3">
      <c r="A177" s="162" t="s">
        <v>96</v>
      </c>
      <c r="B177" s="163"/>
      <c r="C177" s="163"/>
      <c r="D177" s="163"/>
      <c r="E177" s="163"/>
      <c r="F177" s="163"/>
      <c r="G177" s="163"/>
      <c r="H177" s="163"/>
      <c r="I177" s="163"/>
      <c r="J177" s="164"/>
    </row>
    <row r="178" spans="1:10" x14ac:dyDescent="0.3">
      <c r="A178" s="139" t="s">
        <v>97</v>
      </c>
      <c r="B178" s="140"/>
      <c r="C178" s="140"/>
      <c r="D178" s="140"/>
      <c r="E178" s="140"/>
      <c r="F178" s="140"/>
      <c r="G178" s="140"/>
      <c r="H178" s="140"/>
      <c r="I178" s="140"/>
      <c r="J178" s="141"/>
    </row>
    <row r="179" spans="1:10" x14ac:dyDescent="0.3">
      <c r="A179" s="162" t="s">
        <v>98</v>
      </c>
      <c r="B179" s="163"/>
      <c r="C179" s="163"/>
      <c r="D179" s="163"/>
      <c r="E179" s="163"/>
      <c r="F179" s="163"/>
      <c r="G179" s="163"/>
      <c r="H179" s="163"/>
      <c r="I179" s="163"/>
      <c r="J179" s="164"/>
    </row>
    <row r="180" spans="1:10" x14ac:dyDescent="0.3">
      <c r="A180" s="139" t="s">
        <v>99</v>
      </c>
      <c r="B180" s="140"/>
      <c r="C180" s="140"/>
      <c r="D180" s="140"/>
      <c r="E180" s="140"/>
      <c r="F180" s="140"/>
      <c r="G180" s="140"/>
      <c r="H180" s="140"/>
      <c r="I180" s="140"/>
      <c r="J180" s="141"/>
    </row>
    <row r="181" spans="1:10" x14ac:dyDescent="0.3">
      <c r="A181" s="139" t="s">
        <v>100</v>
      </c>
      <c r="B181" s="140"/>
      <c r="C181" s="140"/>
      <c r="D181" s="140"/>
      <c r="E181" s="140"/>
      <c r="F181" s="140"/>
      <c r="G181" s="140"/>
      <c r="H181" s="140"/>
      <c r="I181" s="140"/>
      <c r="J181" s="141"/>
    </row>
    <row r="182" spans="1:10" x14ac:dyDescent="0.3">
      <c r="A182" s="139" t="s">
        <v>101</v>
      </c>
      <c r="B182" s="140"/>
      <c r="C182" s="140"/>
      <c r="D182" s="140"/>
      <c r="E182" s="140"/>
      <c r="F182" s="140"/>
      <c r="G182" s="140"/>
      <c r="H182" s="140"/>
      <c r="I182" s="140"/>
      <c r="J182" s="141"/>
    </row>
    <row r="183" spans="1:10" ht="30.75" customHeight="1" x14ac:dyDescent="0.3">
      <c r="A183" s="148" t="s">
        <v>102</v>
      </c>
      <c r="B183" s="149"/>
      <c r="C183" s="149"/>
      <c r="D183" s="149"/>
      <c r="E183" s="149"/>
      <c r="F183" s="149"/>
      <c r="G183" s="149"/>
      <c r="H183" s="149"/>
      <c r="I183" s="149"/>
      <c r="J183" s="150"/>
    </row>
    <row r="184" spans="1:10" ht="15" customHeight="1" x14ac:dyDescent="0.3">
      <c r="A184" s="151" t="s">
        <v>103</v>
      </c>
      <c r="B184" s="152"/>
      <c r="C184" s="152"/>
      <c r="D184" s="152"/>
      <c r="E184" s="152"/>
      <c r="F184" s="152"/>
      <c r="G184" s="152"/>
      <c r="H184" s="152"/>
      <c r="I184" s="152"/>
      <c r="J184" s="153"/>
    </row>
    <row r="185" spans="1:10" x14ac:dyDescent="0.3">
      <c r="A185" s="154"/>
      <c r="B185" s="155"/>
      <c r="C185" s="155"/>
      <c r="D185" s="155"/>
      <c r="E185" s="155"/>
      <c r="F185" s="155"/>
      <c r="G185" s="155"/>
      <c r="H185" s="155"/>
      <c r="I185" s="155"/>
      <c r="J185" s="156"/>
    </row>
    <row r="186" spans="1:10" x14ac:dyDescent="0.3">
      <c r="A186" s="154"/>
      <c r="B186" s="155"/>
      <c r="C186" s="155"/>
      <c r="D186" s="155"/>
      <c r="E186" s="155"/>
      <c r="F186" s="155"/>
      <c r="G186" s="155"/>
      <c r="H186" s="155"/>
      <c r="I186" s="155"/>
      <c r="J186" s="156"/>
    </row>
    <row r="187" spans="1:10" x14ac:dyDescent="0.3">
      <c r="A187" s="157"/>
      <c r="B187" s="158"/>
      <c r="C187" s="158"/>
      <c r="D187" s="158"/>
      <c r="E187" s="158"/>
      <c r="F187" s="158"/>
      <c r="G187" s="158"/>
      <c r="H187" s="158"/>
      <c r="I187" s="158"/>
      <c r="J187" s="159"/>
    </row>
    <row r="188" spans="1:10" ht="15" customHeight="1" x14ac:dyDescent="0.3">
      <c r="A188" s="15" t="s">
        <v>252</v>
      </c>
      <c r="B188" s="16"/>
      <c r="C188" s="16"/>
      <c r="D188" s="67" t="str">
        <f>F8</f>
        <v>Madhuban</v>
      </c>
      <c r="E188" s="67"/>
      <c r="F188" s="67"/>
      <c r="G188" s="16"/>
      <c r="H188" s="16"/>
      <c r="I188" s="16"/>
      <c r="J188" s="16"/>
    </row>
    <row r="189" spans="1:10" ht="15.65" customHeight="1" x14ac:dyDescent="0.3">
      <c r="A189" s="64" t="s">
        <v>251</v>
      </c>
      <c r="B189" s="16"/>
      <c r="C189" s="16"/>
      <c r="D189" s="17"/>
      <c r="G189" s="16"/>
      <c r="H189" s="16"/>
      <c r="I189" s="16"/>
      <c r="J189" s="16"/>
    </row>
    <row r="190" spans="1:10" x14ac:dyDescent="0.3">
      <c r="A190" s="16"/>
      <c r="B190" s="16"/>
      <c r="C190" s="16"/>
      <c r="D190" s="16"/>
      <c r="E190" s="16"/>
      <c r="F190" s="16"/>
      <c r="G190" s="16"/>
      <c r="H190" s="16"/>
      <c r="I190" s="16"/>
      <c r="J190" s="16"/>
    </row>
    <row r="191" spans="1:10" x14ac:dyDescent="0.3">
      <c r="A191" s="16"/>
      <c r="B191" s="16"/>
      <c r="C191" s="16"/>
      <c r="D191" s="16"/>
      <c r="E191" s="16"/>
      <c r="F191" s="16"/>
      <c r="G191" s="16"/>
      <c r="H191" s="16"/>
      <c r="I191" s="16"/>
      <c r="J191" s="16"/>
    </row>
    <row r="239" spans="1:1" x14ac:dyDescent="0.3">
      <c r="A239" s="18" t="s">
        <v>104</v>
      </c>
    </row>
  </sheetData>
  <mergeCells count="369">
    <mergeCell ref="A1:J1"/>
    <mergeCell ref="A2:J2"/>
    <mergeCell ref="A3:E3"/>
    <mergeCell ref="F3:J3"/>
    <mergeCell ref="A4:E4"/>
    <mergeCell ref="F4:I4"/>
    <mergeCell ref="A8:E8"/>
    <mergeCell ref="F8:J8"/>
    <mergeCell ref="A9:E9"/>
    <mergeCell ref="F9:J9"/>
    <mergeCell ref="A5:E5"/>
    <mergeCell ref="F5:J5"/>
    <mergeCell ref="A6:E6"/>
    <mergeCell ref="F6:J6"/>
    <mergeCell ref="A7:E7"/>
    <mergeCell ref="F7:J7"/>
    <mergeCell ref="A12:E12"/>
    <mergeCell ref="F12:J12"/>
    <mergeCell ref="A13:E13"/>
    <mergeCell ref="F13:J13"/>
    <mergeCell ref="A14:B14"/>
    <mergeCell ref="C14:J14"/>
    <mergeCell ref="A10:E10"/>
    <mergeCell ref="F10:J10"/>
    <mergeCell ref="I121:J127"/>
    <mergeCell ref="A11:E11"/>
    <mergeCell ref="F11:J11"/>
    <mergeCell ref="A15:B15"/>
    <mergeCell ref="I15:J15"/>
    <mergeCell ref="B16:E16"/>
    <mergeCell ref="A21:E22"/>
    <mergeCell ref="F21:J22"/>
    <mergeCell ref="C15:G15"/>
    <mergeCell ref="A23:E23"/>
    <mergeCell ref="F23:I23"/>
    <mergeCell ref="A24:E24"/>
    <mergeCell ref="F24:J24"/>
    <mergeCell ref="A18:B18"/>
    <mergeCell ref="C18:E18"/>
    <mergeCell ref="F18:G18"/>
    <mergeCell ref="H18:J18"/>
    <mergeCell ref="A19:E20"/>
    <mergeCell ref="F19:J20"/>
    <mergeCell ref="G16:J16"/>
    <mergeCell ref="B17:E17"/>
    <mergeCell ref="G17:J17"/>
    <mergeCell ref="A25:E25"/>
    <mergeCell ref="F25:I25"/>
    <mergeCell ref="A26:E26"/>
    <mergeCell ref="F26:J26"/>
    <mergeCell ref="A27:B27"/>
    <mergeCell ref="C27:D27"/>
    <mergeCell ref="E27:F27"/>
    <mergeCell ref="G27:H27"/>
    <mergeCell ref="I27:J27"/>
    <mergeCell ref="A28:B28"/>
    <mergeCell ref="C28:D28"/>
    <mergeCell ref="E28:F28"/>
    <mergeCell ref="G28:H28"/>
    <mergeCell ref="I28:J28"/>
    <mergeCell ref="A37:J37"/>
    <mergeCell ref="A30:J30"/>
    <mergeCell ref="A31:J31"/>
    <mergeCell ref="A32:B32"/>
    <mergeCell ref="A33:B33"/>
    <mergeCell ref="C33:J33"/>
    <mergeCell ref="C32:J32"/>
    <mergeCell ref="A29:B29"/>
    <mergeCell ref="C29:D29"/>
    <mergeCell ref="E29:F29"/>
    <mergeCell ref="G29:H29"/>
    <mergeCell ref="I29:J29"/>
    <mergeCell ref="A34:J34"/>
    <mergeCell ref="A35:E35"/>
    <mergeCell ref="F35:I35"/>
    <mergeCell ref="A36:E36"/>
    <mergeCell ref="F36:J36"/>
    <mergeCell ref="A41:E41"/>
    <mergeCell ref="F41:J41"/>
    <mergeCell ref="A42:E42"/>
    <mergeCell ref="F42:J42"/>
    <mergeCell ref="A43:E43"/>
    <mergeCell ref="F43:J43"/>
    <mergeCell ref="A38:E38"/>
    <mergeCell ref="F38:J38"/>
    <mergeCell ref="A39:E39"/>
    <mergeCell ref="F39:J39"/>
    <mergeCell ref="A40:E40"/>
    <mergeCell ref="F40:J40"/>
    <mergeCell ref="A47:B47"/>
    <mergeCell ref="C47:F47"/>
    <mergeCell ref="A48:B48"/>
    <mergeCell ref="C48:F48"/>
    <mergeCell ref="H48:J48"/>
    <mergeCell ref="A44:J44"/>
    <mergeCell ref="A45:B45"/>
    <mergeCell ref="C45:F45"/>
    <mergeCell ref="H45:J45"/>
    <mergeCell ref="A46:B46"/>
    <mergeCell ref="C46:F46"/>
    <mergeCell ref="H46:J46"/>
    <mergeCell ref="H47:J47"/>
    <mergeCell ref="A52:B52"/>
    <mergeCell ref="A53:C53"/>
    <mergeCell ref="D53:J53"/>
    <mergeCell ref="A54:J54"/>
    <mergeCell ref="A49:C49"/>
    <mergeCell ref="D49:E49"/>
    <mergeCell ref="F49:G49"/>
    <mergeCell ref="H49:J49"/>
    <mergeCell ref="A50:J50"/>
    <mergeCell ref="A51:C51"/>
    <mergeCell ref="D51:E51"/>
    <mergeCell ref="C52:J52"/>
    <mergeCell ref="F51:G51"/>
    <mergeCell ref="H51:J51"/>
    <mergeCell ref="A103:F103"/>
    <mergeCell ref="G103:J103"/>
    <mergeCell ref="A101:F101"/>
    <mergeCell ref="G101:J101"/>
    <mergeCell ref="A102:F102"/>
    <mergeCell ref="G102:J102"/>
    <mergeCell ref="A97:J97"/>
    <mergeCell ref="A98:J98"/>
    <mergeCell ref="A99:B99"/>
    <mergeCell ref="C99:J99"/>
    <mergeCell ref="A100:J100"/>
    <mergeCell ref="A120:J120"/>
    <mergeCell ref="A114:J114"/>
    <mergeCell ref="A115:J115"/>
    <mergeCell ref="A116:B116"/>
    <mergeCell ref="D116:E116"/>
    <mergeCell ref="I116:J116"/>
    <mergeCell ref="A117:J117"/>
    <mergeCell ref="A118:J118"/>
    <mergeCell ref="A119:J119"/>
    <mergeCell ref="A122:B122"/>
    <mergeCell ref="D122:E122"/>
    <mergeCell ref="A123:B123"/>
    <mergeCell ref="D123:E123"/>
    <mergeCell ref="A121:B121"/>
    <mergeCell ref="D121:E121"/>
    <mergeCell ref="A126:B126"/>
    <mergeCell ref="D126:E126"/>
    <mergeCell ref="A127:B127"/>
    <mergeCell ref="D127:E127"/>
    <mergeCell ref="A124:B124"/>
    <mergeCell ref="D124:E124"/>
    <mergeCell ref="A125:B125"/>
    <mergeCell ref="D125:E125"/>
    <mergeCell ref="A130:B130"/>
    <mergeCell ref="D130:E130"/>
    <mergeCell ref="A131:B131"/>
    <mergeCell ref="D131:E131"/>
    <mergeCell ref="A129:B129"/>
    <mergeCell ref="A128:J128"/>
    <mergeCell ref="C129:G129"/>
    <mergeCell ref="I129:J135"/>
    <mergeCell ref="A134:B134"/>
    <mergeCell ref="D134:E134"/>
    <mergeCell ref="A135:B135"/>
    <mergeCell ref="A132:B132"/>
    <mergeCell ref="A133:B133"/>
    <mergeCell ref="D133:E133"/>
    <mergeCell ref="C132:G132"/>
    <mergeCell ref="C135:G135"/>
    <mergeCell ref="I141:J147"/>
    <mergeCell ref="A141:B141"/>
    <mergeCell ref="C149:G150"/>
    <mergeCell ref="A136:J136"/>
    <mergeCell ref="A137:J137"/>
    <mergeCell ref="A140:J140"/>
    <mergeCell ref="A143:B143"/>
    <mergeCell ref="D143:E143"/>
    <mergeCell ref="A144:B144"/>
    <mergeCell ref="D144:E144"/>
    <mergeCell ref="D141:E141"/>
    <mergeCell ref="A142:B142"/>
    <mergeCell ref="D142:E142"/>
    <mergeCell ref="A138:B138"/>
    <mergeCell ref="D138:E138"/>
    <mergeCell ref="A139:B139"/>
    <mergeCell ref="D139:E139"/>
    <mergeCell ref="A156:J156"/>
    <mergeCell ref="A157:J157"/>
    <mergeCell ref="A158:J158"/>
    <mergeCell ref="I138:J139"/>
    <mergeCell ref="A153:B153"/>
    <mergeCell ref="D153:E153"/>
    <mergeCell ref="A154:B154"/>
    <mergeCell ref="D154:E154"/>
    <mergeCell ref="A148:J148"/>
    <mergeCell ref="A151:B151"/>
    <mergeCell ref="D151:E151"/>
    <mergeCell ref="A152:B152"/>
    <mergeCell ref="A149:B149"/>
    <mergeCell ref="A150:B150"/>
    <mergeCell ref="I149:J155"/>
    <mergeCell ref="C152:G152"/>
    <mergeCell ref="C155:G155"/>
    <mergeCell ref="A155:B155"/>
    <mergeCell ref="A147:B147"/>
    <mergeCell ref="D147:E147"/>
    <mergeCell ref="A145:B145"/>
    <mergeCell ref="D145:E145"/>
    <mergeCell ref="A146:B146"/>
    <mergeCell ref="D146:E146"/>
    <mergeCell ref="A182:J182"/>
    <mergeCell ref="A183:J183"/>
    <mergeCell ref="A184:J187"/>
    <mergeCell ref="A175:J175"/>
    <mergeCell ref="A176:J176"/>
    <mergeCell ref="A177:J177"/>
    <mergeCell ref="A178:J178"/>
    <mergeCell ref="A179:J179"/>
    <mergeCell ref="A180:J180"/>
    <mergeCell ref="A181:J181"/>
    <mergeCell ref="A106:F106"/>
    <mergeCell ref="G106:J106"/>
    <mergeCell ref="A107:B107"/>
    <mergeCell ref="G107:J107"/>
    <mergeCell ref="A104:F104"/>
    <mergeCell ref="G104:J104"/>
    <mergeCell ref="A105:F105"/>
    <mergeCell ref="G105:J105"/>
    <mergeCell ref="D107:F107"/>
    <mergeCell ref="A111:J111"/>
    <mergeCell ref="A108:J108"/>
    <mergeCell ref="A112:B112"/>
    <mergeCell ref="G112:J112"/>
    <mergeCell ref="A109:B109"/>
    <mergeCell ref="G109:J109"/>
    <mergeCell ref="A110:B110"/>
    <mergeCell ref="G110:J110"/>
    <mergeCell ref="D109:F109"/>
    <mergeCell ref="D110:F110"/>
    <mergeCell ref="D112:F112"/>
    <mergeCell ref="A174:B174"/>
    <mergeCell ref="D174:E174"/>
    <mergeCell ref="A171:B171"/>
    <mergeCell ref="D171:E171"/>
    <mergeCell ref="A172:B172"/>
    <mergeCell ref="D172:E172"/>
    <mergeCell ref="A113:B113"/>
    <mergeCell ref="A166:B166"/>
    <mergeCell ref="D166:E166"/>
    <mergeCell ref="A163:B163"/>
    <mergeCell ref="D163:E163"/>
    <mergeCell ref="A164:B164"/>
    <mergeCell ref="D164:E164"/>
    <mergeCell ref="A161:B161"/>
    <mergeCell ref="D161:E161"/>
    <mergeCell ref="A162:B162"/>
    <mergeCell ref="D162:E162"/>
    <mergeCell ref="A160:B160"/>
    <mergeCell ref="D160:E160"/>
    <mergeCell ref="A159:J159"/>
    <mergeCell ref="I168:J174"/>
    <mergeCell ref="A169:B169"/>
    <mergeCell ref="G113:J113"/>
    <mergeCell ref="D113:F113"/>
    <mergeCell ref="A170:B170"/>
    <mergeCell ref="D170:E170"/>
    <mergeCell ref="A168:B168"/>
    <mergeCell ref="D168:E168"/>
    <mergeCell ref="A167:J167"/>
    <mergeCell ref="A165:B165"/>
    <mergeCell ref="D165:E165"/>
    <mergeCell ref="I160:J166"/>
    <mergeCell ref="A173:B173"/>
    <mergeCell ref="D173:E173"/>
    <mergeCell ref="A55:B55"/>
    <mergeCell ref="C55:J55"/>
    <mergeCell ref="I56:J56"/>
    <mergeCell ref="A57:B57"/>
    <mergeCell ref="C57:J57"/>
    <mergeCell ref="A58:B58"/>
    <mergeCell ref="D58:E58"/>
    <mergeCell ref="F58:G58"/>
    <mergeCell ref="H58:J58"/>
    <mergeCell ref="D56:E56"/>
    <mergeCell ref="A59:B59"/>
    <mergeCell ref="D59:E59"/>
    <mergeCell ref="F59:G68"/>
    <mergeCell ref="H59:J68"/>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C69:J69"/>
    <mergeCell ref="I70:J70"/>
    <mergeCell ref="A71:B71"/>
    <mergeCell ref="C71:J71"/>
    <mergeCell ref="A72:B72"/>
    <mergeCell ref="D72:E72"/>
    <mergeCell ref="F72:G72"/>
    <mergeCell ref="H72:J72"/>
    <mergeCell ref="D70:E70"/>
    <mergeCell ref="A73:B73"/>
    <mergeCell ref="D73:E73"/>
    <mergeCell ref="F73:G82"/>
    <mergeCell ref="H73:J82"/>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C83:J83"/>
    <mergeCell ref="I84:J84"/>
    <mergeCell ref="A85:B85"/>
    <mergeCell ref="C85:J85"/>
    <mergeCell ref="A86:B86"/>
    <mergeCell ref="D86:E86"/>
    <mergeCell ref="F86:G86"/>
    <mergeCell ref="H86:J86"/>
    <mergeCell ref="D84:E84"/>
    <mergeCell ref="D188:F188"/>
    <mergeCell ref="A87:B87"/>
    <mergeCell ref="D87:E87"/>
    <mergeCell ref="F87:G96"/>
    <mergeCell ref="H87:J96"/>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D169:E169"/>
  </mergeCells>
  <hyperlinks>
    <hyperlink ref="C33" r:id="rId1"/>
  </hyperlinks>
  <pageMargins left="0.39370078740157483" right="0.39370078740157483" top="0.78740157480314965" bottom="0.78740157480314965" header="0.19685039370078741" footer="0.19685039370078741"/>
  <pageSetup paperSize="9" orientation="portrait" r:id="rId2"/>
  <headerFooter>
    <oddHeader>&amp;C&amp;"Times New Roman,Bold"&amp;20&amp;G</oddHeader>
    <oddFooter>&amp;L&amp;"Times New Roman,Bold"Ref No: &amp;F&amp;C&amp;G&amp;R&amp;P</oddFooter>
  </headerFooter>
  <rowBreaks count="3" manualBreakCount="3">
    <brk id="82" max="16383" man="1"/>
    <brk id="187" max="16383" man="1"/>
    <brk id="23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1" sqref="C11"/>
    </sheetView>
  </sheetViews>
  <sheetFormatPr defaultRowHeight="14.5" x14ac:dyDescent="0.35"/>
  <cols>
    <col min="1" max="1" width="9.26953125" style="20"/>
    <col min="2" max="2" width="11.7265625" style="20" customWidth="1"/>
    <col min="3" max="257" width="9.26953125" style="20"/>
    <col min="258" max="258" width="11.7265625" style="20" customWidth="1"/>
    <col min="259" max="513" width="9.26953125" style="20"/>
    <col min="514" max="514" width="11.7265625" style="20" customWidth="1"/>
    <col min="515" max="769" width="9.26953125" style="20"/>
    <col min="770" max="770" width="11.7265625" style="20" customWidth="1"/>
    <col min="771" max="1025" width="9.26953125" style="20"/>
    <col min="1026" max="1026" width="11.7265625" style="20" customWidth="1"/>
    <col min="1027" max="1281" width="9.26953125" style="20"/>
    <col min="1282" max="1282" width="11.7265625" style="20" customWidth="1"/>
    <col min="1283" max="1537" width="9.26953125" style="20"/>
    <col min="1538" max="1538" width="11.7265625" style="20" customWidth="1"/>
    <col min="1539" max="1793" width="9.26953125" style="20"/>
    <col min="1794" max="1794" width="11.7265625" style="20" customWidth="1"/>
    <col min="1795" max="2049" width="9.26953125" style="20"/>
    <col min="2050" max="2050" width="11.7265625" style="20" customWidth="1"/>
    <col min="2051" max="2305" width="9.26953125" style="20"/>
    <col min="2306" max="2306" width="11.7265625" style="20" customWidth="1"/>
    <col min="2307" max="2561" width="9.26953125" style="20"/>
    <col min="2562" max="2562" width="11.7265625" style="20" customWidth="1"/>
    <col min="2563" max="2817" width="9.26953125" style="20"/>
    <col min="2818" max="2818" width="11.7265625" style="20" customWidth="1"/>
    <col min="2819" max="3073" width="9.26953125" style="20"/>
    <col min="3074" max="3074" width="11.7265625" style="20" customWidth="1"/>
    <col min="3075" max="3329" width="9.26953125" style="20"/>
    <col min="3330" max="3330" width="11.7265625" style="20" customWidth="1"/>
    <col min="3331" max="3585" width="9.26953125" style="20"/>
    <col min="3586" max="3586" width="11.7265625" style="20" customWidth="1"/>
    <col min="3587" max="3841" width="9.26953125" style="20"/>
    <col min="3842" max="3842" width="11.7265625" style="20" customWidth="1"/>
    <col min="3843" max="4097" width="9.26953125" style="20"/>
    <col min="4098" max="4098" width="11.7265625" style="20" customWidth="1"/>
    <col min="4099" max="4353" width="9.26953125" style="20"/>
    <col min="4354" max="4354" width="11.7265625" style="20" customWidth="1"/>
    <col min="4355" max="4609" width="9.26953125" style="20"/>
    <col min="4610" max="4610" width="11.7265625" style="20" customWidth="1"/>
    <col min="4611" max="4865" width="9.26953125" style="20"/>
    <col min="4866" max="4866" width="11.7265625" style="20" customWidth="1"/>
    <col min="4867" max="5121" width="9.26953125" style="20"/>
    <col min="5122" max="5122" width="11.7265625" style="20" customWidth="1"/>
    <col min="5123" max="5377" width="9.26953125" style="20"/>
    <col min="5378" max="5378" width="11.7265625" style="20" customWidth="1"/>
    <col min="5379" max="5633" width="9.26953125" style="20"/>
    <col min="5634" max="5634" width="11.7265625" style="20" customWidth="1"/>
    <col min="5635" max="5889" width="9.26953125" style="20"/>
    <col min="5890" max="5890" width="11.7265625" style="20" customWidth="1"/>
    <col min="5891" max="6145" width="9.26953125" style="20"/>
    <col min="6146" max="6146" width="11.7265625" style="20" customWidth="1"/>
    <col min="6147" max="6401" width="9.26953125" style="20"/>
    <col min="6402" max="6402" width="11.7265625" style="20" customWidth="1"/>
    <col min="6403" max="6657" width="9.26953125" style="20"/>
    <col min="6658" max="6658" width="11.7265625" style="20" customWidth="1"/>
    <col min="6659" max="6913" width="9.26953125" style="20"/>
    <col min="6914" max="6914" width="11.7265625" style="20" customWidth="1"/>
    <col min="6915" max="7169" width="9.26953125" style="20"/>
    <col min="7170" max="7170" width="11.7265625" style="20" customWidth="1"/>
    <col min="7171" max="7425" width="9.26953125" style="20"/>
    <col min="7426" max="7426" width="11.7265625" style="20" customWidth="1"/>
    <col min="7427" max="7681" width="9.26953125" style="20"/>
    <col min="7682" max="7682" width="11.7265625" style="20" customWidth="1"/>
    <col min="7683" max="7937" width="9.26953125" style="20"/>
    <col min="7938" max="7938" width="11.7265625" style="20" customWidth="1"/>
    <col min="7939" max="8193" width="9.26953125" style="20"/>
    <col min="8194" max="8194" width="11.7265625" style="20" customWidth="1"/>
    <col min="8195" max="8449" width="9.26953125" style="20"/>
    <col min="8450" max="8450" width="11.7265625" style="20" customWidth="1"/>
    <col min="8451" max="8705" width="9.26953125" style="20"/>
    <col min="8706" max="8706" width="11.7265625" style="20" customWidth="1"/>
    <col min="8707" max="8961" width="9.26953125" style="20"/>
    <col min="8962" max="8962" width="11.7265625" style="20" customWidth="1"/>
    <col min="8963" max="9217" width="9.26953125" style="20"/>
    <col min="9218" max="9218" width="11.7265625" style="20" customWidth="1"/>
    <col min="9219" max="9473" width="9.26953125" style="20"/>
    <col min="9474" max="9474" width="11.7265625" style="20" customWidth="1"/>
    <col min="9475" max="9729" width="9.26953125" style="20"/>
    <col min="9730" max="9730" width="11.7265625" style="20" customWidth="1"/>
    <col min="9731" max="9985" width="9.26953125" style="20"/>
    <col min="9986" max="9986" width="11.7265625" style="20" customWidth="1"/>
    <col min="9987" max="10241" width="9.26953125" style="20"/>
    <col min="10242" max="10242" width="11.7265625" style="20" customWidth="1"/>
    <col min="10243" max="10497" width="9.26953125" style="20"/>
    <col min="10498" max="10498" width="11.7265625" style="20" customWidth="1"/>
    <col min="10499" max="10753" width="9.26953125" style="20"/>
    <col min="10754" max="10754" width="11.7265625" style="20" customWidth="1"/>
    <col min="10755" max="11009" width="9.26953125" style="20"/>
    <col min="11010" max="11010" width="11.7265625" style="20" customWidth="1"/>
    <col min="11011" max="11265" width="9.26953125" style="20"/>
    <col min="11266" max="11266" width="11.7265625" style="20" customWidth="1"/>
    <col min="11267" max="11521" width="9.26953125" style="20"/>
    <col min="11522" max="11522" width="11.7265625" style="20" customWidth="1"/>
    <col min="11523" max="11777" width="9.26953125" style="20"/>
    <col min="11778" max="11778" width="11.7265625" style="20" customWidth="1"/>
    <col min="11779" max="12033" width="9.26953125" style="20"/>
    <col min="12034" max="12034" width="11.7265625" style="20" customWidth="1"/>
    <col min="12035" max="12289" width="9.26953125" style="20"/>
    <col min="12290" max="12290" width="11.7265625" style="20" customWidth="1"/>
    <col min="12291" max="12545" width="9.26953125" style="20"/>
    <col min="12546" max="12546" width="11.7265625" style="20" customWidth="1"/>
    <col min="12547" max="12801" width="9.26953125" style="20"/>
    <col min="12802" max="12802" width="11.7265625" style="20" customWidth="1"/>
    <col min="12803" max="13057" width="9.26953125" style="20"/>
    <col min="13058" max="13058" width="11.7265625" style="20" customWidth="1"/>
    <col min="13059" max="13313" width="9.26953125" style="20"/>
    <col min="13314" max="13314" width="11.7265625" style="20" customWidth="1"/>
    <col min="13315" max="13569" width="9.26953125" style="20"/>
    <col min="13570" max="13570" width="11.7265625" style="20" customWidth="1"/>
    <col min="13571" max="13825" width="9.26953125" style="20"/>
    <col min="13826" max="13826" width="11.7265625" style="20" customWidth="1"/>
    <col min="13827" max="14081" width="9.26953125" style="20"/>
    <col min="14082" max="14082" width="11.7265625" style="20" customWidth="1"/>
    <col min="14083" max="14337" width="9.26953125" style="20"/>
    <col min="14338" max="14338" width="11.7265625" style="20" customWidth="1"/>
    <col min="14339" max="14593" width="9.26953125" style="20"/>
    <col min="14594" max="14594" width="11.7265625" style="20" customWidth="1"/>
    <col min="14595" max="14849" width="9.26953125" style="20"/>
    <col min="14850" max="14850" width="11.7265625" style="20" customWidth="1"/>
    <col min="14851" max="15105" width="9.26953125" style="20"/>
    <col min="15106" max="15106" width="11.7265625" style="20" customWidth="1"/>
    <col min="15107" max="15361" width="9.26953125" style="20"/>
    <col min="15362" max="15362" width="11.7265625" style="20" customWidth="1"/>
    <col min="15363" max="15617" width="9.26953125" style="20"/>
    <col min="15618" max="15618" width="11.7265625" style="20" customWidth="1"/>
    <col min="15619" max="15873" width="9.26953125" style="20"/>
    <col min="15874" max="15874" width="11.7265625" style="20" customWidth="1"/>
    <col min="15875" max="16129" width="9.26953125" style="20"/>
    <col min="16130" max="16130" width="11.7265625" style="20" customWidth="1"/>
    <col min="16131" max="16384" width="9.26953125" style="20"/>
  </cols>
  <sheetData>
    <row r="2" spans="1:15" x14ac:dyDescent="0.35">
      <c r="A2" s="20" t="s">
        <v>106</v>
      </c>
      <c r="B2" s="21" t="s">
        <v>107</v>
      </c>
      <c r="C2" s="21">
        <v>4</v>
      </c>
    </row>
    <row r="3" spans="1:15" x14ac:dyDescent="0.35">
      <c r="B3" s="20" t="s">
        <v>108</v>
      </c>
      <c r="C3" s="20" t="s">
        <v>109</v>
      </c>
    </row>
    <row r="4" spans="1:15" x14ac:dyDescent="0.35">
      <c r="A4" s="20" t="s">
        <v>110</v>
      </c>
      <c r="B4" s="22">
        <v>10</v>
      </c>
      <c r="C4" s="22">
        <v>10</v>
      </c>
      <c r="E4" s="20">
        <f>(100/B4)*C4</f>
        <v>100</v>
      </c>
    </row>
    <row r="5" spans="1:15" x14ac:dyDescent="0.35">
      <c r="A5" s="20" t="s">
        <v>111</v>
      </c>
      <c r="B5" s="20" t="s">
        <v>112</v>
      </c>
      <c r="C5" s="20" t="s">
        <v>113</v>
      </c>
      <c r="E5" s="20">
        <f>(100/B6)*C6</f>
        <v>100</v>
      </c>
      <c r="I5" s="22" t="s">
        <v>114</v>
      </c>
      <c r="J5" s="22" t="s">
        <v>115</v>
      </c>
      <c r="K5" s="22" t="s">
        <v>116</v>
      </c>
      <c r="L5" s="22" t="s">
        <v>71</v>
      </c>
      <c r="M5" s="22" t="s">
        <v>72</v>
      </c>
      <c r="N5" s="22" t="s">
        <v>117</v>
      </c>
      <c r="O5" s="22" t="s">
        <v>73</v>
      </c>
    </row>
    <row r="6" spans="1:15" x14ac:dyDescent="0.35">
      <c r="B6" s="22">
        <f>C2+1</f>
        <v>5</v>
      </c>
      <c r="C6" s="22">
        <v>5</v>
      </c>
      <c r="E6" s="20">
        <f>(100/B8)*C8</f>
        <v>100</v>
      </c>
      <c r="F6" s="23" t="s">
        <v>118</v>
      </c>
      <c r="I6" s="23">
        <f>C4</f>
        <v>10</v>
      </c>
      <c r="J6" s="23">
        <f>40/B6*C6</f>
        <v>40</v>
      </c>
      <c r="K6" s="23">
        <f>15/B8*C8</f>
        <v>15</v>
      </c>
      <c r="L6" s="23">
        <f>10/B10*C10</f>
        <v>6</v>
      </c>
      <c r="M6" s="23">
        <f>10/B12*C12</f>
        <v>0</v>
      </c>
      <c r="N6" s="23">
        <f>5/B14*C14</f>
        <v>0</v>
      </c>
      <c r="O6" s="23">
        <f>5/B16*C16</f>
        <v>0</v>
      </c>
    </row>
    <row r="7" spans="1:15" x14ac:dyDescent="0.35">
      <c r="A7" s="20" t="s">
        <v>119</v>
      </c>
      <c r="B7" s="20" t="s">
        <v>120</v>
      </c>
      <c r="C7" s="20" t="s">
        <v>121</v>
      </c>
      <c r="E7" s="20">
        <f>(100/B10)*C10</f>
        <v>60</v>
      </c>
      <c r="F7" s="22" t="s">
        <v>122</v>
      </c>
      <c r="G7" s="22"/>
      <c r="H7" s="22"/>
      <c r="I7" s="22">
        <f>I6+20</f>
        <v>30</v>
      </c>
      <c r="J7" s="22">
        <f>30/B6*C6</f>
        <v>30</v>
      </c>
      <c r="K7" s="22">
        <f>15/B8*C8</f>
        <v>15</v>
      </c>
      <c r="L7" s="22">
        <f>10/B10*C10</f>
        <v>6</v>
      </c>
      <c r="M7" s="22">
        <f>5/B12*C12</f>
        <v>0</v>
      </c>
      <c r="N7" s="22">
        <f>5/B14*C14</f>
        <v>0</v>
      </c>
      <c r="O7" s="22">
        <f>5/B16*C16</f>
        <v>0</v>
      </c>
    </row>
    <row r="8" spans="1:15" x14ac:dyDescent="0.35">
      <c r="B8" s="22">
        <f>C2</f>
        <v>4</v>
      </c>
      <c r="C8" s="22">
        <v>4</v>
      </c>
      <c r="E8" s="20">
        <f>(100/B12)*C12</f>
        <v>0</v>
      </c>
    </row>
    <row r="9" spans="1:15" x14ac:dyDescent="0.35">
      <c r="A9" s="20" t="s">
        <v>123</v>
      </c>
      <c r="B9" s="20" t="s">
        <v>120</v>
      </c>
      <c r="C9" s="32" t="s">
        <v>121</v>
      </c>
      <c r="E9" s="20">
        <f>(100/B14)*C14</f>
        <v>0</v>
      </c>
    </row>
    <row r="10" spans="1:15" x14ac:dyDescent="0.35">
      <c r="B10" s="22">
        <f>C2</f>
        <v>4</v>
      </c>
      <c r="C10" s="22">
        <v>2.4</v>
      </c>
      <c r="E10" s="20">
        <f>(100/B16)*C16</f>
        <v>0</v>
      </c>
    </row>
    <row r="11" spans="1:15" x14ac:dyDescent="0.35">
      <c r="A11" s="20" t="s">
        <v>72</v>
      </c>
      <c r="B11" s="20" t="s">
        <v>120</v>
      </c>
      <c r="C11" s="20" t="s">
        <v>121</v>
      </c>
    </row>
    <row r="12" spans="1:15" x14ac:dyDescent="0.35">
      <c r="B12" s="22">
        <f>C2</f>
        <v>4</v>
      </c>
      <c r="C12" s="22">
        <v>0</v>
      </c>
      <c r="F12" s="22"/>
      <c r="G12" s="22" t="s">
        <v>118</v>
      </c>
      <c r="H12" s="22" t="s">
        <v>124</v>
      </c>
      <c r="L12" s="20" t="s">
        <v>125</v>
      </c>
    </row>
    <row r="13" spans="1:15" ht="29" x14ac:dyDescent="0.35">
      <c r="A13" s="24" t="s">
        <v>117</v>
      </c>
      <c r="B13" s="20" t="s">
        <v>120</v>
      </c>
      <c r="C13" s="20" t="s">
        <v>121</v>
      </c>
      <c r="F13" s="22" t="s">
        <v>69</v>
      </c>
      <c r="G13" s="22">
        <f>I6</f>
        <v>10</v>
      </c>
      <c r="H13" s="22">
        <f>I7</f>
        <v>30</v>
      </c>
      <c r="L13" s="20" t="s">
        <v>125</v>
      </c>
    </row>
    <row r="14" spans="1:15" x14ac:dyDescent="0.35">
      <c r="B14" s="22">
        <f>C2</f>
        <v>4</v>
      </c>
      <c r="C14" s="22">
        <v>0</v>
      </c>
      <c r="F14" s="22" t="s">
        <v>70</v>
      </c>
      <c r="G14" s="22">
        <f>J6</f>
        <v>40</v>
      </c>
      <c r="H14" s="22">
        <f>J7</f>
        <v>30</v>
      </c>
    </row>
    <row r="15" spans="1:15" x14ac:dyDescent="0.35">
      <c r="A15" s="20" t="s">
        <v>73</v>
      </c>
      <c r="B15" s="20" t="s">
        <v>120</v>
      </c>
      <c r="C15" s="20" t="s">
        <v>121</v>
      </c>
      <c r="F15" s="22" t="s">
        <v>116</v>
      </c>
      <c r="G15" s="22">
        <f>K6</f>
        <v>15</v>
      </c>
      <c r="H15" s="22">
        <f>K7</f>
        <v>15</v>
      </c>
    </row>
    <row r="16" spans="1:15" x14ac:dyDescent="0.35">
      <c r="B16" s="22">
        <f>C2</f>
        <v>4</v>
      </c>
      <c r="C16" s="22">
        <v>0</v>
      </c>
      <c r="F16" s="22" t="s">
        <v>71</v>
      </c>
      <c r="G16" s="22">
        <f>L6</f>
        <v>6</v>
      </c>
      <c r="H16" s="22">
        <f>L7</f>
        <v>6</v>
      </c>
    </row>
    <row r="17" spans="5:8" x14ac:dyDescent="0.35">
      <c r="F17" s="22" t="s">
        <v>72</v>
      </c>
      <c r="G17" s="22">
        <f>M6</f>
        <v>0</v>
      </c>
      <c r="H17" s="22">
        <f>M7</f>
        <v>0</v>
      </c>
    </row>
    <row r="18" spans="5:8" ht="29" x14ac:dyDescent="0.35">
      <c r="F18" s="25" t="s">
        <v>117</v>
      </c>
      <c r="G18" s="22">
        <f>N6</f>
        <v>0</v>
      </c>
      <c r="H18" s="22">
        <f>N7</f>
        <v>0</v>
      </c>
    </row>
    <row r="19" spans="5:8" x14ac:dyDescent="0.35">
      <c r="F19" s="22" t="s">
        <v>73</v>
      </c>
      <c r="G19" s="22">
        <f>O6</f>
        <v>0</v>
      </c>
      <c r="H19" s="22">
        <f>O7</f>
        <v>0</v>
      </c>
    </row>
    <row r="20" spans="5:8" x14ac:dyDescent="0.35">
      <c r="F20" s="22" t="s">
        <v>126</v>
      </c>
      <c r="G20" s="22">
        <f>G13+G14+G15+G16+G17+G18+G19</f>
        <v>71</v>
      </c>
      <c r="H20" s="22">
        <f>H13+H14+H15+H16+H17+H18+H19</f>
        <v>81</v>
      </c>
    </row>
    <row r="21" spans="5:8" x14ac:dyDescent="0.35">
      <c r="E21"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1" sqref="C11"/>
    </sheetView>
  </sheetViews>
  <sheetFormatPr defaultRowHeight="14.5" x14ac:dyDescent="0.35"/>
  <cols>
    <col min="1" max="1" width="9.26953125" style="20"/>
    <col min="2" max="2" width="11.7265625" style="20" customWidth="1"/>
    <col min="3" max="257" width="9.26953125" style="20"/>
    <col min="258" max="258" width="11.7265625" style="20" customWidth="1"/>
    <col min="259" max="513" width="9.26953125" style="20"/>
    <col min="514" max="514" width="11.7265625" style="20" customWidth="1"/>
    <col min="515" max="769" width="9.26953125" style="20"/>
    <col min="770" max="770" width="11.7265625" style="20" customWidth="1"/>
    <col min="771" max="1025" width="9.26953125" style="20"/>
    <col min="1026" max="1026" width="11.7265625" style="20" customWidth="1"/>
    <col min="1027" max="1281" width="9.26953125" style="20"/>
    <col min="1282" max="1282" width="11.7265625" style="20" customWidth="1"/>
    <col min="1283" max="1537" width="9.26953125" style="20"/>
    <col min="1538" max="1538" width="11.7265625" style="20" customWidth="1"/>
    <col min="1539" max="1793" width="9.26953125" style="20"/>
    <col min="1794" max="1794" width="11.7265625" style="20" customWidth="1"/>
    <col min="1795" max="2049" width="9.26953125" style="20"/>
    <col min="2050" max="2050" width="11.7265625" style="20" customWidth="1"/>
    <col min="2051" max="2305" width="9.26953125" style="20"/>
    <col min="2306" max="2306" width="11.7265625" style="20" customWidth="1"/>
    <col min="2307" max="2561" width="9.26953125" style="20"/>
    <col min="2562" max="2562" width="11.7265625" style="20" customWidth="1"/>
    <col min="2563" max="2817" width="9.26953125" style="20"/>
    <col min="2818" max="2818" width="11.7265625" style="20" customWidth="1"/>
    <col min="2819" max="3073" width="9.26953125" style="20"/>
    <col min="3074" max="3074" width="11.7265625" style="20" customWidth="1"/>
    <col min="3075" max="3329" width="9.26953125" style="20"/>
    <col min="3330" max="3330" width="11.7265625" style="20" customWidth="1"/>
    <col min="3331" max="3585" width="9.26953125" style="20"/>
    <col min="3586" max="3586" width="11.7265625" style="20" customWidth="1"/>
    <col min="3587" max="3841" width="9.26953125" style="20"/>
    <col min="3842" max="3842" width="11.7265625" style="20" customWidth="1"/>
    <col min="3843" max="4097" width="9.26953125" style="20"/>
    <col min="4098" max="4098" width="11.7265625" style="20" customWidth="1"/>
    <col min="4099" max="4353" width="9.26953125" style="20"/>
    <col min="4354" max="4354" width="11.7265625" style="20" customWidth="1"/>
    <col min="4355" max="4609" width="9.26953125" style="20"/>
    <col min="4610" max="4610" width="11.7265625" style="20" customWidth="1"/>
    <col min="4611" max="4865" width="9.26953125" style="20"/>
    <col min="4866" max="4866" width="11.7265625" style="20" customWidth="1"/>
    <col min="4867" max="5121" width="9.26953125" style="20"/>
    <col min="5122" max="5122" width="11.7265625" style="20" customWidth="1"/>
    <col min="5123" max="5377" width="9.26953125" style="20"/>
    <col min="5378" max="5378" width="11.7265625" style="20" customWidth="1"/>
    <col min="5379" max="5633" width="9.26953125" style="20"/>
    <col min="5634" max="5634" width="11.7265625" style="20" customWidth="1"/>
    <col min="5635" max="5889" width="9.26953125" style="20"/>
    <col min="5890" max="5890" width="11.7265625" style="20" customWidth="1"/>
    <col min="5891" max="6145" width="9.26953125" style="20"/>
    <col min="6146" max="6146" width="11.7265625" style="20" customWidth="1"/>
    <col min="6147" max="6401" width="9.26953125" style="20"/>
    <col min="6402" max="6402" width="11.7265625" style="20" customWidth="1"/>
    <col min="6403" max="6657" width="9.26953125" style="20"/>
    <col min="6658" max="6658" width="11.7265625" style="20" customWidth="1"/>
    <col min="6659" max="6913" width="9.26953125" style="20"/>
    <col min="6914" max="6914" width="11.7265625" style="20" customWidth="1"/>
    <col min="6915" max="7169" width="9.26953125" style="20"/>
    <col min="7170" max="7170" width="11.7265625" style="20" customWidth="1"/>
    <col min="7171" max="7425" width="9.26953125" style="20"/>
    <col min="7426" max="7426" width="11.7265625" style="20" customWidth="1"/>
    <col min="7427" max="7681" width="9.26953125" style="20"/>
    <col min="7682" max="7682" width="11.7265625" style="20" customWidth="1"/>
    <col min="7683" max="7937" width="9.26953125" style="20"/>
    <col min="7938" max="7938" width="11.7265625" style="20" customWidth="1"/>
    <col min="7939" max="8193" width="9.26953125" style="20"/>
    <col min="8194" max="8194" width="11.7265625" style="20" customWidth="1"/>
    <col min="8195" max="8449" width="9.26953125" style="20"/>
    <col min="8450" max="8450" width="11.7265625" style="20" customWidth="1"/>
    <col min="8451" max="8705" width="9.26953125" style="20"/>
    <col min="8706" max="8706" width="11.7265625" style="20" customWidth="1"/>
    <col min="8707" max="8961" width="9.26953125" style="20"/>
    <col min="8962" max="8962" width="11.7265625" style="20" customWidth="1"/>
    <col min="8963" max="9217" width="9.26953125" style="20"/>
    <col min="9218" max="9218" width="11.7265625" style="20" customWidth="1"/>
    <col min="9219" max="9473" width="9.26953125" style="20"/>
    <col min="9474" max="9474" width="11.7265625" style="20" customWidth="1"/>
    <col min="9475" max="9729" width="9.26953125" style="20"/>
    <col min="9730" max="9730" width="11.7265625" style="20" customWidth="1"/>
    <col min="9731" max="9985" width="9.26953125" style="20"/>
    <col min="9986" max="9986" width="11.7265625" style="20" customWidth="1"/>
    <col min="9987" max="10241" width="9.26953125" style="20"/>
    <col min="10242" max="10242" width="11.7265625" style="20" customWidth="1"/>
    <col min="10243" max="10497" width="9.26953125" style="20"/>
    <col min="10498" max="10498" width="11.7265625" style="20" customWidth="1"/>
    <col min="10499" max="10753" width="9.26953125" style="20"/>
    <col min="10754" max="10754" width="11.7265625" style="20" customWidth="1"/>
    <col min="10755" max="11009" width="9.26953125" style="20"/>
    <col min="11010" max="11010" width="11.7265625" style="20" customWidth="1"/>
    <col min="11011" max="11265" width="9.26953125" style="20"/>
    <col min="11266" max="11266" width="11.7265625" style="20" customWidth="1"/>
    <col min="11267" max="11521" width="9.26953125" style="20"/>
    <col min="11522" max="11522" width="11.7265625" style="20" customWidth="1"/>
    <col min="11523" max="11777" width="9.26953125" style="20"/>
    <col min="11778" max="11778" width="11.7265625" style="20" customWidth="1"/>
    <col min="11779" max="12033" width="9.26953125" style="20"/>
    <col min="12034" max="12034" width="11.7265625" style="20" customWidth="1"/>
    <col min="12035" max="12289" width="9.26953125" style="20"/>
    <col min="12290" max="12290" width="11.7265625" style="20" customWidth="1"/>
    <col min="12291" max="12545" width="9.26953125" style="20"/>
    <col min="12546" max="12546" width="11.7265625" style="20" customWidth="1"/>
    <col min="12547" max="12801" width="9.26953125" style="20"/>
    <col min="12802" max="12802" width="11.7265625" style="20" customWidth="1"/>
    <col min="12803" max="13057" width="9.26953125" style="20"/>
    <col min="13058" max="13058" width="11.7265625" style="20" customWidth="1"/>
    <col min="13059" max="13313" width="9.26953125" style="20"/>
    <col min="13314" max="13314" width="11.7265625" style="20" customWidth="1"/>
    <col min="13315" max="13569" width="9.26953125" style="20"/>
    <col min="13570" max="13570" width="11.7265625" style="20" customWidth="1"/>
    <col min="13571" max="13825" width="9.26953125" style="20"/>
    <col min="13826" max="13826" width="11.7265625" style="20" customWidth="1"/>
    <col min="13827" max="14081" width="9.26953125" style="20"/>
    <col min="14082" max="14082" width="11.7265625" style="20" customWidth="1"/>
    <col min="14083" max="14337" width="9.26953125" style="20"/>
    <col min="14338" max="14338" width="11.7265625" style="20" customWidth="1"/>
    <col min="14339" max="14593" width="9.26953125" style="20"/>
    <col min="14594" max="14594" width="11.7265625" style="20" customWidth="1"/>
    <col min="14595" max="14849" width="9.26953125" style="20"/>
    <col min="14850" max="14850" width="11.7265625" style="20" customWidth="1"/>
    <col min="14851" max="15105" width="9.26953125" style="20"/>
    <col min="15106" max="15106" width="11.7265625" style="20" customWidth="1"/>
    <col min="15107" max="15361" width="9.26953125" style="20"/>
    <col min="15362" max="15362" width="11.7265625" style="20" customWidth="1"/>
    <col min="15363" max="15617" width="9.26953125" style="20"/>
    <col min="15618" max="15618" width="11.7265625" style="20" customWidth="1"/>
    <col min="15619" max="15873" width="9.26953125" style="20"/>
    <col min="15874" max="15874" width="11.7265625" style="20" customWidth="1"/>
    <col min="15875" max="16129" width="9.26953125" style="20"/>
    <col min="16130" max="16130" width="11.7265625" style="20" customWidth="1"/>
    <col min="16131" max="16384" width="9.26953125" style="20"/>
  </cols>
  <sheetData>
    <row r="2" spans="1:15" x14ac:dyDescent="0.35">
      <c r="A2" s="20" t="s">
        <v>106</v>
      </c>
      <c r="B2" s="21" t="s">
        <v>107</v>
      </c>
      <c r="C2" s="21">
        <v>4</v>
      </c>
    </row>
    <row r="3" spans="1:15" x14ac:dyDescent="0.35">
      <c r="B3" s="20" t="s">
        <v>108</v>
      </c>
      <c r="C3" s="20" t="s">
        <v>109</v>
      </c>
    </row>
    <row r="4" spans="1:15" x14ac:dyDescent="0.35">
      <c r="A4" s="20" t="s">
        <v>110</v>
      </c>
      <c r="B4" s="22">
        <v>10</v>
      </c>
      <c r="C4" s="22">
        <v>10</v>
      </c>
      <c r="E4" s="20">
        <f>(100/B4)*C4</f>
        <v>100</v>
      </c>
    </row>
    <row r="5" spans="1:15" x14ac:dyDescent="0.35">
      <c r="A5" s="20" t="s">
        <v>111</v>
      </c>
      <c r="B5" s="20" t="s">
        <v>112</v>
      </c>
      <c r="C5" s="20" t="s">
        <v>113</v>
      </c>
      <c r="E5" s="20">
        <f>(100/B6)*C6</f>
        <v>40</v>
      </c>
      <c r="I5" s="22" t="s">
        <v>114</v>
      </c>
      <c r="J5" s="22" t="s">
        <v>115</v>
      </c>
      <c r="K5" s="22" t="s">
        <v>116</v>
      </c>
      <c r="L5" s="22" t="s">
        <v>71</v>
      </c>
      <c r="M5" s="22" t="s">
        <v>72</v>
      </c>
      <c r="N5" s="22" t="s">
        <v>117</v>
      </c>
      <c r="O5" s="22" t="s">
        <v>73</v>
      </c>
    </row>
    <row r="6" spans="1:15" x14ac:dyDescent="0.35">
      <c r="B6" s="22">
        <f>C2+1</f>
        <v>5</v>
      </c>
      <c r="C6" s="22">
        <v>2</v>
      </c>
      <c r="E6" s="20">
        <f>(100/B8)*C8</f>
        <v>25</v>
      </c>
      <c r="F6" s="23" t="s">
        <v>118</v>
      </c>
      <c r="I6" s="23">
        <f>C4</f>
        <v>10</v>
      </c>
      <c r="J6" s="23">
        <f>40/B6*C6</f>
        <v>16</v>
      </c>
      <c r="K6" s="23">
        <f>15/B8*C8</f>
        <v>3.75</v>
      </c>
      <c r="L6" s="23">
        <f>10/B10*C10</f>
        <v>1.25</v>
      </c>
      <c r="M6" s="23">
        <f>10/B12*C12</f>
        <v>0</v>
      </c>
      <c r="N6" s="23">
        <f>5/B14*C14</f>
        <v>0</v>
      </c>
      <c r="O6" s="23">
        <f>5/B16*C16</f>
        <v>0</v>
      </c>
    </row>
    <row r="7" spans="1:15" x14ac:dyDescent="0.35">
      <c r="A7" s="20" t="s">
        <v>119</v>
      </c>
      <c r="B7" s="20" t="s">
        <v>120</v>
      </c>
      <c r="C7" s="20" t="s">
        <v>121</v>
      </c>
      <c r="E7" s="20">
        <f>(100/B10)*C10</f>
        <v>12.5</v>
      </c>
      <c r="F7" s="22" t="s">
        <v>122</v>
      </c>
      <c r="G7" s="22"/>
      <c r="H7" s="22"/>
      <c r="I7" s="22">
        <f>I6+20</f>
        <v>30</v>
      </c>
      <c r="J7" s="22">
        <f>30/B6*C6</f>
        <v>12</v>
      </c>
      <c r="K7" s="22">
        <f>15/B8*C8</f>
        <v>3.75</v>
      </c>
      <c r="L7" s="22">
        <f>10/B10*C10</f>
        <v>1.25</v>
      </c>
      <c r="M7" s="22">
        <f>5/B12*C12</f>
        <v>0</v>
      </c>
      <c r="N7" s="22">
        <f>5/B14*C14</f>
        <v>0</v>
      </c>
      <c r="O7" s="22">
        <f>5/B16*C16</f>
        <v>0</v>
      </c>
    </row>
    <row r="8" spans="1:15" x14ac:dyDescent="0.35">
      <c r="B8" s="22">
        <f>C2</f>
        <v>4</v>
      </c>
      <c r="C8" s="22">
        <v>1</v>
      </c>
      <c r="E8" s="20">
        <f>(100/B12)*C12</f>
        <v>0</v>
      </c>
    </row>
    <row r="9" spans="1:15" x14ac:dyDescent="0.35">
      <c r="A9" s="20" t="s">
        <v>123</v>
      </c>
      <c r="B9" s="20" t="s">
        <v>120</v>
      </c>
      <c r="C9" s="20" t="s">
        <v>121</v>
      </c>
      <c r="E9" s="20">
        <f>(100/B14)*C14</f>
        <v>0</v>
      </c>
    </row>
    <row r="10" spans="1:15" x14ac:dyDescent="0.35">
      <c r="B10" s="22">
        <f>C2</f>
        <v>4</v>
      </c>
      <c r="C10" s="22">
        <v>0.5</v>
      </c>
      <c r="E10" s="20">
        <f>(100/B16)*C16</f>
        <v>0</v>
      </c>
    </row>
    <row r="11" spans="1:15" x14ac:dyDescent="0.35">
      <c r="A11" s="20" t="s">
        <v>72</v>
      </c>
      <c r="B11" s="20" t="s">
        <v>120</v>
      </c>
      <c r="C11" s="20" t="s">
        <v>121</v>
      </c>
    </row>
    <row r="12" spans="1:15" x14ac:dyDescent="0.35">
      <c r="B12" s="22">
        <f>C2</f>
        <v>4</v>
      </c>
      <c r="C12" s="22">
        <v>0</v>
      </c>
      <c r="F12" s="22"/>
      <c r="G12" s="22" t="s">
        <v>118</v>
      </c>
      <c r="H12" s="22" t="s">
        <v>124</v>
      </c>
      <c r="L12" s="20" t="s">
        <v>125</v>
      </c>
    </row>
    <row r="13" spans="1:15" ht="29" x14ac:dyDescent="0.35">
      <c r="A13" s="24" t="s">
        <v>117</v>
      </c>
      <c r="B13" s="20" t="s">
        <v>120</v>
      </c>
      <c r="C13" s="20" t="s">
        <v>121</v>
      </c>
      <c r="F13" s="22" t="s">
        <v>69</v>
      </c>
      <c r="G13" s="22">
        <f>I6</f>
        <v>10</v>
      </c>
      <c r="H13" s="22">
        <f>I7</f>
        <v>30</v>
      </c>
      <c r="L13" s="20" t="s">
        <v>125</v>
      </c>
    </row>
    <row r="14" spans="1:15" x14ac:dyDescent="0.35">
      <c r="B14" s="22">
        <f>C2</f>
        <v>4</v>
      </c>
      <c r="C14" s="22">
        <v>0</v>
      </c>
      <c r="F14" s="22" t="s">
        <v>70</v>
      </c>
      <c r="G14" s="22">
        <f>J6</f>
        <v>16</v>
      </c>
      <c r="H14" s="22">
        <f>J7</f>
        <v>12</v>
      </c>
    </row>
    <row r="15" spans="1:15" x14ac:dyDescent="0.35">
      <c r="A15" s="20" t="s">
        <v>73</v>
      </c>
      <c r="B15" s="20" t="s">
        <v>120</v>
      </c>
      <c r="C15" s="20" t="s">
        <v>121</v>
      </c>
      <c r="F15" s="22" t="s">
        <v>116</v>
      </c>
      <c r="G15" s="22">
        <f>K6</f>
        <v>3.75</v>
      </c>
      <c r="H15" s="22">
        <f>K7</f>
        <v>3.75</v>
      </c>
    </row>
    <row r="16" spans="1:15" x14ac:dyDescent="0.35">
      <c r="B16" s="22">
        <f>C2</f>
        <v>4</v>
      </c>
      <c r="C16" s="22">
        <v>0</v>
      </c>
      <c r="F16" s="22" t="s">
        <v>71</v>
      </c>
      <c r="G16" s="22">
        <f>L6</f>
        <v>1.25</v>
      </c>
      <c r="H16" s="22">
        <f>L7</f>
        <v>1.25</v>
      </c>
    </row>
    <row r="17" spans="5:8" x14ac:dyDescent="0.35">
      <c r="F17" s="22" t="s">
        <v>72</v>
      </c>
      <c r="G17" s="22">
        <f>M6</f>
        <v>0</v>
      </c>
      <c r="H17" s="22">
        <f>M7</f>
        <v>0</v>
      </c>
    </row>
    <row r="18" spans="5:8" ht="29" x14ac:dyDescent="0.35">
      <c r="F18" s="25" t="s">
        <v>117</v>
      </c>
      <c r="G18" s="22">
        <f>N6</f>
        <v>0</v>
      </c>
      <c r="H18" s="22">
        <f>N7</f>
        <v>0</v>
      </c>
    </row>
    <row r="19" spans="5:8" x14ac:dyDescent="0.35">
      <c r="F19" s="22" t="s">
        <v>73</v>
      </c>
      <c r="G19" s="22">
        <f>O6</f>
        <v>0</v>
      </c>
      <c r="H19" s="22">
        <f>O7</f>
        <v>0</v>
      </c>
    </row>
    <row r="20" spans="5:8" x14ac:dyDescent="0.35">
      <c r="F20" s="22" t="s">
        <v>126</v>
      </c>
      <c r="G20" s="22">
        <f>G13+G14+G15+G16+G17+G18+G19</f>
        <v>31</v>
      </c>
      <c r="H20" s="22">
        <f>H13+H14+H15+H16+H17+H18+H19</f>
        <v>47</v>
      </c>
    </row>
    <row r="21" spans="5:8" x14ac:dyDescent="0.35">
      <c r="E21"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H3" sqref="H3"/>
    </sheetView>
  </sheetViews>
  <sheetFormatPr defaultRowHeight="14.5" x14ac:dyDescent="0.35"/>
  <cols>
    <col min="1" max="1" width="9.26953125" style="20"/>
    <col min="2" max="2" width="11.7265625" style="20" customWidth="1"/>
    <col min="3" max="257" width="9.26953125" style="20"/>
    <col min="258" max="258" width="11.7265625" style="20" customWidth="1"/>
    <col min="259" max="513" width="9.26953125" style="20"/>
    <col min="514" max="514" width="11.7265625" style="20" customWidth="1"/>
    <col min="515" max="769" width="9.26953125" style="20"/>
    <col min="770" max="770" width="11.7265625" style="20" customWidth="1"/>
    <col min="771" max="1025" width="9.26953125" style="20"/>
    <col min="1026" max="1026" width="11.7265625" style="20" customWidth="1"/>
    <col min="1027" max="1281" width="9.26953125" style="20"/>
    <col min="1282" max="1282" width="11.7265625" style="20" customWidth="1"/>
    <col min="1283" max="1537" width="9.26953125" style="20"/>
    <col min="1538" max="1538" width="11.7265625" style="20" customWidth="1"/>
    <col min="1539" max="1793" width="9.26953125" style="20"/>
    <col min="1794" max="1794" width="11.7265625" style="20" customWidth="1"/>
    <col min="1795" max="2049" width="9.26953125" style="20"/>
    <col min="2050" max="2050" width="11.7265625" style="20" customWidth="1"/>
    <col min="2051" max="2305" width="9.26953125" style="20"/>
    <col min="2306" max="2306" width="11.7265625" style="20" customWidth="1"/>
    <col min="2307" max="2561" width="9.26953125" style="20"/>
    <col min="2562" max="2562" width="11.7265625" style="20" customWidth="1"/>
    <col min="2563" max="2817" width="9.26953125" style="20"/>
    <col min="2818" max="2818" width="11.7265625" style="20" customWidth="1"/>
    <col min="2819" max="3073" width="9.26953125" style="20"/>
    <col min="3074" max="3074" width="11.7265625" style="20" customWidth="1"/>
    <col min="3075" max="3329" width="9.26953125" style="20"/>
    <col min="3330" max="3330" width="11.7265625" style="20" customWidth="1"/>
    <col min="3331" max="3585" width="9.26953125" style="20"/>
    <col min="3586" max="3586" width="11.7265625" style="20" customWidth="1"/>
    <col min="3587" max="3841" width="9.26953125" style="20"/>
    <col min="3842" max="3842" width="11.7265625" style="20" customWidth="1"/>
    <col min="3843" max="4097" width="9.26953125" style="20"/>
    <col min="4098" max="4098" width="11.7265625" style="20" customWidth="1"/>
    <col min="4099" max="4353" width="9.26953125" style="20"/>
    <col min="4354" max="4354" width="11.7265625" style="20" customWidth="1"/>
    <col min="4355" max="4609" width="9.26953125" style="20"/>
    <col min="4610" max="4610" width="11.7265625" style="20" customWidth="1"/>
    <col min="4611" max="4865" width="9.26953125" style="20"/>
    <col min="4866" max="4866" width="11.7265625" style="20" customWidth="1"/>
    <col min="4867" max="5121" width="9.26953125" style="20"/>
    <col min="5122" max="5122" width="11.7265625" style="20" customWidth="1"/>
    <col min="5123" max="5377" width="9.26953125" style="20"/>
    <col min="5378" max="5378" width="11.7265625" style="20" customWidth="1"/>
    <col min="5379" max="5633" width="9.26953125" style="20"/>
    <col min="5634" max="5634" width="11.7265625" style="20" customWidth="1"/>
    <col min="5635" max="5889" width="9.26953125" style="20"/>
    <col min="5890" max="5890" width="11.7265625" style="20" customWidth="1"/>
    <col min="5891" max="6145" width="9.26953125" style="20"/>
    <col min="6146" max="6146" width="11.7265625" style="20" customWidth="1"/>
    <col min="6147" max="6401" width="9.26953125" style="20"/>
    <col min="6402" max="6402" width="11.7265625" style="20" customWidth="1"/>
    <col min="6403" max="6657" width="9.26953125" style="20"/>
    <col min="6658" max="6658" width="11.7265625" style="20" customWidth="1"/>
    <col min="6659" max="6913" width="9.26953125" style="20"/>
    <col min="6914" max="6914" width="11.7265625" style="20" customWidth="1"/>
    <col min="6915" max="7169" width="9.26953125" style="20"/>
    <col min="7170" max="7170" width="11.7265625" style="20" customWidth="1"/>
    <col min="7171" max="7425" width="9.26953125" style="20"/>
    <col min="7426" max="7426" width="11.7265625" style="20" customWidth="1"/>
    <col min="7427" max="7681" width="9.26953125" style="20"/>
    <col min="7682" max="7682" width="11.7265625" style="20" customWidth="1"/>
    <col min="7683" max="7937" width="9.26953125" style="20"/>
    <col min="7938" max="7938" width="11.7265625" style="20" customWidth="1"/>
    <col min="7939" max="8193" width="9.26953125" style="20"/>
    <col min="8194" max="8194" width="11.7265625" style="20" customWidth="1"/>
    <col min="8195" max="8449" width="9.26953125" style="20"/>
    <col min="8450" max="8450" width="11.7265625" style="20" customWidth="1"/>
    <col min="8451" max="8705" width="9.26953125" style="20"/>
    <col min="8706" max="8706" width="11.7265625" style="20" customWidth="1"/>
    <col min="8707" max="8961" width="9.26953125" style="20"/>
    <col min="8962" max="8962" width="11.7265625" style="20" customWidth="1"/>
    <col min="8963" max="9217" width="9.26953125" style="20"/>
    <col min="9218" max="9218" width="11.7265625" style="20" customWidth="1"/>
    <col min="9219" max="9473" width="9.26953125" style="20"/>
    <col min="9474" max="9474" width="11.7265625" style="20" customWidth="1"/>
    <col min="9475" max="9729" width="9.26953125" style="20"/>
    <col min="9730" max="9730" width="11.7265625" style="20" customWidth="1"/>
    <col min="9731" max="9985" width="9.26953125" style="20"/>
    <col min="9986" max="9986" width="11.7265625" style="20" customWidth="1"/>
    <col min="9987" max="10241" width="9.26953125" style="20"/>
    <col min="10242" max="10242" width="11.7265625" style="20" customWidth="1"/>
    <col min="10243" max="10497" width="9.26953125" style="20"/>
    <col min="10498" max="10498" width="11.7265625" style="20" customWidth="1"/>
    <col min="10499" max="10753" width="9.26953125" style="20"/>
    <col min="10754" max="10754" width="11.7265625" style="20" customWidth="1"/>
    <col min="10755" max="11009" width="9.26953125" style="20"/>
    <col min="11010" max="11010" width="11.7265625" style="20" customWidth="1"/>
    <col min="11011" max="11265" width="9.26953125" style="20"/>
    <col min="11266" max="11266" width="11.7265625" style="20" customWidth="1"/>
    <col min="11267" max="11521" width="9.26953125" style="20"/>
    <col min="11522" max="11522" width="11.7265625" style="20" customWidth="1"/>
    <col min="11523" max="11777" width="9.26953125" style="20"/>
    <col min="11778" max="11778" width="11.7265625" style="20" customWidth="1"/>
    <col min="11779" max="12033" width="9.26953125" style="20"/>
    <col min="12034" max="12034" width="11.7265625" style="20" customWidth="1"/>
    <col min="12035" max="12289" width="9.26953125" style="20"/>
    <col min="12290" max="12290" width="11.7265625" style="20" customWidth="1"/>
    <col min="12291" max="12545" width="9.26953125" style="20"/>
    <col min="12546" max="12546" width="11.7265625" style="20" customWidth="1"/>
    <col min="12547" max="12801" width="9.26953125" style="20"/>
    <col min="12802" max="12802" width="11.7265625" style="20" customWidth="1"/>
    <col min="12803" max="13057" width="9.26953125" style="20"/>
    <col min="13058" max="13058" width="11.7265625" style="20" customWidth="1"/>
    <col min="13059" max="13313" width="9.26953125" style="20"/>
    <col min="13314" max="13314" width="11.7265625" style="20" customWidth="1"/>
    <col min="13315" max="13569" width="9.26953125" style="20"/>
    <col min="13570" max="13570" width="11.7265625" style="20" customWidth="1"/>
    <col min="13571" max="13825" width="9.26953125" style="20"/>
    <col min="13826" max="13826" width="11.7265625" style="20" customWidth="1"/>
    <col min="13827" max="14081" width="9.26953125" style="20"/>
    <col min="14082" max="14082" width="11.7265625" style="20" customWidth="1"/>
    <col min="14083" max="14337" width="9.26953125" style="20"/>
    <col min="14338" max="14338" width="11.7265625" style="20" customWidth="1"/>
    <col min="14339" max="14593" width="9.26953125" style="20"/>
    <col min="14594" max="14594" width="11.7265625" style="20" customWidth="1"/>
    <col min="14595" max="14849" width="9.26953125" style="20"/>
    <col min="14850" max="14850" width="11.7265625" style="20" customWidth="1"/>
    <col min="14851" max="15105" width="9.26953125" style="20"/>
    <col min="15106" max="15106" width="11.7265625" style="20" customWidth="1"/>
    <col min="15107" max="15361" width="9.26953125" style="20"/>
    <col min="15362" max="15362" width="11.7265625" style="20" customWidth="1"/>
    <col min="15363" max="15617" width="9.26953125" style="20"/>
    <col min="15618" max="15618" width="11.7265625" style="20" customWidth="1"/>
    <col min="15619" max="15873" width="9.26953125" style="20"/>
    <col min="15874" max="15874" width="11.7265625" style="20" customWidth="1"/>
    <col min="15875" max="16129" width="9.26953125" style="20"/>
    <col min="16130" max="16130" width="11.7265625" style="20" customWidth="1"/>
    <col min="16131" max="16384" width="9.26953125" style="20"/>
  </cols>
  <sheetData>
    <row r="2" spans="1:15" x14ac:dyDescent="0.35">
      <c r="A2" s="20" t="s">
        <v>106</v>
      </c>
      <c r="B2" s="21" t="s">
        <v>107</v>
      </c>
      <c r="C2" s="21">
        <v>4</v>
      </c>
    </row>
    <row r="3" spans="1:15" x14ac:dyDescent="0.35">
      <c r="B3" s="20" t="s">
        <v>108</v>
      </c>
      <c r="C3" s="20" t="s">
        <v>109</v>
      </c>
    </row>
    <row r="4" spans="1:15" x14ac:dyDescent="0.35">
      <c r="A4" s="20" t="s">
        <v>110</v>
      </c>
      <c r="B4" s="22">
        <v>10</v>
      </c>
      <c r="C4" s="22">
        <v>10</v>
      </c>
      <c r="E4" s="20">
        <f>(100/B4)*C4</f>
        <v>100</v>
      </c>
    </row>
    <row r="5" spans="1:15" x14ac:dyDescent="0.35">
      <c r="A5" s="20" t="s">
        <v>111</v>
      </c>
      <c r="B5" s="20" t="s">
        <v>112</v>
      </c>
      <c r="C5" s="20" t="s">
        <v>113</v>
      </c>
      <c r="E5" s="20">
        <f>(100/B6)*C6</f>
        <v>0</v>
      </c>
      <c r="I5" s="22" t="s">
        <v>114</v>
      </c>
      <c r="J5" s="22" t="s">
        <v>115</v>
      </c>
      <c r="K5" s="22" t="s">
        <v>116</v>
      </c>
      <c r="L5" s="22" t="s">
        <v>71</v>
      </c>
      <c r="M5" s="22" t="s">
        <v>72</v>
      </c>
      <c r="N5" s="22" t="s">
        <v>117</v>
      </c>
      <c r="O5" s="22" t="s">
        <v>73</v>
      </c>
    </row>
    <row r="6" spans="1:15" x14ac:dyDescent="0.35">
      <c r="B6" s="22">
        <f>C2+1</f>
        <v>5</v>
      </c>
      <c r="C6" s="22">
        <v>0</v>
      </c>
      <c r="E6" s="20">
        <f>(100/B8)*C8</f>
        <v>0</v>
      </c>
      <c r="F6" s="23" t="s">
        <v>118</v>
      </c>
      <c r="I6" s="23">
        <f>C4</f>
        <v>10</v>
      </c>
      <c r="J6" s="23">
        <f>40/B6*C6</f>
        <v>0</v>
      </c>
      <c r="K6" s="23">
        <f>15/B8*C8</f>
        <v>0</v>
      </c>
      <c r="L6" s="23">
        <f>10/B10*C10</f>
        <v>0</v>
      </c>
      <c r="M6" s="23">
        <f>10/B12*C12</f>
        <v>0</v>
      </c>
      <c r="N6" s="23">
        <f>5/B14*C14</f>
        <v>0</v>
      </c>
      <c r="O6" s="23">
        <f>5/B16*C16</f>
        <v>0</v>
      </c>
    </row>
    <row r="7" spans="1:15" x14ac:dyDescent="0.35">
      <c r="A7" s="20" t="s">
        <v>119</v>
      </c>
      <c r="B7" s="20" t="s">
        <v>120</v>
      </c>
      <c r="C7" s="20" t="s">
        <v>121</v>
      </c>
      <c r="E7" s="20">
        <f>(100/B10)*C10</f>
        <v>0</v>
      </c>
      <c r="F7" s="22" t="s">
        <v>122</v>
      </c>
      <c r="G7" s="22"/>
      <c r="H7" s="22"/>
      <c r="I7" s="22">
        <f>I6+20</f>
        <v>30</v>
      </c>
      <c r="J7" s="22">
        <f>30/B6*C6</f>
        <v>0</v>
      </c>
      <c r="K7" s="22">
        <f>15/B8*C8</f>
        <v>0</v>
      </c>
      <c r="L7" s="22">
        <f>10/B10*C10</f>
        <v>0</v>
      </c>
      <c r="M7" s="22">
        <f>5/B12*C12</f>
        <v>0</v>
      </c>
      <c r="N7" s="22">
        <f>5/B14*C14</f>
        <v>0</v>
      </c>
      <c r="O7" s="22">
        <f>5/B16*C16</f>
        <v>0</v>
      </c>
    </row>
    <row r="8" spans="1:15" x14ac:dyDescent="0.35">
      <c r="B8" s="22">
        <f>C2</f>
        <v>4</v>
      </c>
      <c r="C8" s="22">
        <v>0</v>
      </c>
      <c r="E8" s="20">
        <f>(100/B12)*C12</f>
        <v>0</v>
      </c>
    </row>
    <row r="9" spans="1:15" x14ac:dyDescent="0.35">
      <c r="A9" s="20" t="s">
        <v>123</v>
      </c>
      <c r="B9" s="20" t="s">
        <v>120</v>
      </c>
      <c r="C9" s="20" t="s">
        <v>121</v>
      </c>
      <c r="E9" s="20">
        <f>(100/B14)*C14</f>
        <v>0</v>
      </c>
    </row>
    <row r="10" spans="1:15" x14ac:dyDescent="0.35">
      <c r="B10" s="22">
        <f>C2</f>
        <v>4</v>
      </c>
      <c r="C10" s="22">
        <v>0</v>
      </c>
      <c r="E10" s="20">
        <f>(100/B16)*C16</f>
        <v>0</v>
      </c>
    </row>
    <row r="11" spans="1:15" x14ac:dyDescent="0.35">
      <c r="A11" s="20" t="s">
        <v>72</v>
      </c>
      <c r="B11" s="20" t="s">
        <v>120</v>
      </c>
      <c r="C11" s="20" t="s">
        <v>121</v>
      </c>
    </row>
    <row r="12" spans="1:15" x14ac:dyDescent="0.35">
      <c r="B12" s="22">
        <f>C2</f>
        <v>4</v>
      </c>
      <c r="C12" s="22">
        <v>0</v>
      </c>
      <c r="F12" s="22"/>
      <c r="G12" s="22" t="s">
        <v>118</v>
      </c>
      <c r="H12" s="22" t="s">
        <v>124</v>
      </c>
      <c r="L12" s="20" t="s">
        <v>125</v>
      </c>
    </row>
    <row r="13" spans="1:15" ht="29" x14ac:dyDescent="0.35">
      <c r="A13" s="24" t="s">
        <v>117</v>
      </c>
      <c r="B13" s="20" t="s">
        <v>120</v>
      </c>
      <c r="C13" s="20" t="s">
        <v>121</v>
      </c>
      <c r="F13" s="22" t="s">
        <v>69</v>
      </c>
      <c r="G13" s="22">
        <f>I6</f>
        <v>10</v>
      </c>
      <c r="H13" s="22">
        <f>I7</f>
        <v>30</v>
      </c>
      <c r="L13" s="20" t="s">
        <v>125</v>
      </c>
    </row>
    <row r="14" spans="1:15" x14ac:dyDescent="0.35">
      <c r="B14" s="22">
        <f>C2</f>
        <v>4</v>
      </c>
      <c r="C14" s="22">
        <v>0</v>
      </c>
      <c r="F14" s="22" t="s">
        <v>70</v>
      </c>
      <c r="G14" s="22">
        <f>J6</f>
        <v>0</v>
      </c>
      <c r="H14" s="22">
        <f>J7</f>
        <v>0</v>
      </c>
    </row>
    <row r="15" spans="1:15" x14ac:dyDescent="0.35">
      <c r="A15" s="20" t="s">
        <v>73</v>
      </c>
      <c r="B15" s="20" t="s">
        <v>120</v>
      </c>
      <c r="C15" s="20" t="s">
        <v>121</v>
      </c>
      <c r="F15" s="22" t="s">
        <v>116</v>
      </c>
      <c r="G15" s="22">
        <f>K6</f>
        <v>0</v>
      </c>
      <c r="H15" s="22">
        <f>K7</f>
        <v>0</v>
      </c>
    </row>
    <row r="16" spans="1:15" x14ac:dyDescent="0.35">
      <c r="B16" s="22">
        <f>C2</f>
        <v>4</v>
      </c>
      <c r="C16" s="22">
        <v>0</v>
      </c>
      <c r="F16" s="22" t="s">
        <v>71</v>
      </c>
      <c r="G16" s="22">
        <f>L6</f>
        <v>0</v>
      </c>
      <c r="H16" s="22">
        <f>L7</f>
        <v>0</v>
      </c>
    </row>
    <row r="17" spans="5:8" x14ac:dyDescent="0.35">
      <c r="F17" s="22" t="s">
        <v>72</v>
      </c>
      <c r="G17" s="22">
        <f>M6</f>
        <v>0</v>
      </c>
      <c r="H17" s="22">
        <f>M7</f>
        <v>0</v>
      </c>
    </row>
    <row r="18" spans="5:8" ht="29" x14ac:dyDescent="0.35">
      <c r="F18" s="25" t="s">
        <v>117</v>
      </c>
      <c r="G18" s="22">
        <f>N6</f>
        <v>0</v>
      </c>
      <c r="H18" s="22">
        <f>N7</f>
        <v>0</v>
      </c>
    </row>
    <row r="19" spans="5:8" x14ac:dyDescent="0.35">
      <c r="F19" s="22" t="s">
        <v>73</v>
      </c>
      <c r="G19" s="22">
        <f>O6</f>
        <v>0</v>
      </c>
      <c r="H19" s="22">
        <f>O7</f>
        <v>0</v>
      </c>
    </row>
    <row r="20" spans="5:8" x14ac:dyDescent="0.35">
      <c r="F20" s="22" t="s">
        <v>126</v>
      </c>
      <c r="G20" s="22">
        <f>G13+G14+G15+G16+G17+G18+G19</f>
        <v>10</v>
      </c>
      <c r="H20" s="22">
        <f>H13+H14+H15+H16+H17+H18+H19</f>
        <v>30</v>
      </c>
    </row>
    <row r="21" spans="5:8" x14ac:dyDescent="0.35">
      <c r="E21" s="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O10" sqref="O10"/>
    </sheetView>
  </sheetViews>
  <sheetFormatPr defaultRowHeight="14.5" x14ac:dyDescent="0.35"/>
  <cols>
    <col min="1" max="1" width="10.26953125" bestFit="1" customWidth="1"/>
  </cols>
  <sheetData>
    <row r="2" spans="1:2" x14ac:dyDescent="0.35">
      <c r="A2" s="35">
        <v>44127</v>
      </c>
      <c r="B2" t="s">
        <v>187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J19" sqref="J19"/>
    </sheetView>
  </sheetViews>
  <sheetFormatPr defaultColWidth="8.7265625" defaultRowHeight="14.5" x14ac:dyDescent="0.35"/>
  <cols>
    <col min="1" max="1" width="11.26953125" style="36" bestFit="1" customWidth="1"/>
    <col min="2" max="2" width="22.26953125" style="36" customWidth="1"/>
    <col min="3" max="3" width="37" style="36" customWidth="1"/>
    <col min="4" max="5" width="11.453125" style="36" customWidth="1"/>
    <col min="6" max="6" width="14" style="36" customWidth="1"/>
    <col min="7" max="7" width="20" style="36" customWidth="1"/>
    <col min="8" max="8" width="16.453125" style="36" customWidth="1"/>
    <col min="9" max="16384" width="8.7265625" style="36"/>
  </cols>
  <sheetData>
    <row r="1" spans="1:9" ht="15" customHeight="1" x14ac:dyDescent="0.35">
      <c r="A1" s="36" t="s">
        <v>186</v>
      </c>
      <c r="B1" s="36" t="s">
        <v>187</v>
      </c>
    </row>
    <row r="2" spans="1:9" ht="15" customHeight="1" x14ac:dyDescent="0.35">
      <c r="A2" s="37"/>
      <c r="B2" s="37"/>
      <c r="C2" s="37"/>
      <c r="D2" s="37"/>
      <c r="E2" s="37"/>
      <c r="F2" s="37"/>
      <c r="G2" s="37"/>
      <c r="H2" s="37"/>
    </row>
    <row r="3" spans="1:9" ht="15.75" customHeight="1" x14ac:dyDescent="0.35">
      <c r="A3" s="37"/>
      <c r="B3" s="243" t="s">
        <v>188</v>
      </c>
      <c r="C3" s="243"/>
      <c r="D3" s="243"/>
      <c r="E3" s="243"/>
      <c r="F3" s="243"/>
      <c r="G3" s="243"/>
      <c r="H3" s="243"/>
    </row>
    <row r="4" spans="1:9" x14ac:dyDescent="0.35">
      <c r="A4" s="37"/>
      <c r="B4" s="38" t="s">
        <v>189</v>
      </c>
      <c r="C4" s="38" t="s">
        <v>190</v>
      </c>
      <c r="D4" s="38" t="s">
        <v>128</v>
      </c>
      <c r="E4" s="38" t="s">
        <v>191</v>
      </c>
      <c r="F4" s="38" t="s">
        <v>192</v>
      </c>
      <c r="G4" s="38" t="s">
        <v>193</v>
      </c>
      <c r="H4" s="38" t="s">
        <v>194</v>
      </c>
    </row>
    <row r="5" spans="1:9" ht="15" customHeight="1" x14ac:dyDescent="0.35">
      <c r="A5" s="37"/>
      <c r="B5" s="39" t="s">
        <v>197</v>
      </c>
      <c r="C5" s="40" t="s">
        <v>178</v>
      </c>
      <c r="D5" s="39" t="s">
        <v>162</v>
      </c>
      <c r="E5" s="39">
        <v>350</v>
      </c>
      <c r="F5" s="41">
        <f>E5*1.45</f>
        <v>507.5</v>
      </c>
      <c r="G5" s="41">
        <f>H5/F5</f>
        <v>2124.1379310344828</v>
      </c>
      <c r="H5" s="42">
        <v>1078000</v>
      </c>
    </row>
    <row r="6" spans="1:9" ht="15" customHeight="1" x14ac:dyDescent="0.35">
      <c r="A6" s="37"/>
      <c r="B6" s="39" t="s">
        <v>197</v>
      </c>
      <c r="C6" s="40" t="s">
        <v>178</v>
      </c>
      <c r="D6" s="39" t="s">
        <v>161</v>
      </c>
      <c r="E6" s="39">
        <v>660</v>
      </c>
      <c r="F6" s="41">
        <f>E6*1.45</f>
        <v>957</v>
      </c>
      <c r="G6" s="41">
        <f>H6/F6</f>
        <v>2124.3469174503657</v>
      </c>
      <c r="H6" s="42">
        <v>2033000</v>
      </c>
    </row>
    <row r="7" spans="1:9" ht="15" customHeight="1" x14ac:dyDescent="0.35">
      <c r="A7" s="37"/>
      <c r="B7" s="43" t="s">
        <v>195</v>
      </c>
      <c r="C7" s="39"/>
      <c r="D7" s="39"/>
      <c r="E7" s="39"/>
      <c r="F7" s="39"/>
      <c r="G7" s="44">
        <f>AVERAGE(G5:G5)</f>
        <v>2124.1379310344828</v>
      </c>
      <c r="H7" s="39"/>
    </row>
    <row r="8" spans="1:9" ht="15" customHeight="1" x14ac:dyDescent="0.35">
      <c r="B8" s="43" t="s">
        <v>196</v>
      </c>
      <c r="C8" s="39"/>
      <c r="D8" s="39"/>
      <c r="E8" s="39"/>
      <c r="F8" s="45"/>
      <c r="G8" s="43">
        <v>2200</v>
      </c>
      <c r="H8" s="43"/>
      <c r="I8" s="46"/>
    </row>
    <row r="9" spans="1:9" ht="15" customHeight="1" x14ac:dyDescent="0.35"/>
    <row r="10" spans="1:9" ht="15" customHeight="1" x14ac:dyDescent="0.35"/>
    <row r="11" spans="1:9" ht="15" customHeight="1" x14ac:dyDescent="0.35"/>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D30" sqref="D30"/>
    </sheetView>
  </sheetViews>
  <sheetFormatPr defaultRowHeight="14.5" x14ac:dyDescent="0.35"/>
  <cols>
    <col min="2" max="2" width="12.26953125" customWidth="1"/>
  </cols>
  <sheetData>
    <row r="2" spans="1:12" x14ac:dyDescent="0.35">
      <c r="B2" s="27" t="s">
        <v>127</v>
      </c>
      <c r="C2" s="244"/>
      <c r="D2" s="244"/>
    </row>
    <row r="3" spans="1:12" x14ac:dyDescent="0.35">
      <c r="D3" s="28"/>
      <c r="E3" s="28"/>
      <c r="F3" s="28"/>
      <c r="G3" s="28"/>
      <c r="H3" s="28"/>
      <c r="I3" s="28"/>
    </row>
    <row r="4" spans="1:12" x14ac:dyDescent="0.35">
      <c r="A4" s="27" t="s">
        <v>128</v>
      </c>
      <c r="B4" s="29" t="s">
        <v>129</v>
      </c>
      <c r="C4" s="245" t="s">
        <v>130</v>
      </c>
      <c r="D4" s="245"/>
      <c r="E4" s="245"/>
      <c r="F4" s="30"/>
      <c r="G4" s="245" t="s">
        <v>131</v>
      </c>
      <c r="H4" s="245"/>
      <c r="I4" s="245"/>
      <c r="J4" s="245" t="s">
        <v>132</v>
      </c>
      <c r="K4" s="245"/>
      <c r="L4" s="245"/>
    </row>
    <row r="5" spans="1:12" x14ac:dyDescent="0.35">
      <c r="A5" s="27">
        <v>1</v>
      </c>
      <c r="B5" s="29"/>
      <c r="C5" s="29" t="s">
        <v>133</v>
      </c>
      <c r="D5" s="29" t="s">
        <v>134</v>
      </c>
      <c r="E5" s="29" t="s">
        <v>85</v>
      </c>
      <c r="F5" s="29"/>
      <c r="G5" s="29" t="s">
        <v>133</v>
      </c>
      <c r="H5" s="29" t="s">
        <v>134</v>
      </c>
      <c r="I5" s="29" t="s">
        <v>85</v>
      </c>
      <c r="J5" s="29" t="s">
        <v>133</v>
      </c>
      <c r="K5" s="29" t="s">
        <v>134</v>
      </c>
      <c r="L5" s="29" t="s">
        <v>85</v>
      </c>
    </row>
    <row r="6" spans="1:12" x14ac:dyDescent="0.35">
      <c r="B6" s="31" t="s">
        <v>135</v>
      </c>
      <c r="C6" s="31">
        <v>3.6</v>
      </c>
      <c r="D6" s="31">
        <v>3.05</v>
      </c>
      <c r="E6" s="31">
        <f>C6*D6</f>
        <v>10.98</v>
      </c>
      <c r="F6" s="31" t="s">
        <v>136</v>
      </c>
      <c r="G6" s="31"/>
      <c r="H6" s="31"/>
      <c r="I6" s="31">
        <f>G6*H6</f>
        <v>0</v>
      </c>
      <c r="J6" s="31"/>
      <c r="K6" s="31"/>
      <c r="L6" s="31">
        <f>J6*K6</f>
        <v>0</v>
      </c>
    </row>
    <row r="7" spans="1:12" x14ac:dyDescent="0.35">
      <c r="B7" s="31"/>
      <c r="C7" s="31"/>
      <c r="D7" s="31"/>
      <c r="E7" s="31">
        <f t="shared" ref="E7:E33" si="0">C7*D7</f>
        <v>0</v>
      </c>
      <c r="F7" s="31" t="s">
        <v>137</v>
      </c>
      <c r="G7" s="31"/>
      <c r="H7" s="31"/>
      <c r="I7" s="31">
        <f t="shared" ref="I7:I29" si="1">G7*H7</f>
        <v>0</v>
      </c>
      <c r="J7" s="31"/>
      <c r="K7" s="31"/>
      <c r="L7" s="31">
        <f t="shared" ref="L7:L29" si="2">J7*K7</f>
        <v>0</v>
      </c>
    </row>
    <row r="8" spans="1:12" x14ac:dyDescent="0.35">
      <c r="B8" s="31"/>
      <c r="C8" s="31"/>
      <c r="D8" s="31"/>
      <c r="E8" s="31">
        <f t="shared" si="0"/>
        <v>0</v>
      </c>
      <c r="F8" s="31"/>
      <c r="G8" s="31"/>
      <c r="H8" s="31"/>
      <c r="I8" s="31">
        <f t="shared" si="1"/>
        <v>0</v>
      </c>
      <c r="J8" s="31"/>
      <c r="K8" s="31"/>
      <c r="L8" s="31">
        <f t="shared" si="2"/>
        <v>0</v>
      </c>
    </row>
    <row r="9" spans="1:12" x14ac:dyDescent="0.35">
      <c r="B9" s="31" t="s">
        <v>138</v>
      </c>
      <c r="C9" s="31">
        <v>2.2000000000000002</v>
      </c>
      <c r="D9" s="31">
        <v>2.15</v>
      </c>
      <c r="E9" s="31">
        <f t="shared" si="0"/>
        <v>4.7300000000000004</v>
      </c>
      <c r="F9" s="31" t="s">
        <v>136</v>
      </c>
      <c r="G9" s="31"/>
      <c r="H9" s="31"/>
      <c r="I9" s="31">
        <f t="shared" si="1"/>
        <v>0</v>
      </c>
      <c r="J9" s="31"/>
      <c r="K9" s="31"/>
      <c r="L9" s="31">
        <f t="shared" si="2"/>
        <v>0</v>
      </c>
    </row>
    <row r="10" spans="1:12" x14ac:dyDescent="0.35">
      <c r="B10" s="31"/>
      <c r="C10" s="31"/>
      <c r="D10" s="31"/>
      <c r="E10" s="31">
        <f t="shared" si="0"/>
        <v>0</v>
      </c>
      <c r="F10" s="31" t="s">
        <v>137</v>
      </c>
      <c r="G10" s="31"/>
      <c r="H10" s="31"/>
      <c r="I10" s="31">
        <f t="shared" si="1"/>
        <v>0</v>
      </c>
      <c r="J10" s="31"/>
      <c r="K10" s="31"/>
      <c r="L10" s="31">
        <f t="shared" si="2"/>
        <v>0</v>
      </c>
    </row>
    <row r="11" spans="1:12" x14ac:dyDescent="0.35">
      <c r="B11" s="31"/>
      <c r="C11" s="31"/>
      <c r="D11" s="31"/>
      <c r="E11" s="31">
        <f t="shared" si="0"/>
        <v>0</v>
      </c>
      <c r="F11" s="31"/>
      <c r="G11" s="31"/>
      <c r="H11" s="31"/>
      <c r="I11" s="31">
        <f t="shared" si="1"/>
        <v>0</v>
      </c>
      <c r="J11" s="31"/>
      <c r="K11" s="31"/>
      <c r="L11" s="31">
        <f t="shared" si="2"/>
        <v>0</v>
      </c>
    </row>
    <row r="12" spans="1:12" x14ac:dyDescent="0.35">
      <c r="B12" s="31"/>
      <c r="C12" s="31"/>
      <c r="D12" s="31"/>
      <c r="E12" s="31">
        <f t="shared" si="0"/>
        <v>0</v>
      </c>
      <c r="F12" s="31"/>
      <c r="G12" s="31"/>
      <c r="H12" s="31"/>
      <c r="I12" s="31">
        <f t="shared" si="1"/>
        <v>0</v>
      </c>
      <c r="J12" s="31"/>
      <c r="K12" s="31"/>
      <c r="L12" s="31">
        <f t="shared" si="2"/>
        <v>0</v>
      </c>
    </row>
    <row r="13" spans="1:12" x14ac:dyDescent="0.35">
      <c r="B13" s="31" t="s">
        <v>139</v>
      </c>
      <c r="C13" s="31"/>
      <c r="D13" s="31"/>
      <c r="E13" s="31">
        <f t="shared" si="0"/>
        <v>0</v>
      </c>
      <c r="F13" s="31" t="s">
        <v>136</v>
      </c>
      <c r="G13" s="31"/>
      <c r="H13" s="31"/>
      <c r="I13" s="31">
        <f t="shared" si="1"/>
        <v>0</v>
      </c>
      <c r="J13" s="31"/>
      <c r="K13" s="31"/>
      <c r="L13" s="31">
        <f t="shared" si="2"/>
        <v>0</v>
      </c>
    </row>
    <row r="14" spans="1:12" x14ac:dyDescent="0.35">
      <c r="B14" s="31"/>
      <c r="C14" s="31"/>
      <c r="D14" s="31"/>
      <c r="E14" s="31">
        <f t="shared" si="0"/>
        <v>0</v>
      </c>
      <c r="F14" s="31" t="s">
        <v>137</v>
      </c>
      <c r="G14" s="31"/>
      <c r="H14" s="31"/>
      <c r="I14" s="31">
        <f t="shared" si="1"/>
        <v>0</v>
      </c>
      <c r="J14" s="31"/>
      <c r="K14" s="31"/>
      <c r="L14" s="31">
        <f t="shared" si="2"/>
        <v>0</v>
      </c>
    </row>
    <row r="15" spans="1:12" x14ac:dyDescent="0.35">
      <c r="B15" s="31"/>
      <c r="C15" s="31"/>
      <c r="D15" s="31"/>
      <c r="E15" s="31">
        <f t="shared" si="0"/>
        <v>0</v>
      </c>
      <c r="F15" s="31"/>
      <c r="G15" s="31"/>
      <c r="H15" s="31"/>
      <c r="I15" s="31">
        <f t="shared" si="1"/>
        <v>0</v>
      </c>
      <c r="J15" s="31"/>
      <c r="K15" s="31"/>
      <c r="L15" s="31">
        <f t="shared" si="2"/>
        <v>0</v>
      </c>
    </row>
    <row r="16" spans="1:12" x14ac:dyDescent="0.35">
      <c r="B16" s="31"/>
      <c r="C16" s="31"/>
      <c r="D16" s="31"/>
      <c r="E16" s="31">
        <f t="shared" si="0"/>
        <v>0</v>
      </c>
      <c r="F16" s="31"/>
      <c r="G16" s="31"/>
      <c r="H16" s="31"/>
      <c r="I16" s="31">
        <f t="shared" si="1"/>
        <v>0</v>
      </c>
      <c r="J16" s="31"/>
      <c r="K16" s="31"/>
      <c r="L16" s="31">
        <f t="shared" si="2"/>
        <v>0</v>
      </c>
    </row>
    <row r="17" spans="2:12" x14ac:dyDescent="0.35">
      <c r="B17" s="31" t="s">
        <v>140</v>
      </c>
      <c r="C17" s="31"/>
      <c r="D17" s="31"/>
      <c r="E17" s="31">
        <f t="shared" si="0"/>
        <v>0</v>
      </c>
      <c r="F17" s="31" t="s">
        <v>136</v>
      </c>
      <c r="G17" s="31"/>
      <c r="H17" s="31"/>
      <c r="I17" s="31">
        <f t="shared" si="1"/>
        <v>0</v>
      </c>
      <c r="J17" s="31"/>
      <c r="K17" s="31"/>
      <c r="L17" s="31">
        <f t="shared" si="2"/>
        <v>0</v>
      </c>
    </row>
    <row r="18" spans="2:12" x14ac:dyDescent="0.35">
      <c r="B18" s="31"/>
      <c r="C18" s="31"/>
      <c r="D18" s="31"/>
      <c r="E18" s="31">
        <f t="shared" si="0"/>
        <v>0</v>
      </c>
      <c r="F18" s="31" t="s">
        <v>137</v>
      </c>
      <c r="G18" s="31"/>
      <c r="H18" s="31"/>
      <c r="I18" s="31">
        <f t="shared" si="1"/>
        <v>0</v>
      </c>
      <c r="J18" s="31"/>
      <c r="K18" s="31"/>
      <c r="L18" s="31">
        <f t="shared" si="2"/>
        <v>0</v>
      </c>
    </row>
    <row r="19" spans="2:12" x14ac:dyDescent="0.35">
      <c r="B19" s="31"/>
      <c r="C19" s="31"/>
      <c r="D19" s="31"/>
      <c r="E19" s="31">
        <f t="shared" si="0"/>
        <v>0</v>
      </c>
      <c r="F19" s="31"/>
      <c r="G19" s="31"/>
      <c r="H19" s="31"/>
      <c r="I19" s="31">
        <f t="shared" si="1"/>
        <v>0</v>
      </c>
      <c r="J19" s="31"/>
      <c r="K19" s="31"/>
      <c r="L19" s="31">
        <f t="shared" si="2"/>
        <v>0</v>
      </c>
    </row>
    <row r="20" spans="2:12" x14ac:dyDescent="0.35">
      <c r="B20" s="31" t="s">
        <v>140</v>
      </c>
      <c r="C20" s="31"/>
      <c r="D20" s="31"/>
      <c r="E20" s="31">
        <f t="shared" si="0"/>
        <v>0</v>
      </c>
      <c r="F20" s="31" t="s">
        <v>136</v>
      </c>
      <c r="G20" s="31"/>
      <c r="H20" s="31"/>
      <c r="I20" s="31">
        <f t="shared" si="1"/>
        <v>0</v>
      </c>
      <c r="J20" s="31"/>
      <c r="K20" s="31"/>
      <c r="L20" s="31">
        <f t="shared" si="2"/>
        <v>0</v>
      </c>
    </row>
    <row r="21" spans="2:12" x14ac:dyDescent="0.35">
      <c r="B21" s="31"/>
      <c r="C21" s="31"/>
      <c r="D21" s="31"/>
      <c r="E21" s="31">
        <f t="shared" si="0"/>
        <v>0</v>
      </c>
      <c r="F21" s="31" t="s">
        <v>137</v>
      </c>
      <c r="G21" s="31"/>
      <c r="H21" s="31"/>
      <c r="I21" s="31">
        <f t="shared" si="1"/>
        <v>0</v>
      </c>
      <c r="J21" s="31"/>
      <c r="K21" s="31"/>
      <c r="L21" s="31">
        <f t="shared" si="2"/>
        <v>0</v>
      </c>
    </row>
    <row r="22" spans="2:12" x14ac:dyDescent="0.35">
      <c r="B22" s="31"/>
      <c r="C22" s="31"/>
      <c r="D22" s="31"/>
      <c r="E22" s="31">
        <f t="shared" si="0"/>
        <v>0</v>
      </c>
      <c r="F22" s="31"/>
      <c r="G22" s="31"/>
      <c r="H22" s="31"/>
      <c r="I22" s="31">
        <f t="shared" si="1"/>
        <v>0</v>
      </c>
      <c r="J22" s="31"/>
      <c r="K22" s="31"/>
      <c r="L22" s="31">
        <f t="shared" si="2"/>
        <v>0</v>
      </c>
    </row>
    <row r="23" spans="2:12" x14ac:dyDescent="0.35">
      <c r="B23" s="31" t="s">
        <v>141</v>
      </c>
      <c r="C23" s="31">
        <v>1.8</v>
      </c>
      <c r="D23" s="31">
        <v>1.2</v>
      </c>
      <c r="E23" s="31">
        <f t="shared" si="0"/>
        <v>2.16</v>
      </c>
      <c r="F23" s="31" t="s">
        <v>142</v>
      </c>
      <c r="G23" s="31"/>
      <c r="H23" s="31"/>
      <c r="I23" s="31">
        <f t="shared" si="1"/>
        <v>0</v>
      </c>
      <c r="J23" s="31"/>
      <c r="K23" s="31"/>
      <c r="L23" s="31">
        <f t="shared" si="2"/>
        <v>0</v>
      </c>
    </row>
    <row r="24" spans="2:12" x14ac:dyDescent="0.35">
      <c r="B24" s="31" t="s">
        <v>143</v>
      </c>
      <c r="C24" s="31">
        <v>1</v>
      </c>
      <c r="D24" s="31">
        <v>1.2</v>
      </c>
      <c r="E24" s="31">
        <f t="shared" si="0"/>
        <v>1.2</v>
      </c>
      <c r="F24" s="31" t="s">
        <v>142</v>
      </c>
      <c r="G24" s="31"/>
      <c r="H24" s="31"/>
      <c r="I24" s="31">
        <f t="shared" si="1"/>
        <v>0</v>
      </c>
      <c r="J24" s="31"/>
      <c r="K24" s="31"/>
      <c r="L24" s="31">
        <f t="shared" si="2"/>
        <v>0</v>
      </c>
    </row>
    <row r="25" spans="2:12" x14ac:dyDescent="0.35">
      <c r="B25" s="31" t="s">
        <v>144</v>
      </c>
      <c r="C25" s="31"/>
      <c r="D25" s="31"/>
      <c r="E25" s="31">
        <f t="shared" si="0"/>
        <v>0</v>
      </c>
      <c r="F25" s="31" t="s">
        <v>142</v>
      </c>
      <c r="G25" s="31"/>
      <c r="H25" s="31"/>
      <c r="I25" s="31">
        <f t="shared" si="1"/>
        <v>0</v>
      </c>
      <c r="J25" s="31"/>
      <c r="K25" s="31"/>
      <c r="L25" s="31">
        <f t="shared" si="2"/>
        <v>0</v>
      </c>
    </row>
    <row r="26" spans="2:12" x14ac:dyDescent="0.35">
      <c r="B26" s="31"/>
      <c r="C26" s="31"/>
      <c r="D26" s="31"/>
      <c r="E26" s="31">
        <f t="shared" si="0"/>
        <v>0</v>
      </c>
      <c r="F26" s="31"/>
      <c r="G26" s="31"/>
      <c r="H26" s="31"/>
      <c r="I26" s="31">
        <f t="shared" si="1"/>
        <v>0</v>
      </c>
      <c r="J26" s="31"/>
      <c r="K26" s="31"/>
      <c r="L26" s="31">
        <f t="shared" si="2"/>
        <v>0</v>
      </c>
    </row>
    <row r="27" spans="2:12" x14ac:dyDescent="0.35">
      <c r="B27" s="31" t="s">
        <v>145</v>
      </c>
      <c r="C27" s="31">
        <v>0.75</v>
      </c>
      <c r="D27" s="31">
        <v>3.05</v>
      </c>
      <c r="E27" s="31">
        <f t="shared" si="0"/>
        <v>2.2874999999999996</v>
      </c>
      <c r="F27" s="31"/>
      <c r="G27" s="31"/>
      <c r="H27" s="31"/>
      <c r="I27" s="31">
        <f t="shared" si="1"/>
        <v>0</v>
      </c>
      <c r="J27" s="31"/>
      <c r="K27" s="31"/>
      <c r="L27" s="31">
        <f t="shared" si="2"/>
        <v>0</v>
      </c>
    </row>
    <row r="28" spans="2:12" x14ac:dyDescent="0.35">
      <c r="B28" s="31" t="s">
        <v>146</v>
      </c>
      <c r="C28" s="31">
        <v>1.5</v>
      </c>
      <c r="D28" s="31">
        <v>2.15</v>
      </c>
      <c r="E28" s="31">
        <f t="shared" si="0"/>
        <v>3.2249999999999996</v>
      </c>
      <c r="F28" s="31"/>
      <c r="G28" s="31"/>
      <c r="H28" s="31"/>
      <c r="I28" s="31">
        <f t="shared" si="1"/>
        <v>0</v>
      </c>
      <c r="J28" s="31"/>
      <c r="K28" s="31"/>
      <c r="L28" s="31">
        <f t="shared" si="2"/>
        <v>0</v>
      </c>
    </row>
    <row r="29" spans="2:12" x14ac:dyDescent="0.35">
      <c r="B29" s="31" t="s">
        <v>147</v>
      </c>
      <c r="C29" s="31">
        <v>1</v>
      </c>
      <c r="D29" s="31">
        <v>2.15</v>
      </c>
      <c r="E29" s="31">
        <f t="shared" si="0"/>
        <v>2.15</v>
      </c>
      <c r="F29" s="31"/>
      <c r="G29" s="31"/>
      <c r="H29" s="31"/>
      <c r="I29" s="31">
        <f t="shared" si="1"/>
        <v>0</v>
      </c>
      <c r="J29" s="31"/>
      <c r="K29" s="31"/>
      <c r="L29" s="31">
        <f t="shared" si="2"/>
        <v>0</v>
      </c>
    </row>
    <row r="30" spans="2:12" x14ac:dyDescent="0.35">
      <c r="B30" s="31" t="s">
        <v>148</v>
      </c>
      <c r="C30" s="31"/>
      <c r="D30" s="31"/>
      <c r="E30" s="31">
        <f t="shared" si="0"/>
        <v>0</v>
      </c>
      <c r="F30" s="31"/>
      <c r="G30" s="31"/>
      <c r="H30" s="31"/>
      <c r="I30" s="31">
        <f>G30*H30</f>
        <v>0</v>
      </c>
      <c r="J30" s="31"/>
      <c r="K30" s="31"/>
      <c r="L30" s="31">
        <f>J30*K30</f>
        <v>0</v>
      </c>
    </row>
    <row r="31" spans="2:12" x14ac:dyDescent="0.35">
      <c r="B31" s="31"/>
      <c r="C31" s="31"/>
      <c r="D31" s="31"/>
      <c r="E31" s="31">
        <f t="shared" si="0"/>
        <v>0</v>
      </c>
      <c r="F31" s="31"/>
      <c r="G31" s="31"/>
      <c r="H31" s="31"/>
      <c r="I31" s="31">
        <f>G31*H31</f>
        <v>0</v>
      </c>
      <c r="J31" s="31"/>
      <c r="K31" s="31"/>
      <c r="L31" s="31">
        <f>J31*K31</f>
        <v>0</v>
      </c>
    </row>
    <row r="32" spans="2:12" x14ac:dyDescent="0.35">
      <c r="B32" s="31"/>
      <c r="C32" s="31"/>
      <c r="D32" s="31"/>
      <c r="E32" s="31">
        <f t="shared" si="0"/>
        <v>0</v>
      </c>
      <c r="F32" s="31"/>
      <c r="G32" s="31"/>
      <c r="H32" s="31"/>
      <c r="I32" s="31">
        <f>G32*H32</f>
        <v>0</v>
      </c>
      <c r="J32" s="31"/>
      <c r="K32" s="31"/>
      <c r="L32" s="31">
        <f>J32*K32</f>
        <v>0</v>
      </c>
    </row>
    <row r="33" spans="2:12" x14ac:dyDescent="0.35">
      <c r="B33" s="31"/>
      <c r="C33" s="31"/>
      <c r="D33" s="31"/>
      <c r="E33" s="31">
        <f t="shared" si="0"/>
        <v>0</v>
      </c>
      <c r="F33" s="31"/>
      <c r="G33" s="31"/>
      <c r="H33" s="31"/>
      <c r="I33" s="31">
        <f>G33*H33</f>
        <v>0</v>
      </c>
      <c r="J33" s="31"/>
      <c r="K33" s="31"/>
      <c r="L33" s="31">
        <f>J33*K33</f>
        <v>0</v>
      </c>
    </row>
    <row r="34" spans="2:12" x14ac:dyDescent="0.35">
      <c r="B34" s="31" t="s">
        <v>86</v>
      </c>
      <c r="C34" s="31"/>
      <c r="D34" s="31">
        <f>E34*10.764</f>
        <v>287.74862999999999</v>
      </c>
      <c r="E34" s="31">
        <f>SUM(E6:E33)</f>
        <v>26.732500000000002</v>
      </c>
      <c r="F34" s="31"/>
      <c r="G34" s="31"/>
      <c r="H34" s="31">
        <f>I34*10.764</f>
        <v>0</v>
      </c>
      <c r="I34" s="31">
        <f>SUM(I6:I33)</f>
        <v>0</v>
      </c>
      <c r="J34" s="31"/>
      <c r="K34" s="31">
        <f>L34*10.764</f>
        <v>0</v>
      </c>
      <c r="L34" s="31">
        <f>SUM(L6:L33)</f>
        <v>0</v>
      </c>
    </row>
    <row r="36" spans="2:12" x14ac:dyDescent="0.35">
      <c r="D36">
        <f>D34+H34</f>
        <v>287.74862999999999</v>
      </c>
      <c r="E36">
        <f>E34+I34</f>
        <v>26.732500000000002</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C%</vt:lpstr>
      <vt:lpstr>C% (2)</vt:lpstr>
      <vt:lpstr>C% (3)</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2025-07-18T05:59:47Z</cp:lastPrinted>
  <dcterms:created xsi:type="dcterms:W3CDTF">2019-07-16T09:29:46Z</dcterms:created>
  <dcterms:modified xsi:type="dcterms:W3CDTF">2025-07-18T06:01:44Z</dcterms:modified>
</cp:coreProperties>
</file>