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157866DE-4AFB-4EA3-A1B4-86F66B8F401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1" l="1"/>
  <c r="C152" i="1"/>
  <c r="C153" i="1" s="1"/>
  <c r="C138" i="1"/>
  <c r="C139" i="1" s="1"/>
  <c r="C140" i="1" s="1"/>
  <c r="C180" i="1" l="1"/>
  <c r="C181" i="1" s="1"/>
  <c r="C182" i="1" s="1"/>
  <c r="C166" i="1"/>
  <c r="C167" i="1" s="1"/>
  <c r="C168" i="1" s="1"/>
  <c r="C124" i="1"/>
  <c r="C125" i="1" s="1"/>
  <c r="C126" i="1" s="1"/>
  <c r="C110" i="1"/>
  <c r="C111" i="1" s="1"/>
  <c r="C112" i="1" s="1"/>
  <c r="J128" i="1"/>
  <c r="J127" i="1"/>
  <c r="J126" i="1"/>
  <c r="J125" i="1"/>
  <c r="H118" i="1"/>
  <c r="J121" i="1" l="1"/>
  <c r="D129" i="1"/>
  <c r="D125" i="1"/>
  <c r="E121" i="1"/>
  <c r="D128" i="1"/>
  <c r="D124" i="1"/>
  <c r="D127" i="1"/>
  <c r="D123" i="1"/>
  <c r="J120" i="1"/>
  <c r="J122" i="1"/>
  <c r="C121" i="1" s="1"/>
  <c r="D121" i="1" s="1"/>
  <c r="D130" i="1"/>
  <c r="D126" i="1"/>
  <c r="D122" i="1"/>
  <c r="J123" i="1"/>
  <c r="J124" i="1" s="1"/>
  <c r="J129" i="1" s="1"/>
  <c r="J130" i="1" s="1"/>
  <c r="J117" i="1"/>
  <c r="J119" i="1" s="1"/>
  <c r="J156" i="1"/>
  <c r="J155" i="1"/>
  <c r="J154" i="1"/>
  <c r="J153" i="1"/>
  <c r="C82" i="1"/>
  <c r="C83" i="1" s="1"/>
  <c r="C84" i="1" s="1"/>
  <c r="C96" i="1"/>
  <c r="C97" i="1" s="1"/>
  <c r="C98" i="1" s="1"/>
  <c r="J114" i="1"/>
  <c r="J113" i="1"/>
  <c r="J112" i="1"/>
  <c r="J111" i="1"/>
  <c r="H104" i="1"/>
  <c r="I118" i="1" l="1"/>
  <c r="I119" i="1" s="1"/>
  <c r="G121" i="1"/>
  <c r="J118" i="1"/>
  <c r="J109" i="1"/>
  <c r="J110" i="1" s="1"/>
  <c r="J115" i="1" s="1"/>
  <c r="J116" i="1" s="1"/>
  <c r="J107" i="1"/>
  <c r="J103" i="1"/>
  <c r="J105" i="1" s="1"/>
  <c r="D115" i="1"/>
  <c r="D113" i="1"/>
  <c r="D111" i="1"/>
  <c r="D109" i="1"/>
  <c r="J106" i="1"/>
  <c r="J108" i="1"/>
  <c r="C107" i="1" s="1"/>
  <c r="D107" i="1" s="1"/>
  <c r="E107" i="1"/>
  <c r="D116" i="1"/>
  <c r="D114" i="1"/>
  <c r="D112" i="1"/>
  <c r="D110" i="1"/>
  <c r="D108" i="1"/>
  <c r="J184" i="1"/>
  <c r="J183" i="1"/>
  <c r="J182" i="1"/>
  <c r="J181" i="1"/>
  <c r="J100" i="1"/>
  <c r="J99" i="1"/>
  <c r="J98" i="1"/>
  <c r="J97" i="1"/>
  <c r="H90" i="1"/>
  <c r="I117" i="1" l="1"/>
  <c r="C119" i="1" s="1"/>
  <c r="I104" i="1"/>
  <c r="I105" i="1" s="1"/>
  <c r="G107" i="1"/>
  <c r="J104" i="1"/>
  <c r="J95" i="1"/>
  <c r="J96" i="1" s="1"/>
  <c r="J101" i="1" s="1"/>
  <c r="J102" i="1" s="1"/>
  <c r="J93" i="1"/>
  <c r="D101" i="1"/>
  <c r="D99" i="1"/>
  <c r="D95" i="1"/>
  <c r="J92" i="1"/>
  <c r="J94" i="1"/>
  <c r="C93" i="1" s="1"/>
  <c r="D102" i="1"/>
  <c r="D100" i="1"/>
  <c r="D98" i="1"/>
  <c r="D96" i="1"/>
  <c r="D94" i="1"/>
  <c r="J221" i="1"/>
  <c r="D313" i="1"/>
  <c r="F313" i="1" s="1"/>
  <c r="D432" i="1"/>
  <c r="F432" i="1" s="1"/>
  <c r="D431" i="1"/>
  <c r="F431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19" i="1"/>
  <c r="F419" i="1" s="1"/>
  <c r="D418" i="1"/>
  <c r="F418" i="1" s="1"/>
  <c r="D417" i="1"/>
  <c r="F417" i="1" s="1"/>
  <c r="D416" i="1"/>
  <c r="F416" i="1" s="1"/>
  <c r="A416" i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G415" i="1"/>
  <c r="D415" i="1"/>
  <c r="F415" i="1" s="1"/>
  <c r="D413" i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F397" i="1" s="1"/>
  <c r="A397" i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G396" i="1"/>
  <c r="D396" i="1"/>
  <c r="F396" i="1" s="1"/>
  <c r="D394" i="1"/>
  <c r="F394" i="1" s="1"/>
  <c r="D393" i="1"/>
  <c r="F393" i="1" s="1"/>
  <c r="K393" i="1" s="1"/>
  <c r="D392" i="1"/>
  <c r="F392" i="1" s="1"/>
  <c r="K392" i="1" s="1"/>
  <c r="D391" i="1"/>
  <c r="F391" i="1" s="1"/>
  <c r="K391" i="1" s="1"/>
  <c r="D390" i="1"/>
  <c r="F390" i="1" s="1"/>
  <c r="D389" i="1"/>
  <c r="F389" i="1" s="1"/>
  <c r="K389" i="1" s="1"/>
  <c r="D388" i="1"/>
  <c r="F388" i="1" s="1"/>
  <c r="K388" i="1" s="1"/>
  <c r="D387" i="1"/>
  <c r="F387" i="1" s="1"/>
  <c r="K387" i="1" s="1"/>
  <c r="D386" i="1"/>
  <c r="F386" i="1" s="1"/>
  <c r="K386" i="1" s="1"/>
  <c r="D385" i="1"/>
  <c r="F385" i="1" s="1"/>
  <c r="K385" i="1" s="1"/>
  <c r="D384" i="1"/>
  <c r="F384" i="1" s="1"/>
  <c r="K384" i="1" s="1"/>
  <c r="J383" i="1"/>
  <c r="D383" i="1"/>
  <c r="F383" i="1" s="1"/>
  <c r="K383" i="1" s="1"/>
  <c r="D382" i="1"/>
  <c r="F382" i="1" s="1"/>
  <c r="K382" i="1" s="1"/>
  <c r="D381" i="1"/>
  <c r="F381" i="1" s="1"/>
  <c r="K381" i="1" s="1"/>
  <c r="D380" i="1"/>
  <c r="F380" i="1" s="1"/>
  <c r="K380" i="1" s="1"/>
  <c r="D379" i="1"/>
  <c r="F379" i="1" s="1"/>
  <c r="K379" i="1" s="1"/>
  <c r="J378" i="1"/>
  <c r="D378" i="1"/>
  <c r="F378" i="1" s="1"/>
  <c r="K378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J377" i="1"/>
  <c r="G377" i="1"/>
  <c r="D377" i="1"/>
  <c r="F377" i="1" s="1"/>
  <c r="K377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0" i="1"/>
  <c r="F360" i="1" s="1"/>
  <c r="D359" i="1"/>
  <c r="F359" i="1" s="1"/>
  <c r="D358" i="1"/>
  <c r="F358" i="1" s="1"/>
  <c r="D357" i="1"/>
  <c r="F357" i="1" s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G356" i="1"/>
  <c r="D356" i="1"/>
  <c r="F356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A338" i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G337" i="1"/>
  <c r="D337" i="1"/>
  <c r="F337" i="1" s="1"/>
  <c r="D335" i="1"/>
  <c r="F335" i="1" s="1"/>
  <c r="D334" i="1"/>
  <c r="F334" i="1" s="1"/>
  <c r="K334" i="1" s="1"/>
  <c r="D333" i="1"/>
  <c r="F333" i="1" s="1"/>
  <c r="K333" i="1" s="1"/>
  <c r="D332" i="1"/>
  <c r="F332" i="1" s="1"/>
  <c r="K332" i="1" s="1"/>
  <c r="D331" i="1"/>
  <c r="F331" i="1" s="1"/>
  <c r="D330" i="1"/>
  <c r="F330" i="1" s="1"/>
  <c r="K330" i="1" s="1"/>
  <c r="D329" i="1"/>
  <c r="F329" i="1" s="1"/>
  <c r="K329" i="1" s="1"/>
  <c r="D328" i="1"/>
  <c r="F328" i="1" s="1"/>
  <c r="K328" i="1" s="1"/>
  <c r="D327" i="1"/>
  <c r="F327" i="1" s="1"/>
  <c r="K327" i="1" s="1"/>
  <c r="D326" i="1"/>
  <c r="F326" i="1" s="1"/>
  <c r="K326" i="1" s="1"/>
  <c r="D325" i="1"/>
  <c r="F325" i="1" s="1"/>
  <c r="K325" i="1" s="1"/>
  <c r="J324" i="1"/>
  <c r="D324" i="1"/>
  <c r="F324" i="1" s="1"/>
  <c r="K324" i="1" s="1"/>
  <c r="D323" i="1"/>
  <c r="F323" i="1" s="1"/>
  <c r="K323" i="1" s="1"/>
  <c r="D322" i="1"/>
  <c r="F322" i="1" s="1"/>
  <c r="K322" i="1" s="1"/>
  <c r="D321" i="1"/>
  <c r="F321" i="1" s="1"/>
  <c r="K321" i="1" s="1"/>
  <c r="D320" i="1"/>
  <c r="F320" i="1" s="1"/>
  <c r="K320" i="1" s="1"/>
  <c r="J319" i="1"/>
  <c r="D319" i="1"/>
  <c r="F319" i="1" s="1"/>
  <c r="K319" i="1" s="1"/>
  <c r="A319" i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J318" i="1"/>
  <c r="G318" i="1"/>
  <c r="D318" i="1"/>
  <c r="F318" i="1" s="1"/>
  <c r="K318" i="1" s="1"/>
  <c r="D307" i="1"/>
  <c r="D299" i="1"/>
  <c r="F299" i="1" s="1"/>
  <c r="D298" i="1"/>
  <c r="F298" i="1" s="1"/>
  <c r="D297" i="1"/>
  <c r="F297" i="1" s="1"/>
  <c r="D296" i="1"/>
  <c r="F296" i="1" s="1"/>
  <c r="D628" i="1"/>
  <c r="F628" i="1" s="1"/>
  <c r="D627" i="1"/>
  <c r="F627" i="1" s="1"/>
  <c r="D626" i="1"/>
  <c r="F626" i="1" s="1"/>
  <c r="D625" i="1"/>
  <c r="F625" i="1" s="1"/>
  <c r="D624" i="1"/>
  <c r="F624" i="1" s="1"/>
  <c r="D623" i="1"/>
  <c r="F623" i="1" s="1"/>
  <c r="D622" i="1"/>
  <c r="F622" i="1" s="1"/>
  <c r="D621" i="1"/>
  <c r="F621" i="1" s="1"/>
  <c r="A621" i="1"/>
  <c r="A622" i="1" s="1"/>
  <c r="A623" i="1" s="1"/>
  <c r="A624" i="1" s="1"/>
  <c r="A625" i="1" s="1"/>
  <c r="A626" i="1" s="1"/>
  <c r="A627" i="1" s="1"/>
  <c r="A628" i="1" s="1"/>
  <c r="D619" i="1"/>
  <c r="F619" i="1" s="1"/>
  <c r="D618" i="1"/>
  <c r="F618" i="1" s="1"/>
  <c r="A618" i="1"/>
  <c r="A619" i="1" s="1"/>
  <c r="G617" i="1"/>
  <c r="D617" i="1"/>
  <c r="F617" i="1" s="1"/>
  <c r="D615" i="1"/>
  <c r="F615" i="1" s="1"/>
  <c r="D614" i="1"/>
  <c r="F614" i="1" s="1"/>
  <c r="D613" i="1"/>
  <c r="F613" i="1" s="1"/>
  <c r="D612" i="1"/>
  <c r="F612" i="1" s="1"/>
  <c r="D611" i="1"/>
  <c r="F611" i="1" s="1"/>
  <c r="D610" i="1"/>
  <c r="F610" i="1" s="1"/>
  <c r="D609" i="1"/>
  <c r="F609" i="1" s="1"/>
  <c r="D608" i="1"/>
  <c r="F608" i="1" s="1"/>
  <c r="D607" i="1"/>
  <c r="F607" i="1" s="1"/>
  <c r="D606" i="1"/>
  <c r="F606" i="1" s="1"/>
  <c r="D605" i="1"/>
  <c r="F605" i="1" s="1"/>
  <c r="A605" i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G604" i="1"/>
  <c r="D604" i="1"/>
  <c r="F604" i="1" s="1"/>
  <c r="D596" i="1"/>
  <c r="D597" i="1"/>
  <c r="D598" i="1"/>
  <c r="D599" i="1"/>
  <c r="D600" i="1"/>
  <c r="D601" i="1"/>
  <c r="D595" i="1"/>
  <c r="D594" i="1"/>
  <c r="D584" i="1"/>
  <c r="D585" i="1"/>
  <c r="D586" i="1"/>
  <c r="D587" i="1"/>
  <c r="D592" i="1"/>
  <c r="D591" i="1"/>
  <c r="D590" i="1"/>
  <c r="D582" i="1"/>
  <c r="D583" i="1"/>
  <c r="D588" i="1"/>
  <c r="D581" i="1"/>
  <c r="D578" i="1"/>
  <c r="D579" i="1"/>
  <c r="D580" i="1"/>
  <c r="D577" i="1"/>
  <c r="C225" i="1" l="1"/>
  <c r="C226" i="1" s="1"/>
  <c r="I103" i="1"/>
  <c r="C105" i="1" s="1"/>
  <c r="D93" i="1"/>
  <c r="G226" i="1"/>
  <c r="C219" i="1"/>
  <c r="E220" i="1"/>
  <c r="E226" i="1"/>
  <c r="E225" i="1"/>
  <c r="E219" i="1"/>
  <c r="G219" i="1"/>
  <c r="G220" i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A249" i="1"/>
  <c r="A250" i="1" s="1"/>
  <c r="A251" i="1" s="1"/>
  <c r="A252" i="1" s="1"/>
  <c r="A253" i="1" s="1"/>
  <c r="A254" i="1" s="1"/>
  <c r="A255" i="1" s="1"/>
  <c r="A256" i="1" s="1"/>
  <c r="G248" i="1"/>
  <c r="D248" i="1"/>
  <c r="D245" i="1"/>
  <c r="F245" i="1" s="1"/>
  <c r="D244" i="1"/>
  <c r="F244" i="1" s="1"/>
  <c r="D243" i="1"/>
  <c r="F243" i="1" s="1"/>
  <c r="D242" i="1"/>
  <c r="D241" i="1"/>
  <c r="D240" i="1"/>
  <c r="D239" i="1"/>
  <c r="D238" i="1"/>
  <c r="D237" i="1"/>
  <c r="D236" i="1"/>
  <c r="D508" i="1"/>
  <c r="D507" i="1"/>
  <c r="D506" i="1"/>
  <c r="D505" i="1"/>
  <c r="D504" i="1"/>
  <c r="D503" i="1"/>
  <c r="D501" i="1"/>
  <c r="D500" i="1"/>
  <c r="D499" i="1"/>
  <c r="D498" i="1"/>
  <c r="D497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573" i="1"/>
  <c r="F573" i="1" s="1"/>
  <c r="D572" i="1"/>
  <c r="F572" i="1" s="1"/>
  <c r="D571" i="1"/>
  <c r="F571" i="1" s="1"/>
  <c r="D570" i="1"/>
  <c r="F570" i="1" s="1"/>
  <c r="D569" i="1"/>
  <c r="F569" i="1" s="1"/>
  <c r="D568" i="1"/>
  <c r="F568" i="1" s="1"/>
  <c r="D567" i="1"/>
  <c r="F567" i="1" s="1"/>
  <c r="D566" i="1"/>
  <c r="F566" i="1" s="1"/>
  <c r="D564" i="1"/>
  <c r="F564" i="1" s="1"/>
  <c r="D563" i="1"/>
  <c r="F563" i="1" s="1"/>
  <c r="D562" i="1"/>
  <c r="F562" i="1" s="1"/>
  <c r="D561" i="1"/>
  <c r="F561" i="1" s="1"/>
  <c r="A561" i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G560" i="1"/>
  <c r="D560" i="1"/>
  <c r="F560" i="1" s="1"/>
  <c r="D558" i="1"/>
  <c r="F558" i="1" s="1"/>
  <c r="D557" i="1"/>
  <c r="F557" i="1" s="1"/>
  <c r="D556" i="1"/>
  <c r="F556" i="1" s="1"/>
  <c r="D555" i="1"/>
  <c r="F555" i="1" s="1"/>
  <c r="D554" i="1"/>
  <c r="F554" i="1" s="1"/>
  <c r="D553" i="1"/>
  <c r="F553" i="1" s="1"/>
  <c r="D552" i="1"/>
  <c r="F552" i="1" s="1"/>
  <c r="D551" i="1"/>
  <c r="F551" i="1" s="1"/>
  <c r="D550" i="1"/>
  <c r="F550" i="1" s="1"/>
  <c r="D549" i="1"/>
  <c r="F549" i="1" s="1"/>
  <c r="D548" i="1"/>
  <c r="F548" i="1" s="1"/>
  <c r="D547" i="1"/>
  <c r="F547" i="1" s="1"/>
  <c r="D546" i="1"/>
  <c r="F546" i="1" s="1"/>
  <c r="A546" i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J545" i="1"/>
  <c r="G545" i="1"/>
  <c r="D545" i="1"/>
  <c r="D541" i="1"/>
  <c r="D540" i="1"/>
  <c r="D539" i="1"/>
  <c r="D538" i="1"/>
  <c r="D537" i="1"/>
  <c r="D536" i="1"/>
  <c r="D535" i="1"/>
  <c r="D534" i="1"/>
  <c r="D530" i="1"/>
  <c r="D531" i="1"/>
  <c r="D532" i="1"/>
  <c r="D529" i="1"/>
  <c r="D528" i="1"/>
  <c r="J513" i="1"/>
  <c r="D526" i="1"/>
  <c r="D525" i="1"/>
  <c r="D514" i="1"/>
  <c r="D515" i="1"/>
  <c r="D516" i="1"/>
  <c r="D517" i="1"/>
  <c r="D518" i="1"/>
  <c r="D519" i="1"/>
  <c r="D520" i="1"/>
  <c r="D522" i="1"/>
  <c r="D523" i="1"/>
  <c r="D524" i="1"/>
  <c r="D521" i="1"/>
  <c r="D513" i="1"/>
  <c r="J90" i="1" l="1"/>
  <c r="F545" i="1"/>
  <c r="G224" i="1" s="1"/>
  <c r="E224" i="1"/>
  <c r="E222" i="1"/>
  <c r="C222" i="1"/>
  <c r="C223" i="1"/>
  <c r="C224" i="1" s="1"/>
  <c r="E223" i="1"/>
  <c r="F248" i="1"/>
  <c r="G214" i="1" s="1"/>
  <c r="E214" i="1"/>
  <c r="E213" i="1"/>
  <c r="C213" i="1"/>
  <c r="J142" i="1"/>
  <c r="J141" i="1"/>
  <c r="J140" i="1"/>
  <c r="J139" i="1"/>
  <c r="G54" i="1"/>
  <c r="G57" i="1" s="1"/>
  <c r="C54" i="1"/>
  <c r="C57" i="1" s="1"/>
  <c r="H132" i="1"/>
  <c r="E215" i="1" l="1"/>
  <c r="J137" i="1"/>
  <c r="J138" i="1" s="1"/>
  <c r="J143" i="1" s="1"/>
  <c r="D135" i="1"/>
  <c r="J131" i="1"/>
  <c r="J133" i="1" s="1"/>
  <c r="D143" i="1"/>
  <c r="D141" i="1"/>
  <c r="D139" i="1"/>
  <c r="D137" i="1"/>
  <c r="J135" i="1"/>
  <c r="J134" i="1"/>
  <c r="J136" i="1"/>
  <c r="D144" i="1"/>
  <c r="D142" i="1"/>
  <c r="D140" i="1"/>
  <c r="D138" i="1"/>
  <c r="J198" i="1"/>
  <c r="J197" i="1"/>
  <c r="J196" i="1"/>
  <c r="J195" i="1"/>
  <c r="E3" i="1"/>
  <c r="H188" i="1"/>
  <c r="J144" i="1" l="1"/>
  <c r="J193" i="1"/>
  <c r="J194" i="1" s="1"/>
  <c r="J199" i="1" s="1"/>
  <c r="J192" i="1"/>
  <c r="J191" i="1"/>
  <c r="D191" i="1" s="1"/>
  <c r="J190" i="1"/>
  <c r="D200" i="1"/>
  <c r="D199" i="1"/>
  <c r="D198" i="1"/>
  <c r="D197" i="1"/>
  <c r="D196" i="1"/>
  <c r="D195" i="1"/>
  <c r="D194" i="1"/>
  <c r="D193" i="1"/>
  <c r="J187" i="1"/>
  <c r="J189" i="1" s="1"/>
  <c r="J132" i="1" l="1"/>
  <c r="E135" i="1"/>
  <c r="G135" i="1"/>
  <c r="D136" i="1"/>
  <c r="I132" i="1" s="1"/>
  <c r="J200" i="1"/>
  <c r="J86" i="1"/>
  <c r="J85" i="1"/>
  <c r="J84" i="1"/>
  <c r="J83" i="1"/>
  <c r="H76" i="1"/>
  <c r="I133" i="1" l="1"/>
  <c r="I131" i="1" s="1"/>
  <c r="C133" i="1" s="1"/>
  <c r="G191" i="1"/>
  <c r="E191" i="1"/>
  <c r="D192" i="1"/>
  <c r="I188" i="1" s="1"/>
  <c r="I189" i="1" s="1"/>
  <c r="J188" i="1"/>
  <c r="J80" i="1"/>
  <c r="C79" i="1" s="1"/>
  <c r="D88" i="1"/>
  <c r="D86" i="1"/>
  <c r="D84" i="1"/>
  <c r="D82" i="1"/>
  <c r="J75" i="1"/>
  <c r="J77" i="1" s="1"/>
  <c r="D83" i="1"/>
  <c r="J81" i="1"/>
  <c r="J82" i="1" s="1"/>
  <c r="J87" i="1" s="1"/>
  <c r="J79" i="1"/>
  <c r="J78" i="1"/>
  <c r="D87" i="1"/>
  <c r="D85" i="1"/>
  <c r="D81" i="1"/>
  <c r="J88" i="1" l="1"/>
  <c r="I187" i="1"/>
  <c r="C189" i="1" s="1"/>
  <c r="D79" i="1"/>
  <c r="D271" i="1"/>
  <c r="H146" i="1"/>
  <c r="J150" i="1" l="1"/>
  <c r="J151" i="1"/>
  <c r="J152" i="1" s="1"/>
  <c r="J157" i="1" s="1"/>
  <c r="D157" i="1"/>
  <c r="D153" i="1"/>
  <c r="J149" i="1"/>
  <c r="J148" i="1"/>
  <c r="D158" i="1"/>
  <c r="D156" i="1"/>
  <c r="D154" i="1"/>
  <c r="D152" i="1"/>
  <c r="D149" i="1"/>
  <c r="J145" i="1"/>
  <c r="J147" i="1" s="1"/>
  <c r="D155" i="1"/>
  <c r="D151" i="1"/>
  <c r="D80" i="1"/>
  <c r="E79" i="1"/>
  <c r="J76" i="1"/>
  <c r="G79" i="1"/>
  <c r="D73" i="1" s="1"/>
  <c r="D478" i="1"/>
  <c r="F478" i="1" s="1"/>
  <c r="D477" i="1"/>
  <c r="F477" i="1" s="1"/>
  <c r="D476" i="1"/>
  <c r="F476" i="1" s="1"/>
  <c r="D475" i="1"/>
  <c r="F475" i="1" s="1"/>
  <c r="D474" i="1"/>
  <c r="F474" i="1" s="1"/>
  <c r="D473" i="1"/>
  <c r="F473" i="1" s="1"/>
  <c r="J472" i="1"/>
  <c r="D472" i="1"/>
  <c r="F472" i="1" s="1"/>
  <c r="D471" i="1"/>
  <c r="F471" i="1" s="1"/>
  <c r="D470" i="1"/>
  <c r="F470" i="1" s="1"/>
  <c r="D469" i="1"/>
  <c r="F469" i="1" s="1"/>
  <c r="D468" i="1"/>
  <c r="F468" i="1" s="1"/>
  <c r="J467" i="1"/>
  <c r="D467" i="1"/>
  <c r="F467" i="1" s="1"/>
  <c r="A467" i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J466" i="1"/>
  <c r="G466" i="1"/>
  <c r="D466" i="1"/>
  <c r="F466" i="1" s="1"/>
  <c r="D464" i="1"/>
  <c r="F464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J457" i="1"/>
  <c r="D457" i="1"/>
  <c r="F457" i="1" s="1"/>
  <c r="D456" i="1"/>
  <c r="F456" i="1" s="1"/>
  <c r="D455" i="1"/>
  <c r="F455" i="1" s="1"/>
  <c r="D454" i="1"/>
  <c r="F454" i="1" s="1"/>
  <c r="D453" i="1"/>
  <c r="F453" i="1" s="1"/>
  <c r="J452" i="1"/>
  <c r="D452" i="1"/>
  <c r="F452" i="1" s="1"/>
  <c r="A452" i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J451" i="1"/>
  <c r="G451" i="1"/>
  <c r="D451" i="1"/>
  <c r="F451" i="1" s="1"/>
  <c r="D439" i="1"/>
  <c r="F439" i="1" s="1"/>
  <c r="D438" i="1"/>
  <c r="F438" i="1" s="1"/>
  <c r="D449" i="1"/>
  <c r="F449" i="1" s="1"/>
  <c r="D448" i="1"/>
  <c r="F448" i="1" s="1"/>
  <c r="D447" i="1"/>
  <c r="F447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7" i="1"/>
  <c r="F437" i="1" s="1"/>
  <c r="D436" i="1"/>
  <c r="J442" i="1"/>
  <c r="J437" i="1"/>
  <c r="A437" i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J436" i="1"/>
  <c r="G436" i="1"/>
  <c r="F242" i="1"/>
  <c r="F241" i="1"/>
  <c r="F240" i="1"/>
  <c r="F239" i="1"/>
  <c r="F238" i="1"/>
  <c r="F237" i="1"/>
  <c r="F236" i="1"/>
  <c r="J234" i="1"/>
  <c r="A237" i="1"/>
  <c r="A238" i="1" s="1"/>
  <c r="A239" i="1" s="1"/>
  <c r="A240" i="1" s="1"/>
  <c r="A241" i="1" s="1"/>
  <c r="A242" i="1" s="1"/>
  <c r="A243" i="1" s="1"/>
  <c r="A244" i="1" s="1"/>
  <c r="G236" i="1"/>
  <c r="F601" i="1"/>
  <c r="F600" i="1"/>
  <c r="F599" i="1"/>
  <c r="F598" i="1"/>
  <c r="F597" i="1"/>
  <c r="F596" i="1"/>
  <c r="F595" i="1"/>
  <c r="F594" i="1"/>
  <c r="F592" i="1"/>
  <c r="F591" i="1"/>
  <c r="A591" i="1"/>
  <c r="A592" i="1" s="1"/>
  <c r="G590" i="1"/>
  <c r="F590" i="1"/>
  <c r="F588" i="1"/>
  <c r="F587" i="1"/>
  <c r="F586" i="1"/>
  <c r="F585" i="1"/>
  <c r="F584" i="1"/>
  <c r="F583" i="1"/>
  <c r="F582" i="1"/>
  <c r="F581" i="1"/>
  <c r="F580" i="1"/>
  <c r="F579" i="1"/>
  <c r="F578" i="1"/>
  <c r="A578" i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G577" i="1"/>
  <c r="F577" i="1"/>
  <c r="F541" i="1"/>
  <c r="F540" i="1"/>
  <c r="F539" i="1"/>
  <c r="F538" i="1"/>
  <c r="F537" i="1"/>
  <c r="F536" i="1"/>
  <c r="F535" i="1"/>
  <c r="F534" i="1"/>
  <c r="F532" i="1"/>
  <c r="F531" i="1"/>
  <c r="F530" i="1"/>
  <c r="F529" i="1"/>
  <c r="A529" i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G528" i="1"/>
  <c r="F528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A514" i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G513" i="1"/>
  <c r="F513" i="1"/>
  <c r="F508" i="1"/>
  <c r="F507" i="1"/>
  <c r="F506" i="1"/>
  <c r="F505" i="1"/>
  <c r="F504" i="1"/>
  <c r="F503" i="1"/>
  <c r="F501" i="1"/>
  <c r="F500" i="1"/>
  <c r="F499" i="1"/>
  <c r="F498" i="1"/>
  <c r="A498" i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G497" i="1"/>
  <c r="F497" i="1"/>
  <c r="F495" i="1"/>
  <c r="F494" i="1"/>
  <c r="F493" i="1"/>
  <c r="F492" i="1"/>
  <c r="F491" i="1"/>
  <c r="F490" i="1"/>
  <c r="F489" i="1"/>
  <c r="F488" i="1"/>
  <c r="F487" i="1"/>
  <c r="F486" i="1"/>
  <c r="F485" i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G484" i="1"/>
  <c r="F484" i="1"/>
  <c r="J158" i="1" l="1"/>
  <c r="I76" i="1"/>
  <c r="I77" i="1" s="1"/>
  <c r="G225" i="1"/>
  <c r="G223" i="1"/>
  <c r="G222" i="1"/>
  <c r="F436" i="1"/>
  <c r="G221" i="1" s="1"/>
  <c r="C221" i="1"/>
  <c r="E221" i="1"/>
  <c r="G213" i="1"/>
  <c r="A594" i="1"/>
  <c r="A595" i="1" s="1"/>
  <c r="A596" i="1" s="1"/>
  <c r="A597" i="1" s="1"/>
  <c r="A598" i="1" s="1"/>
  <c r="A599" i="1" s="1"/>
  <c r="A600" i="1" s="1"/>
  <c r="A601" i="1" s="1"/>
  <c r="D314" i="1"/>
  <c r="F314" i="1" s="1"/>
  <c r="D312" i="1"/>
  <c r="F312" i="1" s="1"/>
  <c r="D311" i="1"/>
  <c r="F311" i="1" s="1"/>
  <c r="D310" i="1"/>
  <c r="F310" i="1" s="1"/>
  <c r="D309" i="1"/>
  <c r="F309" i="1" s="1"/>
  <c r="D308" i="1"/>
  <c r="F308" i="1" s="1"/>
  <c r="F307" i="1"/>
  <c r="D305" i="1"/>
  <c r="F305" i="1" s="1"/>
  <c r="D304" i="1"/>
  <c r="F304" i="1" s="1"/>
  <c r="D303" i="1"/>
  <c r="F303" i="1" s="1"/>
  <c r="D302" i="1"/>
  <c r="F302" i="1" s="1"/>
  <c r="D301" i="1"/>
  <c r="F301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72" i="1"/>
  <c r="D273" i="1"/>
  <c r="F273" i="1" s="1"/>
  <c r="K273" i="1" s="1"/>
  <c r="D274" i="1"/>
  <c r="F274" i="1" s="1"/>
  <c r="K274" i="1" s="1"/>
  <c r="D275" i="1"/>
  <c r="F275" i="1" s="1"/>
  <c r="K275" i="1" s="1"/>
  <c r="D276" i="1"/>
  <c r="F276" i="1" s="1"/>
  <c r="K276" i="1" s="1"/>
  <c r="D277" i="1"/>
  <c r="F277" i="1" s="1"/>
  <c r="K277" i="1" s="1"/>
  <c r="D278" i="1"/>
  <c r="F278" i="1" s="1"/>
  <c r="K278" i="1" s="1"/>
  <c r="D279" i="1"/>
  <c r="F279" i="1" s="1"/>
  <c r="K279" i="1" s="1"/>
  <c r="D280" i="1"/>
  <c r="F280" i="1" s="1"/>
  <c r="K280" i="1" s="1"/>
  <c r="D281" i="1"/>
  <c r="F281" i="1" s="1"/>
  <c r="K281" i="1" s="1"/>
  <c r="D282" i="1"/>
  <c r="F282" i="1" s="1"/>
  <c r="K282" i="1" s="1"/>
  <c r="D283" i="1"/>
  <c r="F283" i="1" s="1"/>
  <c r="K283" i="1" s="1"/>
  <c r="D284" i="1"/>
  <c r="F284" i="1" s="1"/>
  <c r="F271" i="1"/>
  <c r="J271" i="1"/>
  <c r="A302" i="1"/>
  <c r="A303" i="1" s="1"/>
  <c r="A304" i="1" s="1"/>
  <c r="A305" i="1" s="1"/>
  <c r="A306" i="1" s="1"/>
  <c r="A307" i="1" s="1"/>
  <c r="A308" i="1" s="1"/>
  <c r="A309" i="1" s="1"/>
  <c r="A310" i="1" s="1"/>
  <c r="A311" i="1" s="1"/>
  <c r="G301" i="1"/>
  <c r="A287" i="1"/>
  <c r="A288" i="1" s="1"/>
  <c r="A289" i="1" s="1"/>
  <c r="A290" i="1" s="1"/>
  <c r="A291" i="1" s="1"/>
  <c r="G286" i="1"/>
  <c r="J277" i="1"/>
  <c r="J272" i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G271" i="1"/>
  <c r="H174" i="1"/>
  <c r="J146" i="1" l="1"/>
  <c r="E149" i="1"/>
  <c r="D150" i="1"/>
  <c r="I146" i="1" s="1"/>
  <c r="G149" i="1"/>
  <c r="J178" i="1"/>
  <c r="D186" i="1"/>
  <c r="D184" i="1"/>
  <c r="D182" i="1"/>
  <c r="D180" i="1"/>
  <c r="J179" i="1"/>
  <c r="J180" i="1" s="1"/>
  <c r="J185" i="1" s="1"/>
  <c r="D177" i="1"/>
  <c r="J173" i="1"/>
  <c r="J175" i="1" s="1"/>
  <c r="D185" i="1"/>
  <c r="D183" i="1"/>
  <c r="D181" i="1"/>
  <c r="D179" i="1"/>
  <c r="J177" i="1"/>
  <c r="J176" i="1"/>
  <c r="I75" i="1"/>
  <c r="C77" i="1" s="1"/>
  <c r="C218" i="1"/>
  <c r="C227" i="1" s="1"/>
  <c r="E218" i="1"/>
  <c r="A312" i="1"/>
  <c r="A292" i="1"/>
  <c r="A293" i="1" s="1"/>
  <c r="A294" i="1" s="1"/>
  <c r="A295" i="1" s="1"/>
  <c r="A296" i="1" s="1"/>
  <c r="A297" i="1" s="1"/>
  <c r="A298" i="1" s="1"/>
  <c r="A299" i="1" s="1"/>
  <c r="C215" i="1"/>
  <c r="G215" i="1"/>
  <c r="F272" i="1"/>
  <c r="K272" i="1" s="1"/>
  <c r="K271" i="1"/>
  <c r="E47" i="1"/>
  <c r="E48" i="1" s="1"/>
  <c r="I147" i="1" l="1"/>
  <c r="I145" i="1" s="1"/>
  <c r="C147" i="1" s="1"/>
  <c r="E177" i="1"/>
  <c r="J186" i="1"/>
  <c r="J174" i="1" s="1"/>
  <c r="G177" i="1"/>
  <c r="D178" i="1"/>
  <c r="I174" i="1" s="1"/>
  <c r="G218" i="1"/>
  <c r="G227" i="1" s="1"/>
  <c r="E227" i="1"/>
  <c r="C19" i="1"/>
  <c r="I175" i="1" l="1"/>
  <c r="I173" i="1" s="1"/>
  <c r="C175" i="1" s="1"/>
  <c r="E34" i="1"/>
  <c r="F210" i="1" l="1"/>
  <c r="F260" i="1" l="1"/>
  <c r="F261" i="1"/>
  <c r="F262" i="1"/>
  <c r="F259" i="1"/>
  <c r="B631" i="1" l="1"/>
  <c r="B63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659" i="1"/>
  <c r="A260" i="1"/>
  <c r="A261" i="1" s="1"/>
  <c r="A262" i="1" s="1"/>
  <c r="G259" i="1"/>
  <c r="G260" i="1" s="1"/>
  <c r="G261" i="1" s="1"/>
  <c r="G262" i="1" s="1"/>
  <c r="J170" i="1"/>
  <c r="J169" i="1"/>
  <c r="J168" i="1"/>
  <c r="J167" i="1"/>
  <c r="D61" i="1"/>
  <c r="E31" i="1"/>
  <c r="E29" i="1"/>
  <c r="E7" i="1"/>
  <c r="H160" i="1"/>
  <c r="D69" i="1" l="1"/>
  <c r="D172" i="1"/>
  <c r="D170" i="1"/>
  <c r="D169" i="1"/>
  <c r="D168" i="1"/>
  <c r="D166" i="1"/>
  <c r="J159" i="1"/>
  <c r="D171" i="1"/>
  <c r="D167" i="1"/>
  <c r="J163" i="1"/>
  <c r="J164" i="1"/>
  <c r="J162" i="1"/>
  <c r="J165" i="1"/>
  <c r="J166" i="1" s="1"/>
  <c r="J171" i="1" s="1"/>
  <c r="J172" i="1" l="1"/>
  <c r="G163" i="1"/>
  <c r="D74" i="1" s="1"/>
  <c r="D165" i="1"/>
  <c r="J161" i="1"/>
  <c r="D163" i="1"/>
  <c r="D164" i="1" l="1"/>
  <c r="I160" i="1" s="1"/>
  <c r="E163" i="1"/>
  <c r="J160" i="1"/>
  <c r="F74" i="1"/>
  <c r="I161" i="1" l="1"/>
  <c r="I159" i="1" s="1"/>
  <c r="C161" i="1" s="1"/>
  <c r="E93" i="1" l="1"/>
  <c r="G93" i="1"/>
  <c r="J89" i="1"/>
  <c r="J91" i="1" s="1"/>
  <c r="D97" i="1"/>
  <c r="I90" i="1" s="1"/>
  <c r="I91" i="1" l="1"/>
  <c r="I89" i="1" s="1"/>
  <c r="C91" i="1" s="1"/>
</calcChain>
</file>

<file path=xl/sharedStrings.xml><?xml version="1.0" encoding="utf-8"?>
<sst xmlns="http://schemas.openxmlformats.org/spreadsheetml/2006/main" count="747" uniqueCount="304">
  <si>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</si>
  <si>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</si>
  <si>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</si>
  <si>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</si>
  <si>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</si>
  <si>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</si>
  <si>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</si>
  <si>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</si>
  <si>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</si>
  <si>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</si>
  <si>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</si>
  <si>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</si>
  <si>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</si>
  <si>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</si>
  <si>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</si>
  <si>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</si>
  <si>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</si>
  <si>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</si>
  <si>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</si>
  <si>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</si>
  <si>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</si>
  <si>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</si>
  <si>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</si>
  <si>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</si>
  <si>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</si>
  <si>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</si>
  <si>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</si>
  <si>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</si>
  <si>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</si>
  <si>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</si>
  <si>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</si>
  <si>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</si>
  <si>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</si>
  <si>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</si>
  <si>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</si>
  <si>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</si>
  <si>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</si>
  <si>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</si>
  <si>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</si>
  <si>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</si>
  <si>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</si>
  <si>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</si>
  <si>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</si>
  <si>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</si>
  <si>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</si>
  <si>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</si>
  <si>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</si>
  <si>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</si>
  <si>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</si>
  <si>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</si>
  <si>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</si>
  <si>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</si>
  <si>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</si>
  <si>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</si>
  <si>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</si>
  <si>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</si>
  <si>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</si>
  <si>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</si>
  <si>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</si>
  <si>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</si>
  <si>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</si>
  <si>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</si>
  <si>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</si>
  <si>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</si>
  <si>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</si>
  <si>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</si>
  <si>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</si>
  <si>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</si>
  <si>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</si>
  <si>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</si>
  <si>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</si>
  <si>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</si>
  <si>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</si>
  <si>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</si>
  <si>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</si>
  <si>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</si>
  <si>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</si>
  <si>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</si>
  <si>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</si>
  <si>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</si>
  <si>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</si>
  <si>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</si>
  <si>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</si>
  <si>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</si>
  <si>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</si>
  <si>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</si>
  <si>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</si>
  <si>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</si>
  <si>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</si>
  <si>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</si>
  <si>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</si>
  <si>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</si>
  <si>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</si>
  <si>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</si>
  <si>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</si>
  <si>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</si>
  <si>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</si>
  <si>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</si>
  <si>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</si>
  <si>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</si>
  <si>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</si>
  <si>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</si>
  <si>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</si>
  <si>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</si>
  <si>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</si>
  <si>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</si>
  <si>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</si>
  <si>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</si>
  <si>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</si>
  <si>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</si>
  <si>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</si>
  <si>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</si>
  <si>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</si>
  <si>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</si>
  <si>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</si>
  <si>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</si>
  <si>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</si>
  <si>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</si>
  <si>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</si>
  <si>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</si>
  <si>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</si>
  <si>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</si>
  <si>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</si>
  <si>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</si>
  <si>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</si>
  <si>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</si>
  <si>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</si>
  <si>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</si>
  <si>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</si>
  <si>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</si>
  <si>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</si>
  <si>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</si>
  <si>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</si>
  <si>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</si>
  <si>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</si>
  <si>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</si>
  <si>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</si>
  <si>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</si>
  <si>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</si>
  <si>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</si>
  <si>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</si>
  <si>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</si>
  <si>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</si>
  <si>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</si>
  <si>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</si>
  <si>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</si>
  <si>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</si>
  <si>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</si>
  <si>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</si>
  <si>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</si>
  <si>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</si>
  <si>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</si>
  <si>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</si>
  <si>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</si>
  <si>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</si>
  <si>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</si>
  <si>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</si>
  <si>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</si>
  <si>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</si>
  <si>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</si>
  <si>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</si>
  <si>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</si>
  <si>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</si>
  <si>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</si>
  <si>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Mangesh</t>
  </si>
  <si>
    <t>Axis Sanpada</t>
  </si>
  <si>
    <t>Adrika Developers Private Limited</t>
  </si>
  <si>
    <t>Rohit Charania – 9167700051</t>
  </si>
  <si>
    <t>Approved Plans, CC</t>
  </si>
  <si>
    <t>Survey No</t>
  </si>
  <si>
    <t>Bhiwandi</t>
  </si>
  <si>
    <t>Bhiwandi - Wada Road</t>
  </si>
  <si>
    <t>Thane</t>
  </si>
  <si>
    <t>Mumbai Metropolitan Region Development Authority</t>
  </si>
  <si>
    <t>SROT/BSNA/2501/BP/Rahanal-Kevani-Purna-Kopar -02 /Amended CC</t>
  </si>
  <si>
    <t>Sector 3A - Cluster 2</t>
  </si>
  <si>
    <t>Wing A (Tower 2A)</t>
  </si>
  <si>
    <t>Ground Floor For Parking, Fitness Center, Creche, Meter Room, Drivers Room &amp; Society Office</t>
  </si>
  <si>
    <t>1st Floor For Residential</t>
  </si>
  <si>
    <t>Refuge Area</t>
  </si>
  <si>
    <t>Wing C ( Tower 1J )</t>
  </si>
  <si>
    <t>Wing B ( Tower 1I )</t>
  </si>
  <si>
    <t>Phase III  ( Dosti Grace )</t>
  </si>
  <si>
    <t>Shop</t>
  </si>
  <si>
    <t>Ground Floor For Part Commercial, Fitness Center, Creche, Meter Room, Drivers Room &amp; Society Office</t>
  </si>
  <si>
    <t>Wing D ( Tower 5B )</t>
  </si>
  <si>
    <t>We considered Gross carpet area = Net carpet + Enclose balcony + Balcony</t>
  </si>
  <si>
    <t>https://goo.gl/maps/LQfnKKJTecchBVPZ6</t>
  </si>
  <si>
    <t>4.4KM from Bhiwandi Road Railway Station</t>
  </si>
  <si>
    <t>Bhiwandi West</t>
  </si>
  <si>
    <t>Shree Arihant Compound</t>
  </si>
  <si>
    <t>Open Plot</t>
  </si>
  <si>
    <t>Internal Road</t>
  </si>
  <si>
    <t>Dosti Fortune</t>
  </si>
  <si>
    <t>Tower 1I</t>
  </si>
  <si>
    <t>Tower 2A</t>
  </si>
  <si>
    <t>Tower 1J</t>
  </si>
  <si>
    <t>Tower 5B</t>
  </si>
  <si>
    <t>sanket</t>
  </si>
  <si>
    <t>Other charges 2.5L</t>
  </si>
  <si>
    <t>Mr. Chetan - 9167700142</t>
  </si>
  <si>
    <t>Documents Provided</t>
  </si>
  <si>
    <t>DGT - Sector 3A - Cluster 2  
Phase 1 = P51700048334 
Phase 2 = P51700048335
Phase 3 = P51700048333
Phase 4 = P51700053095</t>
  </si>
  <si>
    <t>09 Buildings</t>
  </si>
  <si>
    <t>SROT/BSNA/2501/BP/Rahanal-Kevani-Purna-Kopar -02 /CC/1073/2023</t>
  </si>
  <si>
    <t>As per RERA - Phase 1 (Dosti Pride) = 30/06/2028
                       Phase 2 &amp; 4 (Dosti Charm) = 31/12/2027
                       Phase 3 (Dosti Grace) = 30/06/2028</t>
  </si>
  <si>
    <t>Phase 1</t>
  </si>
  <si>
    <t>Phase 2</t>
  </si>
  <si>
    <t>Phase 3</t>
  </si>
  <si>
    <t>Phase 1  (Dosti Pride)</t>
  </si>
  <si>
    <t>Phase 2 (Dosti Charm)</t>
  </si>
  <si>
    <t>Wing A ( Tower 3A Bldg 6 )</t>
  </si>
  <si>
    <t>Wing B ( Tower 3 Bldg4 )</t>
  </si>
  <si>
    <t>1st to 7th, 9th to 12th, 14th to 17th, 19th to 22nd, 24th to 27th, 29th &amp; 30th Floor</t>
  </si>
  <si>
    <t>1st to 7th, 9th to 12th, 14th to 17th, 19th to 22nd, 24th to 27th, 29th &amp; 30th Floor For Residential</t>
  </si>
  <si>
    <t>8th, 13th, 18th, 23rd &amp; 28th Floor (Part Refuge Area)</t>
  </si>
  <si>
    <t>Wing A ( Tower 4 Bldg5 )</t>
  </si>
  <si>
    <t>Wing B ( Tower 4 Bldg 6 )</t>
  </si>
  <si>
    <t>We have updated approved plan of refuge floor (8th, 13th, 18th &amp; 23rd Floor) for Tower 1I, 1J by verifing flat numbering with the provided sale plan (on10/05/2023).</t>
  </si>
  <si>
    <t>Wing A ( Tower 4 Bldg 5)</t>
  </si>
  <si>
    <t>2BHK</t>
  </si>
  <si>
    <t>Tower 3A Bldg 6</t>
  </si>
  <si>
    <t>Tower 3 Bldg 4</t>
  </si>
  <si>
    <t>Tower 3 Bldg 3</t>
  </si>
  <si>
    <t>Tower 4 Bldg 5</t>
  </si>
  <si>
    <t>Tower 4 Bldg 6</t>
  </si>
  <si>
    <t>Phase 3 - Tower 4 Bldg 5</t>
  </si>
  <si>
    <t>Phase 3 - Tower 4 Bldg 6</t>
  </si>
  <si>
    <t>2nd to 7th, 9th to 12th, 14th to 17th, 19th to 22nd, 24th to 27th &amp; 29th Floor</t>
  </si>
  <si>
    <t>Wing C ( Tower 3 Bldg3 )</t>
  </si>
  <si>
    <t>Flats - 3731, Shops - 20</t>
  </si>
  <si>
    <t>Phase 3 ( Dosti Grace )</t>
  </si>
  <si>
    <t>Phase 4</t>
  </si>
  <si>
    <t>Dosti Greater Thane - Sector 3A ­ Cluster 2 ­ Phase 1, 2, 3 &amp; 4</t>
  </si>
  <si>
    <t>As per RERA, Approved floor plan &amp; CC the nomenclature of the buildings in phases 2 and 3 has been changed.</t>
  </si>
  <si>
    <t>Phase 4 (Dosti Charm)</t>
  </si>
  <si>
    <t xml:space="preserve">As per Previous Approved Plan 
</t>
  </si>
  <si>
    <t>Wing B - Tower 1L
 Wing A - Tower 1K</t>
  </si>
  <si>
    <t xml:space="preserve">Phase 2 = 
Dosti Charm </t>
  </si>
  <si>
    <t>Wing A - Tower 1M                                         Wing B - Tower 4A</t>
  </si>
  <si>
    <t xml:space="preserve">
Wing A - Tower T4-5                                      
Wing B - Tower T4-6                             
</t>
  </si>
  <si>
    <t>Wing C - Tower T3-3                                 
 Wing B - Tower  T3-4</t>
  </si>
  <si>
    <t xml:space="preserve">Phase 3 = Dosti Grace </t>
  </si>
  <si>
    <t xml:space="preserve">We have updated revised approved floor plan &amp; C.C for Phase 1, 2, 3 &amp; 4 (Phase 4 = Dosti Charm =  Wing A - Tower T3A - 6) (on 24/11/2023).
</t>
  </si>
  <si>
    <t>As per Revised Approved Plan</t>
  </si>
  <si>
    <t>7200 to 7600</t>
  </si>
  <si>
    <t>viraj</t>
  </si>
  <si>
    <t>Society Charges</t>
  </si>
  <si>
    <t xml:space="preserve">Recommended Rates/Other Charges of the Property have been revised on 31/12/2023.
</t>
  </si>
  <si>
    <t>Recommended rate of the Flat Per Sq. Ft. (1st to 10th Floor)</t>
  </si>
  <si>
    <t>Recommended rate of the Flat Per Sq. Ft. (11th to 20th Floor)</t>
  </si>
  <si>
    <t>Recommended rate of the Flat Per Sq. Ft. (21st to 30th Floor)</t>
  </si>
  <si>
    <t>Floor wise changes donen by viraaj 14/03/2024</t>
  </si>
  <si>
    <t>We have given the construction stage for the project as per the construction work progress report pdf provided by the builder.</t>
  </si>
  <si>
    <t>DGT - Sector 3A - Cluster 2 - Phase 1, 2, 3 &amp; 4</t>
  </si>
  <si>
    <t>Name of the Project (As Per RERA)</t>
  </si>
  <si>
    <t>25/2, 25/3, 26/10, 26/13/7, 190, 23/1/B, 23/1/C of village Rahanal, S No.40/7 of village Kavani, S.No.151/2/A(pt), 152/1, 152/2, 152/3(pt), 152/4/A, 152/4/B, 152/4/C, 152/4/D, 152/5/A, 152/5/B, 153, 154/3/A, 154/3/B, 154/4, 154/7, 156/1, 156/2, 156/3, 156/4, 156/5, 157/1, 157/2, 157/3, 158, 159/1/A, 159/1/B, 159/1/C, 159/2, 160/1, 160/2, 161/1(pt), 161/3(pt), 161/4, 161/5, 162, 163/1(pt), 163/2(pt), 164/1(pt), 164/4, 164/4/5A, 164/6(pt), 165/1(pt), 165/2/A(pt), 165/2/B(pt), 165/3(pt), 174/5(pt) of village Purna, S No.14/3, 15/5, 16/1a, 16/2, 16/4, 16/5, 16/7, 16/9, 16/14, 16/15, 16/18, 16/21, 16/23, 16/23/A, 16/24, 16/25, 16/26, 16/27, 16/28, 16/29, 16/30, 16/31, 16/34, 16/35, 16/36, 16/39, 16/40, 17/1, 17/2, 17/3, 17/4, 17/5, 17/7, 17/8, 17/9, 17/10, 17/13, 17/14, 18/1, 18/2, 18/3, 18/5/A, 19/1/A, 19/2, 19/3, 19/5, 19/6A, 19/6C, 19/7, 19/8, 19/9, 19/10, 19/11, 19/12, 19/13 of Village Kopar</t>
  </si>
  <si>
    <t>Rahanal, Kevani, Purna &amp; Kopar</t>
  </si>
  <si>
    <t>Phase</t>
  </si>
  <si>
    <t>Building Name as per Plans</t>
  </si>
  <si>
    <t>Building Name as per Bulider</t>
  </si>
  <si>
    <t>Dosti Pride</t>
  </si>
  <si>
    <t>Wing A</t>
  </si>
  <si>
    <t>Wing A
Wing B
Wing C
Wing D</t>
  </si>
  <si>
    <t>Tower 2A
Tower 1I
Tower 1J
Tower 5B</t>
  </si>
  <si>
    <t>Dosti Charm</t>
  </si>
  <si>
    <t>Wing B
Wing C</t>
  </si>
  <si>
    <t>Tower T3-4
Tower T3-3</t>
  </si>
  <si>
    <t>Dosti Grace</t>
  </si>
  <si>
    <t>Tower T4-5
Tower T4-6</t>
  </si>
  <si>
    <t>Wing A
Wing B</t>
  </si>
  <si>
    <t>Tower T3A-6</t>
  </si>
  <si>
    <t>Tower 2A (Wing A) = St + 1st to 29th Floor</t>
  </si>
  <si>
    <t xml:space="preserve">Construction details:
Sector 3A ­ Cluster 2
Phase 1 ( Dosti Pride) </t>
  </si>
  <si>
    <t>Tower 1I (Wing B) = St + 1st to 29th Floor</t>
  </si>
  <si>
    <t xml:space="preserve">Construction details:
Sector 3A ­ Cluster 2
Phase 2 ( Dosti Charm) </t>
  </si>
  <si>
    <t>Tower  T3 Bldg 4 (Wing B) = St + 1st to 35th Floor</t>
  </si>
  <si>
    <t>Tower T3 Bldg 3 (Wing C) = St + 1st to 35th Floor</t>
  </si>
  <si>
    <t xml:space="preserve">Construction details:
Sector 3A ­ Cluster 2
Phase 4 ( Dosti Charm) </t>
  </si>
  <si>
    <t>Tower T3A Bldg 6 (Wing A) = St + 1st to 35th Floor</t>
  </si>
  <si>
    <t>Construction details:
Sector 3A ­ Cluster 2
Phase 3 ( Dosti Grace)</t>
  </si>
  <si>
    <t>Tower T4 Bldg 5 (Wing A)  = St + 1st to 35th Floor</t>
  </si>
  <si>
    <t xml:space="preserve">Construction details:
Sector 3A ­ Cluster 2
Phase 3 ( Dosti Grace) </t>
  </si>
  <si>
    <t>Tower T4 Bldg 6 (Wing B)  = St + 1st to 35th Floor</t>
  </si>
  <si>
    <t>Approved no of Floors
Sector 3A ­ Cluster 2</t>
  </si>
  <si>
    <t>Proposed no of Floors
Sector 3A ­ Cluster 2</t>
  </si>
  <si>
    <r>
      <rPr>
        <b/>
        <sz val="12"/>
        <rFont val="Times New Roman"/>
        <family val="1"/>
      </rPr>
      <t xml:space="preserve">Phase 1 ( Dosti Pride) </t>
    </r>
    <r>
      <rPr>
        <sz val="12"/>
        <rFont val="Times New Roman"/>
        <family val="1"/>
      </rPr>
      <t xml:space="preserve">
Tower 2A (Wing A) = St + 1st to 29th Floor
Tower 1I (Wing B) = St + 1st to 29th Floor
Tower 1J (Wing C) = St + 1st to 29th Floor
Tower 5B (Wing D) = St + 1st to 29th Floor</t>
    </r>
  </si>
  <si>
    <r>
      <rPr>
        <b/>
        <sz val="12"/>
        <rFont val="Times New Roman"/>
        <family val="1"/>
      </rPr>
      <t xml:space="preserve">Phase 2 ( Dosti Charm) </t>
    </r>
    <r>
      <rPr>
        <sz val="12"/>
        <rFont val="Times New Roman"/>
        <family val="1"/>
      </rPr>
      <t xml:space="preserve">
Tower T3 Bldg 4 (Wing B) = St + 1st to 35th Floor
Tower T3 Bldg 3 (Wing C) = St + 1st to 35th Floor</t>
    </r>
  </si>
  <si>
    <r>
      <rPr>
        <b/>
        <sz val="12"/>
        <rFont val="Times New Roman"/>
        <family val="1"/>
      </rPr>
      <t>Phase 3 ( Dosti Grace)</t>
    </r>
    <r>
      <rPr>
        <sz val="12"/>
        <rFont val="Times New Roman"/>
        <family val="1"/>
      </rPr>
      <t xml:space="preserve">
Tower T4 Bldg 5 (Wing A)  = St + 1st to 35th Floor
Tower T4 Bldg 6 (Wing B)  = St + 1st to 35th Floor</t>
    </r>
  </si>
  <si>
    <r>
      <rPr>
        <b/>
        <sz val="12"/>
        <rFont val="Times New Roman"/>
        <family val="1"/>
      </rPr>
      <t xml:space="preserve">Phase 4 ( Dosti Charm) </t>
    </r>
    <r>
      <rPr>
        <sz val="12"/>
        <rFont val="Times New Roman"/>
        <family val="1"/>
      </rPr>
      <t xml:space="preserve">
Tower T3A Bldg 6 (Wing A) = St + 1st to 35th Floor</t>
    </r>
  </si>
  <si>
    <r>
      <rPr>
        <b/>
        <sz val="12"/>
        <rFont val="Times New Roman"/>
        <family val="1"/>
      </rPr>
      <t xml:space="preserve">Phase 1 ( Dosti Pride) </t>
    </r>
    <r>
      <rPr>
        <sz val="12"/>
        <rFont val="Times New Roman"/>
        <family val="1"/>
      </rPr>
      <t xml:space="preserve">
Tower 2A (Wing A) = St + 1st to 29th Floor
Tower 1I (Wing B) = St + 1st to 29th Floor
Tower 1J (Wing C) = St + 1st to 29th Floor
Tower 5B (Wing D) = St + 1st to 29th Floor
</t>
    </r>
    <r>
      <rPr>
        <b/>
        <sz val="12"/>
        <rFont val="Times New Roman"/>
        <family val="1"/>
      </rPr>
      <t xml:space="preserve">Phase 2 ( Dosti Charm) </t>
    </r>
    <r>
      <rPr>
        <sz val="12"/>
        <rFont val="Times New Roman"/>
        <family val="1"/>
      </rPr>
      <t xml:space="preserve">
Tower T3 Bldg 4 (Wing B) = St + 1st to 30th Floor
Tower T3 Bldg 3 (Wing C) = St + 1st to 30th Floor
</t>
    </r>
    <r>
      <rPr>
        <b/>
        <sz val="12"/>
        <rFont val="Times New Roman"/>
        <family val="1"/>
      </rPr>
      <t>Phase 3 ( Dosti Grace)</t>
    </r>
    <r>
      <rPr>
        <sz val="12"/>
        <rFont val="Times New Roman"/>
        <family val="1"/>
      </rPr>
      <t xml:space="preserve">
Tower T4 Bldg 5 (Wing A)  = St + 1st to 30th Floor
Tower T4 Bldg 6 (Wing B)  = St + 1st to 30th Floor
</t>
    </r>
    <r>
      <rPr>
        <b/>
        <sz val="12"/>
        <rFont val="Times New Roman"/>
        <family val="1"/>
      </rPr>
      <t>Phase 4 ( Dosti Charm)</t>
    </r>
    <r>
      <rPr>
        <sz val="12"/>
        <rFont val="Times New Roman"/>
        <family val="1"/>
      </rPr>
      <t xml:space="preserve"> 
Tower T3A Bldg 6 (Wing A) = St + 1st to 30th Floor
</t>
    </r>
  </si>
  <si>
    <t>Latitude,Longitude</t>
  </si>
  <si>
    <t>19.256863,73.018694</t>
  </si>
  <si>
    <t>Commencement-CC No
Valid Up to: 
Sector 3A ­ Cluster 2</t>
  </si>
  <si>
    <r>
      <rPr>
        <b/>
        <sz val="12"/>
        <color indexed="8"/>
        <rFont val="Times New Roman"/>
        <family val="1"/>
      </rPr>
      <t xml:space="preserve">Phase 1 ( Dosti Pride) </t>
    </r>
    <r>
      <rPr>
        <sz val="12"/>
        <color indexed="8"/>
        <rFont val="Times New Roman"/>
        <family val="1"/>
      </rPr>
      <t xml:space="preserve">
Tower 1 ( I &amp; J ) = St + 1st to 26th upper floor
Tower 2A &amp; 5B = St + 1st to 26th upper floor</t>
    </r>
  </si>
  <si>
    <r>
      <rPr>
        <b/>
        <sz val="12"/>
        <color indexed="8"/>
        <rFont val="Times New Roman"/>
        <family val="1"/>
      </rPr>
      <t xml:space="preserve">Phase 2 ( Dosti Charm) </t>
    </r>
    <r>
      <rPr>
        <sz val="12"/>
        <color indexed="8"/>
        <rFont val="Times New Roman"/>
        <family val="1"/>
      </rPr>
      <t xml:space="preserve">
Tower T3 Bldg 4 (Wing B) = St + 1st to 30th Floor
Tower T3 Bldg 3 (Wing C) = St + 1st to 30th Floor
</t>
    </r>
    <r>
      <rPr>
        <b/>
        <sz val="12"/>
        <color indexed="8"/>
        <rFont val="Times New Roman"/>
        <family val="1"/>
      </rPr>
      <t>Phase 3 ( Dosti Grace)</t>
    </r>
    <r>
      <rPr>
        <sz val="12"/>
        <color indexed="8"/>
        <rFont val="Times New Roman"/>
        <family val="1"/>
      </rPr>
      <t xml:space="preserve">
Tower T4 Bldg 5 (Wing A)  = St + 1st to 30th Floor
Tower T4 Bldg 6 (Wing B)  = St + 1st to 30th Floor
</t>
    </r>
    <r>
      <rPr>
        <b/>
        <sz val="12"/>
        <color indexed="8"/>
        <rFont val="Times New Roman"/>
        <family val="1"/>
      </rPr>
      <t>Phase 4 ( Dosti Charm)</t>
    </r>
    <r>
      <rPr>
        <sz val="12"/>
        <color indexed="8"/>
        <rFont val="Times New Roman"/>
        <family val="1"/>
      </rPr>
      <t xml:space="preserve"> 
Tower T3A Bldg 6 (Wing A) = St + 1st to 30th Floor</t>
    </r>
  </si>
  <si>
    <t>Tower 5B (Wing D) = St + 1st to 29th Floor</t>
  </si>
  <si>
    <t xml:space="preserve">Tower 1J (Wing C) = St + 1st to 29th Floor </t>
  </si>
  <si>
    <t>Mr. Shubham 9619081618</t>
  </si>
  <si>
    <t>Construction update taken from youtube video</t>
  </si>
  <si>
    <t>https://www.youtube.com/watch?v=vKEoL59-Nj0</t>
  </si>
  <si>
    <t>Phase 1 ( Dosti Pride) = Construction work is in proces (Internal visit not allowed).
Phase 2 &amp; 4 ( Dosti Charm) = Construction work is in proces (Internal visit not allowed).
Phase 3 ( Dosti Grace) = Construction work is in proces (Internal visit not allowed).
Construction details are taken from Mr. Shubham : 9619081618.</t>
  </si>
  <si>
    <t xml:space="preserve"> &amp; Mr. Pravin : 7208854815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</si>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</sst>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.5"/>
      <color indexed="8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wrapText="1"/>
      <protection locked="0"/>
    </xf>
    <xf numFmtId="14" fontId="16" fillId="0" borderId="0" xfId="1" applyNumberFormat="1" applyFont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27" fillId="0" borderId="1" xfId="0" applyNumberFormat="1" applyFont="1" applyBorder="1" applyAlignment="1" applyProtection="1">
      <alignment horizontal="left" vertical="center" wrapText="1"/>
      <protection locked="0"/>
    </xf>
    <xf numFmtId="1" fontId="27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/>
    <xf numFmtId="0" fontId="26" fillId="0" borderId="0" xfId="10"/>
    <xf numFmtId="0" fontId="28" fillId="0" borderId="0" xfId="1" applyFont="1"/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4" borderId="17" xfId="1" applyFont="1" applyFill="1" applyBorder="1" applyAlignment="1" applyProtection="1">
      <alignment horizontal="left" vertical="top" wrapText="1"/>
      <protection locked="0"/>
    </xf>
    <xf numFmtId="0" fontId="12" fillId="4" borderId="24" xfId="1" applyFont="1" applyFill="1" applyBorder="1" applyAlignment="1" applyProtection="1">
      <alignment horizontal="left" vertical="top" wrapText="1"/>
      <protection locked="0"/>
    </xf>
    <xf numFmtId="0" fontId="12" fillId="4" borderId="18" xfId="1" applyFont="1" applyFill="1" applyBorder="1" applyAlignment="1" applyProtection="1">
      <alignment horizontal="left" vertical="top" wrapText="1"/>
      <protection locked="0"/>
    </xf>
    <xf numFmtId="0" fontId="13" fillId="5" borderId="22" xfId="1" applyFont="1" applyFill="1" applyBorder="1" applyAlignment="1" applyProtection="1">
      <alignment horizontal="left" vertical="top" wrapText="1"/>
      <protection locked="0"/>
    </xf>
    <xf numFmtId="0" fontId="13" fillId="5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4" borderId="22" xfId="1" applyFont="1" applyFill="1" applyBorder="1" applyAlignment="1" applyProtection="1">
      <alignment horizontal="left" vertical="top" wrapText="1"/>
      <protection locked="0"/>
    </xf>
    <xf numFmtId="0" fontId="13" fillId="4" borderId="15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5" borderId="17" xfId="1" applyFont="1" applyFill="1" applyBorder="1" applyAlignment="1" applyProtection="1">
      <alignment horizontal="left" vertical="top" wrapText="1"/>
      <protection locked="0"/>
    </xf>
    <xf numFmtId="0" fontId="12" fillId="5" borderId="24" xfId="1" applyFont="1" applyFill="1" applyBorder="1" applyAlignment="1" applyProtection="1">
      <alignment horizontal="left" vertical="top" wrapText="1"/>
      <protection locked="0"/>
    </xf>
    <xf numFmtId="0" fontId="12" fillId="5" borderId="18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21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4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6" borderId="1" xfId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21" xfId="0" applyNumberFormat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13" fillId="6" borderId="22" xfId="1" applyFont="1" applyFill="1" applyBorder="1" applyAlignment="1" applyProtection="1">
      <alignment horizontal="left" vertical="top" wrapText="1"/>
      <protection locked="0"/>
    </xf>
    <xf numFmtId="0" fontId="13" fillId="6" borderId="15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739</xdr:row>
      <xdr:rowOff>123825</xdr:rowOff>
    </xdr:from>
    <xdr:to>
      <xdr:col>7</xdr:col>
      <xdr:colOff>586950</xdr:colOff>
      <xdr:row>756</xdr:row>
      <xdr:rowOff>82329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146180175"/>
          <a:ext cx="5940000" cy="33589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335280</xdr:colOff>
      <xdr:row>756</xdr:row>
      <xdr:rowOff>167121</xdr:rowOff>
    </xdr:from>
    <xdr:to>
      <xdr:col>7</xdr:col>
      <xdr:colOff>579330</xdr:colOff>
      <xdr:row>780</xdr:row>
      <xdr:rowOff>76200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5280" y="176608221"/>
          <a:ext cx="6088590" cy="44658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309282</xdr:colOff>
      <xdr:row>759</xdr:row>
      <xdr:rowOff>58328</xdr:rowOff>
    </xdr:from>
    <xdr:to>
      <xdr:col>4</xdr:col>
      <xdr:colOff>690282</xdr:colOff>
      <xdr:row>763</xdr:row>
      <xdr:rowOff>90373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1115119">
          <a:off x="2719107" y="150115178"/>
          <a:ext cx="1323975" cy="83214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533400</xdr:colOff>
      <xdr:row>757</xdr:row>
      <xdr:rowOff>95250</xdr:rowOff>
    </xdr:from>
    <xdr:ext cx="1010148" cy="43678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86200" y="149752050"/>
          <a:ext cx="1010148" cy="4367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Cluster II</a:t>
          </a:r>
        </a:p>
        <a:p>
          <a:r>
            <a:rPr lang="en-IN" sz="1100" b="1"/>
            <a:t>Phase 1,2</a:t>
          </a:r>
          <a:r>
            <a:rPr lang="en-IN" sz="1100" b="1" baseline="0"/>
            <a:t> &amp; 3 </a:t>
          </a:r>
          <a:endParaRPr lang="en-IN" sz="1100" b="1"/>
        </a:p>
      </xdr:txBody>
    </xdr:sp>
    <xdr:clientData/>
  </xdr:oneCellAnchor>
  <xdr:twoCellAnchor editAs="oneCell">
    <xdr:from>
      <xdr:col>0</xdr:col>
      <xdr:colOff>38100</xdr:colOff>
      <xdr:row>701</xdr:row>
      <xdr:rowOff>0</xdr:rowOff>
    </xdr:from>
    <xdr:to>
      <xdr:col>7</xdr:col>
      <xdr:colOff>779590</xdr:colOff>
      <xdr:row>719</xdr:row>
      <xdr:rowOff>793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37255250"/>
          <a:ext cx="643744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343229</xdr:colOff>
      <xdr:row>704</xdr:row>
      <xdr:rowOff>117964</xdr:rowOff>
    </xdr:from>
    <xdr:to>
      <xdr:col>7</xdr:col>
      <xdr:colOff>224377</xdr:colOff>
      <xdr:row>707</xdr:row>
      <xdr:rowOff>158467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684643">
          <a:off x="1905329" y="137973289"/>
          <a:ext cx="4014998" cy="64057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3</xdr:col>
      <xdr:colOff>306674</xdr:colOff>
      <xdr:row>712</xdr:row>
      <xdr:rowOff>138195</xdr:rowOff>
    </xdr:from>
    <xdr:to>
      <xdr:col>5</xdr:col>
      <xdr:colOff>640792</xdr:colOff>
      <xdr:row>715</xdr:row>
      <xdr:rowOff>78963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361348">
          <a:off x="2716499" y="141717795"/>
          <a:ext cx="2058143" cy="54084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1</xdr:col>
      <xdr:colOff>52450</xdr:colOff>
      <xdr:row>707</xdr:row>
      <xdr:rowOff>50146</xdr:rowOff>
    </xdr:from>
    <xdr:to>
      <xdr:col>1</xdr:col>
      <xdr:colOff>766002</xdr:colOff>
      <xdr:row>717</xdr:row>
      <xdr:rowOff>190129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6418455">
          <a:off x="101109" y="139218887"/>
          <a:ext cx="2140233" cy="71355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5</xdr:col>
      <xdr:colOff>738170</xdr:colOff>
      <xdr:row>702</xdr:row>
      <xdr:rowOff>183708</xdr:rowOff>
    </xdr:from>
    <xdr:to>
      <xdr:col>6</xdr:col>
      <xdr:colOff>559080</xdr:colOff>
      <xdr:row>704</xdr:row>
      <xdr:rowOff>48218</xdr:rowOff>
    </xdr:to>
    <xdr:sp macro="" textlink="">
      <xdr:nvSpPr>
        <xdr:cNvPr id="38" name="Text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72020" y="137638983"/>
          <a:ext cx="6019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Phase</a:t>
          </a:r>
          <a:r>
            <a:rPr lang="en-IN" sz="1100" b="1" baseline="0"/>
            <a:t> I</a:t>
          </a:r>
          <a:endParaRPr lang="en-IN" sz="1100" b="1"/>
        </a:p>
      </xdr:txBody>
    </xdr:sp>
    <xdr:clientData/>
  </xdr:twoCellAnchor>
  <xdr:twoCellAnchor>
    <xdr:from>
      <xdr:col>2</xdr:col>
      <xdr:colOff>386217</xdr:colOff>
      <xdr:row>716</xdr:row>
      <xdr:rowOff>138212</xdr:rowOff>
    </xdr:from>
    <xdr:to>
      <xdr:col>3</xdr:col>
      <xdr:colOff>178091</xdr:colOff>
      <xdr:row>718</xdr:row>
      <xdr:rowOff>2722</xdr:rowOff>
    </xdr:to>
    <xdr:sp macro="" textlink="">
      <xdr:nvSpPr>
        <xdr:cNvPr id="40" name="TextBox 1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rot="20790358">
          <a:off x="1948317" y="142517912"/>
          <a:ext cx="63959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Phase</a:t>
          </a:r>
          <a:r>
            <a:rPr lang="en-IN" sz="1100" b="1" baseline="0"/>
            <a:t> II</a:t>
          </a:r>
          <a:endParaRPr lang="en-IN" sz="1100" b="1"/>
        </a:p>
      </xdr:txBody>
    </xdr:sp>
    <xdr:clientData/>
  </xdr:twoCellAnchor>
  <xdr:twoCellAnchor>
    <xdr:from>
      <xdr:col>0</xdr:col>
      <xdr:colOff>525783</xdr:colOff>
      <xdr:row>705</xdr:row>
      <xdr:rowOff>105948</xdr:rowOff>
    </xdr:from>
    <xdr:to>
      <xdr:col>1</xdr:col>
      <xdr:colOff>441020</xdr:colOff>
      <xdr:row>706</xdr:row>
      <xdr:rowOff>170483</xdr:rowOff>
    </xdr:to>
    <xdr:sp macro="" textlink="">
      <xdr:nvSpPr>
        <xdr:cNvPr id="41" name="TextBox 1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5783" y="138161298"/>
          <a:ext cx="67723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Phase</a:t>
          </a:r>
          <a:r>
            <a:rPr lang="en-IN" sz="1100" b="1" baseline="0"/>
            <a:t> III</a:t>
          </a:r>
          <a:endParaRPr lang="en-IN" sz="1100" b="1"/>
        </a:p>
      </xdr:txBody>
    </xdr:sp>
    <xdr:clientData/>
  </xdr:twoCellAnchor>
  <xdr:twoCellAnchor>
    <xdr:from>
      <xdr:col>2</xdr:col>
      <xdr:colOff>795783</xdr:colOff>
      <xdr:row>701</xdr:row>
      <xdr:rowOff>160958</xdr:rowOff>
    </xdr:from>
    <xdr:to>
      <xdr:col>3</xdr:col>
      <xdr:colOff>289690</xdr:colOff>
      <xdr:row>703</xdr:row>
      <xdr:rowOff>25468</xdr:rowOff>
    </xdr:to>
    <xdr:sp macro="" textlink="">
      <xdr:nvSpPr>
        <xdr:cNvPr id="42" name="TextBox 1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7883" y="137416208"/>
          <a:ext cx="341632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2A</a:t>
          </a:r>
        </a:p>
      </xdr:txBody>
    </xdr:sp>
    <xdr:clientData/>
  </xdr:twoCellAnchor>
  <xdr:twoCellAnchor>
    <xdr:from>
      <xdr:col>3</xdr:col>
      <xdr:colOff>826802</xdr:colOff>
      <xdr:row>702</xdr:row>
      <xdr:rowOff>183708</xdr:rowOff>
    </xdr:from>
    <xdr:to>
      <xdr:col>4</xdr:col>
      <xdr:colOff>177497</xdr:colOff>
      <xdr:row>704</xdr:row>
      <xdr:rowOff>45268</xdr:rowOff>
    </xdr:to>
    <xdr:sp macro="" textlink="">
      <xdr:nvSpPr>
        <xdr:cNvPr id="43" name="TextBox 1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236627" y="137638983"/>
          <a:ext cx="293670" cy="26161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1I</a:t>
          </a:r>
        </a:p>
      </xdr:txBody>
    </xdr:sp>
    <xdr:clientData/>
  </xdr:twoCellAnchor>
  <xdr:twoCellAnchor>
    <xdr:from>
      <xdr:col>5</xdr:col>
      <xdr:colOff>141161</xdr:colOff>
      <xdr:row>703</xdr:row>
      <xdr:rowOff>115963</xdr:rowOff>
    </xdr:from>
    <xdr:to>
      <xdr:col>5</xdr:col>
      <xdr:colOff>442269</xdr:colOff>
      <xdr:row>704</xdr:row>
      <xdr:rowOff>180498</xdr:rowOff>
    </xdr:to>
    <xdr:sp macro="" textlink="">
      <xdr:nvSpPr>
        <xdr:cNvPr id="44" name="TextBox 1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75011" y="137771263"/>
          <a:ext cx="301108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1J</a:t>
          </a:r>
        </a:p>
      </xdr:txBody>
    </xdr:sp>
    <xdr:clientData/>
  </xdr:twoCellAnchor>
  <xdr:twoCellAnchor>
    <xdr:from>
      <xdr:col>6</xdr:col>
      <xdr:colOff>392624</xdr:colOff>
      <xdr:row>704</xdr:row>
      <xdr:rowOff>134488</xdr:rowOff>
    </xdr:from>
    <xdr:to>
      <xdr:col>6</xdr:col>
      <xdr:colOff>725536</xdr:colOff>
      <xdr:row>705</xdr:row>
      <xdr:rowOff>199023</xdr:rowOff>
    </xdr:to>
    <xdr:sp macro="" textlink="">
      <xdr:nvSpPr>
        <xdr:cNvPr id="45" name="Text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307524" y="137989813"/>
          <a:ext cx="332912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/>
            <a:t>5B</a:t>
          </a:r>
        </a:p>
      </xdr:txBody>
    </xdr:sp>
    <xdr:clientData/>
  </xdr:twoCellAnchor>
  <xdr:twoCellAnchor>
    <xdr:from>
      <xdr:col>4</xdr:col>
      <xdr:colOff>371960</xdr:colOff>
      <xdr:row>711</xdr:row>
      <xdr:rowOff>23953</xdr:rowOff>
    </xdr:from>
    <xdr:to>
      <xdr:col>5</xdr:col>
      <xdr:colOff>363879</xdr:colOff>
      <xdr:row>712</xdr:row>
      <xdr:rowOff>88488</xdr:rowOff>
    </xdr:to>
    <xdr:sp macro="" textlink="">
      <xdr:nvSpPr>
        <xdr:cNvPr id="50" name="TextBox 1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724760" y="139279453"/>
          <a:ext cx="7729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/>
            <a:t>T3A Bldg6</a:t>
          </a:r>
          <a:endParaRPr lang="en-IN" sz="1100" b="1"/>
        </a:p>
      </xdr:txBody>
    </xdr:sp>
    <xdr:clientData/>
  </xdr:twoCellAnchor>
  <xdr:twoCellAnchor>
    <xdr:from>
      <xdr:col>3</xdr:col>
      <xdr:colOff>437909</xdr:colOff>
      <xdr:row>710</xdr:row>
      <xdr:rowOff>74149</xdr:rowOff>
    </xdr:from>
    <xdr:to>
      <xdr:col>4</xdr:col>
      <xdr:colOff>182943</xdr:colOff>
      <xdr:row>711</xdr:row>
      <xdr:rowOff>138684</xdr:rowOff>
    </xdr:to>
    <xdr:sp macro="" textlink="">
      <xdr:nvSpPr>
        <xdr:cNvPr id="51" name="TextBox 1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847734" y="139129624"/>
          <a:ext cx="6880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/>
            <a:t>T3 Bldg4</a:t>
          </a:r>
          <a:endParaRPr lang="en-IN" sz="1100" b="1"/>
        </a:p>
      </xdr:txBody>
    </xdr:sp>
    <xdr:clientData/>
  </xdr:twoCellAnchor>
  <xdr:twoCellAnchor>
    <xdr:from>
      <xdr:col>0</xdr:col>
      <xdr:colOff>282018</xdr:colOff>
      <xdr:row>711</xdr:row>
      <xdr:rowOff>140304</xdr:rowOff>
    </xdr:from>
    <xdr:to>
      <xdr:col>0</xdr:col>
      <xdr:colOff>546578</xdr:colOff>
      <xdr:row>715</xdr:row>
      <xdr:rowOff>28213</xdr:rowOff>
    </xdr:to>
    <xdr:sp macro="" textlink="">
      <xdr:nvSpPr>
        <xdr:cNvPr id="52" name="TextBox 1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rot="17106683">
          <a:off x="70293" y="139607529"/>
          <a:ext cx="6880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/>
            <a:t>T4 Bldg6</a:t>
          </a:r>
          <a:endParaRPr lang="en-IN" sz="1100" b="1"/>
        </a:p>
      </xdr:txBody>
    </xdr:sp>
    <xdr:clientData/>
  </xdr:twoCellAnchor>
  <xdr:twoCellAnchor>
    <xdr:from>
      <xdr:col>0</xdr:col>
      <xdr:colOff>573068</xdr:colOff>
      <xdr:row>707</xdr:row>
      <xdr:rowOff>154734</xdr:rowOff>
    </xdr:from>
    <xdr:to>
      <xdr:col>1</xdr:col>
      <xdr:colOff>75628</xdr:colOff>
      <xdr:row>711</xdr:row>
      <xdr:rowOff>48446</xdr:rowOff>
    </xdr:to>
    <xdr:sp macro="" textlink="">
      <xdr:nvSpPr>
        <xdr:cNvPr id="53" name="TextBox 2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rot="17436521">
          <a:off x="358442" y="138824760"/>
          <a:ext cx="693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/>
            <a:t>T4 Bldg5</a:t>
          </a:r>
          <a:endParaRPr lang="en-IN" sz="1100" b="1"/>
        </a:p>
      </xdr:txBody>
    </xdr:sp>
    <xdr:clientData/>
  </xdr:twoCellAnchor>
  <xdr:twoCellAnchor>
    <xdr:from>
      <xdr:col>1</xdr:col>
      <xdr:colOff>67992</xdr:colOff>
      <xdr:row>712</xdr:row>
      <xdr:rowOff>15981</xdr:rowOff>
    </xdr:from>
    <xdr:to>
      <xdr:col>1</xdr:col>
      <xdr:colOff>750459</xdr:colOff>
      <xdr:row>713</xdr:row>
      <xdr:rowOff>24271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stCxn id="37" idx="0"/>
          <a:endCxn id="37" idx="2"/>
        </xdr:cNvCxnSpPr>
      </xdr:nvCxnSpPr>
      <xdr:spPr>
        <a:xfrm flipH="1" flipV="1">
          <a:off x="829992" y="139471506"/>
          <a:ext cx="682467" cy="20831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272727</xdr:colOff>
      <xdr:row>712</xdr:row>
      <xdr:rowOff>101845</xdr:rowOff>
    </xdr:from>
    <xdr:to>
      <xdr:col>4</xdr:col>
      <xdr:colOff>298637</xdr:colOff>
      <xdr:row>715</xdr:row>
      <xdr:rowOff>41992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V="1">
          <a:off x="3625527" y="139557370"/>
          <a:ext cx="25910" cy="54022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297287</xdr:colOff>
      <xdr:row>710</xdr:row>
      <xdr:rowOff>23179</xdr:rowOff>
    </xdr:from>
    <xdr:to>
      <xdr:col>5</xdr:col>
      <xdr:colOff>518434</xdr:colOff>
      <xdr:row>711</xdr:row>
      <xdr:rowOff>192486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650087" y="141202729"/>
          <a:ext cx="100219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Phase IV</a:t>
          </a:r>
        </a:p>
      </xdr:txBody>
    </xdr:sp>
    <xdr:clientData/>
  </xdr:twoCellAnchor>
  <xdr:twoCellAnchor>
    <xdr:from>
      <xdr:col>1</xdr:col>
      <xdr:colOff>793269</xdr:colOff>
      <xdr:row>712</xdr:row>
      <xdr:rowOff>12386</xdr:rowOff>
    </xdr:from>
    <xdr:to>
      <xdr:col>3</xdr:col>
      <xdr:colOff>197004</xdr:colOff>
      <xdr:row>715</xdr:row>
      <xdr:rowOff>52267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 rot="20776641">
          <a:off x="1555269" y="139467911"/>
          <a:ext cx="1051560" cy="63995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137440</xdr:colOff>
      <xdr:row>715</xdr:row>
      <xdr:rowOff>73071</xdr:rowOff>
    </xdr:from>
    <xdr:to>
      <xdr:col>3</xdr:col>
      <xdr:colOff>293516</xdr:colOff>
      <xdr:row>717</xdr:row>
      <xdr:rowOff>42353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 rot="20917004">
          <a:off x="1699540" y="140128671"/>
          <a:ext cx="100380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T3 Bldg3</a:t>
          </a:r>
          <a:endParaRPr lang="en-IN" b="1"/>
        </a:p>
      </xdr:txBody>
    </xdr:sp>
    <xdr:clientData/>
  </xdr:twoCellAnchor>
  <xdr:twoCellAnchor editAs="oneCell">
    <xdr:from>
      <xdr:col>3</xdr:col>
      <xdr:colOff>552450</xdr:colOff>
      <xdr:row>709</xdr:row>
      <xdr:rowOff>66675</xdr:rowOff>
    </xdr:from>
    <xdr:to>
      <xdr:col>4</xdr:col>
      <xdr:colOff>231321</xdr:colOff>
      <xdr:row>710</xdr:row>
      <xdr:rowOff>165381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5" y="141046200"/>
          <a:ext cx="621846" cy="298730"/>
        </a:xfrm>
        <a:prstGeom prst="rect">
          <a:avLst/>
        </a:prstGeom>
      </xdr:spPr>
    </xdr:pic>
    <xdr:clientData/>
  </xdr:twoCellAnchor>
  <xdr:twoCellAnchor>
    <xdr:from>
      <xdr:col>10</xdr:col>
      <xdr:colOff>428626</xdr:colOff>
      <xdr:row>666</xdr:row>
      <xdr:rowOff>93345</xdr:rowOff>
    </xdr:from>
    <xdr:to>
      <xdr:col>19</xdr:col>
      <xdr:colOff>123826</xdr:colOff>
      <xdr:row>688</xdr:row>
      <xdr:rowOff>74857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8BDC736B-0E1A-45FD-B1D7-B746DD10C3F8}"/>
            </a:ext>
          </a:extLst>
        </xdr:cNvPr>
        <xdr:cNvGrpSpPr/>
      </xdr:nvGrpSpPr>
      <xdr:grpSpPr>
        <a:xfrm>
          <a:off x="9107806" y="158703645"/>
          <a:ext cx="6225540" cy="4340152"/>
          <a:chOff x="-217378" y="746466"/>
          <a:chExt cx="6862449" cy="4864027"/>
        </a:xfrm>
      </xdr:grpSpPr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4B219E81-4726-4ED4-A059-9516366C0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9550" y="345049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F829A52-CEA6-4980-855F-56BB286A9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17378" y="746466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3115E7C3-471E-4FF5-99A6-90C8C2B145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763" y="345049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12786209-DE21-4CFB-8F1B-AF49E397C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3976" y="345049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E13FE1B-1EED-4A20-A3D8-F6CFAC16FD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7737" y="746466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344805</xdr:colOff>
      <xdr:row>649</xdr:row>
      <xdr:rowOff>121920</xdr:rowOff>
    </xdr:from>
    <xdr:to>
      <xdr:col>18</xdr:col>
      <xdr:colOff>354689</xdr:colOff>
      <xdr:row>665</xdr:row>
      <xdr:rowOff>122819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651" t="19104" r="38341" b="37264"/>
        <a:stretch/>
      </xdr:blipFill>
      <xdr:spPr>
        <a:xfrm>
          <a:off x="7042785" y="155371800"/>
          <a:ext cx="7896584" cy="3163199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660</xdr:row>
      <xdr:rowOff>22860</xdr:rowOff>
    </xdr:from>
    <xdr:to>
      <xdr:col>7</xdr:col>
      <xdr:colOff>474165</xdr:colOff>
      <xdr:row>694</xdr:row>
      <xdr:rowOff>183158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984A72E-87A4-B8DE-C870-928EC27789AC}"/>
            </a:ext>
          </a:extLst>
        </xdr:cNvPr>
        <xdr:cNvGrpSpPr/>
      </xdr:nvGrpSpPr>
      <xdr:grpSpPr>
        <a:xfrm>
          <a:off x="388620" y="157452060"/>
          <a:ext cx="5930085" cy="6888758"/>
          <a:chOff x="169819" y="385920"/>
          <a:chExt cx="5930085" cy="6888758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5DDEC931-ED5B-0718-8607-5A8037DB635D}"/>
              </a:ext>
            </a:extLst>
          </xdr:cNvPr>
          <xdr:cNvGrpSpPr/>
        </xdr:nvGrpSpPr>
        <xdr:grpSpPr>
          <a:xfrm>
            <a:off x="169819" y="2750299"/>
            <a:ext cx="5930085" cy="2161715"/>
            <a:chOff x="169819" y="2750299"/>
            <a:chExt cx="5930085" cy="2161715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C548F0EF-FBDC-6D18-EE0D-2CD9D31C40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19904" y="2750299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8BED436-6A4D-ADA7-72A9-C73325B7F3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9819" y="2750299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A35A6603-10D8-39A1-ABE7-184BBBF7C684}"/>
              </a:ext>
            </a:extLst>
          </xdr:cNvPr>
          <xdr:cNvGrpSpPr/>
        </xdr:nvGrpSpPr>
        <xdr:grpSpPr>
          <a:xfrm>
            <a:off x="537310" y="5114678"/>
            <a:ext cx="5195103" cy="2160000"/>
            <a:chOff x="622352" y="5114678"/>
            <a:chExt cx="5195103" cy="216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10311DC6-0C35-717A-C90B-5CCFA11324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0748" y="5114678"/>
              <a:ext cx="161831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D3651C11-0572-D4DD-4DDE-C50C12BE7E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2352" y="5114678"/>
              <a:ext cx="161831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7C2F8930-C357-C8D0-F338-FE2ECC98A2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99144" y="5114678"/>
              <a:ext cx="161831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5CADCD16-5080-C3CC-E5D5-1002FA79DCED}"/>
              </a:ext>
            </a:extLst>
          </xdr:cNvPr>
          <xdr:cNvGrpSpPr/>
        </xdr:nvGrpSpPr>
        <xdr:grpSpPr>
          <a:xfrm>
            <a:off x="169819" y="385920"/>
            <a:ext cx="5930085" cy="2187841"/>
            <a:chOff x="169819" y="385920"/>
            <a:chExt cx="5930085" cy="2187841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BA6E74FB-1F3D-D8A9-DC7D-948F383A91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19904" y="385920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DE212299-5790-3FFE-BD44-787FABD2F5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9819" y="412046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vKEoL59-Nj0" TargetMode="External"/><Relationship Id="rId1" Type="http://schemas.openxmlformats.org/officeDocument/2006/relationships/hyperlink" Target="https://goo.gl/maps/LQfnKKJTecchBVPZ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80"/>
  <sheetViews>
    <sheetView tabSelected="1" view="pageBreakPreview" topLeftCell="A112" zoomScaleNormal="100" zoomScaleSheetLayoutView="100" zoomScalePageLayoutView="70" workbookViewId="0">
      <selection activeCell="L66" sqref="L6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1.33203125" style="21" bestFit="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14" ht="46.5" customHeight="1" x14ac:dyDescent="0.3">
      <c r="A1" s="190" t="s">
        <v>163</v>
      </c>
      <c r="B1" s="190"/>
      <c r="C1" s="190"/>
      <c r="D1" s="190"/>
      <c r="E1" s="190"/>
      <c r="F1" s="190"/>
      <c r="G1" s="190"/>
      <c r="H1" s="190"/>
    </row>
    <row r="2" spans="1:14" ht="16.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</row>
    <row r="3" spans="1:14" x14ac:dyDescent="0.3">
      <c r="A3" s="163" t="s">
        <v>1</v>
      </c>
      <c r="B3" s="163"/>
      <c r="C3" s="163"/>
      <c r="D3" s="163"/>
      <c r="E3" s="191" t="str">
        <f ca="1">TEXT(TODAY(),"DD/MM/YYYY")</f>
        <v>14/07/2025</v>
      </c>
      <c r="F3" s="163"/>
      <c r="G3" s="163"/>
      <c r="H3" s="163"/>
    </row>
    <row r="4" spans="1:14" ht="15" customHeight="1" x14ac:dyDescent="0.3">
      <c r="A4" s="163" t="s">
        <v>2</v>
      </c>
      <c r="B4" s="163"/>
      <c r="C4" s="163"/>
      <c r="D4" s="163"/>
      <c r="E4" s="163" t="s">
        <v>165</v>
      </c>
      <c r="F4" s="163"/>
      <c r="G4" s="163"/>
      <c r="H4" s="163"/>
    </row>
    <row r="5" spans="1:14" x14ac:dyDescent="0.3">
      <c r="A5" s="163" t="s">
        <v>3</v>
      </c>
      <c r="B5" s="163"/>
      <c r="C5" s="163"/>
      <c r="D5" s="163"/>
      <c r="E5" s="191">
        <v>45849</v>
      </c>
      <c r="F5" s="163"/>
      <c r="G5" s="163"/>
      <c r="H5" s="163"/>
    </row>
    <row r="6" spans="1:14" ht="16.5" customHeight="1" x14ac:dyDescent="0.3">
      <c r="A6" s="163" t="s">
        <v>4</v>
      </c>
      <c r="B6" s="163"/>
      <c r="C6" s="163"/>
      <c r="D6" s="163"/>
      <c r="E6" s="163" t="s">
        <v>166</v>
      </c>
      <c r="F6" s="163"/>
      <c r="G6" s="163"/>
      <c r="H6" s="163"/>
    </row>
    <row r="7" spans="1:14" ht="15" customHeight="1" x14ac:dyDescent="0.3">
      <c r="A7" s="163" t="s">
        <v>5</v>
      </c>
      <c r="B7" s="163"/>
      <c r="C7" s="163"/>
      <c r="D7" s="163"/>
      <c r="E7" s="163" t="str">
        <f>E6</f>
        <v>Adrika Developers Private Limited</v>
      </c>
      <c r="F7" s="163"/>
      <c r="G7" s="163"/>
      <c r="H7" s="163"/>
    </row>
    <row r="8" spans="1:14" ht="32.25" customHeight="1" x14ac:dyDescent="0.3">
      <c r="A8" s="163" t="s">
        <v>6</v>
      </c>
      <c r="B8" s="163"/>
      <c r="C8" s="163"/>
      <c r="D8" s="163"/>
      <c r="E8" s="87" t="s">
        <v>233</v>
      </c>
      <c r="F8" s="87"/>
      <c r="G8" s="87"/>
      <c r="H8" s="87"/>
      <c r="I8" s="63"/>
      <c r="J8" s="63"/>
      <c r="K8" s="63"/>
      <c r="L8" s="63"/>
    </row>
    <row r="9" spans="1:14" x14ac:dyDescent="0.3">
      <c r="A9" s="163" t="s">
        <v>255</v>
      </c>
      <c r="B9" s="163"/>
      <c r="C9" s="163"/>
      <c r="D9" s="163"/>
      <c r="E9" s="87" t="s">
        <v>254</v>
      </c>
      <c r="F9" s="87"/>
      <c r="G9" s="87"/>
      <c r="H9" s="87"/>
      <c r="I9" s="63"/>
      <c r="J9" s="63"/>
      <c r="K9" s="63"/>
      <c r="L9" s="63"/>
    </row>
    <row r="10" spans="1:14" x14ac:dyDescent="0.3">
      <c r="A10" s="163" t="s">
        <v>159</v>
      </c>
      <c r="B10" s="163"/>
      <c r="C10" s="163"/>
      <c r="D10" s="163"/>
      <c r="E10" s="163" t="s">
        <v>167</v>
      </c>
      <c r="F10" s="163"/>
      <c r="G10" s="163"/>
      <c r="H10" s="163"/>
    </row>
    <row r="11" spans="1:14" x14ac:dyDescent="0.3">
      <c r="A11" s="163" t="s">
        <v>160</v>
      </c>
      <c r="B11" s="163"/>
      <c r="C11" s="163"/>
      <c r="D11" s="163"/>
      <c r="E11" s="163" t="s">
        <v>298</v>
      </c>
      <c r="F11" s="163"/>
      <c r="G11" s="163"/>
      <c r="H11" s="163"/>
      <c r="I11" s="163" t="s">
        <v>200</v>
      </c>
      <c r="J11" s="163"/>
      <c r="K11" s="163"/>
      <c r="L11" s="163"/>
    </row>
    <row r="12" spans="1:14" ht="46.8" x14ac:dyDescent="0.3">
      <c r="A12" s="223" t="s">
        <v>7</v>
      </c>
      <c r="B12" s="224"/>
      <c r="C12" s="224"/>
      <c r="D12" s="225"/>
      <c r="E12" s="66" t="s">
        <v>258</v>
      </c>
      <c r="F12" s="231" t="s">
        <v>260</v>
      </c>
      <c r="G12" s="232"/>
      <c r="H12" s="66" t="s">
        <v>259</v>
      </c>
      <c r="K12" s="122"/>
      <c r="L12" s="222"/>
      <c r="M12" s="222"/>
      <c r="N12" s="222"/>
    </row>
    <row r="13" spans="1:14" ht="64.5" customHeight="1" x14ac:dyDescent="0.3">
      <c r="A13" s="226"/>
      <c r="B13" s="222"/>
      <c r="C13" s="222"/>
      <c r="D13" s="227"/>
      <c r="E13" s="64" t="s">
        <v>206</v>
      </c>
      <c r="F13" s="65" t="s">
        <v>261</v>
      </c>
      <c r="G13" s="64" t="s">
        <v>263</v>
      </c>
      <c r="H13" s="64" t="s">
        <v>264</v>
      </c>
      <c r="K13" s="122"/>
      <c r="L13" s="222"/>
      <c r="M13" s="222"/>
      <c r="N13" s="222"/>
    </row>
    <row r="14" spans="1:14" ht="33.75" customHeight="1" x14ac:dyDescent="0.3">
      <c r="A14" s="226"/>
      <c r="B14" s="222"/>
      <c r="C14" s="222"/>
      <c r="D14" s="227"/>
      <c r="E14" s="64" t="s">
        <v>207</v>
      </c>
      <c r="F14" s="64" t="s">
        <v>265</v>
      </c>
      <c r="G14" s="64" t="s">
        <v>266</v>
      </c>
      <c r="H14" s="64" t="s">
        <v>267</v>
      </c>
      <c r="K14" s="122"/>
      <c r="L14" s="222"/>
      <c r="M14" s="222"/>
      <c r="N14" s="222"/>
    </row>
    <row r="15" spans="1:14" ht="32.25" customHeight="1" x14ac:dyDescent="0.3">
      <c r="A15" s="226"/>
      <c r="B15" s="222"/>
      <c r="C15" s="222"/>
      <c r="D15" s="227"/>
      <c r="E15" s="64" t="s">
        <v>208</v>
      </c>
      <c r="F15" s="65" t="s">
        <v>268</v>
      </c>
      <c r="G15" s="64" t="s">
        <v>270</v>
      </c>
      <c r="H15" s="64" t="s">
        <v>269</v>
      </c>
      <c r="K15" s="122"/>
      <c r="L15" s="222"/>
      <c r="M15" s="222"/>
      <c r="N15" s="222"/>
    </row>
    <row r="16" spans="1:14" ht="37.5" customHeight="1" x14ac:dyDescent="0.3">
      <c r="A16" s="228"/>
      <c r="B16" s="229"/>
      <c r="C16" s="229"/>
      <c r="D16" s="230"/>
      <c r="E16" s="64" t="s">
        <v>232</v>
      </c>
      <c r="F16" s="65" t="s">
        <v>265</v>
      </c>
      <c r="G16" s="65" t="s">
        <v>262</v>
      </c>
      <c r="H16" s="64" t="s">
        <v>271</v>
      </c>
      <c r="K16" s="122"/>
      <c r="L16" s="222"/>
      <c r="M16" s="222"/>
      <c r="N16" s="222"/>
    </row>
    <row r="17" spans="1:8" ht="18.75" customHeight="1" x14ac:dyDescent="0.3">
      <c r="A17" s="95" t="s">
        <v>201</v>
      </c>
      <c r="B17" s="95"/>
      <c r="C17" s="95"/>
      <c r="D17" s="95"/>
      <c r="E17" s="181" t="s">
        <v>168</v>
      </c>
      <c r="F17" s="181"/>
      <c r="G17" s="181"/>
      <c r="H17" s="181"/>
    </row>
    <row r="18" spans="1:8" ht="81" customHeight="1" x14ac:dyDescent="0.3">
      <c r="A18" s="95" t="s">
        <v>8</v>
      </c>
      <c r="B18" s="95"/>
      <c r="C18" s="95"/>
      <c r="D18" s="95"/>
      <c r="E18" s="181" t="s">
        <v>202</v>
      </c>
      <c r="F18" s="181"/>
      <c r="G18" s="181"/>
      <c r="H18" s="181"/>
    </row>
    <row r="19" spans="1:8" ht="240.75" customHeight="1" x14ac:dyDescent="0.3">
      <c r="A19" s="169" t="s">
        <v>9</v>
      </c>
      <c r="B19" s="169"/>
      <c r="C19" s="169" t="str">
        <f>CONCATENATE((IF(OR(E8="",E8="NA"),"",E8)),", ",(IF(OR(A20="",A20="NA"),"",A20)),".",(IF(OR(C20="",C20="NA"),"",C20)),", near ",(IF(OR(C25="",C25="NA"),"",C25)),", ",(IF(OR(C22="",C22="NA"),"",C22)),", ",(IF(OR(C21="",C21="NA"),"",C21)),", ",(IF(OR(G22="",G22="NA"),"",G22)),", ",(IF(OR(C23="",C23="NA"),"",C23)),", ",(IF(OR(C24="",C24="NA"),"",C24)),", ",(IF(OR(G23="",G23="NA"),"",G23))," - ",(IF(OR(G24="",G24="NA"),"",G24)),".")</f>
        <v>Dosti Greater Thane - Sector 3A ­ Cluster 2 ­ Phase 1, 2, 3 &amp; 4, Survey No.25/2, 25/3, 26/10, 26/13/7, 190, 23/1/B, 23/1/C of village Rahanal, S No.40/7 of village Kavani, S.No.151/2/A(pt), 152/1, 152/2, 152/3(pt), 152/4/A, 152/4/B, 152/4/C, 152/4/D, 152/5/A, 152/5/B, 153, 154/3/A, 154/3/B, 154/4, 154/7, 156/1, 156/2, 156/3, 156/4, 156/5, 157/1, 157/2, 157/3, 158, 159/1/A, 159/1/B, 159/1/C, 159/2, 160/1, 160/2, 161/1(pt), 161/3(pt), 161/4, 161/5, 162, 163/1(pt), 163/2(pt), 164/1(pt), 164/4, 164/4/5A, 164/6(pt), 165/1(pt), 165/2/A(pt), 165/2/B(pt), 165/3(pt), 174/5(pt) of village Purna, S No.14/3, 15/5, 16/1a, 16/2, 16/4, 16/5, 16/7, 16/9, 16/14, 16/15, 16/18, 16/21, 16/23, 16/23/A, 16/24, 16/25, 16/26, 16/27, 16/28, 16/29, 16/30, 16/31, 16/34, 16/35, 16/36, 16/39, 16/40, 17/1, 17/2, 17/3, 17/4, 17/5, 17/7, 17/8, 17/9, 17/10, 17/13, 17/14, 18/1, 18/2, 18/3, 18/5/A, 19/1/A, 19/2, 19/3, 19/5, 19/6A, 19/6C, 19/7, 19/8, 19/9, 19/10, 19/11, 19/12, 19/13 of Village Kopar, near Dosti Fortune, Bhiwandi - Wada Road, Shree Arihant Compound, Rahanal, Kevani, Purna &amp; Kopar, Bhiwandi West, Bhiwandi, Thane - 421302.</v>
      </c>
      <c r="D19" s="169"/>
      <c r="E19" s="169"/>
      <c r="F19" s="169"/>
      <c r="G19" s="169"/>
      <c r="H19" s="169"/>
    </row>
    <row r="20" spans="1:8" ht="192" customHeight="1" x14ac:dyDescent="0.3">
      <c r="A20" s="181" t="s">
        <v>169</v>
      </c>
      <c r="B20" s="181"/>
      <c r="C20" s="181" t="s">
        <v>256</v>
      </c>
      <c r="D20" s="181"/>
      <c r="E20" s="181"/>
      <c r="F20" s="181"/>
      <c r="G20" s="181"/>
      <c r="H20" s="181"/>
    </row>
    <row r="21" spans="1:8" ht="15.75" customHeight="1" x14ac:dyDescent="0.3">
      <c r="A21" s="181" t="s">
        <v>158</v>
      </c>
      <c r="B21" s="181"/>
      <c r="C21" s="181" t="s">
        <v>190</v>
      </c>
      <c r="D21" s="181"/>
      <c r="E21" s="181"/>
      <c r="F21" s="181"/>
      <c r="G21" s="181"/>
      <c r="H21" s="181"/>
    </row>
    <row r="22" spans="1:8" ht="32.25" customHeight="1" x14ac:dyDescent="0.3">
      <c r="A22" s="169" t="s">
        <v>10</v>
      </c>
      <c r="B22" s="169"/>
      <c r="C22" s="181" t="s">
        <v>171</v>
      </c>
      <c r="D22" s="181"/>
      <c r="E22" s="169" t="s">
        <v>73</v>
      </c>
      <c r="F22" s="169"/>
      <c r="G22" s="181" t="s">
        <v>257</v>
      </c>
      <c r="H22" s="181"/>
    </row>
    <row r="23" spans="1:8" x14ac:dyDescent="0.3">
      <c r="A23" s="95" t="s">
        <v>12</v>
      </c>
      <c r="B23" s="95"/>
      <c r="C23" s="181" t="s">
        <v>189</v>
      </c>
      <c r="D23" s="181"/>
      <c r="E23" s="169" t="s">
        <v>11</v>
      </c>
      <c r="F23" s="169"/>
      <c r="G23" s="182" t="s">
        <v>172</v>
      </c>
      <c r="H23" s="182"/>
    </row>
    <row r="24" spans="1:8" x14ac:dyDescent="0.3">
      <c r="A24" s="95" t="s">
        <v>74</v>
      </c>
      <c r="B24" s="95"/>
      <c r="C24" s="181" t="s">
        <v>170</v>
      </c>
      <c r="D24" s="181"/>
      <c r="E24" s="169" t="s">
        <v>13</v>
      </c>
      <c r="F24" s="169"/>
      <c r="G24" s="181">
        <v>421302</v>
      </c>
      <c r="H24" s="181"/>
    </row>
    <row r="25" spans="1:8" ht="32.25" customHeight="1" x14ac:dyDescent="0.3">
      <c r="A25" s="95" t="s">
        <v>121</v>
      </c>
      <c r="B25" s="95"/>
      <c r="C25" s="181" t="s">
        <v>193</v>
      </c>
      <c r="D25" s="181"/>
      <c r="E25" s="169" t="s">
        <v>14</v>
      </c>
      <c r="F25" s="169"/>
      <c r="G25" s="181" t="s">
        <v>188</v>
      </c>
      <c r="H25" s="181"/>
    </row>
    <row r="26" spans="1:8" ht="15" customHeight="1" x14ac:dyDescent="0.3">
      <c r="A26" s="169" t="s">
        <v>77</v>
      </c>
      <c r="B26" s="169"/>
      <c r="C26" s="169"/>
      <c r="D26" s="169"/>
      <c r="E26" s="163" t="s">
        <v>15</v>
      </c>
      <c r="F26" s="163"/>
      <c r="G26" s="163"/>
      <c r="H26" s="163"/>
    </row>
    <row r="27" spans="1:8" ht="18.75" customHeight="1" x14ac:dyDescent="0.3">
      <c r="A27" s="169"/>
      <c r="B27" s="169"/>
      <c r="C27" s="169"/>
      <c r="D27" s="169"/>
      <c r="E27" s="163"/>
      <c r="F27" s="163"/>
      <c r="G27" s="163"/>
      <c r="H27" s="163"/>
    </row>
    <row r="28" spans="1:8" ht="15" customHeight="1" x14ac:dyDescent="0.3">
      <c r="A28" s="169" t="s">
        <v>16</v>
      </c>
      <c r="B28" s="169"/>
      <c r="C28" s="169"/>
      <c r="D28" s="169"/>
      <c r="E28" s="181" t="s">
        <v>17</v>
      </c>
      <c r="F28" s="181"/>
      <c r="G28" s="181"/>
      <c r="H28" s="181"/>
    </row>
    <row r="29" spans="1:8" ht="15" customHeight="1" x14ac:dyDescent="0.3">
      <c r="A29" s="95" t="s">
        <v>18</v>
      </c>
      <c r="B29" s="95"/>
      <c r="C29" s="95"/>
      <c r="D29" s="95"/>
      <c r="E29" s="181" t="str">
        <f>IF(AND(G23="Mumbai"),"Upper Class","Middle Class")</f>
        <v>Middle Class</v>
      </c>
      <c r="F29" s="181"/>
      <c r="G29" s="181"/>
      <c r="H29" s="181"/>
    </row>
    <row r="30" spans="1:8" x14ac:dyDescent="0.3">
      <c r="A30" s="95" t="s">
        <v>19</v>
      </c>
      <c r="B30" s="95"/>
      <c r="C30" s="95"/>
      <c r="D30" s="95"/>
      <c r="E30" s="181" t="s">
        <v>20</v>
      </c>
      <c r="F30" s="181"/>
      <c r="G30" s="181"/>
      <c r="H30" s="181"/>
    </row>
    <row r="31" spans="1:8" ht="15.75" customHeight="1" x14ac:dyDescent="0.3">
      <c r="A31" s="95" t="s">
        <v>21</v>
      </c>
      <c r="B31" s="95"/>
      <c r="C31" s="95"/>
      <c r="D31" s="95"/>
      <c r="E31" s="181" t="str">
        <f>IF(AND(G23="Mumbai"),"Developed","Developing")</f>
        <v>Developing</v>
      </c>
      <c r="F31" s="181"/>
      <c r="G31" s="181"/>
      <c r="H31" s="181"/>
    </row>
    <row r="32" spans="1:8" x14ac:dyDescent="0.3">
      <c r="A32" s="95" t="s">
        <v>22</v>
      </c>
      <c r="B32" s="95"/>
      <c r="C32" s="95"/>
      <c r="D32" s="95"/>
      <c r="E32" s="181" t="s">
        <v>23</v>
      </c>
      <c r="F32" s="181"/>
      <c r="G32" s="181"/>
      <c r="H32" s="181"/>
    </row>
    <row r="33" spans="1:8" ht="15.75" customHeight="1" x14ac:dyDescent="0.3">
      <c r="A33" s="95" t="s">
        <v>82</v>
      </c>
      <c r="B33" s="95"/>
      <c r="C33" s="95"/>
      <c r="D33" s="95"/>
      <c r="E33" s="181" t="s">
        <v>83</v>
      </c>
      <c r="F33" s="181"/>
      <c r="G33" s="181"/>
      <c r="H33" s="181"/>
    </row>
    <row r="34" spans="1:8" ht="15" customHeight="1" x14ac:dyDescent="0.3">
      <c r="A34" s="95" t="s">
        <v>32</v>
      </c>
      <c r="B34" s="95"/>
      <c r="C34" s="95"/>
      <c r="D34" s="95"/>
      <c r="E34" s="181" t="str">
        <f>IF(AND(ISNUMBER(SEARCH("Flat",D62)),ISNUMBER(SEARCH("Shop",D62)),ISNUMBER(SEARCH("Office",D62))),"Residential + Commercial",IF(AND(ISNUMBER(SEARCH("Flat",D62)),ISNUMBER(SEARCH("Shop",D62))),"Residential + Commercial",IF(AND(ISNUMBER(SEARCH("Flat",D62)),ISNUMBER(SEARCH("Office",D62))),"Residential + Commercial",IF(AND(ISNUMBER(SEARCH("Shop",D62)),ISNUMBER(SEARCH("Office",D62))),"Commercial",IF(ISNUMBER(SEARCH("Shop",D62)),"Commercial",IF(ISNUMBER(SEARCH("Office",D62)),"Commercial",IF(ISNUMBER(SEARCH("Flat",D62)),"Residential")))))))</f>
        <v>Residential + Commercial</v>
      </c>
      <c r="F34" s="181"/>
      <c r="G34" s="181"/>
      <c r="H34" s="181"/>
    </row>
    <row r="35" spans="1:8" ht="15.75" customHeight="1" x14ac:dyDescent="0.3">
      <c r="A35" s="95" t="s">
        <v>93</v>
      </c>
      <c r="B35" s="95"/>
      <c r="C35" s="95"/>
      <c r="D35" s="95"/>
      <c r="E35" s="181" t="s">
        <v>33</v>
      </c>
      <c r="F35" s="181"/>
      <c r="G35" s="181"/>
      <c r="H35" s="181"/>
    </row>
    <row r="36" spans="1:8" s="22" customFormat="1" x14ac:dyDescent="0.3">
      <c r="A36" s="193" t="s">
        <v>94</v>
      </c>
      <c r="B36" s="193"/>
      <c r="C36" s="192" t="s">
        <v>28</v>
      </c>
      <c r="D36" s="192"/>
      <c r="E36" s="192"/>
      <c r="F36" s="192" t="s">
        <v>30</v>
      </c>
      <c r="G36" s="192"/>
      <c r="H36" s="192"/>
    </row>
    <row r="37" spans="1:8" s="22" customFormat="1" x14ac:dyDescent="0.3">
      <c r="A37" s="189" t="s">
        <v>24</v>
      </c>
      <c r="B37" s="189" t="s">
        <v>29</v>
      </c>
      <c r="C37" s="188" t="s">
        <v>29</v>
      </c>
      <c r="D37" s="188"/>
      <c r="E37" s="188"/>
      <c r="F37" s="188" t="s">
        <v>191</v>
      </c>
      <c r="G37" s="188"/>
      <c r="H37" s="188"/>
    </row>
    <row r="38" spans="1:8" x14ac:dyDescent="0.3">
      <c r="A38" s="189" t="s">
        <v>25</v>
      </c>
      <c r="B38" s="189" t="s">
        <v>29</v>
      </c>
      <c r="C38" s="188" t="s">
        <v>29</v>
      </c>
      <c r="D38" s="188"/>
      <c r="E38" s="188"/>
      <c r="F38" s="188" t="s">
        <v>191</v>
      </c>
      <c r="G38" s="188"/>
      <c r="H38" s="188"/>
    </row>
    <row r="39" spans="1:8" s="22" customFormat="1" x14ac:dyDescent="0.3">
      <c r="A39" s="189" t="s">
        <v>27</v>
      </c>
      <c r="B39" s="189" t="s">
        <v>29</v>
      </c>
      <c r="C39" s="188" t="s">
        <v>29</v>
      </c>
      <c r="D39" s="188"/>
      <c r="E39" s="188"/>
      <c r="F39" s="188" t="s">
        <v>191</v>
      </c>
      <c r="G39" s="188"/>
      <c r="H39" s="188"/>
    </row>
    <row r="40" spans="1:8" x14ac:dyDescent="0.3">
      <c r="A40" s="189" t="s">
        <v>26</v>
      </c>
      <c r="B40" s="189" t="s">
        <v>29</v>
      </c>
      <c r="C40" s="188" t="s">
        <v>29</v>
      </c>
      <c r="D40" s="188"/>
      <c r="E40" s="188"/>
      <c r="F40" s="188" t="s">
        <v>192</v>
      </c>
      <c r="G40" s="188"/>
      <c r="H40" s="188"/>
    </row>
    <row r="41" spans="1:8" x14ac:dyDescent="0.3">
      <c r="A41" s="95" t="s">
        <v>31</v>
      </c>
      <c r="B41" s="95"/>
      <c r="C41" s="95"/>
      <c r="D41" s="95"/>
      <c r="E41" s="95"/>
      <c r="F41" s="95"/>
      <c r="G41" s="95"/>
      <c r="H41" s="95"/>
    </row>
    <row r="42" spans="1:8" ht="15.75" customHeight="1" x14ac:dyDescent="0.3">
      <c r="A42" s="180" t="s">
        <v>291</v>
      </c>
      <c r="B42" s="180"/>
      <c r="C42" s="74" t="s">
        <v>292</v>
      </c>
      <c r="D42" s="75"/>
      <c r="E42" s="75"/>
      <c r="F42" s="75"/>
      <c r="G42" s="75"/>
      <c r="H42" s="76"/>
    </row>
    <row r="43" spans="1:8" x14ac:dyDescent="0.3">
      <c r="A43" s="180" t="s">
        <v>157</v>
      </c>
      <c r="B43" s="180"/>
      <c r="C43" s="202" t="s">
        <v>187</v>
      </c>
      <c r="D43" s="181"/>
      <c r="E43" s="181"/>
      <c r="F43" s="181"/>
      <c r="G43" s="181"/>
      <c r="H43" s="181"/>
    </row>
    <row r="44" spans="1:8" x14ac:dyDescent="0.3">
      <c r="A44" s="185" t="s">
        <v>34</v>
      </c>
      <c r="B44" s="185"/>
      <c r="C44" s="185"/>
      <c r="D44" s="185"/>
      <c r="E44" s="185"/>
      <c r="F44" s="185"/>
      <c r="G44" s="185"/>
      <c r="H44" s="185"/>
    </row>
    <row r="45" spans="1:8" x14ac:dyDescent="0.3">
      <c r="A45" s="95" t="s">
        <v>35</v>
      </c>
      <c r="B45" s="95"/>
      <c r="C45" s="95"/>
      <c r="D45" s="95"/>
      <c r="E45" s="203">
        <v>136743.24</v>
      </c>
      <c r="F45" s="203"/>
      <c r="G45" s="203"/>
      <c r="H45" s="203"/>
    </row>
    <row r="46" spans="1:8" x14ac:dyDescent="0.3">
      <c r="A46" s="95" t="s">
        <v>36</v>
      </c>
      <c r="B46" s="95"/>
      <c r="C46" s="95"/>
      <c r="D46" s="95"/>
      <c r="E46" s="144">
        <v>1.1000000000000001</v>
      </c>
      <c r="F46" s="144"/>
      <c r="G46" s="144"/>
      <c r="H46" s="144"/>
    </row>
    <row r="47" spans="1:8" x14ac:dyDescent="0.3">
      <c r="A47" s="95" t="s">
        <v>37</v>
      </c>
      <c r="B47" s="95"/>
      <c r="C47" s="95"/>
      <c r="D47" s="95"/>
      <c r="E47" s="144">
        <f>E49/E45-E46</f>
        <v>1.1351771831645938</v>
      </c>
      <c r="F47" s="144"/>
      <c r="G47" s="144"/>
      <c r="H47" s="144"/>
    </row>
    <row r="48" spans="1:8" x14ac:dyDescent="0.3">
      <c r="A48" s="95" t="s">
        <v>38</v>
      </c>
      <c r="B48" s="95"/>
      <c r="C48" s="95"/>
      <c r="D48" s="95"/>
      <c r="E48" s="144">
        <f>E46+E47</f>
        <v>2.2351771831645939</v>
      </c>
      <c r="F48" s="144"/>
      <c r="G48" s="144"/>
      <c r="H48" s="144"/>
    </row>
    <row r="49" spans="1:9" x14ac:dyDescent="0.3">
      <c r="A49" s="95" t="s">
        <v>92</v>
      </c>
      <c r="B49" s="95"/>
      <c r="C49" s="95"/>
      <c r="D49" s="95"/>
      <c r="E49" s="196">
        <v>305645.37</v>
      </c>
      <c r="F49" s="196"/>
      <c r="G49" s="196"/>
      <c r="H49" s="196"/>
    </row>
    <row r="50" spans="1:9" x14ac:dyDescent="0.3">
      <c r="A50" s="163" t="s">
        <v>39</v>
      </c>
      <c r="B50" s="163"/>
      <c r="C50" s="163"/>
      <c r="D50" s="163"/>
      <c r="E50" s="163" t="s">
        <v>203</v>
      </c>
      <c r="F50" s="163"/>
      <c r="G50" s="163"/>
      <c r="H50" s="163"/>
    </row>
    <row r="51" spans="1:9" x14ac:dyDescent="0.3">
      <c r="A51" s="185" t="s">
        <v>40</v>
      </c>
      <c r="B51" s="185"/>
      <c r="C51" s="185"/>
      <c r="D51" s="185"/>
      <c r="E51" s="185"/>
      <c r="F51" s="185"/>
      <c r="G51" s="185"/>
      <c r="H51" s="185"/>
    </row>
    <row r="52" spans="1:9" ht="33.75" customHeight="1" x14ac:dyDescent="0.3">
      <c r="A52" s="154" t="s">
        <v>149</v>
      </c>
      <c r="B52" s="156"/>
      <c r="C52" s="212" t="s">
        <v>173</v>
      </c>
      <c r="D52" s="213"/>
      <c r="E52" s="213"/>
      <c r="F52" s="213"/>
      <c r="G52" s="213"/>
      <c r="H52" s="214"/>
    </row>
    <row r="53" spans="1:9" ht="33" customHeight="1" x14ac:dyDescent="0.3">
      <c r="A53" s="154" t="s">
        <v>41</v>
      </c>
      <c r="B53" s="156"/>
      <c r="C53" s="154" t="s">
        <v>204</v>
      </c>
      <c r="D53" s="155"/>
      <c r="E53" s="156"/>
      <c r="F53" s="18" t="s">
        <v>42</v>
      </c>
      <c r="G53" s="152">
        <v>45140</v>
      </c>
      <c r="H53" s="156"/>
    </row>
    <row r="54" spans="1:9" ht="33" customHeight="1" x14ac:dyDescent="0.3">
      <c r="A54" s="154" t="s">
        <v>43</v>
      </c>
      <c r="B54" s="156"/>
      <c r="C54" s="154" t="str">
        <f>C53</f>
        <v>SROT/BSNA/2501/BP/Rahanal-Kevani-Purna-Kopar -02 /CC/1073/2023</v>
      </c>
      <c r="D54" s="155"/>
      <c r="E54" s="156"/>
      <c r="F54" s="18" t="s">
        <v>42</v>
      </c>
      <c r="G54" s="152">
        <f>G53</f>
        <v>45140</v>
      </c>
      <c r="H54" s="153"/>
    </row>
    <row r="55" spans="1:9" s="23" customFormat="1" ht="33" customHeight="1" x14ac:dyDescent="0.3">
      <c r="A55" s="198" t="s">
        <v>293</v>
      </c>
      <c r="B55" s="199"/>
      <c r="C55" s="154" t="s">
        <v>174</v>
      </c>
      <c r="D55" s="155"/>
      <c r="E55" s="156"/>
      <c r="F55" s="18" t="s">
        <v>42</v>
      </c>
      <c r="G55" s="152">
        <v>44882</v>
      </c>
      <c r="H55" s="153"/>
    </row>
    <row r="56" spans="1:9" s="23" customFormat="1" ht="50.25" customHeight="1" x14ac:dyDescent="0.3">
      <c r="A56" s="200"/>
      <c r="B56" s="201"/>
      <c r="C56" s="154" t="s">
        <v>294</v>
      </c>
      <c r="D56" s="155"/>
      <c r="E56" s="155"/>
      <c r="F56" s="155"/>
      <c r="G56" s="155"/>
      <c r="H56" s="156"/>
    </row>
    <row r="57" spans="1:9" s="23" customFormat="1" ht="33" customHeight="1" x14ac:dyDescent="0.3">
      <c r="A57" s="198" t="s">
        <v>293</v>
      </c>
      <c r="B57" s="199"/>
      <c r="C57" s="154" t="str">
        <f>C54</f>
        <v>SROT/BSNA/2501/BP/Rahanal-Kevani-Purna-Kopar -02 /CC/1073/2023</v>
      </c>
      <c r="D57" s="155"/>
      <c r="E57" s="156"/>
      <c r="F57" s="18" t="s">
        <v>42</v>
      </c>
      <c r="G57" s="152">
        <f>G54</f>
        <v>45140</v>
      </c>
      <c r="H57" s="153"/>
    </row>
    <row r="58" spans="1:9" s="23" customFormat="1" ht="131.25" customHeight="1" x14ac:dyDescent="0.3">
      <c r="A58" s="200"/>
      <c r="B58" s="201"/>
      <c r="C58" s="154" t="s">
        <v>295</v>
      </c>
      <c r="D58" s="155"/>
      <c r="E58" s="155"/>
      <c r="F58" s="155"/>
      <c r="G58" s="155"/>
      <c r="H58" s="156"/>
    </row>
    <row r="59" spans="1:9" ht="15.75" customHeight="1" x14ac:dyDescent="0.3">
      <c r="A59" s="160" t="s">
        <v>44</v>
      </c>
      <c r="B59" s="161"/>
      <c r="C59" s="160" t="s">
        <v>102</v>
      </c>
      <c r="D59" s="162"/>
      <c r="E59" s="161"/>
      <c r="F59" s="46" t="s">
        <v>42</v>
      </c>
      <c r="G59" s="164" t="s">
        <v>29</v>
      </c>
      <c r="H59" s="165"/>
    </row>
    <row r="60" spans="1:9" x14ac:dyDescent="0.3">
      <c r="A60" s="205" t="s">
        <v>46</v>
      </c>
      <c r="B60" s="205"/>
      <c r="C60" s="205"/>
      <c r="D60" s="205"/>
      <c r="E60" s="205"/>
      <c r="F60" s="205"/>
      <c r="G60" s="205"/>
      <c r="H60" s="205"/>
    </row>
    <row r="61" spans="1:9" x14ac:dyDescent="0.3">
      <c r="A61" s="169" t="s">
        <v>91</v>
      </c>
      <c r="B61" s="169"/>
      <c r="C61" s="169"/>
      <c r="D61" s="95">
        <f>E49</f>
        <v>305645.37</v>
      </c>
      <c r="E61" s="95"/>
      <c r="F61" s="95"/>
      <c r="G61" s="95"/>
      <c r="H61" s="95"/>
    </row>
    <row r="62" spans="1:9" x14ac:dyDescent="0.3">
      <c r="A62" s="181" t="s">
        <v>47</v>
      </c>
      <c r="B62" s="163"/>
      <c r="C62" s="163"/>
      <c r="D62" s="163" t="s">
        <v>230</v>
      </c>
      <c r="E62" s="163"/>
      <c r="F62" s="163"/>
      <c r="G62" s="163"/>
      <c r="H62" s="163"/>
      <c r="I62" s="24"/>
    </row>
    <row r="63" spans="1:9" ht="208.5" customHeight="1" x14ac:dyDescent="0.3">
      <c r="A63" s="118" t="s">
        <v>284</v>
      </c>
      <c r="B63" s="119"/>
      <c r="C63" s="120"/>
      <c r="D63" s="171" t="s">
        <v>290</v>
      </c>
      <c r="E63" s="197"/>
      <c r="F63" s="197"/>
      <c r="G63" s="197"/>
      <c r="H63" s="197"/>
    </row>
    <row r="64" spans="1:9" ht="80.25" customHeight="1" x14ac:dyDescent="0.3">
      <c r="A64" s="118" t="s">
        <v>285</v>
      </c>
      <c r="B64" s="119"/>
      <c r="C64" s="120"/>
      <c r="D64" s="157" t="s">
        <v>286</v>
      </c>
      <c r="E64" s="158"/>
      <c r="F64" s="158"/>
      <c r="G64" s="158"/>
      <c r="H64" s="159"/>
    </row>
    <row r="65" spans="1:14" ht="51" customHeight="1" x14ac:dyDescent="0.3">
      <c r="A65" s="121"/>
      <c r="B65" s="122"/>
      <c r="C65" s="123"/>
      <c r="D65" s="77" t="s">
        <v>287</v>
      </c>
      <c r="E65" s="78"/>
      <c r="F65" s="78"/>
      <c r="G65" s="78"/>
      <c r="H65" s="79"/>
    </row>
    <row r="66" spans="1:14" ht="53.25" customHeight="1" x14ac:dyDescent="0.3">
      <c r="A66" s="121"/>
      <c r="B66" s="122"/>
      <c r="C66" s="123"/>
      <c r="D66" s="206" t="s">
        <v>288</v>
      </c>
      <c r="E66" s="206"/>
      <c r="F66" s="206"/>
      <c r="G66" s="206"/>
      <c r="H66" s="206"/>
    </row>
    <row r="67" spans="1:14" ht="33.75" customHeight="1" x14ac:dyDescent="0.3">
      <c r="A67" s="124"/>
      <c r="B67" s="125"/>
      <c r="C67" s="126"/>
      <c r="D67" s="117" t="s">
        <v>289</v>
      </c>
      <c r="E67" s="117"/>
      <c r="F67" s="117"/>
      <c r="G67" s="117"/>
      <c r="H67" s="117"/>
    </row>
    <row r="68" spans="1:14" ht="49.5" customHeight="1" x14ac:dyDescent="0.3">
      <c r="A68" s="95" t="s">
        <v>45</v>
      </c>
      <c r="B68" s="95"/>
      <c r="C68" s="95"/>
      <c r="D68" s="194" t="s">
        <v>205</v>
      </c>
      <c r="E68" s="194"/>
      <c r="F68" s="194"/>
      <c r="G68" s="194"/>
      <c r="H68" s="194"/>
      <c r="J68" s="25"/>
      <c r="K68" s="24"/>
      <c r="N68" s="24"/>
    </row>
    <row r="69" spans="1:14" ht="15.75" customHeight="1" x14ac:dyDescent="0.3">
      <c r="A69" s="95" t="s">
        <v>88</v>
      </c>
      <c r="B69" s="95"/>
      <c r="C69" s="95"/>
      <c r="D69" s="195" t="str">
        <f>(IF(G59="NA","60 Years After Completion",IF(G59&lt;&gt;"NA",""&amp;60-ROUNDDOWN((E3-G59)/360,0)&amp;" Years"," ")))</f>
        <v>60 Years After Completion</v>
      </c>
      <c r="E69" s="195"/>
      <c r="F69" s="195"/>
      <c r="G69" s="195"/>
      <c r="H69" s="195"/>
      <c r="N69" s="24"/>
    </row>
    <row r="70" spans="1:14" ht="15.75" customHeight="1" x14ac:dyDescent="0.3">
      <c r="A70" s="95" t="s">
        <v>89</v>
      </c>
      <c r="B70" s="95"/>
      <c r="C70" s="95"/>
      <c r="D70" s="169" t="s">
        <v>23</v>
      </c>
      <c r="E70" s="169"/>
      <c r="F70" s="169"/>
      <c r="G70" s="169"/>
      <c r="H70" s="169"/>
      <c r="J70" s="26"/>
      <c r="K70" s="26"/>
    </row>
    <row r="71" spans="1:14" ht="30" customHeight="1" x14ac:dyDescent="0.3">
      <c r="A71" s="95" t="s">
        <v>75</v>
      </c>
      <c r="B71" s="95"/>
      <c r="C71" s="95"/>
      <c r="D71" s="181" t="s">
        <v>162</v>
      </c>
      <c r="E71" s="169"/>
      <c r="F71" s="169"/>
      <c r="G71" s="169"/>
      <c r="H71" s="169"/>
    </row>
    <row r="72" spans="1:14" x14ac:dyDescent="0.3">
      <c r="A72" s="169" t="s">
        <v>146</v>
      </c>
      <c r="B72" s="169"/>
      <c r="C72" s="169"/>
      <c r="D72" s="169" t="s">
        <v>29</v>
      </c>
      <c r="E72" s="169"/>
      <c r="F72" s="169"/>
      <c r="G72" s="169"/>
      <c r="H72" s="169"/>
      <c r="I72" s="27"/>
      <c r="J72" s="27"/>
      <c r="K72" s="27"/>
      <c r="L72" s="27"/>
      <c r="M72" s="27"/>
      <c r="N72" s="27"/>
    </row>
    <row r="73" spans="1:14" ht="15.75" customHeight="1" x14ac:dyDescent="0.3">
      <c r="A73" s="170" t="s">
        <v>87</v>
      </c>
      <c r="B73" s="170"/>
      <c r="C73" s="170"/>
      <c r="D73" s="171" t="str">
        <f ca="1">(IF(G79&gt;95%,"Nothing",IF(G79&gt;0%,"Cement, Aggregate, Steel, etc",IF(G79=0%,"Work not yet Started"))))</f>
        <v>Cement, Aggregate, Steel, etc</v>
      </c>
      <c r="E73" s="171"/>
      <c r="F73" s="171"/>
      <c r="G73" s="171"/>
      <c r="H73" s="171"/>
      <c r="J73" s="26"/>
    </row>
    <row r="74" spans="1:14" ht="33.75" customHeight="1" thickBot="1" x14ac:dyDescent="0.35">
      <c r="A74" s="169" t="s">
        <v>115</v>
      </c>
      <c r="B74" s="169"/>
      <c r="C74" s="169"/>
      <c r="D74" s="181" t="str">
        <f ca="1">(IF(D73="Nothing","Yes",IF(D73="Cement, Aggregate, Steel, etc","Under Construction",IF(D73="Work not yet Started","Work not yet Started"))))</f>
        <v>Under Construction</v>
      </c>
      <c r="E74" s="181"/>
      <c r="F74" s="181" t="str">
        <f ca="1">(IF(D73="Nothing","Yes",IF(D73="Cement, Aggregate, Steel, etc","Under Construction",IF(D73="Work not yet Started","Work not yet Started"))))</f>
        <v>Under Construction</v>
      </c>
      <c r="G74" s="181"/>
      <c r="H74" s="181"/>
    </row>
    <row r="75" spans="1:14" ht="51" customHeight="1" x14ac:dyDescent="0.3">
      <c r="A75" s="134" t="s">
        <v>273</v>
      </c>
      <c r="B75" s="134"/>
      <c r="C75" s="87" t="s">
        <v>272</v>
      </c>
      <c r="D75" s="87"/>
      <c r="E75" s="87"/>
      <c r="F75" s="87"/>
      <c r="G75" s="87"/>
      <c r="H75" s="87"/>
      <c r="I75" s="67" t="str">
        <f ca="1">IF(D88=100%,"All work Completed. Possession granted to the Building.",IF(D87=100%,"All work Completed, Waiting for OC",I76&amp;""&amp;I77&amp;""&amp;J76&amp;""&amp;J75&amp;" "&amp;J77))</f>
        <v>Excavation, Plinth Completed, RCC upto 21 Slab, Brickwork upto 20 Floor, Internal Plaster upto 13 Floor, External Plaster upto 13 Floor Completed</v>
      </c>
      <c r="J75" s="49" t="str">
        <f ca="1">(IF(C81=(D76+F76+H76),"",IF(C81&gt;0,", RCC upto "&amp;C81&amp;" Slab","")))&amp;(IF(C82=H76,"",IF(C82&gt;0,", Brickwork upto "&amp;C82&amp;" Floor","")))&amp;(IF(C83=H76,"",IF(C83&gt;0,", Internal Plaster upto "&amp;C83&amp;" Floor","")))&amp;(IF(C84=H76,"",IF(C84&gt;0,", External Plaster upto "&amp;C84&amp;" Floor","")))&amp;(IF(C85=H76,"",IF(C85&gt;0,", Flooring upto "&amp;C85&amp;" Floor","")))&amp;(IF(C86=H76,"",IF(C86&gt;0,", Painting upto "&amp;C86&amp;" Floor","")))&amp;(IF(C87=H76,"",IF(C87&gt;0,", Finishing upto "&amp;C87&amp;" Floor","")))&amp;(IF(C88=H76,"",IF(C88&gt;0,", Possession upto "&amp;C88&amp;" Floor","")))</f>
        <v>, RCC upto 21 Slab, Brickwork upto 20 Floor, Internal Plaster upto 13 Floor, External Plaster upto 13 Floor</v>
      </c>
    </row>
    <row r="76" spans="1:14" x14ac:dyDescent="0.3">
      <c r="A76" s="16" t="s">
        <v>140</v>
      </c>
      <c r="B76" s="54">
        <v>0</v>
      </c>
      <c r="C76" s="54" t="s">
        <v>72</v>
      </c>
      <c r="D76" s="54">
        <v>1</v>
      </c>
      <c r="E76" s="54" t="s">
        <v>71</v>
      </c>
      <c r="F76" s="54">
        <v>0</v>
      </c>
      <c r="G76" s="54" t="s">
        <v>81</v>
      </c>
      <c r="H76" s="17">
        <f ca="1">--TRIM(RIGHT(SUBSTITUTE(LEFT(C75,_xlfn.AGGREGATE(16,6,FIND({0,1,2,3,4,5,6,7,8,9},C75,ROW(INDIRECT("1:"&amp;LEN(C75)))),1))," ",REPT(" ",LEN(C75))),LEN(C75)))</f>
        <v>29</v>
      </c>
      <c r="I76" s="50" t="str">
        <f ca="1">IF(D79=100%,"Excavation","")&amp;IF(D80=100%,", Plinth","")&amp;IF(D81=100%,", RCC Slab","")&amp;IF(D82=100%,", Brickwork","")&amp;IF(D83=100%,", Internal Plaster","")&amp;IF(D84=100%,", External Plaster","")&amp;IF(D85=100%,", Flooring","")&amp;IF(D86=100%,", Painting","")&amp;IF(D87=100%,", Building common Amenities","")</f>
        <v>Excavation, Plinth</v>
      </c>
      <c r="J76" s="51" t="str">
        <f ca="1">(IF(C79=0,"Work not yet Started.",IF(D79=25%,"Piling work in process",IF(D79=50%,"Excavation work in process",IF(D79=100%,"","0")))))&amp;(IF(C80=0%,"",IF(C80=J81,", Footing work is process",IF(C80=J82,", Footing work Completed",IF(C80=J83,", 1st Basement Completed",IF(C80=J84,", 1st &amp; 2nd Basement Completed",IF(C80=J85,", 1st to 3rd Basement Completed",IF(C80=J86,", 1st to 4th Basement Completed",IF(C80=J87,", Plinth work is process",IF(C80=J88,"","0"))))))))))</f>
        <v/>
      </c>
    </row>
    <row r="77" spans="1:14" ht="51.75" customHeight="1" x14ac:dyDescent="0.3">
      <c r="A77" s="85" t="s">
        <v>90</v>
      </c>
      <c r="B77" s="86"/>
      <c r="C77" s="87" t="str">
        <f ca="1">I75</f>
        <v>Excavation, Plinth Completed, RCC upto 21 Slab, Brickwork upto 20 Floor, Internal Plaster upto 13 Floor, External Plaster upto 13 Floor Completed</v>
      </c>
      <c r="D77" s="87"/>
      <c r="E77" s="87"/>
      <c r="F77" s="87"/>
      <c r="G77" s="87"/>
      <c r="H77" s="88"/>
      <c r="I77" s="50" t="str">
        <f ca="1">IF(I76&lt;&gt;""," Completed","")</f>
        <v xml:space="preserve"> Completed</v>
      </c>
      <c r="J77" s="51" t="str">
        <f ca="1">IF(J75&lt;&gt;"","Completed","")</f>
        <v>Completed</v>
      </c>
    </row>
    <row r="78" spans="1:14" ht="15.75" customHeight="1" x14ac:dyDescent="0.3">
      <c r="A78" s="89" t="s">
        <v>48</v>
      </c>
      <c r="B78" s="90"/>
      <c r="C78" s="56" t="s">
        <v>138</v>
      </c>
      <c r="D78" s="56" t="s">
        <v>84</v>
      </c>
      <c r="E78" s="90" t="s">
        <v>86</v>
      </c>
      <c r="F78" s="90"/>
      <c r="G78" s="90" t="s">
        <v>85</v>
      </c>
      <c r="H78" s="91"/>
      <c r="I78" s="14" t="s">
        <v>139</v>
      </c>
      <c r="J78" s="28">
        <f ca="1">H76*25%</f>
        <v>7.25</v>
      </c>
    </row>
    <row r="79" spans="1:14" x14ac:dyDescent="0.3">
      <c r="A79" s="70" t="s">
        <v>127</v>
      </c>
      <c r="B79" s="71"/>
      <c r="C79" s="44">
        <f ca="1">J80</f>
        <v>29</v>
      </c>
      <c r="D79" s="19">
        <f ca="1">((100/H76)*C79)/100</f>
        <v>1</v>
      </c>
      <c r="E79" s="135">
        <f ca="1">(((C80/H76*10)+(40/(D76+F76+H76)*C81)+(7.5/(H76)*C82)+(7.5/(H76)*C83)+(10/H76*C84)+(10/H76*C85)+(5/H76*C86)+(5/H76*C87)+(5/H76*C88))/100)</f>
        <v>0.51017241379310341</v>
      </c>
      <c r="F79" s="136"/>
      <c r="G79" s="135">
        <f ca="1">((((C79/H76)*20)+((C80/H76)*25)+(30/(H76+F76+D76)*C81)+(5/H76*C82)+(5/H76*C83)+(5/H76*C84)+(5/H76*C85)+(0/H76*C86)+(0/H76*C87)+(5/H76*C88))/100)</f>
        <v>0.73931034482758617</v>
      </c>
      <c r="H79" s="141"/>
      <c r="I79" s="14" t="s">
        <v>97</v>
      </c>
      <c r="J79" s="29">
        <f ca="1">H76*50%</f>
        <v>14.5</v>
      </c>
    </row>
    <row r="80" spans="1:14" x14ac:dyDescent="0.3">
      <c r="A80" s="70" t="s">
        <v>49</v>
      </c>
      <c r="B80" s="71"/>
      <c r="C80" s="59">
        <v>29</v>
      </c>
      <c r="D80" s="19">
        <f ca="1">((100/H76)*C80)/100</f>
        <v>1</v>
      </c>
      <c r="E80" s="137"/>
      <c r="F80" s="138"/>
      <c r="G80" s="137"/>
      <c r="H80" s="142"/>
      <c r="I80" s="14" t="s">
        <v>98</v>
      </c>
      <c r="J80" s="29">
        <f ca="1">H76</f>
        <v>29</v>
      </c>
    </row>
    <row r="81" spans="1:10" ht="15.75" customHeight="1" x14ac:dyDescent="0.3">
      <c r="A81" s="70" t="s">
        <v>128</v>
      </c>
      <c r="B81" s="71"/>
      <c r="C81" s="44">
        <v>21</v>
      </c>
      <c r="D81" s="19">
        <f ca="1">((100/(D76+F76+H76))*C81)/100</f>
        <v>0.7</v>
      </c>
      <c r="E81" s="137"/>
      <c r="F81" s="138"/>
      <c r="G81" s="137"/>
      <c r="H81" s="142"/>
      <c r="I81" s="14" t="s">
        <v>99</v>
      </c>
      <c r="J81" s="30">
        <f ca="1">(IF(B76&gt;1,(H76/(B76+2)),H76/4))</f>
        <v>7.25</v>
      </c>
    </row>
    <row r="82" spans="1:10" ht="15.75" customHeight="1" x14ac:dyDescent="0.3">
      <c r="A82" s="70" t="s">
        <v>135</v>
      </c>
      <c r="B82" s="71" t="s">
        <v>129</v>
      </c>
      <c r="C82" s="44">
        <f>C81-1</f>
        <v>20</v>
      </c>
      <c r="D82" s="19">
        <f ca="1">((100/H76)*C82)/100</f>
        <v>0.68965517241379304</v>
      </c>
      <c r="E82" s="137"/>
      <c r="F82" s="138"/>
      <c r="G82" s="137"/>
      <c r="H82" s="142"/>
      <c r="I82" s="14" t="s">
        <v>100</v>
      </c>
      <c r="J82" s="30">
        <f ca="1">(IF(B76&gt;1,(H76/(B76+2)+J81),H76/4+J81))</f>
        <v>14.5</v>
      </c>
    </row>
    <row r="83" spans="1:10" ht="15.75" customHeight="1" x14ac:dyDescent="0.3">
      <c r="A83" s="70" t="s">
        <v>136</v>
      </c>
      <c r="B83" s="71" t="s">
        <v>129</v>
      </c>
      <c r="C83" s="59">
        <f>C82*0.65</f>
        <v>13</v>
      </c>
      <c r="D83" s="19">
        <f ca="1">((100/H76)*C83)/100</f>
        <v>0.44827586206896547</v>
      </c>
      <c r="E83" s="137"/>
      <c r="F83" s="138"/>
      <c r="G83" s="137"/>
      <c r="H83" s="142"/>
      <c r="I83" s="14" t="s">
        <v>144</v>
      </c>
      <c r="J83" s="30">
        <f>(IF(B76&gt;1,(H76/(B76+2)+J82),0))</f>
        <v>0</v>
      </c>
    </row>
    <row r="84" spans="1:10" ht="15" customHeight="1" x14ac:dyDescent="0.3">
      <c r="A84" s="70" t="s">
        <v>134</v>
      </c>
      <c r="B84" s="71" t="s">
        <v>131</v>
      </c>
      <c r="C84" s="59">
        <f>C83</f>
        <v>13</v>
      </c>
      <c r="D84" s="19">
        <f ca="1">((100/(H76))*C84)/100</f>
        <v>0.44827586206896547</v>
      </c>
      <c r="E84" s="137"/>
      <c r="F84" s="138"/>
      <c r="G84" s="137"/>
      <c r="H84" s="142"/>
      <c r="I84" s="14" t="s">
        <v>141</v>
      </c>
      <c r="J84" s="30">
        <f>(IF(B76&gt;2,(H76/(B76+2)+J83),0))</f>
        <v>0</v>
      </c>
    </row>
    <row r="85" spans="1:10" ht="15.75" customHeight="1" x14ac:dyDescent="0.3">
      <c r="A85" s="70" t="s">
        <v>130</v>
      </c>
      <c r="B85" s="71" t="s">
        <v>130</v>
      </c>
      <c r="C85" s="44">
        <v>0</v>
      </c>
      <c r="D85" s="19">
        <f ca="1">((100/H76)*C85)/100</f>
        <v>0</v>
      </c>
      <c r="E85" s="137"/>
      <c r="F85" s="138"/>
      <c r="G85" s="137"/>
      <c r="H85" s="142"/>
      <c r="I85" s="14" t="s">
        <v>142</v>
      </c>
      <c r="J85" s="31">
        <f>(IF(B76&gt;3,(H76/(B76+2)+J84),0))</f>
        <v>0</v>
      </c>
    </row>
    <row r="86" spans="1:10" ht="15.75" customHeight="1" x14ac:dyDescent="0.3">
      <c r="A86" s="70" t="s">
        <v>137</v>
      </c>
      <c r="B86" s="71"/>
      <c r="C86" s="44">
        <v>0</v>
      </c>
      <c r="D86" s="19">
        <f ca="1">((100/H76)*C86)/100</f>
        <v>0</v>
      </c>
      <c r="E86" s="137"/>
      <c r="F86" s="138"/>
      <c r="G86" s="137"/>
      <c r="H86" s="142"/>
      <c r="I86" s="14" t="s">
        <v>143</v>
      </c>
      <c r="J86" s="30">
        <f>(IF(B76&gt;4,(H76/(B76+2)+J85),0))</f>
        <v>0</v>
      </c>
    </row>
    <row r="87" spans="1:10" ht="15.75" customHeight="1" x14ac:dyDescent="0.3">
      <c r="A87" s="70" t="s">
        <v>132</v>
      </c>
      <c r="B87" s="71" t="s">
        <v>132</v>
      </c>
      <c r="C87" s="44">
        <v>0</v>
      </c>
      <c r="D87" s="19">
        <f ca="1">((100/(H76))*C87)/100</f>
        <v>0</v>
      </c>
      <c r="E87" s="137"/>
      <c r="F87" s="138"/>
      <c r="G87" s="137"/>
      <c r="H87" s="142"/>
      <c r="I87" s="14" t="s">
        <v>145</v>
      </c>
      <c r="J87" s="30">
        <f ca="1">(IF(B76=1,(H76/(B76+3)+J82),IF(B76=0,(H76/4+J82),IF(B76&gt;1,0))))</f>
        <v>21.75</v>
      </c>
    </row>
    <row r="88" spans="1:10" ht="16.2" thickBot="1" x14ac:dyDescent="0.35">
      <c r="A88" s="72" t="s">
        <v>133</v>
      </c>
      <c r="B88" s="73"/>
      <c r="C88" s="45">
        <v>0</v>
      </c>
      <c r="D88" s="20">
        <f ca="1">((100/(H76))*C88)/100</f>
        <v>0</v>
      </c>
      <c r="E88" s="139"/>
      <c r="F88" s="140"/>
      <c r="G88" s="139"/>
      <c r="H88" s="143"/>
      <c r="I88" s="15" t="s">
        <v>101</v>
      </c>
      <c r="J88" s="32">
        <f ca="1">(IF(B76&gt;1.5,(H76/(B76+2)+J82+MAX(0,J83-J82)+MAX(0,J84-J83)+MAX(0,J85-J84)+MAX(0,J86-J85)+MAX(0,J87-J86)),IF(B76=1,(H76/(B76+3)+J87),IF(B76=0,H76/4+J87))))</f>
        <v>29</v>
      </c>
    </row>
    <row r="89" spans="1:10" ht="48.75" customHeight="1" x14ac:dyDescent="0.3">
      <c r="A89" s="80" t="s">
        <v>273</v>
      </c>
      <c r="B89" s="81"/>
      <c r="C89" s="82" t="s">
        <v>274</v>
      </c>
      <c r="D89" s="83"/>
      <c r="E89" s="83"/>
      <c r="F89" s="83"/>
      <c r="G89" s="83"/>
      <c r="H89" s="84"/>
      <c r="I89" s="48" t="str">
        <f ca="1">IF(D102=100%,"All work Completed. Possession granted to the Building.",IF(D101=100%,"All work Completed, Waiting for OC",I90&amp;""&amp;I91&amp;""&amp;J90&amp;""&amp;J89&amp;" "&amp;J91))</f>
        <v>Excavation, Plinth Completed, RCC upto 22 Slab, Brickwork upto 21 Floor, Internal Plaster upto 13.65 Floor, External Plaster upto 13.65 Floor Completed</v>
      </c>
      <c r="J89" s="49" t="str">
        <f ca="1">(IF(C95=(D90+F90+H90),"",IF(C95&gt;0,", RCC upto "&amp;C95&amp;" Slab","")))&amp;(IF(C96=H90,"",IF(C96&gt;0,", Brickwork upto "&amp;C96&amp;" Floor","")))&amp;(IF(C97=H90,"",IF(C97&gt;0,", Internal Plaster upto "&amp;C97&amp;" Floor","")))&amp;(IF(C98=H90,"",IF(C98&gt;0,", External Plaster upto "&amp;C98&amp;" Floor","")))&amp;(IF(C99=H90,"",IF(C99&gt;0,", Flooring upto "&amp;C99&amp;" Floor","")))&amp;(IF(C100=H90,"",IF(C100&gt;0,", Painting upto "&amp;C100&amp;" Floor","")))&amp;(IF(C101=H90,"",IF(C101&gt;0,", Finishing upto "&amp;C101&amp;" Floor","")))&amp;(IF(C102=H90,"",IF(C102&gt;0,", Possession upto "&amp;C102&amp;" Floor","")))</f>
        <v>, RCC upto 22 Slab, Brickwork upto 21 Floor, Internal Plaster upto 13.65 Floor, External Plaster upto 13.65 Floor</v>
      </c>
    </row>
    <row r="90" spans="1:10" x14ac:dyDescent="0.3">
      <c r="A90" s="16" t="s">
        <v>140</v>
      </c>
      <c r="B90" s="54">
        <v>0</v>
      </c>
      <c r="C90" s="54" t="s">
        <v>72</v>
      </c>
      <c r="D90" s="54">
        <v>1</v>
      </c>
      <c r="E90" s="54" t="s">
        <v>71</v>
      </c>
      <c r="F90" s="54">
        <v>0</v>
      </c>
      <c r="G90" s="54" t="s">
        <v>81</v>
      </c>
      <c r="H90" s="17">
        <f ca="1">--TRIM(RIGHT(SUBSTITUTE(LEFT(C89,_xlfn.AGGREGATE(16,6,FIND({0,1,2,3,4,5,6,7,8,9},C89,ROW(INDIRECT("1:"&amp;LEN(C89)))),1))," ",REPT(" ",LEN(C89))),LEN(C89)))</f>
        <v>29</v>
      </c>
      <c r="I90" s="50" t="str">
        <f ca="1">IF(D93=100%,"Excavation","")&amp;IF(D94=100%,", Plinth","")&amp;IF(D95=100%,", RCC Slab","")&amp;IF(D96=100%,", Brickwork","")&amp;IF(D97=100%,", Internal Plaster","")&amp;IF(D98=100%,", External Plaster","")&amp;IF(D99=100%,", Flooring","")&amp;IF(D100=100%,", Painting","")&amp;IF(D101=100%,", Building common Amenities","")</f>
        <v>Excavation, Plinth</v>
      </c>
      <c r="J90" s="51" t="str">
        <f ca="1">(IF(C93=0,"Work not yet Started.",IF(D93=25%,"Piling work in process",IF(D93=50%,"Excavation work in process",IF(D93=100%,"","0")))))&amp;(IF(C94=0%,"",IF(C94=J95,", Footing work is process",IF(C94=J96,", Footing work Completed",IF(C94=J97,", 1st Basement Completed",IF(C94=J98,", 1st &amp; 2nd Basement Completed",IF(C94=J99,", 1st to 3rd Basement Completed",IF(C94=J100,", 1st to 4th Basement Completed",IF(C94=J101,", Plinth work is process",IF(C94=J102,"","0"))))))))))</f>
        <v/>
      </c>
    </row>
    <row r="91" spans="1:10" ht="33" customHeight="1" x14ac:dyDescent="0.3">
      <c r="A91" s="85" t="s">
        <v>90</v>
      </c>
      <c r="B91" s="86"/>
      <c r="C91" s="87" t="str">
        <f ca="1">I89</f>
        <v>Excavation, Plinth Completed, RCC upto 22 Slab, Brickwork upto 21 Floor, Internal Plaster upto 13.65 Floor, External Plaster upto 13.65 Floor Completed</v>
      </c>
      <c r="D91" s="87"/>
      <c r="E91" s="87"/>
      <c r="F91" s="87"/>
      <c r="G91" s="87"/>
      <c r="H91" s="88"/>
      <c r="I91" s="50" t="str">
        <f ca="1">IF(I90&lt;&gt;""," Completed","")</f>
        <v xml:space="preserve"> Completed</v>
      </c>
      <c r="J91" s="51" t="str">
        <f ca="1">IF(J89&lt;&gt;"","Completed","")</f>
        <v>Completed</v>
      </c>
    </row>
    <row r="92" spans="1:10" ht="15.75" customHeight="1" x14ac:dyDescent="0.3">
      <c r="A92" s="89" t="s">
        <v>48</v>
      </c>
      <c r="B92" s="90"/>
      <c r="C92" s="56" t="s">
        <v>138</v>
      </c>
      <c r="D92" s="56" t="s">
        <v>84</v>
      </c>
      <c r="E92" s="90" t="s">
        <v>86</v>
      </c>
      <c r="F92" s="90"/>
      <c r="G92" s="90" t="s">
        <v>85</v>
      </c>
      <c r="H92" s="91"/>
      <c r="I92" s="14" t="s">
        <v>139</v>
      </c>
      <c r="J92" s="28">
        <f ca="1">H90*25%</f>
        <v>7.25</v>
      </c>
    </row>
    <row r="93" spans="1:10" x14ac:dyDescent="0.3">
      <c r="A93" s="71" t="s">
        <v>127</v>
      </c>
      <c r="B93" s="71"/>
      <c r="C93" s="44">
        <f ca="1">J94</f>
        <v>29</v>
      </c>
      <c r="D93" s="19">
        <f ca="1">((100/H90)*C93)/100</f>
        <v>1</v>
      </c>
      <c r="E93" s="92">
        <f ca="1">(((C94/H90*10)+(40/(D90+F90+H90)*C95)+(7.5/(H90)*C96)+(7.5/(H90)*C97)+(10/H90*C98)+(10/H90*C99)+(5/H90*C100)+(5/H90*C101)+(5/H90*C102))/100)</f>
        <v>0.5300143678160919</v>
      </c>
      <c r="F93" s="92"/>
      <c r="G93" s="92">
        <f ca="1">((((C93/H90)*20)+((C94/H90)*25)+(30/(H90+F90+D90)*C95)+(5/H90*C96)+(5/H90*C97)+(5/H90*C98)+(5/H90*C99)+(0/H90*C100)+(0/H90*C101)+(5/H90*C102))/100)</f>
        <v>0.75327586206896546</v>
      </c>
      <c r="H93" s="92"/>
      <c r="I93" s="14" t="s">
        <v>97</v>
      </c>
      <c r="J93" s="29">
        <f ca="1">H90*50%</f>
        <v>14.5</v>
      </c>
    </row>
    <row r="94" spans="1:10" x14ac:dyDescent="0.3">
      <c r="A94" s="71" t="s">
        <v>49</v>
      </c>
      <c r="B94" s="71"/>
      <c r="C94" s="59">
        <v>29</v>
      </c>
      <c r="D94" s="19">
        <f ca="1">((100/H90)*C94)/100</f>
        <v>1</v>
      </c>
      <c r="E94" s="92"/>
      <c r="F94" s="92"/>
      <c r="G94" s="92"/>
      <c r="H94" s="92"/>
      <c r="I94" s="14" t="s">
        <v>98</v>
      </c>
      <c r="J94" s="29">
        <f ca="1">H90</f>
        <v>29</v>
      </c>
    </row>
    <row r="95" spans="1:10" ht="15.75" customHeight="1" x14ac:dyDescent="0.3">
      <c r="A95" s="71" t="s">
        <v>128</v>
      </c>
      <c r="B95" s="71"/>
      <c r="C95" s="44">
        <v>22</v>
      </c>
      <c r="D95" s="19">
        <f ca="1">((100/(D90+F90+H90))*C95)/100</f>
        <v>0.73333333333333339</v>
      </c>
      <c r="E95" s="92"/>
      <c r="F95" s="92"/>
      <c r="G95" s="92"/>
      <c r="H95" s="92"/>
      <c r="I95" s="14" t="s">
        <v>99</v>
      </c>
      <c r="J95" s="30">
        <f ca="1">(IF(B90&gt;1,(H90/(B90+2)),H90/4))</f>
        <v>7.25</v>
      </c>
    </row>
    <row r="96" spans="1:10" ht="15.75" customHeight="1" x14ac:dyDescent="0.3">
      <c r="A96" s="71" t="s">
        <v>135</v>
      </c>
      <c r="B96" s="71" t="s">
        <v>129</v>
      </c>
      <c r="C96" s="44">
        <f>C95-1</f>
        <v>21</v>
      </c>
      <c r="D96" s="19">
        <f ca="1">((100/H90)*C96)/100</f>
        <v>0.72413793103448265</v>
      </c>
      <c r="E96" s="92"/>
      <c r="F96" s="92"/>
      <c r="G96" s="92"/>
      <c r="H96" s="92"/>
      <c r="I96" s="14" t="s">
        <v>100</v>
      </c>
      <c r="J96" s="30">
        <f ca="1">(IF(B90&gt;1,(H90/(B90+2)+J95),H90/4+J95))</f>
        <v>14.5</v>
      </c>
    </row>
    <row r="97" spans="1:10" ht="15.75" customHeight="1" x14ac:dyDescent="0.3">
      <c r="A97" s="71" t="s">
        <v>136</v>
      </c>
      <c r="B97" s="71" t="s">
        <v>129</v>
      </c>
      <c r="C97" s="59">
        <f>C96*0.65</f>
        <v>13.65</v>
      </c>
      <c r="D97" s="19">
        <f ca="1">((100/H90)*C97)/100</f>
        <v>0.47068965517241379</v>
      </c>
      <c r="E97" s="92"/>
      <c r="F97" s="92"/>
      <c r="G97" s="92"/>
      <c r="H97" s="92"/>
      <c r="I97" s="14" t="s">
        <v>144</v>
      </c>
      <c r="J97" s="30">
        <f>(IF(B90&gt;1,(H90/(B90+2)+J96),0))</f>
        <v>0</v>
      </c>
    </row>
    <row r="98" spans="1:10" ht="15" customHeight="1" x14ac:dyDescent="0.3">
      <c r="A98" s="71" t="s">
        <v>134</v>
      </c>
      <c r="B98" s="71" t="s">
        <v>131</v>
      </c>
      <c r="C98" s="59">
        <f>C97</f>
        <v>13.65</v>
      </c>
      <c r="D98" s="19">
        <f ca="1">((100/(H90))*C98)/100</f>
        <v>0.47068965517241379</v>
      </c>
      <c r="E98" s="92"/>
      <c r="F98" s="92"/>
      <c r="G98" s="92"/>
      <c r="H98" s="92"/>
      <c r="I98" s="14" t="s">
        <v>141</v>
      </c>
      <c r="J98" s="30">
        <f>(IF(B90&gt;2,(H90/(B90+2)+J97),0))</f>
        <v>0</v>
      </c>
    </row>
    <row r="99" spans="1:10" ht="15.75" customHeight="1" x14ac:dyDescent="0.3">
      <c r="A99" s="71" t="s">
        <v>130</v>
      </c>
      <c r="B99" s="71" t="s">
        <v>130</v>
      </c>
      <c r="C99" s="44">
        <v>0</v>
      </c>
      <c r="D99" s="19">
        <f ca="1">((100/H90)*C99)/100</f>
        <v>0</v>
      </c>
      <c r="E99" s="92"/>
      <c r="F99" s="92"/>
      <c r="G99" s="92"/>
      <c r="H99" s="92"/>
      <c r="I99" s="14" t="s">
        <v>142</v>
      </c>
      <c r="J99" s="31">
        <f>(IF(B90&gt;3,(H90/(B90+2)+J98),0))</f>
        <v>0</v>
      </c>
    </row>
    <row r="100" spans="1:10" ht="15.75" customHeight="1" x14ac:dyDescent="0.3">
      <c r="A100" s="71" t="s">
        <v>137</v>
      </c>
      <c r="B100" s="71"/>
      <c r="C100" s="44">
        <v>0</v>
      </c>
      <c r="D100" s="19">
        <f ca="1">((100/H90)*C100)/100</f>
        <v>0</v>
      </c>
      <c r="E100" s="92"/>
      <c r="F100" s="92"/>
      <c r="G100" s="92"/>
      <c r="H100" s="92"/>
      <c r="I100" s="14" t="s">
        <v>143</v>
      </c>
      <c r="J100" s="30">
        <f>(IF(B90&gt;4,(H90/(B90+2)+J99),0))</f>
        <v>0</v>
      </c>
    </row>
    <row r="101" spans="1:10" ht="15.75" customHeight="1" x14ac:dyDescent="0.3">
      <c r="A101" s="71" t="s">
        <v>132</v>
      </c>
      <c r="B101" s="71" t="s">
        <v>132</v>
      </c>
      <c r="C101" s="44">
        <v>0</v>
      </c>
      <c r="D101" s="19">
        <f ca="1">((100/(H90))*C101)/100</f>
        <v>0</v>
      </c>
      <c r="E101" s="92"/>
      <c r="F101" s="92"/>
      <c r="G101" s="92"/>
      <c r="H101" s="92"/>
      <c r="I101" s="14" t="s">
        <v>145</v>
      </c>
      <c r="J101" s="30">
        <f ca="1">(IF(B90=1,(H90/(B90+3)+J96),IF(B90=0,(H90/4+J96),IF(B90&gt;1,0))))</f>
        <v>21.75</v>
      </c>
    </row>
    <row r="102" spans="1:10" ht="16.2" thickBot="1" x14ac:dyDescent="0.35">
      <c r="A102" s="71" t="s">
        <v>133</v>
      </c>
      <c r="B102" s="71"/>
      <c r="C102" s="44">
        <v>0</v>
      </c>
      <c r="D102" s="19">
        <f ca="1">((100/(H90))*C102)/100</f>
        <v>0</v>
      </c>
      <c r="E102" s="92"/>
      <c r="F102" s="92"/>
      <c r="G102" s="92"/>
      <c r="H102" s="92"/>
      <c r="I102" s="15" t="s">
        <v>101</v>
      </c>
      <c r="J102" s="32">
        <f ca="1">(IF(B90&gt;1.5,(H90/(B90+2)+J96+MAX(0,J97-J96)+MAX(0,J98-J97)+MAX(0,J99-J98)+MAX(0,J100-J99)+MAX(0,J101-J100)),IF(B90=1,(H90/(B90+3)+J101),IF(B90=0,H90/4+J101))))</f>
        <v>29</v>
      </c>
    </row>
    <row r="103" spans="1:10" ht="51.75" customHeight="1" x14ac:dyDescent="0.3">
      <c r="A103" s="80" t="s">
        <v>273</v>
      </c>
      <c r="B103" s="81"/>
      <c r="C103" s="82" t="s">
        <v>297</v>
      </c>
      <c r="D103" s="83"/>
      <c r="E103" s="83"/>
      <c r="F103" s="83"/>
      <c r="G103" s="83"/>
      <c r="H103" s="84"/>
      <c r="I103" s="48" t="str">
        <f ca="1">IF(D116=100%,"All work Completed. Possession granted to the Building.",IF(D115=100%,"All work Completed, Waiting for OC",I104&amp;""&amp;I105&amp;""&amp;J104&amp;""&amp;J103&amp;" "&amp;J105))</f>
        <v>Excavation, Plinth Completed, RCC upto 22 Slab, Brickwork upto 21 Floor, Internal Plaster upto 13.65 Floor, External Plaster upto 13.65 Floor Completed</v>
      </c>
      <c r="J103" s="49" t="str">
        <f ca="1">(IF(C109=(D104+F104+H104),"",IF(C109&gt;0,", RCC upto "&amp;C109&amp;" Slab","")))&amp;(IF(C110=H104,"",IF(C110&gt;0,", Brickwork upto "&amp;C110&amp;" Floor","")))&amp;(IF(C111=H104,"",IF(C111&gt;0,", Internal Plaster upto "&amp;C111&amp;" Floor","")))&amp;(IF(C112=H104,"",IF(C112&gt;0,", External Plaster upto "&amp;C112&amp;" Floor","")))&amp;(IF(C113=H104,"",IF(C113&gt;0,", Flooring upto "&amp;C113&amp;" Floor","")))&amp;(IF(C114=H104,"",IF(C114&gt;0,", Painting upto "&amp;C114&amp;" Floor","")))&amp;(IF(C115=H104,"",IF(C115&gt;0,", Finishing upto "&amp;C115&amp;" Floor","")))&amp;(IF(C116=H104,"",IF(C116&gt;0,", Possession upto "&amp;C116&amp;" Floor","")))</f>
        <v>, RCC upto 22 Slab, Brickwork upto 21 Floor, Internal Plaster upto 13.65 Floor, External Plaster upto 13.65 Floor</v>
      </c>
    </row>
    <row r="104" spans="1:10" x14ac:dyDescent="0.3">
      <c r="A104" s="16" t="s">
        <v>140</v>
      </c>
      <c r="B104" s="54">
        <v>0</v>
      </c>
      <c r="C104" s="54" t="s">
        <v>72</v>
      </c>
      <c r="D104" s="54">
        <v>1</v>
      </c>
      <c r="E104" s="54" t="s">
        <v>71</v>
      </c>
      <c r="F104" s="54">
        <v>0</v>
      </c>
      <c r="G104" s="54" t="s">
        <v>81</v>
      </c>
      <c r="H104" s="17">
        <f ca="1">--TRIM(RIGHT(SUBSTITUTE(LEFT(C103,_xlfn.AGGREGATE(16,6,FIND({0,1,2,3,4,5,6,7,8,9},C103,ROW(INDIRECT("1:"&amp;LEN(C103)))),1))," ",REPT(" ",LEN(C103))),LEN(C103)))</f>
        <v>29</v>
      </c>
      <c r="I104" s="50" t="str">
        <f ca="1">IF(D107=100%,"Excavation","")&amp;IF(D108=100%,", Plinth","")&amp;IF(D109=100%,", RCC Slab","")&amp;IF(D110=100%,", Brickwork","")&amp;IF(D111=100%,", Internal Plaster","")&amp;IF(D112=100%,", External Plaster","")&amp;IF(D113=100%,", Flooring","")&amp;IF(D114=100%,", Painting","")&amp;IF(D115=100%,", Building common Amenities","")</f>
        <v>Excavation, Plinth</v>
      </c>
      <c r="J104" s="51" t="str">
        <f ca="1">(IF(C107=0,"Work not yet Started.",IF(D107=25%,"Piling work in process",IF(D107=50%,"Excavation work in process",IF(D107=100%,"","0")))))&amp;(IF(C108=0%,"",IF(C108=J109,", Footing work is process",IF(C108=J110,", Footing work Completed",IF(C108=J111,", 1st Basement Completed",IF(C108=J112,", 1st &amp; 2nd Basement Completed",IF(C108=J113,", 1st to 3rd Basement Completed",IF(C108=J114,", 1st to 4th Basement Completed",IF(C108=J115,", Plinth work is process",IF(C108=J116,"","0"))))))))))</f>
        <v/>
      </c>
    </row>
    <row r="105" spans="1:10" ht="33.75" customHeight="1" x14ac:dyDescent="0.3">
      <c r="A105" s="85" t="s">
        <v>90</v>
      </c>
      <c r="B105" s="86"/>
      <c r="C105" s="87" t="str">
        <f ca="1">I103</f>
        <v>Excavation, Plinth Completed, RCC upto 22 Slab, Brickwork upto 21 Floor, Internal Plaster upto 13.65 Floor, External Plaster upto 13.65 Floor Completed</v>
      </c>
      <c r="D105" s="87"/>
      <c r="E105" s="87"/>
      <c r="F105" s="87"/>
      <c r="G105" s="87"/>
      <c r="H105" s="88"/>
      <c r="I105" s="50" t="str">
        <f ca="1">IF(I104&lt;&gt;""," Completed","")</f>
        <v xml:space="preserve"> Completed</v>
      </c>
      <c r="J105" s="51" t="str">
        <f ca="1">IF(J103&lt;&gt;"","Completed","")</f>
        <v>Completed</v>
      </c>
    </row>
    <row r="106" spans="1:10" ht="15.75" customHeight="1" x14ac:dyDescent="0.3">
      <c r="A106" s="89" t="s">
        <v>48</v>
      </c>
      <c r="B106" s="90"/>
      <c r="C106" s="56" t="s">
        <v>138</v>
      </c>
      <c r="D106" s="56" t="s">
        <v>84</v>
      </c>
      <c r="E106" s="90" t="s">
        <v>86</v>
      </c>
      <c r="F106" s="90"/>
      <c r="G106" s="90" t="s">
        <v>85</v>
      </c>
      <c r="H106" s="91"/>
      <c r="I106" s="14" t="s">
        <v>139</v>
      </c>
      <c r="J106" s="28">
        <f ca="1">H104*25%</f>
        <v>7.25</v>
      </c>
    </row>
    <row r="107" spans="1:10" x14ac:dyDescent="0.3">
      <c r="A107" s="71" t="s">
        <v>127</v>
      </c>
      <c r="B107" s="71"/>
      <c r="C107" s="44">
        <f ca="1">J108</f>
        <v>29</v>
      </c>
      <c r="D107" s="19">
        <f ca="1">((100/H104)*C107)/100</f>
        <v>1</v>
      </c>
      <c r="E107" s="92">
        <f ca="1">(((C108/H104*10)+(40/(D104+F104+H104)*C109)+(7.5/(H104)*C110)+(7.5/(H104)*C111)+(10/H104*C112)+(10/H104*C113)+(5/H104*C114)+(5/H104*C115)+(5/H104*C116))/100)</f>
        <v>0.5300143678160919</v>
      </c>
      <c r="F107" s="92"/>
      <c r="G107" s="92">
        <f ca="1">((((C107/H104)*20)+((C108/H104)*25)+(30/(H104+F104+D104)*C109)+(5/H104*C110)+(5/H104*C111)+(5/H104*C112)+(5/H104*C113)+(0/H104*C114)+(0/H104*C115)+(5/H104*C116))/100)</f>
        <v>0.75327586206896546</v>
      </c>
      <c r="H107" s="92"/>
      <c r="I107" s="14" t="s">
        <v>97</v>
      </c>
      <c r="J107" s="29">
        <f ca="1">H104*50%</f>
        <v>14.5</v>
      </c>
    </row>
    <row r="108" spans="1:10" x14ac:dyDescent="0.3">
      <c r="A108" s="71" t="s">
        <v>49</v>
      </c>
      <c r="B108" s="71"/>
      <c r="C108" s="59">
        <v>29</v>
      </c>
      <c r="D108" s="19">
        <f ca="1">((100/H104)*C108)/100</f>
        <v>1</v>
      </c>
      <c r="E108" s="92"/>
      <c r="F108" s="92"/>
      <c r="G108" s="92"/>
      <c r="H108" s="92"/>
      <c r="I108" s="14" t="s">
        <v>98</v>
      </c>
      <c r="J108" s="29">
        <f ca="1">H104</f>
        <v>29</v>
      </c>
    </row>
    <row r="109" spans="1:10" ht="15.75" customHeight="1" x14ac:dyDescent="0.3">
      <c r="A109" s="71" t="s">
        <v>128</v>
      </c>
      <c r="B109" s="71"/>
      <c r="C109" s="44">
        <v>22</v>
      </c>
      <c r="D109" s="19">
        <f ca="1">((100/(D104+F104+H104))*C109)/100</f>
        <v>0.73333333333333339</v>
      </c>
      <c r="E109" s="92"/>
      <c r="F109" s="92"/>
      <c r="G109" s="92"/>
      <c r="H109" s="92"/>
      <c r="I109" s="14" t="s">
        <v>99</v>
      </c>
      <c r="J109" s="30">
        <f ca="1">(IF(B104&gt;1,(H104/(B104+2)),H104/4))</f>
        <v>7.25</v>
      </c>
    </row>
    <row r="110" spans="1:10" ht="15.75" customHeight="1" x14ac:dyDescent="0.3">
      <c r="A110" s="71" t="s">
        <v>135</v>
      </c>
      <c r="B110" s="71" t="s">
        <v>129</v>
      </c>
      <c r="C110" s="44">
        <f>C109-1</f>
        <v>21</v>
      </c>
      <c r="D110" s="19">
        <f ca="1">((100/H104)*C110)/100</f>
        <v>0.72413793103448265</v>
      </c>
      <c r="E110" s="92"/>
      <c r="F110" s="92"/>
      <c r="G110" s="92"/>
      <c r="H110" s="92"/>
      <c r="I110" s="14" t="s">
        <v>100</v>
      </c>
      <c r="J110" s="30">
        <f ca="1">(IF(B104&gt;1,(H104/(B104+2)+J109),H104/4+J109))</f>
        <v>14.5</v>
      </c>
    </row>
    <row r="111" spans="1:10" ht="15.75" customHeight="1" x14ac:dyDescent="0.3">
      <c r="A111" s="71" t="s">
        <v>136</v>
      </c>
      <c r="B111" s="71" t="s">
        <v>129</v>
      </c>
      <c r="C111" s="59">
        <f>C110*0.65</f>
        <v>13.65</v>
      </c>
      <c r="D111" s="19">
        <f ca="1">((100/H104)*C111)/100</f>
        <v>0.47068965517241379</v>
      </c>
      <c r="E111" s="92"/>
      <c r="F111" s="92"/>
      <c r="G111" s="92"/>
      <c r="H111" s="92"/>
      <c r="I111" s="14" t="s">
        <v>144</v>
      </c>
      <c r="J111" s="30">
        <f>(IF(B104&gt;1,(H104/(B104+2)+J110),0))</f>
        <v>0</v>
      </c>
    </row>
    <row r="112" spans="1:10" ht="15" customHeight="1" x14ac:dyDescent="0.3">
      <c r="A112" s="71" t="s">
        <v>134</v>
      </c>
      <c r="B112" s="71" t="s">
        <v>131</v>
      </c>
      <c r="C112" s="59">
        <f>C111</f>
        <v>13.65</v>
      </c>
      <c r="D112" s="19">
        <f ca="1">((100/(H104))*C112)/100</f>
        <v>0.47068965517241379</v>
      </c>
      <c r="E112" s="92"/>
      <c r="F112" s="92"/>
      <c r="G112" s="92"/>
      <c r="H112" s="92"/>
      <c r="I112" s="14" t="s">
        <v>141</v>
      </c>
      <c r="J112" s="30">
        <f>(IF(B104&gt;2,(H104/(B104+2)+J111),0))</f>
        <v>0</v>
      </c>
    </row>
    <row r="113" spans="1:11" ht="15.75" customHeight="1" x14ac:dyDescent="0.3">
      <c r="A113" s="71" t="s">
        <v>130</v>
      </c>
      <c r="B113" s="71" t="s">
        <v>130</v>
      </c>
      <c r="C113" s="44">
        <v>0</v>
      </c>
      <c r="D113" s="19">
        <f ca="1">((100/H104)*C113)/100</f>
        <v>0</v>
      </c>
      <c r="E113" s="92"/>
      <c r="F113" s="92"/>
      <c r="G113" s="92"/>
      <c r="H113" s="92"/>
      <c r="I113" s="14" t="s">
        <v>142</v>
      </c>
      <c r="J113" s="31">
        <f>(IF(B104&gt;3,(H104/(B104+2)+J112),0))</f>
        <v>0</v>
      </c>
    </row>
    <row r="114" spans="1:11" ht="15.75" customHeight="1" x14ac:dyDescent="0.3">
      <c r="A114" s="71" t="s">
        <v>137</v>
      </c>
      <c r="B114" s="71"/>
      <c r="C114" s="44">
        <v>0</v>
      </c>
      <c r="D114" s="19">
        <f ca="1">((100/H104)*C114)/100</f>
        <v>0</v>
      </c>
      <c r="E114" s="92"/>
      <c r="F114" s="92"/>
      <c r="G114" s="92"/>
      <c r="H114" s="92"/>
      <c r="I114" s="14" t="s">
        <v>143</v>
      </c>
      <c r="J114" s="30">
        <f>(IF(B104&gt;4,(H104/(B104+2)+J113),0))</f>
        <v>0</v>
      </c>
    </row>
    <row r="115" spans="1:11" ht="15.75" customHeight="1" x14ac:dyDescent="0.3">
      <c r="A115" s="71" t="s">
        <v>132</v>
      </c>
      <c r="B115" s="71" t="s">
        <v>132</v>
      </c>
      <c r="C115" s="44">
        <v>0</v>
      </c>
      <c r="D115" s="19">
        <f ca="1">((100/(H104))*C115)/100</f>
        <v>0</v>
      </c>
      <c r="E115" s="92"/>
      <c r="F115" s="92"/>
      <c r="G115" s="92"/>
      <c r="H115" s="92"/>
      <c r="I115" s="14" t="s">
        <v>145</v>
      </c>
      <c r="J115" s="30">
        <f ca="1">(IF(B104=1,(H104/(B104+3)+J110),IF(B104=0,(H104/4+J110),IF(B104&gt;1,0))))</f>
        <v>21.75</v>
      </c>
    </row>
    <row r="116" spans="1:11" ht="16.2" thickBot="1" x14ac:dyDescent="0.35">
      <c r="A116" s="71" t="s">
        <v>133</v>
      </c>
      <c r="B116" s="71"/>
      <c r="C116" s="44">
        <v>0</v>
      </c>
      <c r="D116" s="19">
        <f ca="1">((100/(H104))*C116)/100</f>
        <v>0</v>
      </c>
      <c r="E116" s="92"/>
      <c r="F116" s="92"/>
      <c r="G116" s="92"/>
      <c r="H116" s="92"/>
      <c r="I116" s="15" t="s">
        <v>101</v>
      </c>
      <c r="J116" s="32">
        <f ca="1">(IF(B104&gt;1.5,(H104/(B104+2)+J110+MAX(0,J111-J110)+MAX(0,J112-J111)+MAX(0,J113-J112)+MAX(0,J114-J113)+MAX(0,J115-J114)),IF(B104=1,(H104/(B104+3)+J115),IF(B104=0,H104/4+J115))))</f>
        <v>29</v>
      </c>
    </row>
    <row r="117" spans="1:11" ht="51.75" customHeight="1" x14ac:dyDescent="0.3">
      <c r="A117" s="134" t="s">
        <v>273</v>
      </c>
      <c r="B117" s="134"/>
      <c r="C117" s="87" t="s">
        <v>296</v>
      </c>
      <c r="D117" s="87"/>
      <c r="E117" s="87"/>
      <c r="F117" s="87"/>
      <c r="G117" s="87"/>
      <c r="H117" s="87"/>
      <c r="I117" s="67" t="str">
        <f ca="1">IF(D130=100%,"All work Completed. Possession granted to the Building.",IF(D129=100%,"All work Completed, Waiting for OC",I118&amp;""&amp;I119&amp;""&amp;J118&amp;""&amp;J117&amp;" "&amp;J119))</f>
        <v>Excavation, Plinth Completed, RCC upto 18 Slab, Brickwork upto 17 Floor, Internal Plaster upto 11.05 Floor, External Plaster upto 11.05 Floor Completed</v>
      </c>
      <c r="J117" s="49" t="str">
        <f ca="1">(IF(C123=(D118+F118+H118),"",IF(C123&gt;0,", RCC upto "&amp;C123&amp;" Slab","")))&amp;(IF(C124=H118,"",IF(C124&gt;0,", Brickwork upto "&amp;C124&amp;" Floor","")))&amp;(IF(C125=H118,"",IF(C125&gt;0,", Internal Plaster upto "&amp;C125&amp;" Floor","")))&amp;(IF(C126=H118,"",IF(C126&gt;0,", External Plaster upto "&amp;C126&amp;" Floor","")))&amp;(IF(C127=H118,"",IF(C127&gt;0,", Flooring upto "&amp;C127&amp;" Floor","")))&amp;(IF(C128=H118,"",IF(C128&gt;0,", Painting upto "&amp;C128&amp;" Floor","")))&amp;(IF(C129=H118,"",IF(C129&gt;0,", Finishing upto "&amp;C129&amp;" Floor","")))&amp;(IF(C130=H118,"",IF(C130&gt;0,", Possession upto "&amp;C130&amp;" Floor","")))</f>
        <v>, RCC upto 18 Slab, Brickwork upto 17 Floor, Internal Plaster upto 11.05 Floor, External Plaster upto 11.05 Floor</v>
      </c>
    </row>
    <row r="118" spans="1:11" x14ac:dyDescent="0.3">
      <c r="A118" s="16" t="s">
        <v>140</v>
      </c>
      <c r="B118" s="54">
        <v>0</v>
      </c>
      <c r="C118" s="54" t="s">
        <v>72</v>
      </c>
      <c r="D118" s="54">
        <v>1</v>
      </c>
      <c r="E118" s="54" t="s">
        <v>71</v>
      </c>
      <c r="F118" s="54">
        <v>0</v>
      </c>
      <c r="G118" s="54" t="s">
        <v>81</v>
      </c>
      <c r="H118" s="17">
        <f ca="1">--TRIM(RIGHT(SUBSTITUTE(LEFT(C117,_xlfn.AGGREGATE(16,6,FIND({0,1,2,3,4,5,6,7,8,9},C117,ROW(INDIRECT("1:"&amp;LEN(C117)))),1))," ",REPT(" ",LEN(C117))),LEN(C117)))</f>
        <v>29</v>
      </c>
      <c r="I118" s="50" t="str">
        <f ca="1">IF(D121=100%,"Excavation","")&amp;IF(D122=100%,", Plinth","")&amp;IF(D123=100%,", RCC Slab","")&amp;IF(D124=100%,", Brickwork","")&amp;IF(D125=100%,", Internal Plaster","")&amp;IF(D126=100%,", External Plaster","")&amp;IF(D127=100%,", Flooring","")&amp;IF(D128=100%,", Painting","")&amp;IF(D129=100%,", Building common Amenities","")</f>
        <v>Excavation, Plinth</v>
      </c>
      <c r="J118" s="51" t="str">
        <f ca="1">(IF(C121=0,"Work not yet Started.",IF(D121=25%,"Piling work in process",IF(D121=50%,"Excavation work in process",IF(D121=100%,"","0")))))&amp;(IF(C122=0%,"",IF(C122=J123,", Footing work is process",IF(C122=J124,", Footing work Completed",IF(C122=J125,", 1st Basement Completed",IF(C122=J126,", 1st &amp; 2nd Basement Completed",IF(C122=J127,", 1st to 3rd Basement Completed",IF(C122=J128,", 1st to 4th Basement Completed",IF(C122=J129,", Plinth work is process",IF(C122=J130,"","0"))))))))))</f>
        <v/>
      </c>
    </row>
    <row r="119" spans="1:11" ht="36" customHeight="1" x14ac:dyDescent="0.3">
      <c r="A119" s="85" t="s">
        <v>90</v>
      </c>
      <c r="B119" s="86"/>
      <c r="C119" s="87" t="str">
        <f ca="1">I117</f>
        <v>Excavation, Plinth Completed, RCC upto 18 Slab, Brickwork upto 17 Floor, Internal Plaster upto 11.05 Floor, External Plaster upto 11.05 Floor Completed</v>
      </c>
      <c r="D119" s="87"/>
      <c r="E119" s="87"/>
      <c r="F119" s="87"/>
      <c r="G119" s="87"/>
      <c r="H119" s="88"/>
      <c r="I119" s="50" t="str">
        <f ca="1">IF(I118&lt;&gt;""," Completed","")</f>
        <v xml:space="preserve"> Completed</v>
      </c>
      <c r="J119" s="51" t="str">
        <f ca="1">IF(J117&lt;&gt;"","Completed","")</f>
        <v>Completed</v>
      </c>
    </row>
    <row r="120" spans="1:11" ht="15.75" customHeight="1" x14ac:dyDescent="0.3">
      <c r="A120" s="89" t="s">
        <v>48</v>
      </c>
      <c r="B120" s="90"/>
      <c r="C120" s="56" t="s">
        <v>138</v>
      </c>
      <c r="D120" s="56" t="s">
        <v>84</v>
      </c>
      <c r="E120" s="90" t="s">
        <v>86</v>
      </c>
      <c r="F120" s="90"/>
      <c r="G120" s="90" t="s">
        <v>85</v>
      </c>
      <c r="H120" s="91"/>
      <c r="I120" s="14" t="s">
        <v>139</v>
      </c>
      <c r="J120" s="28">
        <f ca="1">H118*25%</f>
        <v>7.25</v>
      </c>
    </row>
    <row r="121" spans="1:11" x14ac:dyDescent="0.3">
      <c r="A121" s="70" t="s">
        <v>127</v>
      </c>
      <c r="B121" s="71"/>
      <c r="C121" s="44">
        <f ca="1">J122</f>
        <v>29</v>
      </c>
      <c r="D121" s="19">
        <f ca="1">((100/H118)*C121)/100</f>
        <v>1</v>
      </c>
      <c r="E121" s="135">
        <f ca="1">(((C122/H118*10)+(40/(D118+F118+H118)*C123)+(7.5/(H118)*C124)+(7.5/(H118)*C125)+(10/H118*C126)+(10/H118*C127)+(5/H118*C128)+(5/H118*C129)+(5/H118*C130))/100)</f>
        <v>0.45064655172413792</v>
      </c>
      <c r="F121" s="136"/>
      <c r="G121" s="135">
        <f ca="1">((((C121/H118)*20)+((C122/H118)*25)+(30/(H118+F118+D118)*C123)+(5/H118*C124)+(5/H118*C125)+(5/H118*C126)+(5/H118*C127)+(0/H118*C128)+(0/H118*C129)+(5/H118*C130))/100)</f>
        <v>0.69741379310344842</v>
      </c>
      <c r="H121" s="141"/>
      <c r="I121" s="14" t="s">
        <v>97</v>
      </c>
      <c r="J121" s="29">
        <f ca="1">H118*50%</f>
        <v>14.5</v>
      </c>
      <c r="K121" s="69" t="s">
        <v>299</v>
      </c>
    </row>
    <row r="122" spans="1:11" x14ac:dyDescent="0.3">
      <c r="A122" s="70" t="s">
        <v>49</v>
      </c>
      <c r="B122" s="71"/>
      <c r="C122" s="59">
        <v>29</v>
      </c>
      <c r="D122" s="19">
        <f ca="1">((100/H118)*C122)/100</f>
        <v>1</v>
      </c>
      <c r="E122" s="137"/>
      <c r="F122" s="138"/>
      <c r="G122" s="137"/>
      <c r="H122" s="142"/>
      <c r="I122" s="14" t="s">
        <v>98</v>
      </c>
      <c r="J122" s="29">
        <f ca="1">H118</f>
        <v>29</v>
      </c>
      <c r="K122" s="68" t="s">
        <v>300</v>
      </c>
    </row>
    <row r="123" spans="1:11" ht="15.75" customHeight="1" x14ac:dyDescent="0.3">
      <c r="A123" s="70" t="s">
        <v>128</v>
      </c>
      <c r="B123" s="71"/>
      <c r="C123" s="44">
        <v>18</v>
      </c>
      <c r="D123" s="19">
        <f ca="1">((100/(D118+F118+H118))*C123)/100</f>
        <v>0.6</v>
      </c>
      <c r="E123" s="137"/>
      <c r="F123" s="138"/>
      <c r="G123" s="137"/>
      <c r="H123" s="142"/>
      <c r="I123" s="14" t="s">
        <v>99</v>
      </c>
      <c r="J123" s="30">
        <f ca="1">(IF(B118&gt;1,(H118/(B118+2)),H118/4))</f>
        <v>7.25</v>
      </c>
    </row>
    <row r="124" spans="1:11" ht="15.75" customHeight="1" x14ac:dyDescent="0.3">
      <c r="A124" s="70" t="s">
        <v>135</v>
      </c>
      <c r="B124" s="71" t="s">
        <v>129</v>
      </c>
      <c r="C124" s="44">
        <f>C123-1</f>
        <v>17</v>
      </c>
      <c r="D124" s="19">
        <f ca="1">((100/H118)*C124)/100</f>
        <v>0.58620689655172409</v>
      </c>
      <c r="E124" s="137"/>
      <c r="F124" s="138"/>
      <c r="G124" s="137"/>
      <c r="H124" s="142"/>
      <c r="I124" s="14" t="s">
        <v>100</v>
      </c>
      <c r="J124" s="30">
        <f ca="1">(IF(B118&gt;1,(H118/(B118+2)+J123),H118/4+J123))</f>
        <v>14.5</v>
      </c>
    </row>
    <row r="125" spans="1:11" ht="15.75" customHeight="1" x14ac:dyDescent="0.3">
      <c r="A125" s="70" t="s">
        <v>136</v>
      </c>
      <c r="B125" s="71" t="s">
        <v>129</v>
      </c>
      <c r="C125" s="59">
        <f>C124*0.65</f>
        <v>11.05</v>
      </c>
      <c r="D125" s="19">
        <f ca="1">((100/H118)*C125)/100</f>
        <v>0.38103448275862073</v>
      </c>
      <c r="E125" s="137"/>
      <c r="F125" s="138"/>
      <c r="G125" s="137"/>
      <c r="H125" s="142"/>
      <c r="I125" s="14" t="s">
        <v>144</v>
      </c>
      <c r="J125" s="30">
        <f>(IF(B118&gt;1,(H118/(B118+2)+J124),0))</f>
        <v>0</v>
      </c>
    </row>
    <row r="126" spans="1:11" ht="15" customHeight="1" x14ac:dyDescent="0.3">
      <c r="A126" s="70" t="s">
        <v>134</v>
      </c>
      <c r="B126" s="71" t="s">
        <v>131</v>
      </c>
      <c r="C126" s="59">
        <f>C125</f>
        <v>11.05</v>
      </c>
      <c r="D126" s="19">
        <f ca="1">((100/(H118))*C126)/100</f>
        <v>0.38103448275862073</v>
      </c>
      <c r="E126" s="137"/>
      <c r="F126" s="138"/>
      <c r="G126" s="137"/>
      <c r="H126" s="142"/>
      <c r="I126" s="14" t="s">
        <v>141</v>
      </c>
      <c r="J126" s="30">
        <f>(IF(B118&gt;2,(H118/(B118+2)+J125),0))</f>
        <v>0</v>
      </c>
    </row>
    <row r="127" spans="1:11" ht="15.75" customHeight="1" x14ac:dyDescent="0.3">
      <c r="A127" s="70" t="s">
        <v>130</v>
      </c>
      <c r="B127" s="71" t="s">
        <v>130</v>
      </c>
      <c r="C127" s="44">
        <v>0</v>
      </c>
      <c r="D127" s="19">
        <f ca="1">((100/H118)*C127)/100</f>
        <v>0</v>
      </c>
      <c r="E127" s="137"/>
      <c r="F127" s="138"/>
      <c r="G127" s="137"/>
      <c r="H127" s="142"/>
      <c r="I127" s="14" t="s">
        <v>142</v>
      </c>
      <c r="J127" s="31">
        <f>(IF(B118&gt;3,(H118/(B118+2)+J126),0))</f>
        <v>0</v>
      </c>
    </row>
    <row r="128" spans="1:11" ht="15.75" customHeight="1" x14ac:dyDescent="0.3">
      <c r="A128" s="70" t="s">
        <v>137</v>
      </c>
      <c r="B128" s="71"/>
      <c r="C128" s="44">
        <v>0</v>
      </c>
      <c r="D128" s="19">
        <f ca="1">((100/H118)*C128)/100</f>
        <v>0</v>
      </c>
      <c r="E128" s="137"/>
      <c r="F128" s="138"/>
      <c r="G128" s="137"/>
      <c r="H128" s="142"/>
      <c r="I128" s="14" t="s">
        <v>143</v>
      </c>
      <c r="J128" s="30">
        <f>(IF(B118&gt;4,(H118/(B118+2)+J127),0))</f>
        <v>0</v>
      </c>
    </row>
    <row r="129" spans="1:10" ht="15.75" customHeight="1" x14ac:dyDescent="0.3">
      <c r="A129" s="70" t="s">
        <v>132</v>
      </c>
      <c r="B129" s="71" t="s">
        <v>132</v>
      </c>
      <c r="C129" s="44">
        <v>0</v>
      </c>
      <c r="D129" s="19">
        <f ca="1">((100/(H118))*C129)/100</f>
        <v>0</v>
      </c>
      <c r="E129" s="137"/>
      <c r="F129" s="138"/>
      <c r="G129" s="137"/>
      <c r="H129" s="142"/>
      <c r="I129" s="14" t="s">
        <v>145</v>
      </c>
      <c r="J129" s="30">
        <f ca="1">(IF(B118=1,(H118/(B118+3)+J124),IF(B118=0,(H118/4+J124),IF(B118&gt;1,0))))</f>
        <v>21.75</v>
      </c>
    </row>
    <row r="130" spans="1:10" ht="16.2" thickBot="1" x14ac:dyDescent="0.35">
      <c r="A130" s="72" t="s">
        <v>133</v>
      </c>
      <c r="B130" s="73"/>
      <c r="C130" s="45">
        <v>0</v>
      </c>
      <c r="D130" s="20">
        <f ca="1">((100/(H118))*C130)/100</f>
        <v>0</v>
      </c>
      <c r="E130" s="139"/>
      <c r="F130" s="140"/>
      <c r="G130" s="139"/>
      <c r="H130" s="143"/>
      <c r="I130" s="15" t="s">
        <v>101</v>
      </c>
      <c r="J130" s="32">
        <f ca="1">(IF(B118&gt;1.5,(H118/(B118+2)+J124+MAX(0,J125-J124)+MAX(0,J126-J125)+MAX(0,J127-J126)+MAX(0,J128-J127)+MAX(0,J129-J128)),IF(B118=1,(H118/(B118+3)+J129),IF(B118=0,H118/4+J129))))</f>
        <v>29</v>
      </c>
    </row>
    <row r="131" spans="1:10" ht="54.75" customHeight="1" x14ac:dyDescent="0.3">
      <c r="A131" s="204" t="s">
        <v>275</v>
      </c>
      <c r="B131" s="204"/>
      <c r="C131" s="87" t="s">
        <v>276</v>
      </c>
      <c r="D131" s="87"/>
      <c r="E131" s="87"/>
      <c r="F131" s="87"/>
      <c r="G131" s="87"/>
      <c r="H131" s="87"/>
      <c r="I131" s="67" t="str">
        <f ca="1">IF(D144=100%,"All work Completed. Possession granted to the Building.",IF(D143=100%,"All work Completed, Waiting for OC",I132&amp;""&amp;I133&amp;""&amp;J132&amp;""&amp;J131&amp;" "&amp;J133))</f>
        <v>Excavation, Plinth Completed, RCC upto 6 Slab, Brickwork upto 5 Floor, Internal Plaster upto 3.25 Floor, External Plaster upto 3.25 Floor Completed</v>
      </c>
      <c r="J131" s="49" t="str">
        <f ca="1">(IF(C137=(D132+F132+H132),"",IF(C137&gt;0,", RCC upto "&amp;C137&amp;" Slab","")))&amp;(IF(C138=H132,"",IF(C138&gt;0,", Brickwork upto "&amp;C138&amp;" Floor","")))&amp;(IF(C139=H132,"",IF(C139&gt;0,", Internal Plaster upto "&amp;C139&amp;" Floor","")))&amp;(IF(C140=H132,"",IF(C140&gt;0,", External Plaster upto "&amp;C140&amp;" Floor","")))&amp;(IF(C141=H132,"",IF(C141&gt;0,", Flooring upto "&amp;C141&amp;" Floor","")))&amp;(IF(C142=H132,"",IF(C142&gt;0,", Painting upto "&amp;C142&amp;" Floor","")))&amp;(IF(C143=H132,"",IF(C143&gt;0,", Finishing upto "&amp;C143&amp;" Floor","")))&amp;(IF(C144=H132,"",IF(C144&gt;0,", Possession upto "&amp;C144&amp;" Floor","")))</f>
        <v>, RCC upto 6 Slab, Brickwork upto 5 Floor, Internal Plaster upto 3.25 Floor, External Plaster upto 3.25 Floor</v>
      </c>
    </row>
    <row r="132" spans="1:10" x14ac:dyDescent="0.3">
      <c r="A132" s="16" t="s">
        <v>140</v>
      </c>
      <c r="B132" s="54">
        <v>0</v>
      </c>
      <c r="C132" s="54" t="s">
        <v>72</v>
      </c>
      <c r="D132" s="54">
        <v>1</v>
      </c>
      <c r="E132" s="54" t="s">
        <v>71</v>
      </c>
      <c r="F132" s="54">
        <v>0</v>
      </c>
      <c r="G132" s="54" t="s">
        <v>81</v>
      </c>
      <c r="H132" s="17">
        <f ca="1">--TRIM(RIGHT(SUBSTITUTE(LEFT(C131,_xlfn.AGGREGATE(16,6,FIND({0,1,2,3,4,5,6,7,8,9},C131,ROW(INDIRECT("1:"&amp;LEN(C131)))),1))," ",REPT(" ",LEN(C131))),LEN(C131)))</f>
        <v>35</v>
      </c>
      <c r="I132" s="50" t="str">
        <f ca="1">IF(D135=100%,"Excavation","")&amp;IF(D136=100%,", Plinth","")&amp;IF(D137=100%,", RCC Slab","")&amp;IF(D138=100%,", Brickwork","")&amp;IF(D139=100%,", Internal Plaster","")&amp;IF(D140=100%,", External Plaster","")&amp;IF(D141=100%,", Flooring","")&amp;IF(D142=100%,", Painting","")&amp;IF(D143=100%,", Building common Amenities","")</f>
        <v>Excavation, Plinth</v>
      </c>
      <c r="J132" s="51" t="str">
        <f ca="1">(IF(C135=0,"Work not yet Started.",IF(D135=25%,"Piling work in process",IF(D135=50%,"Excavation work in process",IF(D135=100%,"","0")))))&amp;(IF(C136=0%,"",IF(C136=J137,", Footing work is process",IF(C136=J138,", Footing work Completed",IF(C136=J139,", 1st Basement Completed",IF(C136=J140,", 1st &amp; 2nd Basement Completed",IF(C136=J141,", 1st to 3rd Basement Completed",IF(C136=J142,", 1st to 4th Basement Completed",IF(C136=J143,", Plinth work is process",IF(C136=J144,"","0"))))))))))</f>
        <v/>
      </c>
    </row>
    <row r="133" spans="1:10" ht="35.25" customHeight="1" x14ac:dyDescent="0.3">
      <c r="A133" s="85" t="s">
        <v>90</v>
      </c>
      <c r="B133" s="86"/>
      <c r="C133" s="87" t="str">
        <f ca="1">I131</f>
        <v>Excavation, Plinth Completed, RCC upto 6 Slab, Brickwork upto 5 Floor, Internal Plaster upto 3.25 Floor, External Plaster upto 3.25 Floor Completed</v>
      </c>
      <c r="D133" s="87"/>
      <c r="E133" s="87"/>
      <c r="F133" s="87"/>
      <c r="G133" s="87"/>
      <c r="H133" s="88"/>
      <c r="I133" s="50" t="str">
        <f ca="1">IF(I132&lt;&gt;""," Completed","")</f>
        <v xml:space="preserve"> Completed</v>
      </c>
      <c r="J133" s="51" t="str">
        <f ca="1">IF(J131&lt;&gt;"","Completed","")</f>
        <v>Completed</v>
      </c>
    </row>
    <row r="134" spans="1:10" ht="15.75" customHeight="1" x14ac:dyDescent="0.3">
      <c r="A134" s="89" t="s">
        <v>48</v>
      </c>
      <c r="B134" s="90"/>
      <c r="C134" s="56" t="s">
        <v>138</v>
      </c>
      <c r="D134" s="56" t="s">
        <v>84</v>
      </c>
      <c r="E134" s="90" t="s">
        <v>86</v>
      </c>
      <c r="F134" s="90"/>
      <c r="G134" s="90" t="s">
        <v>85</v>
      </c>
      <c r="H134" s="91"/>
      <c r="I134" s="14" t="s">
        <v>139</v>
      </c>
      <c r="J134" s="28">
        <f ca="1">H132*25%</f>
        <v>8.75</v>
      </c>
    </row>
    <row r="135" spans="1:10" x14ac:dyDescent="0.3">
      <c r="A135" s="70" t="s">
        <v>127</v>
      </c>
      <c r="B135" s="71"/>
      <c r="C135" s="44">
        <v>35</v>
      </c>
      <c r="D135" s="19">
        <f ca="1">((100/H132)*C135)/100</f>
        <v>1</v>
      </c>
      <c r="E135" s="135">
        <f ca="1">(((C136/H132*10)+(40/(D132+F132+H132)*C137)+(7.5/(H132)*C138)+(7.5/(H132)*C139)+(10/H132*C140)+(10/H132*C141)+(5/H132*C142)+(5/H132*C143)+(5/H132*C144))/100)</f>
        <v>0.1936309523809524</v>
      </c>
      <c r="F135" s="136"/>
      <c r="G135" s="135">
        <f ca="1">((((C135/H132)*20)+((C136/H132)*25)+(30/(H132+F132+D132)*C137)+(5/H132*C138)+(5/H132*C139)+(5/H132*C140)+(5/H132*C141)+(0/H132*C142)+(0/H132*C143)+(5/H132*C144))/100)</f>
        <v>0.51642857142857146</v>
      </c>
      <c r="H135" s="141"/>
      <c r="I135" s="14" t="s">
        <v>97</v>
      </c>
      <c r="J135" s="29">
        <f ca="1">H132*50%</f>
        <v>17.5</v>
      </c>
    </row>
    <row r="136" spans="1:10" x14ac:dyDescent="0.3">
      <c r="A136" s="70" t="s">
        <v>49</v>
      </c>
      <c r="B136" s="71"/>
      <c r="C136" s="59">
        <v>35</v>
      </c>
      <c r="D136" s="19">
        <f ca="1">((100/H132)*C136)/100</f>
        <v>1</v>
      </c>
      <c r="E136" s="137"/>
      <c r="F136" s="138"/>
      <c r="G136" s="137"/>
      <c r="H136" s="142"/>
      <c r="I136" s="14" t="s">
        <v>98</v>
      </c>
      <c r="J136" s="29">
        <f ca="1">H132</f>
        <v>35</v>
      </c>
    </row>
    <row r="137" spans="1:10" ht="15.75" customHeight="1" x14ac:dyDescent="0.3">
      <c r="A137" s="70" t="s">
        <v>128</v>
      </c>
      <c r="B137" s="71"/>
      <c r="C137" s="44">
        <v>6</v>
      </c>
      <c r="D137" s="19">
        <f ca="1">((100/(D132+F132+H132))*C137)/100</f>
        <v>0.16666666666666663</v>
      </c>
      <c r="E137" s="137"/>
      <c r="F137" s="138"/>
      <c r="G137" s="137"/>
      <c r="H137" s="142"/>
      <c r="I137" s="14" t="s">
        <v>99</v>
      </c>
      <c r="J137" s="30">
        <f ca="1">(IF(B132&gt;1,(H132/(B132+2)),H132/4))</f>
        <v>8.75</v>
      </c>
    </row>
    <row r="138" spans="1:10" ht="15.75" customHeight="1" x14ac:dyDescent="0.3">
      <c r="A138" s="70" t="s">
        <v>135</v>
      </c>
      <c r="B138" s="71" t="s">
        <v>129</v>
      </c>
      <c r="C138" s="44">
        <f>C137-1</f>
        <v>5</v>
      </c>
      <c r="D138" s="19">
        <f ca="1">((100/H132)*C138)/100</f>
        <v>0.14285714285714288</v>
      </c>
      <c r="E138" s="137"/>
      <c r="F138" s="138"/>
      <c r="G138" s="137"/>
      <c r="H138" s="142"/>
      <c r="I138" s="14" t="s">
        <v>100</v>
      </c>
      <c r="J138" s="30">
        <f ca="1">(IF(B132&gt;1,(H132/(B132+2)+J137),H132/4+J137))</f>
        <v>17.5</v>
      </c>
    </row>
    <row r="139" spans="1:10" ht="15.75" customHeight="1" x14ac:dyDescent="0.3">
      <c r="A139" s="70" t="s">
        <v>136</v>
      </c>
      <c r="B139" s="71" t="s">
        <v>129</v>
      </c>
      <c r="C139" s="59">
        <f>C138*0.65</f>
        <v>3.25</v>
      </c>
      <c r="D139" s="19">
        <f ca="1">((100/H132)*C139)/100</f>
        <v>9.285714285714286E-2</v>
      </c>
      <c r="E139" s="137"/>
      <c r="F139" s="138"/>
      <c r="G139" s="137"/>
      <c r="H139" s="142"/>
      <c r="I139" s="14" t="s">
        <v>144</v>
      </c>
      <c r="J139" s="30">
        <f>(IF(B132&gt;1,(H132/(B132+2)+J138),0))</f>
        <v>0</v>
      </c>
    </row>
    <row r="140" spans="1:10" ht="15" customHeight="1" x14ac:dyDescent="0.3">
      <c r="A140" s="70" t="s">
        <v>134</v>
      </c>
      <c r="B140" s="71" t="s">
        <v>131</v>
      </c>
      <c r="C140" s="59">
        <f>C139</f>
        <v>3.25</v>
      </c>
      <c r="D140" s="19">
        <f ca="1">((100/(H132))*C140)/100</f>
        <v>9.285714285714286E-2</v>
      </c>
      <c r="E140" s="137"/>
      <c r="F140" s="138"/>
      <c r="G140" s="137"/>
      <c r="H140" s="142"/>
      <c r="I140" s="14" t="s">
        <v>141</v>
      </c>
      <c r="J140" s="30">
        <f>(IF(B132&gt;2,(H132/(B132+2)+J139),0))</f>
        <v>0</v>
      </c>
    </row>
    <row r="141" spans="1:10" ht="15.75" customHeight="1" x14ac:dyDescent="0.3">
      <c r="A141" s="70" t="s">
        <v>130</v>
      </c>
      <c r="B141" s="71" t="s">
        <v>130</v>
      </c>
      <c r="C141" s="44">
        <v>0</v>
      </c>
      <c r="D141" s="19">
        <f ca="1">((100/H132)*C141)/100</f>
        <v>0</v>
      </c>
      <c r="E141" s="137"/>
      <c r="F141" s="138"/>
      <c r="G141" s="137"/>
      <c r="H141" s="142"/>
      <c r="I141" s="14" t="s">
        <v>142</v>
      </c>
      <c r="J141" s="31">
        <f>(IF(B132&gt;3,(H132/(B132+2)+J140),0))</f>
        <v>0</v>
      </c>
    </row>
    <row r="142" spans="1:10" ht="15.75" customHeight="1" x14ac:dyDescent="0.3">
      <c r="A142" s="70" t="s">
        <v>137</v>
      </c>
      <c r="B142" s="71"/>
      <c r="C142" s="44">
        <v>0</v>
      </c>
      <c r="D142" s="19">
        <f ca="1">((100/H132)*C142)/100</f>
        <v>0</v>
      </c>
      <c r="E142" s="137"/>
      <c r="F142" s="138"/>
      <c r="G142" s="137"/>
      <c r="H142" s="142"/>
      <c r="I142" s="14" t="s">
        <v>143</v>
      </c>
      <c r="J142" s="30">
        <f>(IF(B132&gt;4,(H132/(B132+2)+J141),0))</f>
        <v>0</v>
      </c>
    </row>
    <row r="143" spans="1:10" ht="15.75" customHeight="1" x14ac:dyDescent="0.3">
      <c r="A143" s="70" t="s">
        <v>132</v>
      </c>
      <c r="B143" s="71" t="s">
        <v>132</v>
      </c>
      <c r="C143" s="44">
        <v>0</v>
      </c>
      <c r="D143" s="19">
        <f ca="1">((100/(H132))*C143)/100</f>
        <v>0</v>
      </c>
      <c r="E143" s="137"/>
      <c r="F143" s="138"/>
      <c r="G143" s="137"/>
      <c r="H143" s="142"/>
      <c r="I143" s="14" t="s">
        <v>145</v>
      </c>
      <c r="J143" s="30">
        <f ca="1">(IF(B132=1,(H132/(B132+3)+J138),IF(B132=0,(H132/4+J138),IF(B132&gt;1,0))))</f>
        <v>26.25</v>
      </c>
    </row>
    <row r="144" spans="1:10" ht="16.2" thickBot="1" x14ac:dyDescent="0.35">
      <c r="A144" s="72" t="s">
        <v>133</v>
      </c>
      <c r="B144" s="73"/>
      <c r="C144" s="45">
        <v>0</v>
      </c>
      <c r="D144" s="20">
        <f ca="1">((100/(H132))*C144)/100</f>
        <v>0</v>
      </c>
      <c r="E144" s="139"/>
      <c r="F144" s="140"/>
      <c r="G144" s="139"/>
      <c r="H144" s="143"/>
      <c r="I144" s="15" t="s">
        <v>101</v>
      </c>
      <c r="J144" s="32">
        <f ca="1">(IF(B132&gt;1.5,(H132/(B132+2)+J138+MAX(0,J139-J138)+MAX(0,J140-J139)+MAX(0,J141-J140)+MAX(0,J142-J141)+MAX(0,J143-J142)),IF(B132=1,(H132/(B132+3)+J143),IF(B132=0,H132/4+J143))))</f>
        <v>35</v>
      </c>
    </row>
    <row r="145" spans="1:10" ht="52.5" customHeight="1" x14ac:dyDescent="0.3">
      <c r="A145" s="93" t="s">
        <v>275</v>
      </c>
      <c r="B145" s="94"/>
      <c r="C145" s="82" t="s">
        <v>277</v>
      </c>
      <c r="D145" s="83"/>
      <c r="E145" s="83"/>
      <c r="F145" s="83"/>
      <c r="G145" s="83"/>
      <c r="H145" s="84"/>
      <c r="I145" s="48" t="str">
        <f ca="1">IF(D158=100%,"All work Completed. Possession granted to the Building.",IF(D157=100%,"All work Completed, Waiting for OC",I146&amp;""&amp;I147&amp;""&amp;J146&amp;""&amp;J145&amp;" "&amp;J147))</f>
        <v>Excavation, Plinth Completed, RCC upto 10 Slab, Brickwork upto 9 Floor, Internal Plaster upto 6.75 Floor, External Plaster upto 6.5 Floor Completed</v>
      </c>
      <c r="J145" s="49" t="str">
        <f ca="1">(IF(C151=(D146+F146+H146),"",IF(C151&gt;0,", RCC upto "&amp;C151&amp;" Slab","")))&amp;(IF(C152=H146,"",IF(C152&gt;0,", Brickwork upto "&amp;C152&amp;" Floor","")))&amp;(IF(C153=H146,"",IF(C153&gt;0,", Internal Plaster upto "&amp;C153&amp;" Floor","")))&amp;(IF(C154=H146,"",IF(C154&gt;0,", External Plaster upto "&amp;C154&amp;" Floor","")))&amp;(IF(C155=H146,"",IF(C155&gt;0,", Flooring upto "&amp;C155&amp;" Floor","")))&amp;(IF(C156=H146,"",IF(C156&gt;0,", Painting upto "&amp;C156&amp;" Floor","")))&amp;(IF(C157=H146,"",IF(C157&gt;0,", Finishing upto "&amp;C157&amp;" Floor","")))&amp;(IF(C158=H146,"",IF(C158&gt;0,", Possession upto "&amp;C158&amp;" Floor","")))</f>
        <v>, RCC upto 10 Slab, Brickwork upto 9 Floor, Internal Plaster upto 6.75 Floor, External Plaster upto 6.5 Floor</v>
      </c>
    </row>
    <row r="146" spans="1:10" x14ac:dyDescent="0.3">
      <c r="A146" s="16" t="s">
        <v>140</v>
      </c>
      <c r="B146" s="54">
        <v>0</v>
      </c>
      <c r="C146" s="54" t="s">
        <v>72</v>
      </c>
      <c r="D146" s="54">
        <v>1</v>
      </c>
      <c r="E146" s="54" t="s">
        <v>71</v>
      </c>
      <c r="F146" s="54">
        <v>0</v>
      </c>
      <c r="G146" s="54" t="s">
        <v>81</v>
      </c>
      <c r="H146" s="17">
        <f ca="1">--TRIM(RIGHT(SUBSTITUTE(LEFT(C145,_xlfn.AGGREGATE(16,6,FIND({0,1,2,3,4,5,6,7,8,9},C145,ROW(INDIRECT("1:"&amp;LEN(C145)))),1))," ",REPT(" ",LEN(C145))),LEN(C145)))</f>
        <v>35</v>
      </c>
      <c r="I146" s="50" t="str">
        <f ca="1">IF(D149=100%,"Excavation","")&amp;IF(D150=100%,", Plinth","")&amp;IF(D151=100%,", RCC Slab","")&amp;IF(D152=100%,", Brickwork","")&amp;IF(D153=100%,", Internal Plaster","")&amp;IF(D154=100%,", External Plaster","")&amp;IF(D155=100%,", Flooring","")&amp;IF(D156=100%,", Painting","")&amp;IF(D157=100%,", Building common Amenities","")</f>
        <v>Excavation, Plinth</v>
      </c>
      <c r="J146" s="51" t="str">
        <f ca="1">(IF(C149=0,"Work not yet Started.",IF(D149=25%,"Piling work in process",IF(D149=50%,"Excavation work in process",IF(D149=100%,"","0")))))&amp;(IF(C150=0%,"",IF(C150=J151,", Footing work is process",IF(C150=J152,", Footing work Completed",IF(C150=J153,", 1st Basement Completed",IF(C150=J154,", 1st &amp; 2nd Basement Completed",IF(C150=J155,", 1st to 3rd Basement Completed",IF(C150=J156,", 1st to 4th Basement Completed",IF(C150=J157,", Plinth work is process",IF(C150=J158,"","0"))))))))))</f>
        <v/>
      </c>
    </row>
    <row r="147" spans="1:10" ht="33" customHeight="1" x14ac:dyDescent="0.3">
      <c r="A147" s="85" t="s">
        <v>90</v>
      </c>
      <c r="B147" s="86"/>
      <c r="C147" s="87" t="str">
        <f ca="1">I145</f>
        <v>Excavation, Plinth Completed, RCC upto 10 Slab, Brickwork upto 9 Floor, Internal Plaster upto 6.75 Floor, External Plaster upto 6.5 Floor Completed</v>
      </c>
      <c r="D147" s="87"/>
      <c r="E147" s="87"/>
      <c r="F147" s="87"/>
      <c r="G147" s="87"/>
      <c r="H147" s="88"/>
      <c r="I147" s="50" t="str">
        <f ca="1">IF(I146&lt;&gt;""," Completed","")</f>
        <v xml:space="preserve"> Completed</v>
      </c>
      <c r="J147" s="51" t="str">
        <f ca="1">IF(J145&lt;&gt;"","Completed","")</f>
        <v>Completed</v>
      </c>
    </row>
    <row r="148" spans="1:10" ht="15.75" customHeight="1" x14ac:dyDescent="0.3">
      <c r="A148" s="89" t="s">
        <v>48</v>
      </c>
      <c r="B148" s="90"/>
      <c r="C148" s="56" t="s">
        <v>138</v>
      </c>
      <c r="D148" s="56" t="s">
        <v>84</v>
      </c>
      <c r="E148" s="90" t="s">
        <v>86</v>
      </c>
      <c r="F148" s="90"/>
      <c r="G148" s="90" t="s">
        <v>85</v>
      </c>
      <c r="H148" s="91"/>
      <c r="I148" s="14" t="s">
        <v>139</v>
      </c>
      <c r="J148" s="28">
        <f ca="1">H146*25%</f>
        <v>8.75</v>
      </c>
    </row>
    <row r="149" spans="1:10" x14ac:dyDescent="0.3">
      <c r="A149" s="71" t="s">
        <v>127</v>
      </c>
      <c r="B149" s="71"/>
      <c r="C149" s="44">
        <v>35</v>
      </c>
      <c r="D149" s="19">
        <f ca="1">((100/H146)*C149)/100</f>
        <v>1</v>
      </c>
      <c r="E149" s="92">
        <f ca="1">(((C150/H146*10)+(40/(D146+F146+H146)*C151)+(7.5/(H146)*C152)+(7.5/(H146)*C153)+(10/H146*C154)+(10/H146*C155)+(5/H146*C156)+(5/H146*C157)+(5/H146*C158))/100)</f>
        <v>0.26343253968253966</v>
      </c>
      <c r="F149" s="92"/>
      <c r="G149" s="92">
        <f ca="1">((((C149/H146)*20)+((C150/H146)*25)+(30/(H146+F146+D146)*C151)+(5/H146*C152)+(5/H146*C153)+(5/H146*C154)+(5/H146*C155)+(0/H146*C156)+(0/H146*C157)+(5/H146*C158))/100)</f>
        <v>0.56511904761904763</v>
      </c>
      <c r="H149" s="92"/>
      <c r="I149" s="14" t="s">
        <v>97</v>
      </c>
      <c r="J149" s="29">
        <f ca="1">H146*50%</f>
        <v>17.5</v>
      </c>
    </row>
    <row r="150" spans="1:10" x14ac:dyDescent="0.3">
      <c r="A150" s="71" t="s">
        <v>49</v>
      </c>
      <c r="B150" s="71"/>
      <c r="C150" s="59">
        <v>35</v>
      </c>
      <c r="D150" s="19">
        <f ca="1">((100/H146)*C150)/100</f>
        <v>1</v>
      </c>
      <c r="E150" s="92"/>
      <c r="F150" s="92"/>
      <c r="G150" s="92"/>
      <c r="H150" s="92"/>
      <c r="I150" s="14" t="s">
        <v>98</v>
      </c>
      <c r="J150" s="29">
        <f ca="1">H146</f>
        <v>35</v>
      </c>
    </row>
    <row r="151" spans="1:10" ht="15.75" customHeight="1" x14ac:dyDescent="0.3">
      <c r="A151" s="71" t="s">
        <v>128</v>
      </c>
      <c r="B151" s="71"/>
      <c r="C151" s="44">
        <v>10</v>
      </c>
      <c r="D151" s="19">
        <f ca="1">((100/(D146+F146+H146))*C151)/100</f>
        <v>0.27777777777777779</v>
      </c>
      <c r="E151" s="92"/>
      <c r="F151" s="92"/>
      <c r="G151" s="92"/>
      <c r="H151" s="92"/>
      <c r="I151" s="14" t="s">
        <v>99</v>
      </c>
      <c r="J151" s="30">
        <f ca="1">(IF(B146&gt;1,(H146/(B146+2)),H146/4))</f>
        <v>8.75</v>
      </c>
    </row>
    <row r="152" spans="1:10" ht="15.75" customHeight="1" x14ac:dyDescent="0.3">
      <c r="A152" s="71" t="s">
        <v>135</v>
      </c>
      <c r="B152" s="71" t="s">
        <v>129</v>
      </c>
      <c r="C152" s="44">
        <f>C151-1</f>
        <v>9</v>
      </c>
      <c r="D152" s="19">
        <f ca="1">((100/H146)*C152)/100</f>
        <v>0.25714285714285717</v>
      </c>
      <c r="E152" s="92"/>
      <c r="F152" s="92"/>
      <c r="G152" s="92"/>
      <c r="H152" s="92"/>
      <c r="I152" s="14" t="s">
        <v>100</v>
      </c>
      <c r="J152" s="30">
        <f ca="1">(IF(B146&gt;1,(H146/(B146+2)+J151),H146/4+J151))</f>
        <v>17.5</v>
      </c>
    </row>
    <row r="153" spans="1:10" ht="15.75" customHeight="1" x14ac:dyDescent="0.3">
      <c r="A153" s="71" t="s">
        <v>136</v>
      </c>
      <c r="B153" s="71" t="s">
        <v>129</v>
      </c>
      <c r="C153" s="59">
        <f>C152*0.75</f>
        <v>6.75</v>
      </c>
      <c r="D153" s="19">
        <f ca="1">((100/H146)*C153)/100</f>
        <v>0.19285714285714284</v>
      </c>
      <c r="E153" s="92"/>
      <c r="F153" s="92"/>
      <c r="G153" s="92"/>
      <c r="H153" s="92"/>
      <c r="I153" s="14" t="s">
        <v>144</v>
      </c>
      <c r="J153" s="30">
        <f>(IF(B146&gt;1,(H146/(B146+2)+J152),0))</f>
        <v>0</v>
      </c>
    </row>
    <row r="154" spans="1:10" ht="15" customHeight="1" x14ac:dyDescent="0.3">
      <c r="A154" s="71" t="s">
        <v>134</v>
      </c>
      <c r="B154" s="71" t="s">
        <v>131</v>
      </c>
      <c r="C154" s="59">
        <f>C151*0.65</f>
        <v>6.5</v>
      </c>
      <c r="D154" s="19">
        <f ca="1">((100/(H146))*C154)/100</f>
        <v>0.18571428571428572</v>
      </c>
      <c r="E154" s="92"/>
      <c r="F154" s="92"/>
      <c r="G154" s="92"/>
      <c r="H154" s="92"/>
      <c r="I154" s="14" t="s">
        <v>141</v>
      </c>
      <c r="J154" s="30">
        <f>(IF(B146&gt;2,(H146/(B146+2)+J153),0))</f>
        <v>0</v>
      </c>
    </row>
    <row r="155" spans="1:10" ht="15.75" customHeight="1" x14ac:dyDescent="0.3">
      <c r="A155" s="71" t="s">
        <v>130</v>
      </c>
      <c r="B155" s="71" t="s">
        <v>130</v>
      </c>
      <c r="C155" s="44">
        <v>0</v>
      </c>
      <c r="D155" s="19">
        <f ca="1">((100/H146)*C155)/100</f>
        <v>0</v>
      </c>
      <c r="E155" s="92"/>
      <c r="F155" s="92"/>
      <c r="G155" s="92"/>
      <c r="H155" s="92"/>
      <c r="I155" s="14" t="s">
        <v>142</v>
      </c>
      <c r="J155" s="31">
        <f>(IF(B146&gt;3,(H146/(B146+2)+J154),0))</f>
        <v>0</v>
      </c>
    </row>
    <row r="156" spans="1:10" ht="15.75" customHeight="1" x14ac:dyDescent="0.3">
      <c r="A156" s="71" t="s">
        <v>137</v>
      </c>
      <c r="B156" s="71"/>
      <c r="C156" s="44">
        <v>0</v>
      </c>
      <c r="D156" s="19">
        <f ca="1">((100/H146)*C156)/100</f>
        <v>0</v>
      </c>
      <c r="E156" s="92"/>
      <c r="F156" s="92"/>
      <c r="G156" s="92"/>
      <c r="H156" s="92"/>
      <c r="I156" s="14" t="s">
        <v>143</v>
      </c>
      <c r="J156" s="30">
        <f>(IF(B146&gt;4,(H146/(B146+2)+J155),0))</f>
        <v>0</v>
      </c>
    </row>
    <row r="157" spans="1:10" ht="15.75" customHeight="1" x14ac:dyDescent="0.3">
      <c r="A157" s="71" t="s">
        <v>132</v>
      </c>
      <c r="B157" s="71" t="s">
        <v>132</v>
      </c>
      <c r="C157" s="44">
        <v>0</v>
      </c>
      <c r="D157" s="19">
        <f ca="1">((100/(H146))*C157)/100</f>
        <v>0</v>
      </c>
      <c r="E157" s="92"/>
      <c r="F157" s="92"/>
      <c r="G157" s="92"/>
      <c r="H157" s="92"/>
      <c r="I157" s="14" t="s">
        <v>145</v>
      </c>
      <c r="J157" s="30">
        <f ca="1">(IF(B146=1,(H146/(B146+3)+J152),IF(B146=0,(H146/4+J152),IF(B146&gt;1,0))))</f>
        <v>26.25</v>
      </c>
    </row>
    <row r="158" spans="1:10" ht="16.2" thickBot="1" x14ac:dyDescent="0.35">
      <c r="A158" s="71" t="s">
        <v>133</v>
      </c>
      <c r="B158" s="71"/>
      <c r="C158" s="44">
        <v>0</v>
      </c>
      <c r="D158" s="19">
        <f ca="1">((100/(H146))*C158)/100</f>
        <v>0</v>
      </c>
      <c r="E158" s="92"/>
      <c r="F158" s="92"/>
      <c r="G158" s="92"/>
      <c r="H158" s="92"/>
      <c r="I158" s="15" t="s">
        <v>101</v>
      </c>
      <c r="J158" s="32">
        <f ca="1">(IF(B146&gt;1.5,(H146/(B146+2)+J152+MAX(0,J153-J152)+MAX(0,J154-J153)+MAX(0,J155-J154)+MAX(0,J156-J155)+MAX(0,J157-J156)),IF(B146=1,(H146/(B146+3)+J157),IF(B146=0,H146/4+J157))))</f>
        <v>35</v>
      </c>
    </row>
    <row r="159" spans="1:10" ht="54" customHeight="1" x14ac:dyDescent="0.3">
      <c r="A159" s="173" t="s">
        <v>280</v>
      </c>
      <c r="B159" s="173"/>
      <c r="C159" s="87" t="s">
        <v>281</v>
      </c>
      <c r="D159" s="87"/>
      <c r="E159" s="87"/>
      <c r="F159" s="87"/>
      <c r="G159" s="87"/>
      <c r="H159" s="87"/>
      <c r="I159" s="67" t="str">
        <f ca="1">IF(D172=100%,"All work Completed. Possession granted to the Building.",IF(D171=100%,"All work Completed, Waiting for OC",I160&amp;""&amp;I161&amp;""&amp;J160&amp;""&amp;J159&amp;" "&amp;J161))</f>
        <v>Excavation, Plinth Completed, RCC upto 17 Slab, Brickwork upto 16 Floor, Internal Plaster upto 10.4 Floor, External Plaster upto 10.4 Floor Completed</v>
      </c>
      <c r="J159" s="49" t="str">
        <f ca="1">(IF(C165=(D160+F160+H160),"",IF(C165&gt;0,", RCC upto "&amp;C165&amp;" Slab","")))&amp;(IF(C166=H160,"",IF(C166&gt;0,", Brickwork upto "&amp;C166&amp;" Floor","")))&amp;(IF(C167=H160,"",IF(C167&gt;0,", Internal Plaster upto "&amp;C167&amp;" Floor","")))&amp;(IF(C168=H160,"",IF(C168&gt;0,", External Plaster upto "&amp;C168&amp;" Floor","")))&amp;(IF(C169=H160,"",IF(C169&gt;0,", Flooring upto "&amp;C169&amp;" Floor","")))&amp;(IF(C170=H160,"",IF(C170&gt;0,", Painting upto "&amp;C170&amp;" Floor","")))&amp;(IF(C171=H160,"",IF(C171&gt;0,", Finishing upto "&amp;C171&amp;" Floor","")))&amp;(IF(C172=H160,"",IF(C172&gt;0,", Possession upto "&amp;C172&amp;" Floor","")))</f>
        <v>, RCC upto 17 Slab, Brickwork upto 16 Floor, Internal Plaster upto 10.4 Floor, External Plaster upto 10.4 Floor</v>
      </c>
    </row>
    <row r="160" spans="1:10" x14ac:dyDescent="0.3">
      <c r="A160" s="16" t="s">
        <v>140</v>
      </c>
      <c r="B160" s="54">
        <v>0</v>
      </c>
      <c r="C160" s="54" t="s">
        <v>72</v>
      </c>
      <c r="D160" s="54">
        <v>1</v>
      </c>
      <c r="E160" s="54" t="s">
        <v>71</v>
      </c>
      <c r="F160" s="54">
        <v>0</v>
      </c>
      <c r="G160" s="54" t="s">
        <v>81</v>
      </c>
      <c r="H160" s="17">
        <f ca="1">--TRIM(RIGHT(SUBSTITUTE(LEFT(C159,_xlfn.AGGREGATE(16,6,FIND({0,1,2,3,4,5,6,7,8,9},C159,ROW(INDIRECT("1:"&amp;LEN(C159)))),1))," ",REPT(" ",LEN(C159))),LEN(C159)))</f>
        <v>35</v>
      </c>
      <c r="I160" s="50" t="str">
        <f ca="1">IF(D163=100%,"Excavation","")&amp;IF(D164=100%,", Plinth","")&amp;IF(D165=100%,", RCC Slab","")&amp;IF(D166=100%,", Brickwork","")&amp;IF(D167=100%,", Internal Plaster","")&amp;IF(D168=100%,", External Plaster","")&amp;IF(D169=100%,", Flooring","")&amp;IF(D170=100%,", Painting","")&amp;IF(D171=100%,", Building common Amenities","")</f>
        <v>Excavation, Plinth</v>
      </c>
      <c r="J160" s="51" t="str">
        <f ca="1">(IF(C163=0,"Work not yet Started.",IF(D163=25%,"Piling work in process",IF(D163=50%,"Excavation work in process",IF(D163=100%,"","0")))))&amp;(IF(C164=0%,"",IF(C164=J165,", Footing work is process",IF(C164=J166,", Footing work Completed",IF(C164=J167,", 1st Basement Completed",IF(C164=J168,", 1st &amp; 2nd Basement Completed",IF(C164=J169,", 1st to 3rd Basement Completed",IF(C164=J170,", 1st to 4th Basement Completed",IF(C164=J171,", Plinth work is process",IF(C164=J172,"","0"))))))))))</f>
        <v/>
      </c>
    </row>
    <row r="161" spans="1:10" ht="34.5" customHeight="1" x14ac:dyDescent="0.3">
      <c r="A161" s="85" t="s">
        <v>90</v>
      </c>
      <c r="B161" s="86"/>
      <c r="C161" s="87" t="str">
        <f ca="1">I159</f>
        <v>Excavation, Plinth Completed, RCC upto 17 Slab, Brickwork upto 16 Floor, Internal Plaster upto 10.4 Floor, External Plaster upto 10.4 Floor Completed</v>
      </c>
      <c r="D161" s="87"/>
      <c r="E161" s="87"/>
      <c r="F161" s="87"/>
      <c r="G161" s="87"/>
      <c r="H161" s="88"/>
      <c r="I161" s="50" t="str">
        <f ca="1">IF(I160&lt;&gt;""," Completed","")</f>
        <v xml:space="preserve"> Completed</v>
      </c>
      <c r="J161" s="51" t="str">
        <f ca="1">IF(J159&lt;&gt;"","Completed","")</f>
        <v>Completed</v>
      </c>
    </row>
    <row r="162" spans="1:10" ht="15.75" customHeight="1" x14ac:dyDescent="0.3">
      <c r="A162" s="89" t="s">
        <v>48</v>
      </c>
      <c r="B162" s="90"/>
      <c r="C162" s="56" t="s">
        <v>138</v>
      </c>
      <c r="D162" s="56" t="s">
        <v>84</v>
      </c>
      <c r="E162" s="90" t="s">
        <v>86</v>
      </c>
      <c r="F162" s="90"/>
      <c r="G162" s="90" t="s">
        <v>85</v>
      </c>
      <c r="H162" s="91"/>
      <c r="I162" s="14" t="s">
        <v>139</v>
      </c>
      <c r="J162" s="28">
        <f ca="1">H160*25%</f>
        <v>8.75</v>
      </c>
    </row>
    <row r="163" spans="1:10" x14ac:dyDescent="0.3">
      <c r="A163" s="70" t="s">
        <v>127</v>
      </c>
      <c r="B163" s="71"/>
      <c r="C163" s="44">
        <v>35</v>
      </c>
      <c r="D163" s="19">
        <f ca="1">((100/H160)*C163)/100</f>
        <v>1</v>
      </c>
      <c r="E163" s="135">
        <f ca="1">(((C164/H160*10)+(40/(D160+F160+H160)*C165)+(7.5/(H160)*C166)+(7.5/(H160)*C167)+(10/H160*C168)+(10/H160*C169)+(5/H160*C170)+(5/H160*C171)+(5/H160*C172))/100)</f>
        <v>0.37517460317460322</v>
      </c>
      <c r="F163" s="136"/>
      <c r="G163" s="135">
        <f ca="1">((((C163/H160)*20)+((C164/H160)*25)+(30/(H160+F160+D160)*C165)+(5/H160*C166)+(5/H160*C167)+(5/H160*C168)+(5/H160*C169)+(0/H160*C170)+(0/H160*C171)+(5/H160*C172))/100)</f>
        <v>0.64423809523809528</v>
      </c>
      <c r="H163" s="141"/>
      <c r="I163" s="14" t="s">
        <v>97</v>
      </c>
      <c r="J163" s="29">
        <f ca="1">H160*50%</f>
        <v>17.5</v>
      </c>
    </row>
    <row r="164" spans="1:10" x14ac:dyDescent="0.3">
      <c r="A164" s="70" t="s">
        <v>49</v>
      </c>
      <c r="B164" s="71"/>
      <c r="C164" s="59">
        <v>35</v>
      </c>
      <c r="D164" s="19">
        <f ca="1">((100/H160)*C164)/100</f>
        <v>1</v>
      </c>
      <c r="E164" s="137"/>
      <c r="F164" s="138"/>
      <c r="G164" s="137"/>
      <c r="H164" s="142"/>
      <c r="I164" s="14" t="s">
        <v>98</v>
      </c>
      <c r="J164" s="29">
        <f ca="1">H160</f>
        <v>35</v>
      </c>
    </row>
    <row r="165" spans="1:10" ht="15.75" customHeight="1" x14ac:dyDescent="0.3">
      <c r="A165" s="70" t="s">
        <v>128</v>
      </c>
      <c r="B165" s="71"/>
      <c r="C165" s="44">
        <v>17</v>
      </c>
      <c r="D165" s="19">
        <f ca="1">((100/(D160+F160+H160))*C165)/100</f>
        <v>0.47222222222222221</v>
      </c>
      <c r="E165" s="137"/>
      <c r="F165" s="138"/>
      <c r="G165" s="137"/>
      <c r="H165" s="142"/>
      <c r="I165" s="14" t="s">
        <v>99</v>
      </c>
      <c r="J165" s="30">
        <f ca="1">(IF(B160&gt;1,(H160/(B160+2)),H160/4))</f>
        <v>8.75</v>
      </c>
    </row>
    <row r="166" spans="1:10" ht="15.75" customHeight="1" x14ac:dyDescent="0.3">
      <c r="A166" s="70" t="s">
        <v>135</v>
      </c>
      <c r="B166" s="71" t="s">
        <v>129</v>
      </c>
      <c r="C166" s="44">
        <f>C165-1</f>
        <v>16</v>
      </c>
      <c r="D166" s="19">
        <f ca="1">((100/H160)*C166)/100</f>
        <v>0.45714285714285713</v>
      </c>
      <c r="E166" s="137"/>
      <c r="F166" s="138"/>
      <c r="G166" s="137"/>
      <c r="H166" s="142"/>
      <c r="I166" s="14" t="s">
        <v>100</v>
      </c>
      <c r="J166" s="30">
        <f ca="1">(IF(B160&gt;1,(H160/(B160+2)+J165),H160/4+J165))</f>
        <v>17.5</v>
      </c>
    </row>
    <row r="167" spans="1:10" ht="15.75" customHeight="1" x14ac:dyDescent="0.3">
      <c r="A167" s="70" t="s">
        <v>136</v>
      </c>
      <c r="B167" s="71" t="s">
        <v>129</v>
      </c>
      <c r="C167" s="59">
        <f>C166*0.65</f>
        <v>10.4</v>
      </c>
      <c r="D167" s="19">
        <f ca="1">((100/H160)*C167)/100</f>
        <v>0.29714285714285715</v>
      </c>
      <c r="E167" s="137"/>
      <c r="F167" s="138"/>
      <c r="G167" s="137"/>
      <c r="H167" s="142"/>
      <c r="I167" s="14" t="s">
        <v>144</v>
      </c>
      <c r="J167" s="30">
        <f>(IF(B160&gt;1,(H160/(B160+2)+J166),0))</f>
        <v>0</v>
      </c>
    </row>
    <row r="168" spans="1:10" ht="15" customHeight="1" x14ac:dyDescent="0.3">
      <c r="A168" s="70" t="s">
        <v>134</v>
      </c>
      <c r="B168" s="71" t="s">
        <v>131</v>
      </c>
      <c r="C168" s="59">
        <f>C167</f>
        <v>10.4</v>
      </c>
      <c r="D168" s="19">
        <f ca="1">((100/(H160))*C168)/100</f>
        <v>0.29714285714285715</v>
      </c>
      <c r="E168" s="137"/>
      <c r="F168" s="138"/>
      <c r="G168" s="137"/>
      <c r="H168" s="142"/>
      <c r="I168" s="14" t="s">
        <v>141</v>
      </c>
      <c r="J168" s="30">
        <f>(IF(B160&gt;2,(H160/(B160+2)+J167),0))</f>
        <v>0</v>
      </c>
    </row>
    <row r="169" spans="1:10" ht="15.75" customHeight="1" x14ac:dyDescent="0.3">
      <c r="A169" s="70" t="s">
        <v>130</v>
      </c>
      <c r="B169" s="71" t="s">
        <v>130</v>
      </c>
      <c r="C169" s="44">
        <v>0</v>
      </c>
      <c r="D169" s="19">
        <f ca="1">((100/H160)*C169)/100</f>
        <v>0</v>
      </c>
      <c r="E169" s="137"/>
      <c r="F169" s="138"/>
      <c r="G169" s="137"/>
      <c r="H169" s="142"/>
      <c r="I169" s="14" t="s">
        <v>142</v>
      </c>
      <c r="J169" s="31">
        <f>(IF(B160&gt;3,(H160/(B160+2)+J168),0))</f>
        <v>0</v>
      </c>
    </row>
    <row r="170" spans="1:10" ht="15.75" customHeight="1" x14ac:dyDescent="0.3">
      <c r="A170" s="70" t="s">
        <v>137</v>
      </c>
      <c r="B170" s="71"/>
      <c r="C170" s="44">
        <v>0</v>
      </c>
      <c r="D170" s="19">
        <f ca="1">((100/H160)*C170)/100</f>
        <v>0</v>
      </c>
      <c r="E170" s="137"/>
      <c r="F170" s="138"/>
      <c r="G170" s="137"/>
      <c r="H170" s="142"/>
      <c r="I170" s="14" t="s">
        <v>143</v>
      </c>
      <c r="J170" s="30">
        <f>(IF(B160&gt;4,(H160/(B160+2)+J169),0))</f>
        <v>0</v>
      </c>
    </row>
    <row r="171" spans="1:10" ht="15.75" customHeight="1" x14ac:dyDescent="0.3">
      <c r="A171" s="70" t="s">
        <v>132</v>
      </c>
      <c r="B171" s="71" t="s">
        <v>132</v>
      </c>
      <c r="C171" s="44">
        <v>0</v>
      </c>
      <c r="D171" s="19">
        <f ca="1">((100/(H160))*C171)/100</f>
        <v>0</v>
      </c>
      <c r="E171" s="137"/>
      <c r="F171" s="138"/>
      <c r="G171" s="137"/>
      <c r="H171" s="142"/>
      <c r="I171" s="14" t="s">
        <v>145</v>
      </c>
      <c r="J171" s="30">
        <f ca="1">(IF(B160=1,(H160/(B160+3)+J166),IF(B160=0,(H160/4+J166),IF(B160&gt;1,0))))</f>
        <v>26.25</v>
      </c>
    </row>
    <row r="172" spans="1:10" ht="16.2" thickBot="1" x14ac:dyDescent="0.35">
      <c r="A172" s="72" t="s">
        <v>133</v>
      </c>
      <c r="B172" s="73"/>
      <c r="C172" s="45">
        <v>0</v>
      </c>
      <c r="D172" s="20">
        <f ca="1">((100/(H160))*C172)/100</f>
        <v>0</v>
      </c>
      <c r="E172" s="139"/>
      <c r="F172" s="140"/>
      <c r="G172" s="139"/>
      <c r="H172" s="143"/>
      <c r="I172" s="15" t="s">
        <v>101</v>
      </c>
      <c r="J172" s="32">
        <f ca="1">(IF(B160&gt;1.5,(H160/(B160+2)+J166+MAX(0,J167-J166)+MAX(0,J168-J167)+MAX(0,J169-J168)+MAX(0,J170-J169)+MAX(0,J171-J170)),IF(B160=1,(H160/(B160+3)+J171),IF(B160=0,H160/4+J171))))</f>
        <v>35</v>
      </c>
    </row>
    <row r="173" spans="1:10" ht="52.5" customHeight="1" x14ac:dyDescent="0.3">
      <c r="A173" s="233" t="s">
        <v>282</v>
      </c>
      <c r="B173" s="234"/>
      <c r="C173" s="82" t="s">
        <v>283</v>
      </c>
      <c r="D173" s="83"/>
      <c r="E173" s="83"/>
      <c r="F173" s="83"/>
      <c r="G173" s="83"/>
      <c r="H173" s="84"/>
      <c r="I173" s="48" t="str">
        <f ca="1">IF(D186=100%,"All work Completed. Possession granted to the Building.",IF(D185=100%,"All work Completed, Waiting for OC",I174&amp;""&amp;I175&amp;""&amp;J174&amp;""&amp;J173&amp;" "&amp;J175))</f>
        <v>Excavation, Plinth Completed, RCC upto 15 Slab, Brickwork upto 14 Floor, Internal Plaster upto 9.1 Floor, External Plaster upto 9.1 Floor Completed</v>
      </c>
      <c r="J173" s="49" t="str">
        <f ca="1">(IF(C179=(D174+F174+H174),"",IF(C179&gt;0,", RCC upto "&amp;C179&amp;" Slab","")))&amp;(IF(C180=H174,"",IF(C180&gt;0,", Brickwork upto "&amp;C180&amp;" Floor","")))&amp;(IF(C181=H174,"",IF(C181&gt;0,", Internal Plaster upto "&amp;C181&amp;" Floor","")))&amp;(IF(C182=H174,"",IF(C182&gt;0,", External Plaster upto "&amp;C182&amp;" Floor","")))&amp;(IF(C183=H174,"",IF(C183&gt;0,", Flooring upto "&amp;C183&amp;" Floor","")))&amp;(IF(C184=H174,"",IF(C184&gt;0,", Painting upto "&amp;C184&amp;" Floor","")))&amp;(IF(C185=H174,"",IF(C185&gt;0,", Finishing upto "&amp;C185&amp;" Floor","")))&amp;(IF(C186=H174,"",IF(C186&gt;0,", Possession upto "&amp;C186&amp;" Floor","")))</f>
        <v>, RCC upto 15 Slab, Brickwork upto 14 Floor, Internal Plaster upto 9.1 Floor, External Plaster upto 9.1 Floor</v>
      </c>
    </row>
    <row r="174" spans="1:10" x14ac:dyDescent="0.3">
      <c r="A174" s="16" t="s">
        <v>140</v>
      </c>
      <c r="B174" s="54">
        <v>0</v>
      </c>
      <c r="C174" s="54" t="s">
        <v>72</v>
      </c>
      <c r="D174" s="54">
        <v>1</v>
      </c>
      <c r="E174" s="54" t="s">
        <v>71</v>
      </c>
      <c r="F174" s="54">
        <v>0</v>
      </c>
      <c r="G174" s="54" t="s">
        <v>81</v>
      </c>
      <c r="H174" s="17">
        <f ca="1">--TRIM(RIGHT(SUBSTITUTE(LEFT(C173,_xlfn.AGGREGATE(16,6,FIND({0,1,2,3,4,5,6,7,8,9},C173,ROW(INDIRECT("1:"&amp;LEN(C173)))),1))," ",REPT(" ",LEN(C173))),LEN(C173)))</f>
        <v>35</v>
      </c>
      <c r="I174" s="50" t="str">
        <f ca="1">IF(D177=100%,"Excavation","")&amp;IF(D178=100%,", Plinth","")&amp;IF(D179=100%,", RCC Slab","")&amp;IF(D180=100%,", Brickwork","")&amp;IF(D181=100%,", Internal Plaster","")&amp;IF(D182=100%,", External Plaster","")&amp;IF(D183=100%,", Flooring","")&amp;IF(D184=100%,", Painting","")&amp;IF(D185=100%,", Building common Amenities","")</f>
        <v>Excavation, Plinth</v>
      </c>
      <c r="J174" s="51" t="str">
        <f ca="1">(IF(C177=0,"Work not yet Started.",IF(D177=25%,"Piling work in process",IF(D177=50%,"Excavation work in process",IF(D177=100%,"","0")))))&amp;(IF(C178=0%,"",IF(C178=J179,", Footing work is process",IF(C178=J180,", Footing work Completed",IF(C178=J181,", 1st Basement Completed",IF(C178=J182,", 1st &amp; 2nd Basement Completed",IF(C178=J183,", 1st to 3rd Basement Completed",IF(C178=J184,", 1st to 4th Basement Completed",IF(C178=J185,", Plinth work is process",IF(C178=J186,"","0"))))))))))</f>
        <v/>
      </c>
    </row>
    <row r="175" spans="1:10" ht="33.75" customHeight="1" x14ac:dyDescent="0.3">
      <c r="A175" s="85" t="s">
        <v>90</v>
      </c>
      <c r="B175" s="86"/>
      <c r="C175" s="87" t="str">
        <f ca="1">I173</f>
        <v>Excavation, Plinth Completed, RCC upto 15 Slab, Brickwork upto 14 Floor, Internal Plaster upto 9.1 Floor, External Plaster upto 9.1 Floor Completed</v>
      </c>
      <c r="D175" s="87"/>
      <c r="E175" s="87"/>
      <c r="F175" s="87"/>
      <c r="G175" s="87"/>
      <c r="H175" s="88"/>
      <c r="I175" s="50" t="str">
        <f ca="1">IF(I174&lt;&gt;""," Completed","")</f>
        <v xml:space="preserve"> Completed</v>
      </c>
      <c r="J175" s="51" t="str">
        <f ca="1">IF(J173&lt;&gt;"","Completed","")</f>
        <v>Completed</v>
      </c>
    </row>
    <row r="176" spans="1:10" ht="15.75" customHeight="1" x14ac:dyDescent="0.3">
      <c r="A176" s="89" t="s">
        <v>48</v>
      </c>
      <c r="B176" s="90"/>
      <c r="C176" s="56" t="s">
        <v>138</v>
      </c>
      <c r="D176" s="56" t="s">
        <v>84</v>
      </c>
      <c r="E176" s="90" t="s">
        <v>86</v>
      </c>
      <c r="F176" s="90"/>
      <c r="G176" s="90" t="s">
        <v>85</v>
      </c>
      <c r="H176" s="91"/>
      <c r="I176" s="14" t="s">
        <v>139</v>
      </c>
      <c r="J176" s="28">
        <f ca="1">H174*25%</f>
        <v>8.75</v>
      </c>
    </row>
    <row r="177" spans="1:10" x14ac:dyDescent="0.3">
      <c r="A177" s="71" t="s">
        <v>127</v>
      </c>
      <c r="B177" s="71"/>
      <c r="C177" s="44">
        <v>35</v>
      </c>
      <c r="D177" s="19">
        <f ca="1">((100/H174)*C177)/100</f>
        <v>1</v>
      </c>
      <c r="E177" s="92">
        <f ca="1">(((C178/H174*10)+(40/(D174+F174+H174)*C179)+(7.5/(H174)*C180)+(7.5/(H174)*C181)+(10/H174*C182)+(10/H174*C183)+(5/H174*C184)+(5/H174*C185)+(5/H174*C186))/100)</f>
        <v>0.34216666666666667</v>
      </c>
      <c r="F177" s="92"/>
      <c r="G177" s="92">
        <f ca="1">((((C177/H174)*20)+((C178/H174)*25)+(30/(H174+F174+D174)*C179)+(5/H174*C180)+(5/H174*C181)+(5/H174*C182)+(5/H174*C183)+(0/H174*C184)+(0/H174*C185)+(5/H174*C186))/100)</f>
        <v>0.621</v>
      </c>
      <c r="H177" s="92"/>
      <c r="I177" s="14" t="s">
        <v>97</v>
      </c>
      <c r="J177" s="29">
        <f ca="1">H174*50%</f>
        <v>17.5</v>
      </c>
    </row>
    <row r="178" spans="1:10" x14ac:dyDescent="0.3">
      <c r="A178" s="71" t="s">
        <v>49</v>
      </c>
      <c r="B178" s="71"/>
      <c r="C178" s="59">
        <v>35</v>
      </c>
      <c r="D178" s="19">
        <f ca="1">((100/H174)*C178)/100</f>
        <v>1</v>
      </c>
      <c r="E178" s="92"/>
      <c r="F178" s="92"/>
      <c r="G178" s="92"/>
      <c r="H178" s="92"/>
      <c r="I178" s="14" t="s">
        <v>98</v>
      </c>
      <c r="J178" s="29">
        <f ca="1">H174</f>
        <v>35</v>
      </c>
    </row>
    <row r="179" spans="1:10" ht="15.75" customHeight="1" x14ac:dyDescent="0.3">
      <c r="A179" s="71" t="s">
        <v>128</v>
      </c>
      <c r="B179" s="71"/>
      <c r="C179" s="44">
        <v>15</v>
      </c>
      <c r="D179" s="19">
        <f ca="1">((100/(D174+F174+H174))*C179)/100</f>
        <v>0.41666666666666663</v>
      </c>
      <c r="E179" s="92"/>
      <c r="F179" s="92"/>
      <c r="G179" s="92"/>
      <c r="H179" s="92"/>
      <c r="I179" s="14" t="s">
        <v>99</v>
      </c>
      <c r="J179" s="30">
        <f ca="1">(IF(B174&gt;1,(H174/(B174+2)),H174/4))</f>
        <v>8.75</v>
      </c>
    </row>
    <row r="180" spans="1:10" ht="15.75" customHeight="1" x14ac:dyDescent="0.3">
      <c r="A180" s="71" t="s">
        <v>135</v>
      </c>
      <c r="B180" s="71" t="s">
        <v>129</v>
      </c>
      <c r="C180" s="44">
        <f>C179-1</f>
        <v>14</v>
      </c>
      <c r="D180" s="19">
        <f ca="1">((100/H174)*C180)/100</f>
        <v>0.4</v>
      </c>
      <c r="E180" s="92"/>
      <c r="F180" s="92"/>
      <c r="G180" s="92"/>
      <c r="H180" s="92"/>
      <c r="I180" s="14" t="s">
        <v>100</v>
      </c>
      <c r="J180" s="30">
        <f ca="1">(IF(B174&gt;1,(H174/(B174+2)+J179),H174/4+J179))</f>
        <v>17.5</v>
      </c>
    </row>
    <row r="181" spans="1:10" ht="15.75" customHeight="1" x14ac:dyDescent="0.3">
      <c r="A181" s="71" t="s">
        <v>136</v>
      </c>
      <c r="B181" s="71" t="s">
        <v>129</v>
      </c>
      <c r="C181" s="59">
        <f>C180*0.65</f>
        <v>9.1</v>
      </c>
      <c r="D181" s="19">
        <f ca="1">((100/H174)*C181)/100</f>
        <v>0.26</v>
      </c>
      <c r="E181" s="92"/>
      <c r="F181" s="92"/>
      <c r="G181" s="92"/>
      <c r="H181" s="92"/>
      <c r="I181" s="14" t="s">
        <v>144</v>
      </c>
      <c r="J181" s="30">
        <f>(IF(B174&gt;1,(H174/(B174+2)+J180),0))</f>
        <v>0</v>
      </c>
    </row>
    <row r="182" spans="1:10" ht="15" customHeight="1" x14ac:dyDescent="0.3">
      <c r="A182" s="71" t="s">
        <v>134</v>
      </c>
      <c r="B182" s="71" t="s">
        <v>131</v>
      </c>
      <c r="C182" s="59">
        <f>C181</f>
        <v>9.1</v>
      </c>
      <c r="D182" s="19">
        <f ca="1">((100/(H174))*C182)/100</f>
        <v>0.26</v>
      </c>
      <c r="E182" s="92"/>
      <c r="F182" s="92"/>
      <c r="G182" s="92"/>
      <c r="H182" s="92"/>
      <c r="I182" s="14" t="s">
        <v>141</v>
      </c>
      <c r="J182" s="30">
        <f>(IF(B174&gt;2,(H174/(B174+2)+J181),0))</f>
        <v>0</v>
      </c>
    </row>
    <row r="183" spans="1:10" ht="15.75" customHeight="1" x14ac:dyDescent="0.3">
      <c r="A183" s="71" t="s">
        <v>130</v>
      </c>
      <c r="B183" s="71" t="s">
        <v>130</v>
      </c>
      <c r="C183" s="44">
        <v>0</v>
      </c>
      <c r="D183" s="19">
        <f ca="1">((100/H174)*C183)/100</f>
        <v>0</v>
      </c>
      <c r="E183" s="92"/>
      <c r="F183" s="92"/>
      <c r="G183" s="92"/>
      <c r="H183" s="92"/>
      <c r="I183" s="14" t="s">
        <v>142</v>
      </c>
      <c r="J183" s="31">
        <f>(IF(B174&gt;3,(H174/(B174+2)+J182),0))</f>
        <v>0</v>
      </c>
    </row>
    <row r="184" spans="1:10" ht="15.75" customHeight="1" x14ac:dyDescent="0.3">
      <c r="A184" s="71" t="s">
        <v>137</v>
      </c>
      <c r="B184" s="71"/>
      <c r="C184" s="44">
        <v>0</v>
      </c>
      <c r="D184" s="19">
        <f ca="1">((100/H174)*C184)/100</f>
        <v>0</v>
      </c>
      <c r="E184" s="92"/>
      <c r="F184" s="92"/>
      <c r="G184" s="92"/>
      <c r="H184" s="92"/>
      <c r="I184" s="14" t="s">
        <v>143</v>
      </c>
      <c r="J184" s="30">
        <f>(IF(B174&gt;4,(H174/(B174+2)+J183),0))</f>
        <v>0</v>
      </c>
    </row>
    <row r="185" spans="1:10" ht="15.75" customHeight="1" x14ac:dyDescent="0.3">
      <c r="A185" s="71" t="s">
        <v>132</v>
      </c>
      <c r="B185" s="71" t="s">
        <v>132</v>
      </c>
      <c r="C185" s="44">
        <v>0</v>
      </c>
      <c r="D185" s="19">
        <f ca="1">((100/(H174))*C185)/100</f>
        <v>0</v>
      </c>
      <c r="E185" s="92"/>
      <c r="F185" s="92"/>
      <c r="G185" s="92"/>
      <c r="H185" s="92"/>
      <c r="I185" s="14" t="s">
        <v>145</v>
      </c>
      <c r="J185" s="30">
        <f ca="1">(IF(B174=1,(H174/(B174+3)+J180),IF(B174=0,(H174/4+J180),IF(B174&gt;1,0))))</f>
        <v>26.25</v>
      </c>
    </row>
    <row r="186" spans="1:10" ht="16.2" thickBot="1" x14ac:dyDescent="0.35">
      <c r="A186" s="71" t="s">
        <v>133</v>
      </c>
      <c r="B186" s="71"/>
      <c r="C186" s="44">
        <v>0</v>
      </c>
      <c r="D186" s="19">
        <f ca="1">((100/(H174))*C186)/100</f>
        <v>0</v>
      </c>
      <c r="E186" s="92"/>
      <c r="F186" s="92"/>
      <c r="G186" s="92"/>
      <c r="H186" s="92"/>
      <c r="I186" s="15" t="s">
        <v>101</v>
      </c>
      <c r="J186" s="32">
        <f ca="1">(IF(B174&gt;1.5,(H174/(B174+2)+J180+MAX(0,J181-J180)+MAX(0,J182-J181)+MAX(0,J183-J182)+MAX(0,J184-J183)+MAX(0,J185-J184)),IF(B174=1,(H174/(B174+3)+J185),IF(B174=0,H174/4+J185))))</f>
        <v>35</v>
      </c>
    </row>
    <row r="187" spans="1:10" ht="52.5" customHeight="1" x14ac:dyDescent="0.3">
      <c r="A187" s="221" t="s">
        <v>278</v>
      </c>
      <c r="B187" s="221"/>
      <c r="C187" s="87" t="s">
        <v>279</v>
      </c>
      <c r="D187" s="87"/>
      <c r="E187" s="87"/>
      <c r="F187" s="87"/>
      <c r="G187" s="87"/>
      <c r="H187" s="87"/>
      <c r="I187" s="67" t="str">
        <f ca="1">IF(D200=100%,"All work Completed. Possession granted to the Building.",IF(D199=100%,"All work Completed, Waiting for OC",I188&amp;""&amp;I189&amp;""&amp;J188&amp;""&amp;J187&amp;" "&amp;J189))</f>
        <v>Excavation, Plinth Completed, RCC upto 4 Slab Completed</v>
      </c>
      <c r="J187" s="49" t="str">
        <f ca="1">(IF(C193=(D188+F188+H188),"",IF(C193&gt;0,", RCC upto "&amp;C193&amp;" Slab","")))&amp;(IF(C194=H188,"",IF(C194&gt;0,", Brickwork upto "&amp;C194&amp;" Floor","")))&amp;(IF(C195=H188,"",IF(C195&gt;0,", Internal Plaster upto "&amp;C195&amp;" Floor","")))&amp;(IF(C196=H188,"",IF(C196&gt;0,", External Plaster upto "&amp;C196&amp;" Floor","")))&amp;(IF(C197=H188,"",IF(C197&gt;0,", Flooring upto "&amp;C197&amp;" Floor","")))&amp;(IF(C198=H188,"",IF(C198&gt;0,", Painting upto "&amp;C198&amp;" Floor","")))&amp;(IF(C199=H188,"",IF(C199&gt;0,", Finishing upto "&amp;C199&amp;" Floor","")))&amp;(IF(C200=H188,"",IF(C200&gt;0,", Possession upto "&amp;C200&amp;" Floor","")))</f>
        <v>, RCC upto 4 Slab</v>
      </c>
    </row>
    <row r="188" spans="1:10" x14ac:dyDescent="0.3">
      <c r="A188" s="16" t="s">
        <v>140</v>
      </c>
      <c r="B188" s="54">
        <v>0</v>
      </c>
      <c r="C188" s="54" t="s">
        <v>72</v>
      </c>
      <c r="D188" s="54">
        <v>1</v>
      </c>
      <c r="E188" s="54" t="s">
        <v>71</v>
      </c>
      <c r="F188" s="54">
        <v>0</v>
      </c>
      <c r="G188" s="54" t="s">
        <v>81</v>
      </c>
      <c r="H188" s="17">
        <f ca="1">--TRIM(RIGHT(SUBSTITUTE(LEFT(C187,_xlfn.AGGREGATE(16,6,FIND({0,1,2,3,4,5,6,7,8,9},C187,ROW(INDIRECT("1:"&amp;LEN(C187)))),1))," ",REPT(" ",LEN(C187))),LEN(C187)))</f>
        <v>35</v>
      </c>
      <c r="I188" s="50" t="str">
        <f ca="1">IF(D191=100%,"Excavation","")&amp;IF(D192=100%,", Plinth","")&amp;IF(D193=100%,", RCC Slab","")&amp;IF(D194=100%,", Brickwork","")&amp;IF(D195=100%,", Internal Plaster","")&amp;IF(D196=100%,", External Plaster","")&amp;IF(D197=100%,", Flooring","")&amp;IF(D198=100%,", Painting","")&amp;IF(D199=100%,", Building common Amenities","")</f>
        <v>Excavation, Plinth</v>
      </c>
      <c r="J188" s="51" t="str">
        <f ca="1">(IF(C191=0,"Work not yet Started.",IF(D191=25%,"Piling work in process",IF(D191=50%,"Excavation work in process",IF(D191=100%,"","0")))))&amp;(IF(C192=0%,"",IF(C192=J193,", Footing work is process",IF(C192=J194,", Footing work Completed",IF(C192=J195,", 1st Basement Completed",IF(C192=J196,", 1st &amp; 2nd Basement Completed",IF(C192=J197,", 1st to 3rd Basement Completed",IF(C192=J198,", 1st to 4th Basement Completed",IF(C192=J199,", Plinth work is process",IF(C192=J200,"","0"))))))))))</f>
        <v/>
      </c>
    </row>
    <row r="189" spans="1:10" ht="18.75" customHeight="1" x14ac:dyDescent="0.3">
      <c r="A189" s="85" t="s">
        <v>90</v>
      </c>
      <c r="B189" s="86"/>
      <c r="C189" s="87" t="str">
        <f ca="1">I187</f>
        <v>Excavation, Plinth Completed, RCC upto 4 Slab Completed</v>
      </c>
      <c r="D189" s="87"/>
      <c r="E189" s="87"/>
      <c r="F189" s="87"/>
      <c r="G189" s="87"/>
      <c r="H189" s="88"/>
      <c r="I189" s="50" t="str">
        <f ca="1">IF(I188&lt;&gt;""," Completed","")</f>
        <v xml:space="preserve"> Completed</v>
      </c>
      <c r="J189" s="51" t="str">
        <f ca="1">IF(J187&lt;&gt;"","Completed","")</f>
        <v>Completed</v>
      </c>
    </row>
    <row r="190" spans="1:10" ht="15.75" customHeight="1" x14ac:dyDescent="0.3">
      <c r="A190" s="89" t="s">
        <v>48</v>
      </c>
      <c r="B190" s="90"/>
      <c r="C190" s="56" t="s">
        <v>138</v>
      </c>
      <c r="D190" s="56" t="s">
        <v>84</v>
      </c>
      <c r="E190" s="90" t="s">
        <v>86</v>
      </c>
      <c r="F190" s="90"/>
      <c r="G190" s="90" t="s">
        <v>85</v>
      </c>
      <c r="H190" s="91"/>
      <c r="I190" s="14" t="s">
        <v>139</v>
      </c>
      <c r="J190" s="28">
        <f ca="1">H188*25%</f>
        <v>8.75</v>
      </c>
    </row>
    <row r="191" spans="1:10" x14ac:dyDescent="0.3">
      <c r="A191" s="70" t="s">
        <v>127</v>
      </c>
      <c r="B191" s="71"/>
      <c r="C191" s="44">
        <v>35</v>
      </c>
      <c r="D191" s="19">
        <f ca="1">((100/H188)*C191)/100</f>
        <v>1</v>
      </c>
      <c r="E191" s="135">
        <f ca="1">(((C192/H188*10)+(40/(D188+F188+H188)*C193)+(7.5/(H188)*C194)+(7.5/(H188)*C195)+(10/H188*C196)+(10/H188*C197)+(5/H188*C198)+(5/H188*C199)+(5/H188*C200))/100)</f>
        <v>0.14444444444444446</v>
      </c>
      <c r="F191" s="136"/>
      <c r="G191" s="135">
        <f ca="1">((((C191/H188)*20)+((C192/H188)*25)+(30/(H188+F188+D188)*C193)+(5/H188*C194)+(5/H188*C195)+(5/H188*C196)+(5/H188*C197)+(0/H188*C198)+(0/H188*C199)+(5/H188*C200))/100)</f>
        <v>0.48333333333333334</v>
      </c>
      <c r="H191" s="141"/>
      <c r="I191" s="14" t="s">
        <v>97</v>
      </c>
      <c r="J191" s="29">
        <f ca="1">H188*50%</f>
        <v>17.5</v>
      </c>
    </row>
    <row r="192" spans="1:10" x14ac:dyDescent="0.3">
      <c r="A192" s="70" t="s">
        <v>49</v>
      </c>
      <c r="B192" s="71"/>
      <c r="C192" s="59">
        <v>35</v>
      </c>
      <c r="D192" s="19">
        <f ca="1">((100/H188)*C192)/100</f>
        <v>1</v>
      </c>
      <c r="E192" s="137"/>
      <c r="F192" s="138"/>
      <c r="G192" s="137"/>
      <c r="H192" s="142"/>
      <c r="I192" s="14" t="s">
        <v>98</v>
      </c>
      <c r="J192" s="29">
        <f ca="1">H188</f>
        <v>35</v>
      </c>
    </row>
    <row r="193" spans="1:13" ht="15.75" customHeight="1" x14ac:dyDescent="0.3">
      <c r="A193" s="70" t="s">
        <v>128</v>
      </c>
      <c r="B193" s="71"/>
      <c r="C193" s="44">
        <v>4</v>
      </c>
      <c r="D193" s="19">
        <f ca="1">((100/(D188+F188+H188))*C193)/100</f>
        <v>0.1111111111111111</v>
      </c>
      <c r="E193" s="137"/>
      <c r="F193" s="138"/>
      <c r="G193" s="137"/>
      <c r="H193" s="142"/>
      <c r="I193" s="14" t="s">
        <v>99</v>
      </c>
      <c r="J193" s="30">
        <f ca="1">(IF(B188&gt;1,(H188/(B188+2)),H188/4))</f>
        <v>8.75</v>
      </c>
    </row>
    <row r="194" spans="1:13" ht="15.75" customHeight="1" x14ac:dyDescent="0.3">
      <c r="A194" s="70" t="s">
        <v>135</v>
      </c>
      <c r="B194" s="71" t="s">
        <v>129</v>
      </c>
      <c r="C194" s="44">
        <v>0</v>
      </c>
      <c r="D194" s="19">
        <f ca="1">((100/H188)*C194)/100</f>
        <v>0</v>
      </c>
      <c r="E194" s="137"/>
      <c r="F194" s="138"/>
      <c r="G194" s="137"/>
      <c r="H194" s="142"/>
      <c r="I194" s="14" t="s">
        <v>100</v>
      </c>
      <c r="J194" s="30">
        <f ca="1">(IF(B188&gt;1,(H188/(B188+2)+J193),H188/4+J193))</f>
        <v>17.5</v>
      </c>
    </row>
    <row r="195" spans="1:13" ht="15.75" customHeight="1" x14ac:dyDescent="0.3">
      <c r="A195" s="70" t="s">
        <v>136</v>
      </c>
      <c r="B195" s="71" t="s">
        <v>129</v>
      </c>
      <c r="C195" s="44">
        <v>0</v>
      </c>
      <c r="D195" s="19">
        <f ca="1">((100/H188)*C195)/100</f>
        <v>0</v>
      </c>
      <c r="E195" s="137"/>
      <c r="F195" s="138"/>
      <c r="G195" s="137"/>
      <c r="H195" s="142"/>
      <c r="I195" s="14" t="s">
        <v>144</v>
      </c>
      <c r="J195" s="30">
        <f>(IF(B188&gt;1,(H188/(B188+2)+J194),0))</f>
        <v>0</v>
      </c>
    </row>
    <row r="196" spans="1:13" ht="15" customHeight="1" x14ac:dyDescent="0.3">
      <c r="A196" s="70" t="s">
        <v>134</v>
      </c>
      <c r="B196" s="71" t="s">
        <v>131</v>
      </c>
      <c r="C196" s="44">
        <v>0</v>
      </c>
      <c r="D196" s="19">
        <f ca="1">((100/(H188))*C196)/100</f>
        <v>0</v>
      </c>
      <c r="E196" s="137"/>
      <c r="F196" s="138"/>
      <c r="G196" s="137"/>
      <c r="H196" s="142"/>
      <c r="I196" s="14" t="s">
        <v>141</v>
      </c>
      <c r="J196" s="30">
        <f>(IF(B188&gt;2,(H188/(B188+2)+J195),0))</f>
        <v>0</v>
      </c>
    </row>
    <row r="197" spans="1:13" ht="15.75" customHeight="1" x14ac:dyDescent="0.3">
      <c r="A197" s="70" t="s">
        <v>130</v>
      </c>
      <c r="B197" s="71" t="s">
        <v>130</v>
      </c>
      <c r="C197" s="44">
        <v>0</v>
      </c>
      <c r="D197" s="19">
        <f ca="1">((100/H188)*C197)/100</f>
        <v>0</v>
      </c>
      <c r="E197" s="137"/>
      <c r="F197" s="138"/>
      <c r="G197" s="137"/>
      <c r="H197" s="142"/>
      <c r="I197" s="14" t="s">
        <v>142</v>
      </c>
      <c r="J197" s="31">
        <f>(IF(B188&gt;3,(H188/(B188+2)+J196),0))</f>
        <v>0</v>
      </c>
    </row>
    <row r="198" spans="1:13" ht="15.75" customHeight="1" x14ac:dyDescent="0.3">
      <c r="A198" s="70" t="s">
        <v>137</v>
      </c>
      <c r="B198" s="71"/>
      <c r="C198" s="44">
        <v>0</v>
      </c>
      <c r="D198" s="19">
        <f ca="1">((100/H188)*C198)/100</f>
        <v>0</v>
      </c>
      <c r="E198" s="137"/>
      <c r="F198" s="138"/>
      <c r="G198" s="137"/>
      <c r="H198" s="142"/>
      <c r="I198" s="14" t="s">
        <v>143</v>
      </c>
      <c r="J198" s="30">
        <f>(IF(B188&gt;4,(H188/(B188+2)+J197),0))</f>
        <v>0</v>
      </c>
    </row>
    <row r="199" spans="1:13" ht="15.75" customHeight="1" x14ac:dyDescent="0.3">
      <c r="A199" s="70" t="s">
        <v>132</v>
      </c>
      <c r="B199" s="71" t="s">
        <v>132</v>
      </c>
      <c r="C199" s="44">
        <v>0</v>
      </c>
      <c r="D199" s="19">
        <f ca="1">((100/(H188))*C199)/100</f>
        <v>0</v>
      </c>
      <c r="E199" s="137"/>
      <c r="F199" s="138"/>
      <c r="G199" s="137"/>
      <c r="H199" s="142"/>
      <c r="I199" s="14" t="s">
        <v>145</v>
      </c>
      <c r="J199" s="30">
        <f ca="1">(IF(B188=1,(H188/(B188+3)+J194),IF(B188=0,(H188/4+J194),IF(B188&gt;1,0))))</f>
        <v>26.25</v>
      </c>
    </row>
    <row r="200" spans="1:13" ht="16.2" thickBot="1" x14ac:dyDescent="0.35">
      <c r="A200" s="72" t="s">
        <v>133</v>
      </c>
      <c r="B200" s="73"/>
      <c r="C200" s="45">
        <v>0</v>
      </c>
      <c r="D200" s="20">
        <f ca="1">((100/(H188))*C200)/100</f>
        <v>0</v>
      </c>
      <c r="E200" s="139"/>
      <c r="F200" s="140"/>
      <c r="G200" s="139"/>
      <c r="H200" s="143"/>
      <c r="I200" s="15" t="s">
        <v>101</v>
      </c>
      <c r="J200" s="32">
        <f ca="1">(IF(B188&gt;1.5,(H188/(B188+2)+J194+MAX(0,J195-J194)+MAX(0,J196-J195)+MAX(0,J197-J196)+MAX(0,J198-J197)+MAX(0,J199-J198)),IF(B188=1,(H188/(B188+3)+J199),IF(B188=0,H188/4+J199))))</f>
        <v>35</v>
      </c>
    </row>
    <row r="201" spans="1:13" x14ac:dyDescent="0.3">
      <c r="A201" s="208" t="s">
        <v>154</v>
      </c>
      <c r="B201" s="208"/>
      <c r="C201" s="208"/>
      <c r="D201" s="208"/>
      <c r="E201" s="208"/>
      <c r="F201" s="216" t="s">
        <v>156</v>
      </c>
      <c r="G201" s="216"/>
      <c r="H201" s="216"/>
    </row>
    <row r="202" spans="1:13" x14ac:dyDescent="0.3">
      <c r="A202" s="95" t="s">
        <v>249</v>
      </c>
      <c r="B202" s="95"/>
      <c r="C202" s="95"/>
      <c r="D202" s="95"/>
      <c r="E202" s="95"/>
      <c r="F202" s="96">
        <v>7700</v>
      </c>
      <c r="G202" s="96"/>
      <c r="H202" s="96"/>
      <c r="K202" s="21" t="s">
        <v>245</v>
      </c>
      <c r="L202" s="25">
        <v>45291</v>
      </c>
      <c r="M202" s="21" t="s">
        <v>246</v>
      </c>
    </row>
    <row r="203" spans="1:13" ht="15" customHeight="1" x14ac:dyDescent="0.3">
      <c r="A203" s="95" t="s">
        <v>250</v>
      </c>
      <c r="B203" s="95"/>
      <c r="C203" s="95"/>
      <c r="D203" s="95"/>
      <c r="E203" s="95"/>
      <c r="F203" s="96">
        <v>7900</v>
      </c>
      <c r="G203" s="96"/>
      <c r="H203" s="96"/>
      <c r="I203" s="21" t="s">
        <v>252</v>
      </c>
    </row>
    <row r="204" spans="1:13" x14ac:dyDescent="0.3">
      <c r="A204" s="95" t="s">
        <v>251</v>
      </c>
      <c r="B204" s="95"/>
      <c r="C204" s="95"/>
      <c r="D204" s="95"/>
      <c r="E204" s="95"/>
      <c r="F204" s="96">
        <v>8100</v>
      </c>
      <c r="G204" s="96"/>
      <c r="H204" s="96"/>
    </row>
    <row r="205" spans="1:13" s="33" customFormat="1" x14ac:dyDescent="0.25">
      <c r="A205" s="95" t="s">
        <v>155</v>
      </c>
      <c r="B205" s="95"/>
      <c r="C205" s="95"/>
      <c r="D205" s="95"/>
      <c r="E205" s="95"/>
      <c r="F205" s="96">
        <v>12000</v>
      </c>
      <c r="G205" s="96"/>
      <c r="H205" s="96"/>
    </row>
    <row r="206" spans="1:13" s="33" customFormat="1" x14ac:dyDescent="0.25">
      <c r="A206" s="95" t="s">
        <v>95</v>
      </c>
      <c r="B206" s="95"/>
      <c r="C206" s="95"/>
      <c r="D206" s="95"/>
      <c r="E206" s="95"/>
      <c r="F206" s="96">
        <v>200000</v>
      </c>
      <c r="G206" s="96"/>
      <c r="H206" s="96"/>
    </row>
    <row r="207" spans="1:13" s="33" customFormat="1" x14ac:dyDescent="0.25">
      <c r="A207" s="95" t="s">
        <v>247</v>
      </c>
      <c r="B207" s="95"/>
      <c r="C207" s="95"/>
      <c r="D207" s="95"/>
      <c r="E207" s="95"/>
      <c r="F207" s="96">
        <v>100000</v>
      </c>
      <c r="G207" s="96"/>
      <c r="H207" s="96"/>
    </row>
    <row r="208" spans="1:13" s="33" customFormat="1" x14ac:dyDescent="0.25">
      <c r="A208" s="95" t="s">
        <v>96</v>
      </c>
      <c r="B208" s="95"/>
      <c r="C208" s="95"/>
      <c r="D208" s="95"/>
      <c r="E208" s="95"/>
      <c r="F208" s="96">
        <v>100000</v>
      </c>
      <c r="G208" s="96"/>
      <c r="H208" s="96"/>
      <c r="J208" s="33" t="s">
        <v>199</v>
      </c>
      <c r="K208" s="58">
        <v>45036</v>
      </c>
      <c r="L208" s="33" t="s">
        <v>198</v>
      </c>
    </row>
    <row r="209" spans="1:10" x14ac:dyDescent="0.3">
      <c r="A209" s="95" t="s">
        <v>50</v>
      </c>
      <c r="B209" s="95"/>
      <c r="C209" s="95"/>
      <c r="D209" s="95"/>
      <c r="E209" s="95"/>
      <c r="F209" s="96">
        <v>300000</v>
      </c>
      <c r="G209" s="96"/>
      <c r="H209" s="96"/>
    </row>
    <row r="210" spans="1:10" s="34" customFormat="1" x14ac:dyDescent="0.3">
      <c r="A210" s="185" t="s">
        <v>51</v>
      </c>
      <c r="B210" s="185"/>
      <c r="C210" s="185"/>
      <c r="D210" s="185"/>
      <c r="E210" s="185"/>
      <c r="F210" s="96">
        <f>F202*0.8</f>
        <v>6160</v>
      </c>
      <c r="G210" s="96"/>
      <c r="H210" s="96"/>
    </row>
    <row r="211" spans="1:10" s="35" customFormat="1" ht="15.75" customHeight="1" x14ac:dyDescent="0.3">
      <c r="A211" s="172" t="s">
        <v>76</v>
      </c>
      <c r="B211" s="172"/>
      <c r="C211" s="172"/>
      <c r="D211" s="172"/>
      <c r="E211" s="172"/>
      <c r="F211" s="172"/>
      <c r="G211" s="172"/>
      <c r="H211" s="172"/>
    </row>
    <row r="212" spans="1:10" s="35" customFormat="1" ht="15.75" customHeight="1" x14ac:dyDescent="0.3">
      <c r="A212" s="146" t="s">
        <v>52</v>
      </c>
      <c r="B212" s="146"/>
      <c r="C212" s="168" t="s">
        <v>79</v>
      </c>
      <c r="D212" s="168"/>
      <c r="E212" s="151" t="s">
        <v>53</v>
      </c>
      <c r="F212" s="151"/>
      <c r="G212" s="146" t="s">
        <v>54</v>
      </c>
      <c r="H212" s="146"/>
    </row>
    <row r="213" spans="1:10" s="35" customFormat="1" x14ac:dyDescent="0.3">
      <c r="A213" s="186" t="s">
        <v>226</v>
      </c>
      <c r="B213" s="186"/>
      <c r="C213" s="166">
        <f>COUNT(D236:D245)</f>
        <v>10</v>
      </c>
      <c r="D213" s="167"/>
      <c r="E213" s="133">
        <f>SUM(D236:D245)</f>
        <v>1811.0860560000001</v>
      </c>
      <c r="F213" s="132"/>
      <c r="G213" s="133">
        <f>SUM(F236:F245)</f>
        <v>2807.1833868000003</v>
      </c>
      <c r="H213" s="132"/>
    </row>
    <row r="214" spans="1:10" s="35" customFormat="1" x14ac:dyDescent="0.3">
      <c r="A214" s="186" t="s">
        <v>227</v>
      </c>
      <c r="B214" s="186"/>
      <c r="C214" s="166">
        <v>10</v>
      </c>
      <c r="D214" s="167"/>
      <c r="E214" s="133">
        <f>SUM(D248:D257)</f>
        <v>1811.0860560000001</v>
      </c>
      <c r="F214" s="132"/>
      <c r="G214" s="133">
        <f>SUM(F248:F257)</f>
        <v>2807.1833868000003</v>
      </c>
      <c r="H214" s="132"/>
    </row>
    <row r="215" spans="1:10" s="35" customFormat="1" x14ac:dyDescent="0.3">
      <c r="A215" s="172" t="s">
        <v>148</v>
      </c>
      <c r="B215" s="172"/>
      <c r="C215" s="215">
        <f>SUM(C213:C214)</f>
        <v>20</v>
      </c>
      <c r="D215" s="168"/>
      <c r="E215" s="207">
        <f>SUM(E213:E214)</f>
        <v>3622.1721120000002</v>
      </c>
      <c r="F215" s="151"/>
      <c r="G215" s="146">
        <f>SUM(G213:G214)</f>
        <v>5614.3667736000007</v>
      </c>
      <c r="H215" s="146"/>
    </row>
    <row r="216" spans="1:10" s="35" customFormat="1" x14ac:dyDescent="0.3">
      <c r="A216" s="172" t="s">
        <v>70</v>
      </c>
      <c r="B216" s="172"/>
      <c r="C216" s="172"/>
      <c r="D216" s="172"/>
      <c r="E216" s="172"/>
      <c r="F216" s="172"/>
      <c r="G216" s="172"/>
      <c r="H216" s="172"/>
    </row>
    <row r="217" spans="1:10" s="35" customFormat="1" ht="15.75" customHeight="1" x14ac:dyDescent="0.3">
      <c r="A217" s="146" t="s">
        <v>52</v>
      </c>
      <c r="B217" s="146"/>
      <c r="C217" s="168" t="s">
        <v>79</v>
      </c>
      <c r="D217" s="168"/>
      <c r="E217" s="151" t="s">
        <v>53</v>
      </c>
      <c r="F217" s="151"/>
      <c r="G217" s="146" t="s">
        <v>54</v>
      </c>
      <c r="H217" s="146"/>
    </row>
    <row r="218" spans="1:10" s="35" customFormat="1" x14ac:dyDescent="0.3">
      <c r="A218" s="209" t="s">
        <v>206</v>
      </c>
      <c r="B218" s="47" t="s">
        <v>195</v>
      </c>
      <c r="C218" s="132">
        <f>COUNT(D271:D284)+COUNT(D286:D299)*23+COUNT(D301:D305,D307:D314)*5</f>
        <v>401</v>
      </c>
      <c r="D218" s="132"/>
      <c r="E218" s="133">
        <f>SUM(D271:D284)+SUM(D286:D299)*23+SUM(D301:D305,D307:D314)*5</f>
        <v>139362.55749000004</v>
      </c>
      <c r="F218" s="133"/>
      <c r="G218" s="133">
        <f>SUM(F271:F284)+SUM(F286:F299)*23+SUM(F301:F305,F307:F314)*5</f>
        <v>209043.83623500002</v>
      </c>
      <c r="H218" s="133"/>
    </row>
    <row r="219" spans="1:10" s="35" customFormat="1" x14ac:dyDescent="0.3">
      <c r="A219" s="210"/>
      <c r="B219" s="57" t="s">
        <v>194</v>
      </c>
      <c r="C219" s="132">
        <f>COUNT(D318:D335)+COUNT(D337:D354)*23+COUNT(D356:D360,D362:D373)*5</f>
        <v>517</v>
      </c>
      <c r="D219" s="132"/>
      <c r="E219" s="133">
        <f>SUM(D318:D335)+SUM(D337:D354)*23+SUM(D356:D360,D362:D373)*5</f>
        <v>179764.90856999997</v>
      </c>
      <c r="F219" s="133"/>
      <c r="G219" s="133">
        <f>SUM(F318:F335)+SUM(F337:F354)*23+SUM(F356:F360,F362:F373)*5</f>
        <v>269647.36285500001</v>
      </c>
      <c r="H219" s="133"/>
    </row>
    <row r="220" spans="1:10" s="35" customFormat="1" x14ac:dyDescent="0.3">
      <c r="A220" s="210"/>
      <c r="B220" s="47" t="s">
        <v>196</v>
      </c>
      <c r="C220" s="132">
        <v>517</v>
      </c>
      <c r="D220" s="132"/>
      <c r="E220" s="133">
        <f>SUM(D377:D394)+SUM(D396:D413)*23+SUM(D415:D419,D421:D432)*5</f>
        <v>179764.90856999997</v>
      </c>
      <c r="F220" s="133"/>
      <c r="G220" s="133">
        <f>SUM(F377:F394)+SUM(F396:F413)*23+SUM(F415:F419,F421:F432)*5</f>
        <v>269647.36285500001</v>
      </c>
      <c r="H220" s="133"/>
    </row>
    <row r="221" spans="1:10" s="35" customFormat="1" x14ac:dyDescent="0.3">
      <c r="A221" s="211"/>
      <c r="B221" s="47" t="s">
        <v>197</v>
      </c>
      <c r="C221" s="132">
        <f>COUNT(D436:D449)+COUNT(D451:D464)*23+COUNT(D466:D478)*5</f>
        <v>401</v>
      </c>
      <c r="D221" s="132"/>
      <c r="E221" s="133">
        <f>SUM(D436:D449)+SUM(D451:D464)*23+SUM(D466:D478)*5</f>
        <v>141673.44620520002</v>
      </c>
      <c r="F221" s="133"/>
      <c r="G221" s="133">
        <f>SUM(F436:F449)+SUM(F451:F464)*23+SUM(F466:F478)*5</f>
        <v>212510.16930779995</v>
      </c>
      <c r="H221" s="133"/>
      <c r="J221" s="35">
        <f>295+60</f>
        <v>355</v>
      </c>
    </row>
    <row r="222" spans="1:10" s="35" customFormat="1" ht="31.2" x14ac:dyDescent="0.3">
      <c r="A222" s="60" t="s">
        <v>232</v>
      </c>
      <c r="B222" s="47" t="s">
        <v>221</v>
      </c>
      <c r="C222" s="132">
        <f>COUNT(D484:D495)*25+COUNT(D497:D501,D503:D508)*5</f>
        <v>355</v>
      </c>
      <c r="D222" s="132"/>
      <c r="E222" s="133">
        <f>SUM(D484:D495)*25+SUM(D497:D501,D503:D508)*5</f>
        <v>128747.6658</v>
      </c>
      <c r="F222" s="133"/>
      <c r="G222" s="133">
        <f>SUM(F484:F495)*25+SUM(F497:F501,F503:F508)*5</f>
        <v>193121.4987</v>
      </c>
      <c r="H222" s="133"/>
    </row>
    <row r="223" spans="1:10" s="35" customFormat="1" ht="31.2" x14ac:dyDescent="0.3">
      <c r="A223" s="186" t="s">
        <v>207</v>
      </c>
      <c r="B223" s="47" t="s">
        <v>222</v>
      </c>
      <c r="C223" s="132">
        <f>COUNT(D513:D526)*25+COUNT(D528:D532,D534:D541)*5</f>
        <v>415</v>
      </c>
      <c r="D223" s="132"/>
      <c r="E223" s="133">
        <f>SUM(D513:D526)*25+SUM(D528:D532,D534:D541)*5</f>
        <v>148103.49060000002</v>
      </c>
      <c r="F223" s="133"/>
      <c r="G223" s="133">
        <f>SUM(F513:F526)*25+SUM(F528:F532,F534:F541)*5</f>
        <v>222155.23590000003</v>
      </c>
      <c r="H223" s="133"/>
    </row>
    <row r="224" spans="1:10" s="35" customFormat="1" ht="31.2" x14ac:dyDescent="0.3">
      <c r="A224" s="186"/>
      <c r="B224" s="47" t="s">
        <v>223</v>
      </c>
      <c r="C224" s="132">
        <f>C223</f>
        <v>415</v>
      </c>
      <c r="D224" s="132"/>
      <c r="E224" s="133">
        <f>SUM(D545:D558)*25+SUM(D560:D564,D566:D573)*5</f>
        <v>148103.49060000002</v>
      </c>
      <c r="F224" s="133"/>
      <c r="G224" s="133">
        <f>SUM(F545:F558)*25+SUM(F560:F564,F566:F573)*5</f>
        <v>222155.23590000003</v>
      </c>
      <c r="H224" s="133"/>
    </row>
    <row r="225" spans="1:14" s="35" customFormat="1" ht="31.2" x14ac:dyDescent="0.3">
      <c r="A225" s="209" t="s">
        <v>208</v>
      </c>
      <c r="B225" s="47" t="s">
        <v>224</v>
      </c>
      <c r="C225" s="132">
        <f>COUNT(D577:D588)*25+COUNT(D590:D592,D594:D601)*5</f>
        <v>355</v>
      </c>
      <c r="D225" s="132"/>
      <c r="E225" s="133">
        <f>SUM(D577:D588)*25+SUM(D590:D592,D594:D601)*5</f>
        <v>169893.59399999995</v>
      </c>
      <c r="F225" s="133"/>
      <c r="G225" s="133">
        <f>SUM(F577:F588)*25+SUM(F590:F592,F594:F601)*5</f>
        <v>254840.39100000003</v>
      </c>
      <c r="H225" s="133"/>
    </row>
    <row r="226" spans="1:14" s="35" customFormat="1" ht="31.2" x14ac:dyDescent="0.3">
      <c r="A226" s="211"/>
      <c r="B226" s="47" t="s">
        <v>225</v>
      </c>
      <c r="C226" s="132">
        <f>C225</f>
        <v>355</v>
      </c>
      <c r="D226" s="132"/>
      <c r="E226" s="133">
        <f>SUM(D604:D615)*25+SUM(D617:D619,D621:D628)*5</f>
        <v>169893.59399999995</v>
      </c>
      <c r="F226" s="133"/>
      <c r="G226" s="133">
        <f>SUM(F604:F615)*25+SUM(F617:F619,F621:F628)*5</f>
        <v>254840.39100000003</v>
      </c>
      <c r="H226" s="133"/>
    </row>
    <row r="227" spans="1:14" s="35" customFormat="1" x14ac:dyDescent="0.3">
      <c r="A227" s="172" t="s">
        <v>148</v>
      </c>
      <c r="B227" s="172"/>
      <c r="C227" s="168">
        <f>SUM(C218:C226)</f>
        <v>3731</v>
      </c>
      <c r="D227" s="168"/>
      <c r="E227" s="207">
        <f>SUM(E218:E226)</f>
        <v>1405307.6558352001</v>
      </c>
      <c r="F227" s="207"/>
      <c r="G227" s="146">
        <f>SUM(G218:G226)</f>
        <v>2107961.4837528002</v>
      </c>
      <c r="H227" s="146"/>
    </row>
    <row r="228" spans="1:14" s="34" customFormat="1" x14ac:dyDescent="0.3">
      <c r="A228" s="180" t="s">
        <v>55</v>
      </c>
      <c r="B228" s="180"/>
      <c r="C228" s="180"/>
      <c r="D228" s="180"/>
      <c r="E228" s="180"/>
      <c r="F228" s="180"/>
      <c r="G228" s="180"/>
      <c r="H228" s="180"/>
    </row>
    <row r="229" spans="1:14" x14ac:dyDescent="0.3">
      <c r="A229" s="180" t="s">
        <v>56</v>
      </c>
      <c r="B229" s="180"/>
      <c r="C229" s="180"/>
      <c r="D229" s="180"/>
      <c r="E229" s="180"/>
      <c r="F229" s="180"/>
      <c r="G229" s="180"/>
      <c r="H229" s="180"/>
    </row>
    <row r="230" spans="1:14" ht="47.25" customHeight="1" x14ac:dyDescent="0.3">
      <c r="A230" s="127" t="s">
        <v>118</v>
      </c>
      <c r="B230" s="127" t="s">
        <v>117</v>
      </c>
      <c r="C230" s="127" t="s">
        <v>57</v>
      </c>
      <c r="D230" s="127" t="s">
        <v>58</v>
      </c>
      <c r="E230" s="147" t="s">
        <v>153</v>
      </c>
      <c r="F230" s="43" t="s">
        <v>147</v>
      </c>
      <c r="G230" s="130" t="s">
        <v>60</v>
      </c>
      <c r="H230" s="149"/>
    </row>
    <row r="231" spans="1:14" s="37" customFormat="1" x14ac:dyDescent="0.3">
      <c r="A231" s="128"/>
      <c r="B231" s="128"/>
      <c r="C231" s="128"/>
      <c r="D231" s="128"/>
      <c r="E231" s="148"/>
      <c r="F231" s="13">
        <v>0.55000000000000004</v>
      </c>
      <c r="G231" s="131"/>
      <c r="H231" s="150"/>
    </row>
    <row r="232" spans="1:14" s="37" customFormat="1" x14ac:dyDescent="0.3">
      <c r="A232" s="100" t="s">
        <v>175</v>
      </c>
      <c r="B232" s="101"/>
      <c r="C232" s="101"/>
      <c r="D232" s="101"/>
      <c r="E232" s="101"/>
      <c r="F232" s="101"/>
      <c r="G232" s="101"/>
      <c r="H232" s="102"/>
      <c r="J232" s="36"/>
    </row>
    <row r="233" spans="1:14" s="37" customFormat="1" x14ac:dyDescent="0.3">
      <c r="A233" s="100" t="s">
        <v>182</v>
      </c>
      <c r="B233" s="101"/>
      <c r="C233" s="101"/>
      <c r="D233" s="101"/>
      <c r="E233" s="101"/>
      <c r="F233" s="101"/>
      <c r="G233" s="101"/>
      <c r="H233" s="102"/>
      <c r="J233" s="36"/>
    </row>
    <row r="234" spans="1:14" s="37" customFormat="1" x14ac:dyDescent="0.3">
      <c r="A234" s="100" t="s">
        <v>219</v>
      </c>
      <c r="B234" s="101"/>
      <c r="C234" s="101"/>
      <c r="D234" s="101"/>
      <c r="E234" s="101"/>
      <c r="F234" s="101"/>
      <c r="G234" s="101"/>
      <c r="H234" s="102"/>
      <c r="J234" s="53">
        <f>10.764</f>
        <v>10.763999999999999</v>
      </c>
    </row>
    <row r="235" spans="1:14" s="37" customFormat="1" x14ac:dyDescent="0.3">
      <c r="A235" s="100" t="s">
        <v>184</v>
      </c>
      <c r="B235" s="101"/>
      <c r="C235" s="101"/>
      <c r="D235" s="101"/>
      <c r="E235" s="101"/>
      <c r="F235" s="101"/>
      <c r="G235" s="101"/>
      <c r="H235" s="102"/>
      <c r="J235" s="36"/>
    </row>
    <row r="236" spans="1:14" s="37" customFormat="1" ht="15.75" customHeight="1" x14ac:dyDescent="0.3">
      <c r="A236" s="103">
        <v>1</v>
      </c>
      <c r="B236" s="104"/>
      <c r="C236" s="42" t="s">
        <v>183</v>
      </c>
      <c r="D236" s="53">
        <f>(4.86*3.65+2*1.33)*(10.764)</f>
        <v>219.574836</v>
      </c>
      <c r="E236" s="42">
        <v>0</v>
      </c>
      <c r="F236" s="42">
        <f>(D236+E236)*(($F$231)+1)</f>
        <v>340.34099580000003</v>
      </c>
      <c r="G236" s="106" t="str">
        <f>A235</f>
        <v>Ground Floor For Part Commercial, Fitness Center, Creche, Meter Room, Drivers Room &amp; Society Office</v>
      </c>
      <c r="H236" s="107"/>
      <c r="I236" s="36"/>
      <c r="L236" s="105"/>
      <c r="M236" s="105"/>
      <c r="N236" s="36"/>
    </row>
    <row r="237" spans="1:14" s="37" customFormat="1" ht="15.75" customHeight="1" x14ac:dyDescent="0.3">
      <c r="A237" s="103">
        <f t="shared" ref="A237:A244" si="0">A236+1</f>
        <v>2</v>
      </c>
      <c r="B237" s="104"/>
      <c r="C237" s="42" t="s">
        <v>183</v>
      </c>
      <c r="D237" s="53">
        <f>(2.75*4.98+1.24*0.005)*10.764</f>
        <v>147.47971680000001</v>
      </c>
      <c r="E237" s="42">
        <v>0</v>
      </c>
      <c r="F237" s="42">
        <f t="shared" ref="F237:F239" si="1">(D237+E237)*(($F$231)+1)</f>
        <v>228.59356104000003</v>
      </c>
      <c r="G237" s="108"/>
      <c r="H237" s="109"/>
      <c r="I237" s="36"/>
      <c r="L237" s="105"/>
      <c r="M237" s="105"/>
      <c r="N237" s="36"/>
    </row>
    <row r="238" spans="1:14" s="37" customFormat="1" ht="15.75" customHeight="1" x14ac:dyDescent="0.3">
      <c r="A238" s="103">
        <f t="shared" si="0"/>
        <v>3</v>
      </c>
      <c r="B238" s="104"/>
      <c r="C238" s="42" t="s">
        <v>183</v>
      </c>
      <c r="D238" s="53">
        <f>(3.63*4.98+2.3*0.05)*(10.764)</f>
        <v>195.82299359999999</v>
      </c>
      <c r="E238" s="42">
        <v>0</v>
      </c>
      <c r="F238" s="42">
        <f t="shared" si="1"/>
        <v>303.52564008000002</v>
      </c>
      <c r="G238" s="108"/>
      <c r="H238" s="109"/>
      <c r="I238" s="36"/>
      <c r="L238" s="105"/>
      <c r="M238" s="105"/>
      <c r="N238" s="36"/>
    </row>
    <row r="239" spans="1:14" s="37" customFormat="1" ht="15.75" customHeight="1" x14ac:dyDescent="0.3">
      <c r="A239" s="103">
        <f t="shared" si="0"/>
        <v>4</v>
      </c>
      <c r="B239" s="104"/>
      <c r="C239" s="42" t="s">
        <v>183</v>
      </c>
      <c r="D239" s="53">
        <f>(3.63*4.98)*(10.764)</f>
        <v>194.58513360000001</v>
      </c>
      <c r="E239" s="42">
        <v>0</v>
      </c>
      <c r="F239" s="42">
        <f t="shared" si="1"/>
        <v>301.60695708000003</v>
      </c>
      <c r="G239" s="108"/>
      <c r="H239" s="109"/>
      <c r="I239" s="36"/>
      <c r="L239" s="105"/>
      <c r="M239" s="105"/>
      <c r="N239" s="36"/>
    </row>
    <row r="240" spans="1:14" s="37" customFormat="1" ht="15.75" customHeight="1" x14ac:dyDescent="0.3">
      <c r="A240" s="103">
        <f t="shared" si="0"/>
        <v>5</v>
      </c>
      <c r="B240" s="104"/>
      <c r="C240" s="42" t="s">
        <v>183</v>
      </c>
      <c r="D240" s="53">
        <f>(2.75*4.98+1.24*0.05)*(10.764)</f>
        <v>148.08034799999999</v>
      </c>
      <c r="E240" s="42">
        <v>0</v>
      </c>
      <c r="F240" s="42">
        <f t="shared" ref="F240:F244" si="2">(D240+E240)*(($F$231)+1)</f>
        <v>229.52453939999998</v>
      </c>
      <c r="G240" s="108"/>
      <c r="H240" s="109"/>
      <c r="I240" s="36"/>
      <c r="L240" s="105"/>
      <c r="M240" s="105"/>
      <c r="N240" s="36"/>
    </row>
    <row r="241" spans="1:14" s="37" customFormat="1" ht="15.75" customHeight="1" x14ac:dyDescent="0.3">
      <c r="A241" s="103">
        <f t="shared" si="0"/>
        <v>6</v>
      </c>
      <c r="B241" s="104"/>
      <c r="C241" s="42" t="s">
        <v>183</v>
      </c>
      <c r="D241" s="53">
        <f>(2.75*4.98+1.24*0.05)*(10.764)</f>
        <v>148.08034799999999</v>
      </c>
      <c r="E241" s="42">
        <v>0</v>
      </c>
      <c r="F241" s="42">
        <f t="shared" si="2"/>
        <v>229.52453939999998</v>
      </c>
      <c r="G241" s="108"/>
      <c r="H241" s="109"/>
      <c r="I241" s="36"/>
      <c r="L241" s="105"/>
      <c r="M241" s="105"/>
      <c r="N241" s="36"/>
    </row>
    <row r="242" spans="1:14" s="37" customFormat="1" ht="15.75" customHeight="1" x14ac:dyDescent="0.3">
      <c r="A242" s="103">
        <f t="shared" si="0"/>
        <v>7</v>
      </c>
      <c r="B242" s="104"/>
      <c r="C242" s="42" t="s">
        <v>183</v>
      </c>
      <c r="D242" s="53">
        <f>(3.63*4.98)*(10.764)</f>
        <v>194.58513360000001</v>
      </c>
      <c r="E242" s="42">
        <v>0</v>
      </c>
      <c r="F242" s="42">
        <f t="shared" si="2"/>
        <v>301.60695708000003</v>
      </c>
      <c r="G242" s="108"/>
      <c r="H242" s="109"/>
      <c r="I242" s="36"/>
      <c r="L242" s="105"/>
      <c r="M242" s="105"/>
      <c r="N242" s="36"/>
    </row>
    <row r="243" spans="1:14" s="37" customFormat="1" ht="15.75" customHeight="1" x14ac:dyDescent="0.3">
      <c r="A243" s="103">
        <f t="shared" si="0"/>
        <v>8</v>
      </c>
      <c r="B243" s="104"/>
      <c r="C243" s="42" t="s">
        <v>183</v>
      </c>
      <c r="D243" s="53">
        <f>(3.63*4.98+2.3*0.05)*(10.764)</f>
        <v>195.82299359999999</v>
      </c>
      <c r="E243" s="42">
        <v>0</v>
      </c>
      <c r="F243" s="42">
        <f t="shared" si="2"/>
        <v>303.52564008000002</v>
      </c>
      <c r="G243" s="108"/>
      <c r="H243" s="109"/>
      <c r="I243" s="36"/>
      <c r="L243" s="105"/>
      <c r="M243" s="105"/>
      <c r="N243" s="36"/>
    </row>
    <row r="244" spans="1:14" s="37" customFormat="1" ht="15.75" customHeight="1" x14ac:dyDescent="0.3">
      <c r="A244" s="103">
        <f t="shared" si="0"/>
        <v>9</v>
      </c>
      <c r="B244" s="104"/>
      <c r="C244" s="42" t="s">
        <v>183</v>
      </c>
      <c r="D244" s="53">
        <f>(2.75*4.98+1.24*0.005)*10.764</f>
        <v>147.47971680000001</v>
      </c>
      <c r="E244" s="42">
        <v>0</v>
      </c>
      <c r="F244" s="42">
        <f t="shared" si="2"/>
        <v>228.59356104000003</v>
      </c>
      <c r="G244" s="108"/>
      <c r="H244" s="109"/>
      <c r="I244" s="36"/>
      <c r="L244" s="105"/>
      <c r="M244" s="105"/>
      <c r="N244" s="36"/>
    </row>
    <row r="245" spans="1:14" s="37" customFormat="1" ht="15.75" customHeight="1" x14ac:dyDescent="0.3">
      <c r="A245" s="103">
        <v>10</v>
      </c>
      <c r="B245" s="104"/>
      <c r="C245" s="42" t="s">
        <v>183</v>
      </c>
      <c r="D245" s="53">
        <f>(4.86*3.65+2*1.33)*(10.764)</f>
        <v>219.574836</v>
      </c>
      <c r="E245" s="42">
        <v>0</v>
      </c>
      <c r="F245" s="42">
        <f>(D245+E245)*(($F$231)+1)</f>
        <v>340.34099580000003</v>
      </c>
      <c r="G245" s="110"/>
      <c r="H245" s="111"/>
      <c r="I245" s="36"/>
      <c r="L245" s="105"/>
      <c r="M245" s="105"/>
      <c r="N245" s="36"/>
    </row>
    <row r="246" spans="1:14" s="37" customFormat="1" x14ac:dyDescent="0.3">
      <c r="A246" s="100" t="s">
        <v>217</v>
      </c>
      <c r="B246" s="101"/>
      <c r="C246" s="101"/>
      <c r="D246" s="101"/>
      <c r="E246" s="101"/>
      <c r="F246" s="101"/>
      <c r="G246" s="101"/>
      <c r="H246" s="102"/>
      <c r="J246" s="36"/>
    </row>
    <row r="247" spans="1:14" s="37" customFormat="1" x14ac:dyDescent="0.3">
      <c r="A247" s="100" t="s">
        <v>184</v>
      </c>
      <c r="B247" s="101"/>
      <c r="C247" s="101"/>
      <c r="D247" s="101"/>
      <c r="E247" s="101"/>
      <c r="F247" s="101"/>
      <c r="G247" s="101"/>
      <c r="H247" s="102"/>
      <c r="J247" s="36"/>
    </row>
    <row r="248" spans="1:14" s="37" customFormat="1" ht="15.75" customHeight="1" x14ac:dyDescent="0.3">
      <c r="A248" s="103">
        <v>1</v>
      </c>
      <c r="B248" s="104"/>
      <c r="C248" s="42" t="s">
        <v>183</v>
      </c>
      <c r="D248" s="53">
        <f>(4.86*3.65+2*1.33)*(10.764)</f>
        <v>219.574836</v>
      </c>
      <c r="E248" s="42">
        <v>0</v>
      </c>
      <c r="F248" s="42">
        <f>(D248+E248)*(($F$231)+1)</f>
        <v>340.34099580000003</v>
      </c>
      <c r="G248" s="106" t="str">
        <f>A247</f>
        <v>Ground Floor For Part Commercial, Fitness Center, Creche, Meter Room, Drivers Room &amp; Society Office</v>
      </c>
      <c r="H248" s="107"/>
      <c r="I248" s="36"/>
      <c r="L248" s="105"/>
      <c r="M248" s="105"/>
      <c r="N248" s="36"/>
    </row>
    <row r="249" spans="1:14" s="37" customFormat="1" ht="15.75" customHeight="1" x14ac:dyDescent="0.3">
      <c r="A249" s="103">
        <f t="shared" ref="A249:A256" si="3">A248+1</f>
        <v>2</v>
      </c>
      <c r="B249" s="104"/>
      <c r="C249" s="42" t="s">
        <v>183</v>
      </c>
      <c r="D249" s="53">
        <f>(2.75*4.98+1.24*0.005)*10.764</f>
        <v>147.47971680000001</v>
      </c>
      <c r="E249" s="42">
        <v>0</v>
      </c>
      <c r="F249" s="42">
        <f t="shared" ref="F249:F256" si="4">(D249+E249)*(($F$231)+1)</f>
        <v>228.59356104000003</v>
      </c>
      <c r="G249" s="108"/>
      <c r="H249" s="109"/>
      <c r="I249" s="36"/>
      <c r="L249" s="105"/>
      <c r="M249" s="105"/>
      <c r="N249" s="36"/>
    </row>
    <row r="250" spans="1:14" s="37" customFormat="1" ht="15.75" customHeight="1" x14ac:dyDescent="0.3">
      <c r="A250" s="103">
        <f t="shared" si="3"/>
        <v>3</v>
      </c>
      <c r="B250" s="104"/>
      <c r="C250" s="42" t="s">
        <v>183</v>
      </c>
      <c r="D250" s="53">
        <f>(3.63*4.98+2.3*0.05)*(10.764)</f>
        <v>195.82299359999999</v>
      </c>
      <c r="E250" s="42">
        <v>0</v>
      </c>
      <c r="F250" s="42">
        <f t="shared" si="4"/>
        <v>303.52564008000002</v>
      </c>
      <c r="G250" s="108"/>
      <c r="H250" s="109"/>
      <c r="I250" s="36"/>
      <c r="L250" s="105"/>
      <c r="M250" s="105"/>
      <c r="N250" s="36"/>
    </row>
    <row r="251" spans="1:14" s="37" customFormat="1" ht="15.75" customHeight="1" x14ac:dyDescent="0.3">
      <c r="A251" s="103">
        <f t="shared" si="3"/>
        <v>4</v>
      </c>
      <c r="B251" s="104"/>
      <c r="C251" s="42" t="s">
        <v>183</v>
      </c>
      <c r="D251" s="53">
        <f>(3.63*4.98)*(10.764)</f>
        <v>194.58513360000001</v>
      </c>
      <c r="E251" s="42">
        <v>0</v>
      </c>
      <c r="F251" s="42">
        <f t="shared" si="4"/>
        <v>301.60695708000003</v>
      </c>
      <c r="G251" s="108"/>
      <c r="H251" s="109"/>
      <c r="I251" s="36"/>
      <c r="L251" s="105"/>
      <c r="M251" s="105"/>
      <c r="N251" s="36"/>
    </row>
    <row r="252" spans="1:14" s="37" customFormat="1" ht="15.75" customHeight="1" x14ac:dyDescent="0.3">
      <c r="A252" s="103">
        <f t="shared" si="3"/>
        <v>5</v>
      </c>
      <c r="B252" s="104"/>
      <c r="C252" s="42" t="s">
        <v>183</v>
      </c>
      <c r="D252" s="53">
        <f>(2.75*4.98+1.24*0.05)*(10.764)</f>
        <v>148.08034799999999</v>
      </c>
      <c r="E252" s="42">
        <v>0</v>
      </c>
      <c r="F252" s="42">
        <f t="shared" si="4"/>
        <v>229.52453939999998</v>
      </c>
      <c r="G252" s="108"/>
      <c r="H252" s="109"/>
      <c r="I252" s="36"/>
      <c r="L252" s="105"/>
      <c r="M252" s="105"/>
      <c r="N252" s="36"/>
    </row>
    <row r="253" spans="1:14" s="37" customFormat="1" ht="15.75" customHeight="1" x14ac:dyDescent="0.3">
      <c r="A253" s="103">
        <f t="shared" si="3"/>
        <v>6</v>
      </c>
      <c r="B253" s="104"/>
      <c r="C253" s="42" t="s">
        <v>183</v>
      </c>
      <c r="D253" s="53">
        <f>(2.75*4.98+1.24*0.05)*(10.764)</f>
        <v>148.08034799999999</v>
      </c>
      <c r="E253" s="42">
        <v>0</v>
      </c>
      <c r="F253" s="42">
        <f t="shared" si="4"/>
        <v>229.52453939999998</v>
      </c>
      <c r="G253" s="108"/>
      <c r="H253" s="109"/>
      <c r="I253" s="36"/>
      <c r="L253" s="105"/>
      <c r="M253" s="105"/>
      <c r="N253" s="36"/>
    </row>
    <row r="254" spans="1:14" s="37" customFormat="1" ht="15.75" customHeight="1" x14ac:dyDescent="0.3">
      <c r="A254" s="103">
        <f t="shared" si="3"/>
        <v>7</v>
      </c>
      <c r="B254" s="104"/>
      <c r="C254" s="42" t="s">
        <v>183</v>
      </c>
      <c r="D254" s="53">
        <f>(3.63*4.98)*(10.764)</f>
        <v>194.58513360000001</v>
      </c>
      <c r="E254" s="42">
        <v>0</v>
      </c>
      <c r="F254" s="42">
        <f t="shared" si="4"/>
        <v>301.60695708000003</v>
      </c>
      <c r="G254" s="108"/>
      <c r="H254" s="109"/>
      <c r="I254" s="36"/>
      <c r="L254" s="105"/>
      <c r="M254" s="105"/>
      <c r="N254" s="36"/>
    </row>
    <row r="255" spans="1:14" s="37" customFormat="1" ht="15.75" customHeight="1" x14ac:dyDescent="0.3">
      <c r="A255" s="103">
        <f t="shared" si="3"/>
        <v>8</v>
      </c>
      <c r="B255" s="104"/>
      <c r="C255" s="42" t="s">
        <v>183</v>
      </c>
      <c r="D255" s="53">
        <f>(3.63*4.98+2.3*0.05)*(10.764)</f>
        <v>195.82299359999999</v>
      </c>
      <c r="E255" s="42">
        <v>0</v>
      </c>
      <c r="F255" s="42">
        <f t="shared" si="4"/>
        <v>303.52564008000002</v>
      </c>
      <c r="G255" s="108"/>
      <c r="H255" s="109"/>
      <c r="I255" s="36"/>
      <c r="L255" s="105"/>
      <c r="M255" s="105"/>
      <c r="N255" s="36"/>
    </row>
    <row r="256" spans="1:14" s="37" customFormat="1" ht="15.75" customHeight="1" x14ac:dyDescent="0.3">
      <c r="A256" s="103">
        <f t="shared" si="3"/>
        <v>9</v>
      </c>
      <c r="B256" s="104"/>
      <c r="C256" s="42" t="s">
        <v>183</v>
      </c>
      <c r="D256" s="53">
        <f>(2.75*4.98+1.24*0.005)*10.764</f>
        <v>147.47971680000001</v>
      </c>
      <c r="E256" s="42">
        <v>0</v>
      </c>
      <c r="F256" s="42">
        <f t="shared" si="4"/>
        <v>228.59356104000003</v>
      </c>
      <c r="G256" s="108"/>
      <c r="H256" s="109"/>
      <c r="I256" s="36"/>
      <c r="L256" s="105"/>
      <c r="M256" s="105"/>
      <c r="N256" s="36"/>
    </row>
    <row r="257" spans="1:14" s="37" customFormat="1" ht="15.75" customHeight="1" x14ac:dyDescent="0.3">
      <c r="A257" s="103">
        <v>10</v>
      </c>
      <c r="B257" s="104"/>
      <c r="C257" s="42" t="s">
        <v>183</v>
      </c>
      <c r="D257" s="53">
        <f>(4.86*3.65+2*1.33)*(10.764)</f>
        <v>219.574836</v>
      </c>
      <c r="E257" s="42">
        <v>0</v>
      </c>
      <c r="F257" s="42">
        <f>(D257+E257)*(($F$231)+1)</f>
        <v>340.34099580000003</v>
      </c>
      <c r="G257" s="110"/>
      <c r="H257" s="111"/>
      <c r="I257" s="36"/>
      <c r="L257" s="105"/>
      <c r="M257" s="105"/>
      <c r="N257" s="36"/>
    </row>
    <row r="258" spans="1:14" s="37" customFormat="1" hidden="1" x14ac:dyDescent="0.3">
      <c r="A258" s="100" t="s">
        <v>116</v>
      </c>
      <c r="B258" s="101"/>
      <c r="C258" s="101"/>
      <c r="D258" s="101"/>
      <c r="E258" s="101"/>
      <c r="F258" s="101"/>
      <c r="G258" s="101"/>
      <c r="H258" s="102"/>
      <c r="J258" s="36"/>
    </row>
    <row r="259" spans="1:14" s="37" customFormat="1" hidden="1" x14ac:dyDescent="0.3">
      <c r="A259" s="103">
        <v>1</v>
      </c>
      <c r="B259" s="104"/>
      <c r="C259" s="42"/>
      <c r="D259" s="42"/>
      <c r="E259" s="42">
        <v>0</v>
      </c>
      <c r="F259" s="42">
        <f>(D259+E259)*(($F$231)+1)</f>
        <v>0</v>
      </c>
      <c r="G259" s="103" t="str">
        <f>A258</f>
        <v>Ground Floor</v>
      </c>
      <c r="H259" s="104"/>
      <c r="I259" s="36"/>
      <c r="L259" s="105"/>
      <c r="M259" s="105"/>
      <c r="N259" s="36"/>
    </row>
    <row r="260" spans="1:14" s="37" customFormat="1" hidden="1" x14ac:dyDescent="0.3">
      <c r="A260" s="103">
        <f t="shared" ref="A260:A262" si="5">A259+1</f>
        <v>2</v>
      </c>
      <c r="B260" s="104"/>
      <c r="C260" s="42"/>
      <c r="D260" s="42"/>
      <c r="E260" s="42">
        <v>0</v>
      </c>
      <c r="F260" s="42">
        <f t="shared" ref="F260:F262" si="6">(D260+E260)*(($F$231)+1)</f>
        <v>0</v>
      </c>
      <c r="G260" s="103" t="str">
        <f t="shared" ref="G260:G262" si="7">G259</f>
        <v>Ground Floor</v>
      </c>
      <c r="H260" s="104"/>
      <c r="I260" s="36"/>
      <c r="L260" s="105"/>
      <c r="M260" s="105"/>
      <c r="N260" s="36"/>
    </row>
    <row r="261" spans="1:14" s="37" customFormat="1" hidden="1" x14ac:dyDescent="0.3">
      <c r="A261" s="103">
        <f t="shared" si="5"/>
        <v>3</v>
      </c>
      <c r="B261" s="104"/>
      <c r="C261" s="42"/>
      <c r="D261" s="42"/>
      <c r="E261" s="42">
        <v>0</v>
      </c>
      <c r="F261" s="42">
        <f t="shared" si="6"/>
        <v>0</v>
      </c>
      <c r="G261" s="103" t="str">
        <f t="shared" si="7"/>
        <v>Ground Floor</v>
      </c>
      <c r="H261" s="104"/>
      <c r="I261" s="36"/>
      <c r="L261" s="105"/>
      <c r="M261" s="105"/>
      <c r="N261" s="36"/>
    </row>
    <row r="262" spans="1:14" s="37" customFormat="1" hidden="1" x14ac:dyDescent="0.3">
      <c r="A262" s="103">
        <f t="shared" si="5"/>
        <v>4</v>
      </c>
      <c r="B262" s="104"/>
      <c r="C262" s="42"/>
      <c r="D262" s="42"/>
      <c r="E262" s="42">
        <v>0</v>
      </c>
      <c r="F262" s="42">
        <f t="shared" si="6"/>
        <v>0</v>
      </c>
      <c r="G262" s="103" t="str">
        <f t="shared" si="7"/>
        <v>Ground Floor</v>
      </c>
      <c r="H262" s="104"/>
      <c r="I262" s="36"/>
      <c r="L262" s="105"/>
      <c r="M262" s="105"/>
      <c r="N262" s="36"/>
    </row>
    <row r="263" spans="1:14" s="37" customFormat="1" x14ac:dyDescent="0.3">
      <c r="A263" s="103"/>
      <c r="B263" s="129"/>
      <c r="C263" s="129"/>
      <c r="D263" s="129"/>
      <c r="E263" s="129"/>
      <c r="F263" s="129"/>
      <c r="G263" s="129"/>
      <c r="H263" s="104"/>
      <c r="I263" s="36"/>
      <c r="N263" s="36"/>
    </row>
    <row r="264" spans="1:14" ht="47.25" customHeight="1" x14ac:dyDescent="0.3">
      <c r="A264" s="130" t="s">
        <v>119</v>
      </c>
      <c r="B264" s="130" t="s">
        <v>120</v>
      </c>
      <c r="C264" s="127" t="s">
        <v>57</v>
      </c>
      <c r="D264" s="127" t="s">
        <v>58</v>
      </c>
      <c r="E264" s="147" t="s">
        <v>59</v>
      </c>
      <c r="F264" s="43" t="s">
        <v>147</v>
      </c>
      <c r="G264" s="130" t="s">
        <v>60</v>
      </c>
      <c r="H264" s="149"/>
      <c r="I264" s="36"/>
    </row>
    <row r="265" spans="1:14" s="37" customFormat="1" x14ac:dyDescent="0.3">
      <c r="A265" s="131"/>
      <c r="B265" s="131"/>
      <c r="C265" s="128"/>
      <c r="D265" s="128"/>
      <c r="E265" s="148"/>
      <c r="F265" s="13">
        <v>0.5</v>
      </c>
      <c r="G265" s="131"/>
      <c r="H265" s="150"/>
      <c r="I265" s="36"/>
    </row>
    <row r="266" spans="1:14" s="37" customFormat="1" x14ac:dyDescent="0.3">
      <c r="A266" s="100" t="s">
        <v>175</v>
      </c>
      <c r="B266" s="101"/>
      <c r="C266" s="101"/>
      <c r="D266" s="101"/>
      <c r="E266" s="101"/>
      <c r="F266" s="101"/>
      <c r="G266" s="101"/>
      <c r="H266" s="102"/>
      <c r="J266" s="36"/>
    </row>
    <row r="267" spans="1:14" s="37" customFormat="1" x14ac:dyDescent="0.3">
      <c r="A267" s="100" t="s">
        <v>209</v>
      </c>
      <c r="B267" s="101"/>
      <c r="C267" s="101"/>
      <c r="D267" s="101"/>
      <c r="E267" s="101"/>
      <c r="F267" s="101"/>
      <c r="G267" s="101"/>
      <c r="H267" s="102"/>
      <c r="J267" s="36"/>
    </row>
    <row r="268" spans="1:14" s="37" customFormat="1" x14ac:dyDescent="0.3">
      <c r="A268" s="100" t="s">
        <v>176</v>
      </c>
      <c r="B268" s="101"/>
      <c r="C268" s="101"/>
      <c r="D268" s="101"/>
      <c r="E268" s="101"/>
      <c r="F268" s="101"/>
      <c r="G268" s="101"/>
      <c r="H268" s="102"/>
      <c r="J268" s="36"/>
    </row>
    <row r="269" spans="1:14" s="37" customFormat="1" x14ac:dyDescent="0.3">
      <c r="A269" s="100" t="s">
        <v>177</v>
      </c>
      <c r="B269" s="101"/>
      <c r="C269" s="101"/>
      <c r="D269" s="101"/>
      <c r="E269" s="101"/>
      <c r="F269" s="101"/>
      <c r="G269" s="101"/>
      <c r="H269" s="102"/>
      <c r="J269" s="36"/>
    </row>
    <row r="270" spans="1:14" s="37" customFormat="1" x14ac:dyDescent="0.3">
      <c r="A270" s="100" t="s">
        <v>178</v>
      </c>
      <c r="B270" s="101"/>
      <c r="C270" s="101"/>
      <c r="D270" s="101"/>
      <c r="E270" s="101"/>
      <c r="F270" s="101"/>
      <c r="G270" s="101"/>
      <c r="H270" s="102"/>
      <c r="J270" s="36"/>
    </row>
    <row r="271" spans="1:14" s="37" customFormat="1" ht="15.75" customHeight="1" x14ac:dyDescent="0.3">
      <c r="A271" s="103">
        <v>1</v>
      </c>
      <c r="B271" s="104"/>
      <c r="C271" s="52">
        <v>1</v>
      </c>
      <c r="D271" s="53">
        <f>(24.98+2.75*1.27+2.7*1.05+1.75*0.6)*(10.764)</f>
        <v>348.29613000000001</v>
      </c>
      <c r="E271" s="42">
        <v>0</v>
      </c>
      <c r="F271" s="42">
        <f t="shared" ref="F271:F284" si="8">D271*(($F$265)+1)+(IF(E271&lt;101,E271,IF(E271&lt;201,E271/2,IF(E271&lt;=301,E271/3,E271/4))))</f>
        <v>522.44419500000004</v>
      </c>
      <c r="G271" s="106" t="str">
        <f>A270</f>
        <v>1st Floor For Residential</v>
      </c>
      <c r="H271" s="107"/>
      <c r="I271" s="36"/>
      <c r="J271" s="53">
        <f>10.764</f>
        <v>10.763999999999999</v>
      </c>
      <c r="K271" s="37">
        <f>7000*F271</f>
        <v>3657109.3650000002</v>
      </c>
      <c r="L271" s="105"/>
      <c r="M271" s="105"/>
      <c r="N271" s="36"/>
    </row>
    <row r="272" spans="1:14" s="37" customFormat="1" ht="15.75" customHeight="1" x14ac:dyDescent="0.3">
      <c r="A272" s="103">
        <f t="shared" ref="A272:A284" si="9">A271+1</f>
        <v>2</v>
      </c>
      <c r="B272" s="104"/>
      <c r="C272" s="52">
        <v>1</v>
      </c>
      <c r="D272" s="53">
        <f t="shared" ref="D272:D284" si="10">(24.98+2.75*1.27+2.7*1.05+1.75*0.6)*(10.764)</f>
        <v>348.29613000000001</v>
      </c>
      <c r="E272" s="42">
        <v>0</v>
      </c>
      <c r="F272" s="42">
        <f t="shared" si="8"/>
        <v>522.44419500000004</v>
      </c>
      <c r="G272" s="108"/>
      <c r="H272" s="109"/>
      <c r="I272" s="36"/>
      <c r="J272" s="37">
        <f>1.1*0.95+1.55*2.35+1.05*1.5+3.65*2.75+2.11*2.7+1.65*1.05+2.75*1.27+2.7*1.05+1.75*0.6</f>
        <v>31.107000000000003</v>
      </c>
      <c r="K272" s="37">
        <f t="shared" ref="K272:K283" si="11">7000*F272</f>
        <v>3657109.3650000002</v>
      </c>
      <c r="L272" s="105"/>
      <c r="M272" s="105"/>
      <c r="N272" s="36"/>
    </row>
    <row r="273" spans="1:14" s="37" customFormat="1" ht="15.75" customHeight="1" x14ac:dyDescent="0.3">
      <c r="A273" s="103">
        <f t="shared" si="9"/>
        <v>3</v>
      </c>
      <c r="B273" s="104"/>
      <c r="C273" s="52">
        <v>1</v>
      </c>
      <c r="D273" s="53">
        <f t="shared" si="10"/>
        <v>348.29613000000001</v>
      </c>
      <c r="E273" s="42">
        <v>0</v>
      </c>
      <c r="F273" s="42">
        <f t="shared" si="8"/>
        <v>522.44419500000004</v>
      </c>
      <c r="G273" s="108"/>
      <c r="H273" s="109"/>
      <c r="I273" s="36"/>
      <c r="K273" s="37">
        <f t="shared" si="11"/>
        <v>3657109.3650000002</v>
      </c>
      <c r="L273" s="105"/>
      <c r="M273" s="105"/>
      <c r="N273" s="36"/>
    </row>
    <row r="274" spans="1:14" s="37" customFormat="1" ht="15.75" customHeight="1" x14ac:dyDescent="0.3">
      <c r="A274" s="103">
        <f t="shared" si="9"/>
        <v>4</v>
      </c>
      <c r="B274" s="104"/>
      <c r="C274" s="52">
        <v>1</v>
      </c>
      <c r="D274" s="53">
        <f t="shared" si="10"/>
        <v>348.29613000000001</v>
      </c>
      <c r="E274" s="42">
        <v>0</v>
      </c>
      <c r="F274" s="42">
        <f t="shared" si="8"/>
        <v>522.44419500000004</v>
      </c>
      <c r="G274" s="108"/>
      <c r="H274" s="109"/>
      <c r="I274" s="36"/>
      <c r="K274" s="37">
        <f t="shared" si="11"/>
        <v>3657109.3650000002</v>
      </c>
      <c r="L274" s="105"/>
      <c r="M274" s="105"/>
      <c r="N274" s="36"/>
    </row>
    <row r="275" spans="1:14" s="37" customFormat="1" ht="15.75" customHeight="1" x14ac:dyDescent="0.3">
      <c r="A275" s="103">
        <f t="shared" si="9"/>
        <v>5</v>
      </c>
      <c r="B275" s="104"/>
      <c r="C275" s="52">
        <v>1</v>
      </c>
      <c r="D275" s="53">
        <f t="shared" si="10"/>
        <v>348.29613000000001</v>
      </c>
      <c r="E275" s="42">
        <v>0</v>
      </c>
      <c r="F275" s="42">
        <f t="shared" si="8"/>
        <v>522.44419500000004</v>
      </c>
      <c r="G275" s="108"/>
      <c r="H275" s="109"/>
      <c r="I275" s="36"/>
      <c r="K275" s="37">
        <f t="shared" si="11"/>
        <v>3657109.3650000002</v>
      </c>
      <c r="L275" s="105"/>
      <c r="M275" s="105"/>
      <c r="N275" s="36"/>
    </row>
    <row r="276" spans="1:14" s="37" customFormat="1" ht="15.75" customHeight="1" x14ac:dyDescent="0.3">
      <c r="A276" s="103">
        <f t="shared" si="9"/>
        <v>6</v>
      </c>
      <c r="B276" s="104"/>
      <c r="C276" s="52">
        <v>1</v>
      </c>
      <c r="D276" s="53">
        <f t="shared" si="10"/>
        <v>348.29613000000001</v>
      </c>
      <c r="E276" s="42">
        <v>0</v>
      </c>
      <c r="F276" s="42">
        <f t="shared" si="8"/>
        <v>522.44419500000004</v>
      </c>
      <c r="G276" s="108"/>
      <c r="H276" s="109"/>
      <c r="I276" s="36"/>
      <c r="K276" s="37">
        <f t="shared" si="11"/>
        <v>3657109.3650000002</v>
      </c>
      <c r="L276" s="105"/>
      <c r="M276" s="105"/>
      <c r="N276" s="36"/>
    </row>
    <row r="277" spans="1:14" s="37" customFormat="1" ht="15.75" customHeight="1" x14ac:dyDescent="0.3">
      <c r="A277" s="103">
        <f t="shared" si="9"/>
        <v>7</v>
      </c>
      <c r="B277" s="104"/>
      <c r="C277" s="52">
        <v>1</v>
      </c>
      <c r="D277" s="53">
        <f t="shared" si="10"/>
        <v>348.29613000000001</v>
      </c>
      <c r="E277" s="42">
        <v>0</v>
      </c>
      <c r="F277" s="42">
        <f t="shared" si="8"/>
        <v>522.44419500000004</v>
      </c>
      <c r="G277" s="108"/>
      <c r="H277" s="109"/>
      <c r="I277" s="36"/>
      <c r="J277" s="37">
        <f>24.98+2.75*1.27+2.7*1.05+1.75*0.6</f>
        <v>32.357500000000002</v>
      </c>
      <c r="K277" s="37">
        <f t="shared" si="11"/>
        <v>3657109.3650000002</v>
      </c>
      <c r="L277" s="105"/>
      <c r="M277" s="105"/>
      <c r="N277" s="36"/>
    </row>
    <row r="278" spans="1:14" s="37" customFormat="1" ht="15.75" customHeight="1" x14ac:dyDescent="0.3">
      <c r="A278" s="103">
        <f t="shared" si="9"/>
        <v>8</v>
      </c>
      <c r="B278" s="104"/>
      <c r="C278" s="52">
        <v>1</v>
      </c>
      <c r="D278" s="53">
        <f t="shared" si="10"/>
        <v>348.29613000000001</v>
      </c>
      <c r="E278" s="42">
        <v>0</v>
      </c>
      <c r="F278" s="42">
        <f t="shared" si="8"/>
        <v>522.44419500000004</v>
      </c>
      <c r="G278" s="108"/>
      <c r="H278" s="109"/>
      <c r="I278" s="36"/>
      <c r="K278" s="37">
        <f t="shared" si="11"/>
        <v>3657109.3650000002</v>
      </c>
      <c r="L278" s="105"/>
      <c r="M278" s="105"/>
      <c r="N278" s="36"/>
    </row>
    <row r="279" spans="1:14" s="37" customFormat="1" ht="15.75" customHeight="1" x14ac:dyDescent="0.3">
      <c r="A279" s="103">
        <f t="shared" si="9"/>
        <v>9</v>
      </c>
      <c r="B279" s="104"/>
      <c r="C279" s="52">
        <v>1</v>
      </c>
      <c r="D279" s="53">
        <f t="shared" si="10"/>
        <v>348.29613000000001</v>
      </c>
      <c r="E279" s="42">
        <v>0</v>
      </c>
      <c r="F279" s="42">
        <f t="shared" si="8"/>
        <v>522.44419500000004</v>
      </c>
      <c r="G279" s="108"/>
      <c r="H279" s="109"/>
      <c r="I279" s="36"/>
      <c r="K279" s="37">
        <f t="shared" si="11"/>
        <v>3657109.3650000002</v>
      </c>
      <c r="L279" s="105"/>
      <c r="M279" s="105"/>
      <c r="N279" s="36"/>
    </row>
    <row r="280" spans="1:14" s="37" customFormat="1" ht="15.75" customHeight="1" x14ac:dyDescent="0.3">
      <c r="A280" s="103">
        <f t="shared" si="9"/>
        <v>10</v>
      </c>
      <c r="B280" s="104"/>
      <c r="C280" s="52">
        <v>1</v>
      </c>
      <c r="D280" s="53">
        <f t="shared" si="10"/>
        <v>348.29613000000001</v>
      </c>
      <c r="E280" s="42">
        <v>0</v>
      </c>
      <c r="F280" s="42">
        <f t="shared" si="8"/>
        <v>522.44419500000004</v>
      </c>
      <c r="G280" s="108"/>
      <c r="H280" s="109"/>
      <c r="I280" s="36"/>
      <c r="K280" s="37">
        <f t="shared" si="11"/>
        <v>3657109.3650000002</v>
      </c>
      <c r="L280" s="105"/>
      <c r="M280" s="105"/>
      <c r="N280" s="36"/>
    </row>
    <row r="281" spans="1:14" s="37" customFormat="1" ht="15.75" customHeight="1" x14ac:dyDescent="0.3">
      <c r="A281" s="103">
        <f t="shared" si="9"/>
        <v>11</v>
      </c>
      <c r="B281" s="104"/>
      <c r="C281" s="52">
        <v>1</v>
      </c>
      <c r="D281" s="53">
        <f t="shared" si="10"/>
        <v>348.29613000000001</v>
      </c>
      <c r="E281" s="42">
        <v>0</v>
      </c>
      <c r="F281" s="42">
        <f t="shared" si="8"/>
        <v>522.44419500000004</v>
      </c>
      <c r="G281" s="108"/>
      <c r="H281" s="109"/>
      <c r="I281" s="36"/>
      <c r="K281" s="37">
        <f t="shared" si="11"/>
        <v>3657109.3650000002</v>
      </c>
      <c r="L281" s="105"/>
      <c r="M281" s="105"/>
      <c r="N281" s="36"/>
    </row>
    <row r="282" spans="1:14" s="37" customFormat="1" ht="15.75" customHeight="1" x14ac:dyDescent="0.3">
      <c r="A282" s="103">
        <f t="shared" si="9"/>
        <v>12</v>
      </c>
      <c r="B282" s="104"/>
      <c r="C282" s="52">
        <v>1</v>
      </c>
      <c r="D282" s="53">
        <f t="shared" si="10"/>
        <v>348.29613000000001</v>
      </c>
      <c r="E282" s="42">
        <v>0</v>
      </c>
      <c r="F282" s="42">
        <f t="shared" si="8"/>
        <v>522.44419500000004</v>
      </c>
      <c r="G282" s="108"/>
      <c r="H282" s="109"/>
      <c r="I282" s="36"/>
      <c r="K282" s="37">
        <f t="shared" si="11"/>
        <v>3657109.3650000002</v>
      </c>
      <c r="L282" s="105"/>
      <c r="M282" s="105"/>
      <c r="N282" s="36"/>
    </row>
    <row r="283" spans="1:14" s="37" customFormat="1" ht="15.75" customHeight="1" x14ac:dyDescent="0.3">
      <c r="A283" s="103">
        <f t="shared" si="9"/>
        <v>13</v>
      </c>
      <c r="B283" s="104"/>
      <c r="C283" s="52">
        <v>1</v>
      </c>
      <c r="D283" s="53">
        <f t="shared" si="10"/>
        <v>348.29613000000001</v>
      </c>
      <c r="E283" s="42">
        <v>0</v>
      </c>
      <c r="F283" s="42">
        <f t="shared" si="8"/>
        <v>522.44419500000004</v>
      </c>
      <c r="G283" s="108"/>
      <c r="H283" s="109"/>
      <c r="I283" s="36"/>
      <c r="K283" s="37">
        <f t="shared" si="11"/>
        <v>3657109.3650000002</v>
      </c>
      <c r="L283" s="105"/>
      <c r="M283" s="105"/>
      <c r="N283" s="36"/>
    </row>
    <row r="284" spans="1:14" s="37" customFormat="1" ht="15.75" customHeight="1" x14ac:dyDescent="0.3">
      <c r="A284" s="103">
        <f t="shared" si="9"/>
        <v>14</v>
      </c>
      <c r="B284" s="104"/>
      <c r="C284" s="52">
        <v>1</v>
      </c>
      <c r="D284" s="53">
        <f t="shared" si="10"/>
        <v>348.29613000000001</v>
      </c>
      <c r="E284" s="42">
        <v>0</v>
      </c>
      <c r="F284" s="42">
        <f t="shared" si="8"/>
        <v>522.44419500000004</v>
      </c>
      <c r="G284" s="108"/>
      <c r="H284" s="109"/>
      <c r="I284" s="36"/>
      <c r="L284" s="105"/>
      <c r="M284" s="105"/>
      <c r="N284" s="36"/>
    </row>
    <row r="285" spans="1:14" s="37" customFormat="1" x14ac:dyDescent="0.3">
      <c r="A285" s="100" t="s">
        <v>228</v>
      </c>
      <c r="B285" s="101"/>
      <c r="C285" s="101"/>
      <c r="D285" s="101"/>
      <c r="E285" s="101"/>
      <c r="F285" s="101"/>
      <c r="G285" s="101"/>
      <c r="H285" s="102"/>
      <c r="J285" s="36"/>
    </row>
    <row r="286" spans="1:14" s="37" customFormat="1" ht="15.75" customHeight="1" x14ac:dyDescent="0.3">
      <c r="A286" s="103">
        <v>1</v>
      </c>
      <c r="B286" s="104"/>
      <c r="C286" s="52">
        <v>1</v>
      </c>
      <c r="D286" s="53">
        <f>(24.98+2.75*1.27+2.7*1.05+1.75*0.6)*(10.764)</f>
        <v>348.29613000000001</v>
      </c>
      <c r="E286" s="42">
        <v>0</v>
      </c>
      <c r="F286" s="42">
        <f t="shared" ref="F286:F295" si="12">D286*(($F$265)+1)+(IF(E286&lt;101,E286,IF(E286&lt;201,E286/2,IF(E286&lt;=301,E286/3,E286/4))))</f>
        <v>522.44419500000004</v>
      </c>
      <c r="G286" s="106" t="str">
        <f>A285</f>
        <v>2nd to 7th, 9th to 12th, 14th to 17th, 19th to 22nd, 24th to 27th &amp; 29th Floor</v>
      </c>
      <c r="H286" s="107"/>
      <c r="I286" s="36"/>
      <c r="L286" s="105"/>
      <c r="M286" s="105"/>
      <c r="N286" s="36"/>
    </row>
    <row r="287" spans="1:14" s="37" customFormat="1" ht="15.75" customHeight="1" x14ac:dyDescent="0.3">
      <c r="A287" s="103">
        <f t="shared" ref="A287:A299" si="13">A286+1</f>
        <v>2</v>
      </c>
      <c r="B287" s="104"/>
      <c r="C287" s="52">
        <v>1</v>
      </c>
      <c r="D287" s="53">
        <f t="shared" ref="D287:D314" si="14">(24.98+2.75*1.27+2.7*1.05+1.75*0.6)*(10.764)</f>
        <v>348.29613000000001</v>
      </c>
      <c r="E287" s="42">
        <v>0</v>
      </c>
      <c r="F287" s="42">
        <f t="shared" si="12"/>
        <v>522.44419500000004</v>
      </c>
      <c r="G287" s="108"/>
      <c r="H287" s="109"/>
      <c r="I287" s="36"/>
      <c r="L287" s="105"/>
      <c r="M287" s="105"/>
      <c r="N287" s="36"/>
    </row>
    <row r="288" spans="1:14" s="37" customFormat="1" ht="15.75" customHeight="1" x14ac:dyDescent="0.3">
      <c r="A288" s="103">
        <f t="shared" si="13"/>
        <v>3</v>
      </c>
      <c r="B288" s="104"/>
      <c r="C288" s="52">
        <v>1</v>
      </c>
      <c r="D288" s="53">
        <f t="shared" si="14"/>
        <v>348.29613000000001</v>
      </c>
      <c r="E288" s="42">
        <v>0</v>
      </c>
      <c r="F288" s="42">
        <f t="shared" si="12"/>
        <v>522.44419500000004</v>
      </c>
      <c r="G288" s="108"/>
      <c r="H288" s="109"/>
      <c r="I288" s="36"/>
      <c r="L288" s="105"/>
      <c r="M288" s="105"/>
      <c r="N288" s="36"/>
    </row>
    <row r="289" spans="1:14" s="37" customFormat="1" ht="15.75" customHeight="1" x14ac:dyDescent="0.3">
      <c r="A289" s="103">
        <f t="shared" si="13"/>
        <v>4</v>
      </c>
      <c r="B289" s="104"/>
      <c r="C289" s="52">
        <v>1</v>
      </c>
      <c r="D289" s="53">
        <f t="shared" si="14"/>
        <v>348.29613000000001</v>
      </c>
      <c r="E289" s="42">
        <v>0</v>
      </c>
      <c r="F289" s="42">
        <f t="shared" si="12"/>
        <v>522.44419500000004</v>
      </c>
      <c r="G289" s="108"/>
      <c r="H289" s="109"/>
      <c r="I289" s="36"/>
      <c r="L289" s="105"/>
      <c r="M289" s="105"/>
      <c r="N289" s="36"/>
    </row>
    <row r="290" spans="1:14" s="37" customFormat="1" ht="15.75" customHeight="1" x14ac:dyDescent="0.3">
      <c r="A290" s="103">
        <f t="shared" si="13"/>
        <v>5</v>
      </c>
      <c r="B290" s="104"/>
      <c r="C290" s="52">
        <v>1</v>
      </c>
      <c r="D290" s="53">
        <f t="shared" si="14"/>
        <v>348.29613000000001</v>
      </c>
      <c r="E290" s="42">
        <v>0</v>
      </c>
      <c r="F290" s="42">
        <f t="shared" si="12"/>
        <v>522.44419500000004</v>
      </c>
      <c r="G290" s="108"/>
      <c r="H290" s="109"/>
      <c r="I290" s="36"/>
      <c r="L290" s="105"/>
      <c r="M290" s="105"/>
      <c r="N290" s="36"/>
    </row>
    <row r="291" spans="1:14" s="37" customFormat="1" ht="15.75" customHeight="1" x14ac:dyDescent="0.3">
      <c r="A291" s="103">
        <f t="shared" si="13"/>
        <v>6</v>
      </c>
      <c r="B291" s="104"/>
      <c r="C291" s="52">
        <v>1</v>
      </c>
      <c r="D291" s="53">
        <f t="shared" si="14"/>
        <v>348.29613000000001</v>
      </c>
      <c r="E291" s="42">
        <v>0</v>
      </c>
      <c r="F291" s="42">
        <f t="shared" si="12"/>
        <v>522.44419500000004</v>
      </c>
      <c r="G291" s="108"/>
      <c r="H291" s="109"/>
      <c r="I291" s="36"/>
      <c r="L291" s="105"/>
      <c r="M291" s="105"/>
      <c r="N291" s="36"/>
    </row>
    <row r="292" spans="1:14" s="37" customFormat="1" ht="15.75" customHeight="1" x14ac:dyDescent="0.3">
      <c r="A292" s="103">
        <f t="shared" si="13"/>
        <v>7</v>
      </c>
      <c r="B292" s="104"/>
      <c r="C292" s="52">
        <v>1</v>
      </c>
      <c r="D292" s="53">
        <f t="shared" si="14"/>
        <v>348.29613000000001</v>
      </c>
      <c r="E292" s="42">
        <v>0</v>
      </c>
      <c r="F292" s="42">
        <f t="shared" si="12"/>
        <v>522.44419500000004</v>
      </c>
      <c r="G292" s="108"/>
      <c r="H292" s="109"/>
      <c r="I292" s="36"/>
      <c r="L292" s="105"/>
      <c r="M292" s="105"/>
      <c r="N292" s="36"/>
    </row>
    <row r="293" spans="1:14" s="37" customFormat="1" ht="15.75" customHeight="1" x14ac:dyDescent="0.3">
      <c r="A293" s="103">
        <f t="shared" si="13"/>
        <v>8</v>
      </c>
      <c r="B293" s="104"/>
      <c r="C293" s="52">
        <v>1</v>
      </c>
      <c r="D293" s="53">
        <f t="shared" si="14"/>
        <v>348.29613000000001</v>
      </c>
      <c r="E293" s="42">
        <v>0</v>
      </c>
      <c r="F293" s="42">
        <f t="shared" si="12"/>
        <v>522.44419500000004</v>
      </c>
      <c r="G293" s="108"/>
      <c r="H293" s="109"/>
      <c r="I293" s="36"/>
      <c r="L293" s="105"/>
      <c r="M293" s="105"/>
      <c r="N293" s="36"/>
    </row>
    <row r="294" spans="1:14" s="37" customFormat="1" ht="15.75" customHeight="1" x14ac:dyDescent="0.3">
      <c r="A294" s="103">
        <f t="shared" si="13"/>
        <v>9</v>
      </c>
      <c r="B294" s="104"/>
      <c r="C294" s="52">
        <v>1</v>
      </c>
      <c r="D294" s="53">
        <f t="shared" si="14"/>
        <v>348.29613000000001</v>
      </c>
      <c r="E294" s="42">
        <v>0</v>
      </c>
      <c r="F294" s="42">
        <f t="shared" si="12"/>
        <v>522.44419500000004</v>
      </c>
      <c r="G294" s="108"/>
      <c r="H294" s="109"/>
      <c r="I294" s="36"/>
      <c r="L294" s="105"/>
      <c r="M294" s="105"/>
      <c r="N294" s="36"/>
    </row>
    <row r="295" spans="1:14" s="37" customFormat="1" ht="15.75" customHeight="1" x14ac:dyDescent="0.3">
      <c r="A295" s="103">
        <f t="shared" si="13"/>
        <v>10</v>
      </c>
      <c r="B295" s="104"/>
      <c r="C295" s="52">
        <v>1</v>
      </c>
      <c r="D295" s="53">
        <f t="shared" si="14"/>
        <v>348.29613000000001</v>
      </c>
      <c r="E295" s="42">
        <v>0</v>
      </c>
      <c r="F295" s="42">
        <f t="shared" si="12"/>
        <v>522.44419500000004</v>
      </c>
      <c r="G295" s="108"/>
      <c r="H295" s="109"/>
      <c r="I295" s="36"/>
      <c r="L295" s="105"/>
      <c r="M295" s="105"/>
      <c r="N295" s="36"/>
    </row>
    <row r="296" spans="1:14" s="37" customFormat="1" ht="15.75" customHeight="1" x14ac:dyDescent="0.3">
      <c r="A296" s="103">
        <f t="shared" si="13"/>
        <v>11</v>
      </c>
      <c r="B296" s="104"/>
      <c r="C296" s="52">
        <v>1</v>
      </c>
      <c r="D296" s="53">
        <f t="shared" si="14"/>
        <v>348.29613000000001</v>
      </c>
      <c r="E296" s="42">
        <v>0</v>
      </c>
      <c r="F296" s="42">
        <f t="shared" ref="F296:F299" si="15">D296*(($F$265)+1)+(IF(E296&lt;101,E296,IF(E296&lt;201,E296/2,IF(E296&lt;=301,E296/3,E296/4))))</f>
        <v>522.44419500000004</v>
      </c>
      <c r="G296" s="108"/>
      <c r="H296" s="109"/>
      <c r="I296" s="36"/>
      <c r="L296" s="105"/>
      <c r="M296" s="105"/>
      <c r="N296" s="36"/>
    </row>
    <row r="297" spans="1:14" s="37" customFormat="1" ht="15.75" customHeight="1" x14ac:dyDescent="0.3">
      <c r="A297" s="103">
        <f t="shared" si="13"/>
        <v>12</v>
      </c>
      <c r="B297" s="104"/>
      <c r="C297" s="52">
        <v>1</v>
      </c>
      <c r="D297" s="53">
        <f t="shared" si="14"/>
        <v>348.29613000000001</v>
      </c>
      <c r="E297" s="42">
        <v>0</v>
      </c>
      <c r="F297" s="42">
        <f t="shared" si="15"/>
        <v>522.44419500000004</v>
      </c>
      <c r="G297" s="108"/>
      <c r="H297" s="109"/>
      <c r="I297" s="36"/>
      <c r="L297" s="105"/>
      <c r="M297" s="105"/>
      <c r="N297" s="36"/>
    </row>
    <row r="298" spans="1:14" s="37" customFormat="1" ht="15.75" customHeight="1" x14ac:dyDescent="0.3">
      <c r="A298" s="103">
        <f t="shared" si="13"/>
        <v>13</v>
      </c>
      <c r="B298" s="104"/>
      <c r="C298" s="52">
        <v>1</v>
      </c>
      <c r="D298" s="53">
        <f t="shared" si="14"/>
        <v>348.29613000000001</v>
      </c>
      <c r="E298" s="42">
        <v>0</v>
      </c>
      <c r="F298" s="42">
        <f t="shared" si="15"/>
        <v>522.44419500000004</v>
      </c>
      <c r="G298" s="108"/>
      <c r="H298" s="109"/>
      <c r="I298" s="36"/>
      <c r="L298" s="105"/>
      <c r="M298" s="105"/>
      <c r="N298" s="36"/>
    </row>
    <row r="299" spans="1:14" s="37" customFormat="1" ht="15.75" customHeight="1" x14ac:dyDescent="0.3">
      <c r="A299" s="103">
        <f t="shared" si="13"/>
        <v>14</v>
      </c>
      <c r="B299" s="104"/>
      <c r="C299" s="52">
        <v>1</v>
      </c>
      <c r="D299" s="53">
        <f t="shared" si="14"/>
        <v>348.29613000000001</v>
      </c>
      <c r="E299" s="42">
        <v>0</v>
      </c>
      <c r="F299" s="42">
        <f t="shared" si="15"/>
        <v>522.44419500000004</v>
      </c>
      <c r="G299" s="108"/>
      <c r="H299" s="109"/>
      <c r="I299" s="36"/>
      <c r="L299" s="105"/>
      <c r="M299" s="105"/>
      <c r="N299" s="36"/>
    </row>
    <row r="300" spans="1:14" s="37" customFormat="1" x14ac:dyDescent="0.3">
      <c r="A300" s="100" t="s">
        <v>215</v>
      </c>
      <c r="B300" s="101"/>
      <c r="C300" s="101"/>
      <c r="D300" s="101"/>
      <c r="E300" s="101"/>
      <c r="F300" s="101"/>
      <c r="G300" s="101"/>
      <c r="H300" s="102"/>
      <c r="J300" s="36"/>
    </row>
    <row r="301" spans="1:14" s="37" customFormat="1" ht="15.75" customHeight="1" x14ac:dyDescent="0.3">
      <c r="A301" s="103">
        <v>1</v>
      </c>
      <c r="B301" s="104"/>
      <c r="C301" s="52">
        <v>1</v>
      </c>
      <c r="D301" s="53">
        <f t="shared" si="14"/>
        <v>348.29613000000001</v>
      </c>
      <c r="E301" s="42">
        <v>0</v>
      </c>
      <c r="F301" s="42">
        <f>D301*(($F$265)+1)+(IF(E301&lt;101,E301,IF(E301&lt;201,E301/2,IF(E301&lt;=301,E301/3,E301/4))))</f>
        <v>522.44419500000004</v>
      </c>
      <c r="G301" s="106" t="str">
        <f>A300</f>
        <v>8th, 13th, 18th, 23rd &amp; 28th Floor (Part Refuge Area)</v>
      </c>
      <c r="H301" s="107"/>
      <c r="I301" s="36"/>
      <c r="L301" s="105"/>
      <c r="M301" s="105"/>
      <c r="N301" s="36"/>
    </row>
    <row r="302" spans="1:14" s="37" customFormat="1" ht="15.75" customHeight="1" x14ac:dyDescent="0.3">
      <c r="A302" s="103">
        <f t="shared" ref="A302:A312" si="16">A301+1</f>
        <v>2</v>
      </c>
      <c r="B302" s="104"/>
      <c r="C302" s="52">
        <v>1</v>
      </c>
      <c r="D302" s="53">
        <f t="shared" si="14"/>
        <v>348.29613000000001</v>
      </c>
      <c r="E302" s="42">
        <v>0</v>
      </c>
      <c r="F302" s="42">
        <f>D302*(($F$265)+1)+(IF(E302&lt;101,E302,IF(E302&lt;201,E302/2,IF(E302&lt;=301,E302/3,E302/4))))</f>
        <v>522.44419500000004</v>
      </c>
      <c r="G302" s="108"/>
      <c r="H302" s="109"/>
      <c r="I302" s="36"/>
      <c r="L302" s="105"/>
      <c r="M302" s="105"/>
      <c r="N302" s="36"/>
    </row>
    <row r="303" spans="1:14" s="37" customFormat="1" ht="15.75" customHeight="1" x14ac:dyDescent="0.3">
      <c r="A303" s="103">
        <f t="shared" si="16"/>
        <v>3</v>
      </c>
      <c r="B303" s="104"/>
      <c r="C303" s="52">
        <v>1</v>
      </c>
      <c r="D303" s="53">
        <f t="shared" si="14"/>
        <v>348.29613000000001</v>
      </c>
      <c r="E303" s="42">
        <v>0</v>
      </c>
      <c r="F303" s="42">
        <f>D303*(($F$265)+1)+(IF(E303&lt;101,E303,IF(E303&lt;201,E303/2,IF(E303&lt;=301,E303/3,E303/4))))</f>
        <v>522.44419500000004</v>
      </c>
      <c r="G303" s="108"/>
      <c r="H303" s="109"/>
      <c r="I303" s="36"/>
      <c r="L303" s="105"/>
      <c r="M303" s="105"/>
      <c r="N303" s="36"/>
    </row>
    <row r="304" spans="1:14" s="37" customFormat="1" ht="15.75" customHeight="1" x14ac:dyDescent="0.3">
      <c r="A304" s="103">
        <f t="shared" si="16"/>
        <v>4</v>
      </c>
      <c r="B304" s="104"/>
      <c r="C304" s="52">
        <v>1</v>
      </c>
      <c r="D304" s="53">
        <f t="shared" si="14"/>
        <v>348.29613000000001</v>
      </c>
      <c r="E304" s="42">
        <v>0</v>
      </c>
      <c r="F304" s="42">
        <f>D304*(($F$265)+1)+(IF(E304&lt;101,E304,IF(E304&lt;201,E304/2,IF(E304&lt;=301,E304/3,E304/4))))</f>
        <v>522.44419500000004</v>
      </c>
      <c r="G304" s="108"/>
      <c r="H304" s="109"/>
      <c r="I304" s="36"/>
      <c r="L304" s="105"/>
      <c r="M304" s="105"/>
      <c r="N304" s="36"/>
    </row>
    <row r="305" spans="1:14" s="37" customFormat="1" ht="15.75" customHeight="1" x14ac:dyDescent="0.3">
      <c r="A305" s="103">
        <f t="shared" si="16"/>
        <v>5</v>
      </c>
      <c r="B305" s="104"/>
      <c r="C305" s="52">
        <v>1</v>
      </c>
      <c r="D305" s="53">
        <f t="shared" si="14"/>
        <v>348.29613000000001</v>
      </c>
      <c r="E305" s="42">
        <v>0</v>
      </c>
      <c r="F305" s="42">
        <f>D305*(($F$265)+1)+(IF(E305&lt;101,E305,IF(E305&lt;201,E305/2,IF(E305&lt;=301,E305/3,E305/4))))</f>
        <v>522.44419500000004</v>
      </c>
      <c r="G305" s="108"/>
      <c r="H305" s="109"/>
      <c r="I305" s="36"/>
      <c r="L305" s="105"/>
      <c r="M305" s="105"/>
      <c r="N305" s="36"/>
    </row>
    <row r="306" spans="1:14" s="37" customFormat="1" ht="15.75" customHeight="1" x14ac:dyDescent="0.3">
      <c r="A306" s="103">
        <f t="shared" si="16"/>
        <v>6</v>
      </c>
      <c r="B306" s="104"/>
      <c r="C306" s="112" t="s">
        <v>179</v>
      </c>
      <c r="D306" s="113"/>
      <c r="E306" s="113"/>
      <c r="F306" s="114"/>
      <c r="G306" s="108"/>
      <c r="H306" s="109"/>
      <c r="I306" s="36"/>
      <c r="L306" s="105"/>
      <c r="M306" s="105"/>
      <c r="N306" s="36"/>
    </row>
    <row r="307" spans="1:14" s="37" customFormat="1" ht="15.75" customHeight="1" x14ac:dyDescent="0.3">
      <c r="A307" s="103">
        <f t="shared" si="16"/>
        <v>7</v>
      </c>
      <c r="B307" s="104"/>
      <c r="C307" s="52">
        <v>1</v>
      </c>
      <c r="D307" s="55">
        <f>(1.8*1.55+1.1*1.76+2.75*1.89+2.7*2.11+1.65*1.05+1.05*1.5+2.85*1.27+2.96*1.05+1.75*0.6)*10.764</f>
        <v>287.45800199999996</v>
      </c>
      <c r="E307" s="42">
        <v>0</v>
      </c>
      <c r="F307" s="42">
        <f t="shared" ref="F307:F314" si="17">D307*(($F$265)+1)+(IF(E307&lt;101,E307,IF(E307&lt;201,E307/2,IF(E307&lt;=301,E307/3,E307/4))))</f>
        <v>431.18700299999995</v>
      </c>
      <c r="G307" s="108"/>
      <c r="H307" s="109"/>
      <c r="I307" s="36"/>
      <c r="L307" s="105"/>
      <c r="M307" s="105"/>
      <c r="N307" s="36"/>
    </row>
    <row r="308" spans="1:14" s="37" customFormat="1" ht="15.75" customHeight="1" x14ac:dyDescent="0.3">
      <c r="A308" s="103">
        <f t="shared" si="16"/>
        <v>8</v>
      </c>
      <c r="B308" s="104"/>
      <c r="C308" s="52">
        <v>1</v>
      </c>
      <c r="D308" s="53">
        <f t="shared" si="14"/>
        <v>348.29613000000001</v>
      </c>
      <c r="E308" s="42">
        <v>0</v>
      </c>
      <c r="F308" s="42">
        <f t="shared" si="17"/>
        <v>522.44419500000004</v>
      </c>
      <c r="G308" s="108"/>
      <c r="H308" s="109"/>
      <c r="I308" s="36"/>
      <c r="L308" s="105"/>
      <c r="M308" s="105"/>
      <c r="N308" s="36"/>
    </row>
    <row r="309" spans="1:14" s="37" customFormat="1" ht="15.75" customHeight="1" x14ac:dyDescent="0.3">
      <c r="A309" s="103">
        <f t="shared" si="16"/>
        <v>9</v>
      </c>
      <c r="B309" s="104"/>
      <c r="C309" s="52">
        <v>1</v>
      </c>
      <c r="D309" s="53">
        <f t="shared" si="14"/>
        <v>348.29613000000001</v>
      </c>
      <c r="E309" s="42">
        <v>0</v>
      </c>
      <c r="F309" s="42">
        <f t="shared" si="17"/>
        <v>522.44419500000004</v>
      </c>
      <c r="G309" s="108"/>
      <c r="H309" s="109"/>
      <c r="I309" s="36"/>
      <c r="L309" s="105"/>
      <c r="M309" s="105"/>
      <c r="N309" s="36"/>
    </row>
    <row r="310" spans="1:14" s="37" customFormat="1" ht="15.75" customHeight="1" x14ac:dyDescent="0.3">
      <c r="A310" s="103">
        <f t="shared" si="16"/>
        <v>10</v>
      </c>
      <c r="B310" s="104"/>
      <c r="C310" s="52">
        <v>1</v>
      </c>
      <c r="D310" s="53">
        <f t="shared" si="14"/>
        <v>348.29613000000001</v>
      </c>
      <c r="E310" s="42">
        <v>0</v>
      </c>
      <c r="F310" s="42">
        <f t="shared" si="17"/>
        <v>522.44419500000004</v>
      </c>
      <c r="G310" s="108"/>
      <c r="H310" s="109"/>
      <c r="I310" s="36"/>
      <c r="L310" s="105"/>
      <c r="M310" s="105"/>
      <c r="N310" s="36"/>
    </row>
    <row r="311" spans="1:14" s="37" customFormat="1" ht="15.75" customHeight="1" x14ac:dyDescent="0.3">
      <c r="A311" s="103">
        <f t="shared" si="16"/>
        <v>11</v>
      </c>
      <c r="B311" s="104"/>
      <c r="C311" s="52">
        <v>1</v>
      </c>
      <c r="D311" s="53">
        <f t="shared" si="14"/>
        <v>348.29613000000001</v>
      </c>
      <c r="E311" s="42">
        <v>0</v>
      </c>
      <c r="F311" s="42">
        <f t="shared" si="17"/>
        <v>522.44419500000004</v>
      </c>
      <c r="G311" s="108"/>
      <c r="H311" s="109"/>
      <c r="I311" s="36"/>
      <c r="L311" s="105"/>
      <c r="M311" s="105"/>
      <c r="N311" s="36"/>
    </row>
    <row r="312" spans="1:14" s="37" customFormat="1" ht="15.75" customHeight="1" x14ac:dyDescent="0.3">
      <c r="A312" s="103">
        <f t="shared" si="16"/>
        <v>12</v>
      </c>
      <c r="B312" s="104"/>
      <c r="C312" s="52">
        <v>1</v>
      </c>
      <c r="D312" s="53">
        <f t="shared" si="14"/>
        <v>348.29613000000001</v>
      </c>
      <c r="E312" s="42">
        <v>0</v>
      </c>
      <c r="F312" s="42">
        <f t="shared" si="17"/>
        <v>522.44419500000004</v>
      </c>
      <c r="G312" s="108"/>
      <c r="H312" s="109"/>
      <c r="I312" s="36"/>
      <c r="L312" s="105"/>
      <c r="M312" s="105"/>
      <c r="N312" s="36"/>
    </row>
    <row r="313" spans="1:14" s="37" customFormat="1" ht="15.75" customHeight="1" x14ac:dyDescent="0.3">
      <c r="A313" s="103">
        <v>13</v>
      </c>
      <c r="B313" s="104"/>
      <c r="C313" s="52">
        <v>1</v>
      </c>
      <c r="D313" s="53">
        <f t="shared" si="14"/>
        <v>348.29613000000001</v>
      </c>
      <c r="E313" s="42">
        <v>0</v>
      </c>
      <c r="F313" s="42">
        <f t="shared" ref="F313" si="18">D313*(($F$265)+1)+(IF(E313&lt;101,E313,IF(E313&lt;201,E313/2,IF(E313&lt;=301,E313/3,E313/4))))</f>
        <v>522.44419500000004</v>
      </c>
      <c r="G313" s="108"/>
      <c r="H313" s="109"/>
      <c r="I313" s="36"/>
      <c r="L313" s="105"/>
      <c r="M313" s="105"/>
      <c r="N313" s="36"/>
    </row>
    <row r="314" spans="1:14" s="37" customFormat="1" ht="15.75" customHeight="1" x14ac:dyDescent="0.3">
      <c r="A314" s="103">
        <v>14</v>
      </c>
      <c r="B314" s="104"/>
      <c r="C314" s="52">
        <v>1</v>
      </c>
      <c r="D314" s="53">
        <f t="shared" si="14"/>
        <v>348.29613000000001</v>
      </c>
      <c r="E314" s="42">
        <v>0</v>
      </c>
      <c r="F314" s="42">
        <f t="shared" si="17"/>
        <v>522.44419500000004</v>
      </c>
      <c r="G314" s="108"/>
      <c r="H314" s="109"/>
      <c r="I314" s="36"/>
      <c r="L314" s="105"/>
      <c r="M314" s="105"/>
      <c r="N314" s="36"/>
    </row>
    <row r="315" spans="1:14" s="37" customFormat="1" x14ac:dyDescent="0.3">
      <c r="A315" s="100" t="s">
        <v>181</v>
      </c>
      <c r="B315" s="101"/>
      <c r="C315" s="101"/>
      <c r="D315" s="101"/>
      <c r="E315" s="101"/>
      <c r="F315" s="101"/>
      <c r="G315" s="101"/>
      <c r="H315" s="102"/>
      <c r="J315" s="36"/>
    </row>
    <row r="316" spans="1:14" s="37" customFormat="1" x14ac:dyDescent="0.3">
      <c r="A316" s="100" t="s">
        <v>177</v>
      </c>
      <c r="B316" s="101"/>
      <c r="C316" s="101"/>
      <c r="D316" s="101"/>
      <c r="E316" s="101"/>
      <c r="F316" s="101"/>
      <c r="G316" s="101"/>
      <c r="H316" s="102"/>
      <c r="J316" s="36"/>
    </row>
    <row r="317" spans="1:14" s="37" customFormat="1" x14ac:dyDescent="0.3">
      <c r="A317" s="100" t="s">
        <v>178</v>
      </c>
      <c r="B317" s="101"/>
      <c r="C317" s="101"/>
      <c r="D317" s="101"/>
      <c r="E317" s="101"/>
      <c r="F317" s="101"/>
      <c r="G317" s="101"/>
      <c r="H317" s="102"/>
      <c r="J317" s="36"/>
    </row>
    <row r="318" spans="1:14" s="37" customFormat="1" ht="15.75" customHeight="1" x14ac:dyDescent="0.3">
      <c r="A318" s="103">
        <v>1</v>
      </c>
      <c r="B318" s="104"/>
      <c r="C318" s="52">
        <v>1</v>
      </c>
      <c r="D318" s="53">
        <f>(24.98+2.75*1.27+2.7*1.05+1.75*0.6)*(10.764)</f>
        <v>348.29613000000001</v>
      </c>
      <c r="E318" s="42">
        <v>0</v>
      </c>
      <c r="F318" s="42">
        <f t="shared" ref="F318:F335" si="19">D318*(($F$265)+1)+(IF(E318&lt;101,E318,IF(E318&lt;201,E318/2,IF(E318&lt;=301,E318/3,E318/4))))</f>
        <v>522.44419500000004</v>
      </c>
      <c r="G318" s="106" t="str">
        <f>A317</f>
        <v>1st Floor For Residential</v>
      </c>
      <c r="H318" s="107"/>
      <c r="I318" s="36"/>
      <c r="J318" s="53">
        <f>10.764</f>
        <v>10.763999999999999</v>
      </c>
      <c r="K318" s="37">
        <f>7000*F318</f>
        <v>3657109.3650000002</v>
      </c>
      <c r="L318" s="105"/>
      <c r="M318" s="105"/>
      <c r="N318" s="36"/>
    </row>
    <row r="319" spans="1:14" s="37" customFormat="1" ht="15.75" customHeight="1" x14ac:dyDescent="0.3">
      <c r="A319" s="103">
        <f t="shared" ref="A319:A335" si="20">A318+1</f>
        <v>2</v>
      </c>
      <c r="B319" s="104"/>
      <c r="C319" s="52">
        <v>1</v>
      </c>
      <c r="D319" s="53">
        <f t="shared" ref="D319:D335" si="21">(24.98+2.75*1.27+2.7*1.05+1.75*0.6)*(10.764)</f>
        <v>348.29613000000001</v>
      </c>
      <c r="E319" s="42">
        <v>0</v>
      </c>
      <c r="F319" s="42">
        <f t="shared" si="19"/>
        <v>522.44419500000004</v>
      </c>
      <c r="G319" s="108"/>
      <c r="H319" s="109"/>
      <c r="I319" s="36"/>
      <c r="J319" s="37">
        <f>1.1*0.95+1.55*2.35+1.05*1.5+3.65*2.75+2.11*2.7+1.65*1.05+2.75*1.27+2.7*1.05+1.75*0.6</f>
        <v>31.107000000000003</v>
      </c>
      <c r="K319" s="37">
        <f t="shared" ref="K319:K330" si="22">7000*F319</f>
        <v>3657109.3650000002</v>
      </c>
      <c r="L319" s="105"/>
      <c r="M319" s="105"/>
      <c r="N319" s="36"/>
    </row>
    <row r="320" spans="1:14" s="37" customFormat="1" ht="15.75" customHeight="1" x14ac:dyDescent="0.3">
      <c r="A320" s="103">
        <f t="shared" si="20"/>
        <v>3</v>
      </c>
      <c r="B320" s="104"/>
      <c r="C320" s="52">
        <v>1</v>
      </c>
      <c r="D320" s="53">
        <f t="shared" si="21"/>
        <v>348.29613000000001</v>
      </c>
      <c r="E320" s="42">
        <v>0</v>
      </c>
      <c r="F320" s="42">
        <f t="shared" si="19"/>
        <v>522.44419500000004</v>
      </c>
      <c r="G320" s="108"/>
      <c r="H320" s="109"/>
      <c r="I320" s="36"/>
      <c r="K320" s="37">
        <f t="shared" si="22"/>
        <v>3657109.3650000002</v>
      </c>
      <c r="L320" s="105"/>
      <c r="M320" s="105"/>
      <c r="N320" s="36"/>
    </row>
    <row r="321" spans="1:14" s="37" customFormat="1" ht="15.75" customHeight="1" x14ac:dyDescent="0.3">
      <c r="A321" s="103">
        <f t="shared" si="20"/>
        <v>4</v>
      </c>
      <c r="B321" s="104"/>
      <c r="C321" s="52">
        <v>1</v>
      </c>
      <c r="D321" s="53">
        <f t="shared" si="21"/>
        <v>348.29613000000001</v>
      </c>
      <c r="E321" s="42">
        <v>0</v>
      </c>
      <c r="F321" s="42">
        <f t="shared" si="19"/>
        <v>522.44419500000004</v>
      </c>
      <c r="G321" s="108"/>
      <c r="H321" s="109"/>
      <c r="I321" s="36"/>
      <c r="K321" s="37">
        <f t="shared" si="22"/>
        <v>3657109.3650000002</v>
      </c>
      <c r="L321" s="105"/>
      <c r="M321" s="105"/>
      <c r="N321" s="36"/>
    </row>
    <row r="322" spans="1:14" s="37" customFormat="1" ht="15.75" customHeight="1" x14ac:dyDescent="0.3">
      <c r="A322" s="103">
        <f t="shared" si="20"/>
        <v>5</v>
      </c>
      <c r="B322" s="104"/>
      <c r="C322" s="52">
        <v>1</v>
      </c>
      <c r="D322" s="53">
        <f t="shared" si="21"/>
        <v>348.29613000000001</v>
      </c>
      <c r="E322" s="42">
        <v>0</v>
      </c>
      <c r="F322" s="42">
        <f t="shared" si="19"/>
        <v>522.44419500000004</v>
      </c>
      <c r="G322" s="108"/>
      <c r="H322" s="109"/>
      <c r="I322" s="36"/>
      <c r="K322" s="37">
        <f t="shared" si="22"/>
        <v>3657109.3650000002</v>
      </c>
      <c r="L322" s="105"/>
      <c r="M322" s="105"/>
      <c r="N322" s="36"/>
    </row>
    <row r="323" spans="1:14" s="37" customFormat="1" ht="15.75" customHeight="1" x14ac:dyDescent="0.3">
      <c r="A323" s="103">
        <f t="shared" si="20"/>
        <v>6</v>
      </c>
      <c r="B323" s="104"/>
      <c r="C323" s="52">
        <v>1</v>
      </c>
      <c r="D323" s="53">
        <f t="shared" si="21"/>
        <v>348.29613000000001</v>
      </c>
      <c r="E323" s="42">
        <v>0</v>
      </c>
      <c r="F323" s="42">
        <f t="shared" si="19"/>
        <v>522.44419500000004</v>
      </c>
      <c r="G323" s="108"/>
      <c r="H323" s="109"/>
      <c r="I323" s="36"/>
      <c r="K323" s="37">
        <f t="shared" si="22"/>
        <v>3657109.3650000002</v>
      </c>
      <c r="L323" s="105"/>
      <c r="M323" s="105"/>
      <c r="N323" s="36"/>
    </row>
    <row r="324" spans="1:14" s="37" customFormat="1" ht="15.75" customHeight="1" x14ac:dyDescent="0.3">
      <c r="A324" s="103">
        <f t="shared" si="20"/>
        <v>7</v>
      </c>
      <c r="B324" s="104"/>
      <c r="C324" s="52">
        <v>1</v>
      </c>
      <c r="D324" s="53">
        <f t="shared" si="21"/>
        <v>348.29613000000001</v>
      </c>
      <c r="E324" s="42">
        <v>0</v>
      </c>
      <c r="F324" s="42">
        <f t="shared" si="19"/>
        <v>522.44419500000004</v>
      </c>
      <c r="G324" s="108"/>
      <c r="H324" s="109"/>
      <c r="I324" s="36"/>
      <c r="J324" s="37">
        <f>24.98+2.75*1.27+2.7*1.05+1.75*0.6</f>
        <v>32.357500000000002</v>
      </c>
      <c r="K324" s="37">
        <f t="shared" si="22"/>
        <v>3657109.3650000002</v>
      </c>
      <c r="L324" s="105"/>
      <c r="M324" s="105"/>
      <c r="N324" s="36"/>
    </row>
    <row r="325" spans="1:14" s="37" customFormat="1" ht="15.75" customHeight="1" x14ac:dyDescent="0.3">
      <c r="A325" s="103">
        <f t="shared" si="20"/>
        <v>8</v>
      </c>
      <c r="B325" s="104"/>
      <c r="C325" s="52">
        <v>1</v>
      </c>
      <c r="D325" s="53">
        <f t="shared" si="21"/>
        <v>348.29613000000001</v>
      </c>
      <c r="E325" s="42">
        <v>0</v>
      </c>
      <c r="F325" s="42">
        <f t="shared" si="19"/>
        <v>522.44419500000004</v>
      </c>
      <c r="G325" s="108"/>
      <c r="H325" s="109"/>
      <c r="I325" s="36"/>
      <c r="K325" s="37">
        <f t="shared" si="22"/>
        <v>3657109.3650000002</v>
      </c>
      <c r="L325" s="105"/>
      <c r="M325" s="105"/>
      <c r="N325" s="36"/>
    </row>
    <row r="326" spans="1:14" s="37" customFormat="1" ht="15.75" customHeight="1" x14ac:dyDescent="0.3">
      <c r="A326" s="103">
        <f t="shared" si="20"/>
        <v>9</v>
      </c>
      <c r="B326" s="104"/>
      <c r="C326" s="52">
        <v>1</v>
      </c>
      <c r="D326" s="53">
        <f t="shared" si="21"/>
        <v>348.29613000000001</v>
      </c>
      <c r="E326" s="42">
        <v>0</v>
      </c>
      <c r="F326" s="42">
        <f t="shared" si="19"/>
        <v>522.44419500000004</v>
      </c>
      <c r="G326" s="108"/>
      <c r="H326" s="109"/>
      <c r="I326" s="36"/>
      <c r="K326" s="37">
        <f t="shared" si="22"/>
        <v>3657109.3650000002</v>
      </c>
      <c r="L326" s="105"/>
      <c r="M326" s="105"/>
      <c r="N326" s="36"/>
    </row>
    <row r="327" spans="1:14" s="37" customFormat="1" ht="15.75" customHeight="1" x14ac:dyDescent="0.3">
      <c r="A327" s="103">
        <f t="shared" si="20"/>
        <v>10</v>
      </c>
      <c r="B327" s="104"/>
      <c r="C327" s="52">
        <v>1</v>
      </c>
      <c r="D327" s="53">
        <f t="shared" si="21"/>
        <v>348.29613000000001</v>
      </c>
      <c r="E327" s="42">
        <v>0</v>
      </c>
      <c r="F327" s="42">
        <f t="shared" si="19"/>
        <v>522.44419500000004</v>
      </c>
      <c r="G327" s="108"/>
      <c r="H327" s="109"/>
      <c r="I327" s="36"/>
      <c r="K327" s="37">
        <f t="shared" si="22"/>
        <v>3657109.3650000002</v>
      </c>
      <c r="L327" s="105"/>
      <c r="M327" s="105"/>
      <c r="N327" s="36"/>
    </row>
    <row r="328" spans="1:14" s="37" customFormat="1" ht="15.75" customHeight="1" x14ac:dyDescent="0.3">
      <c r="A328" s="103">
        <f t="shared" si="20"/>
        <v>11</v>
      </c>
      <c r="B328" s="104"/>
      <c r="C328" s="52">
        <v>1</v>
      </c>
      <c r="D328" s="53">
        <f t="shared" si="21"/>
        <v>348.29613000000001</v>
      </c>
      <c r="E328" s="42">
        <v>0</v>
      </c>
      <c r="F328" s="42">
        <f t="shared" si="19"/>
        <v>522.44419500000004</v>
      </c>
      <c r="G328" s="108"/>
      <c r="H328" s="109"/>
      <c r="I328" s="36"/>
      <c r="K328" s="37">
        <f t="shared" si="22"/>
        <v>3657109.3650000002</v>
      </c>
      <c r="L328" s="105"/>
      <c r="M328" s="105"/>
      <c r="N328" s="36"/>
    </row>
    <row r="329" spans="1:14" s="37" customFormat="1" ht="15.75" customHeight="1" x14ac:dyDescent="0.3">
      <c r="A329" s="103">
        <f t="shared" si="20"/>
        <v>12</v>
      </c>
      <c r="B329" s="104"/>
      <c r="C329" s="52">
        <v>1</v>
      </c>
      <c r="D329" s="53">
        <f t="shared" si="21"/>
        <v>348.29613000000001</v>
      </c>
      <c r="E329" s="42">
        <v>0</v>
      </c>
      <c r="F329" s="42">
        <f t="shared" si="19"/>
        <v>522.44419500000004</v>
      </c>
      <c r="G329" s="108"/>
      <c r="H329" s="109"/>
      <c r="I329" s="36"/>
      <c r="K329" s="37">
        <f t="shared" si="22"/>
        <v>3657109.3650000002</v>
      </c>
      <c r="L329" s="105"/>
      <c r="M329" s="105"/>
      <c r="N329" s="36"/>
    </row>
    <row r="330" spans="1:14" s="37" customFormat="1" ht="15.75" customHeight="1" x14ac:dyDescent="0.3">
      <c r="A330" s="103">
        <f t="shared" si="20"/>
        <v>13</v>
      </c>
      <c r="B330" s="104"/>
      <c r="C330" s="52">
        <v>1</v>
      </c>
      <c r="D330" s="53">
        <f t="shared" si="21"/>
        <v>348.29613000000001</v>
      </c>
      <c r="E330" s="42">
        <v>0</v>
      </c>
      <c r="F330" s="42">
        <f t="shared" si="19"/>
        <v>522.44419500000004</v>
      </c>
      <c r="G330" s="108"/>
      <c r="H330" s="109"/>
      <c r="I330" s="36"/>
      <c r="K330" s="37">
        <f t="shared" si="22"/>
        <v>3657109.3650000002</v>
      </c>
      <c r="L330" s="105"/>
      <c r="M330" s="105"/>
      <c r="N330" s="36"/>
    </row>
    <row r="331" spans="1:14" s="37" customFormat="1" ht="15.75" customHeight="1" x14ac:dyDescent="0.3">
      <c r="A331" s="103">
        <f t="shared" si="20"/>
        <v>14</v>
      </c>
      <c r="B331" s="104"/>
      <c r="C331" s="52">
        <v>1</v>
      </c>
      <c r="D331" s="53">
        <f t="shared" si="21"/>
        <v>348.29613000000001</v>
      </c>
      <c r="E331" s="42">
        <v>0</v>
      </c>
      <c r="F331" s="42">
        <f t="shared" si="19"/>
        <v>522.44419500000004</v>
      </c>
      <c r="G331" s="108"/>
      <c r="H331" s="109"/>
      <c r="I331" s="36"/>
      <c r="L331" s="105"/>
      <c r="M331" s="105"/>
      <c r="N331" s="36"/>
    </row>
    <row r="332" spans="1:14" s="37" customFormat="1" ht="15.75" customHeight="1" x14ac:dyDescent="0.3">
      <c r="A332" s="103">
        <f t="shared" si="20"/>
        <v>15</v>
      </c>
      <c r="B332" s="104"/>
      <c r="C332" s="52">
        <v>1</v>
      </c>
      <c r="D332" s="53">
        <f t="shared" si="21"/>
        <v>348.29613000000001</v>
      </c>
      <c r="E332" s="42">
        <v>0</v>
      </c>
      <c r="F332" s="42">
        <f t="shared" si="19"/>
        <v>522.44419500000004</v>
      </c>
      <c r="G332" s="108"/>
      <c r="H332" s="109"/>
      <c r="I332" s="36"/>
      <c r="K332" s="37">
        <f t="shared" ref="K332:K334" si="23">7000*F332</f>
        <v>3657109.3650000002</v>
      </c>
      <c r="L332" s="105"/>
      <c r="M332" s="105"/>
      <c r="N332" s="36"/>
    </row>
    <row r="333" spans="1:14" s="37" customFormat="1" ht="15.75" customHeight="1" x14ac:dyDescent="0.3">
      <c r="A333" s="103">
        <f t="shared" si="20"/>
        <v>16</v>
      </c>
      <c r="B333" s="104"/>
      <c r="C333" s="52">
        <v>1</v>
      </c>
      <c r="D333" s="53">
        <f t="shared" si="21"/>
        <v>348.29613000000001</v>
      </c>
      <c r="E333" s="42">
        <v>0</v>
      </c>
      <c r="F333" s="42">
        <f t="shared" si="19"/>
        <v>522.44419500000004</v>
      </c>
      <c r="G333" s="108"/>
      <c r="H333" s="109"/>
      <c r="I333" s="36"/>
      <c r="K333" s="37">
        <f t="shared" si="23"/>
        <v>3657109.3650000002</v>
      </c>
      <c r="L333" s="105"/>
      <c r="M333" s="105"/>
      <c r="N333" s="36"/>
    </row>
    <row r="334" spans="1:14" s="37" customFormat="1" ht="15.75" customHeight="1" x14ac:dyDescent="0.3">
      <c r="A334" s="103">
        <f t="shared" si="20"/>
        <v>17</v>
      </c>
      <c r="B334" s="104"/>
      <c r="C334" s="52">
        <v>1</v>
      </c>
      <c r="D334" s="53">
        <f t="shared" si="21"/>
        <v>348.29613000000001</v>
      </c>
      <c r="E334" s="42">
        <v>0</v>
      </c>
      <c r="F334" s="42">
        <f t="shared" si="19"/>
        <v>522.44419500000004</v>
      </c>
      <c r="G334" s="108"/>
      <c r="H334" s="109"/>
      <c r="I334" s="36"/>
      <c r="K334" s="37">
        <f t="shared" si="23"/>
        <v>3657109.3650000002</v>
      </c>
      <c r="L334" s="105"/>
      <c r="M334" s="105"/>
      <c r="N334" s="36"/>
    </row>
    <row r="335" spans="1:14" s="37" customFormat="1" ht="15.75" customHeight="1" x14ac:dyDescent="0.3">
      <c r="A335" s="103">
        <f t="shared" si="20"/>
        <v>18</v>
      </c>
      <c r="B335" s="104"/>
      <c r="C335" s="52">
        <v>1</v>
      </c>
      <c r="D335" s="53">
        <f t="shared" si="21"/>
        <v>348.29613000000001</v>
      </c>
      <c r="E335" s="42">
        <v>0</v>
      </c>
      <c r="F335" s="42">
        <f t="shared" si="19"/>
        <v>522.44419500000004</v>
      </c>
      <c r="G335" s="110"/>
      <c r="H335" s="111"/>
      <c r="I335" s="36"/>
      <c r="L335" s="105"/>
      <c r="M335" s="105"/>
      <c r="N335" s="36"/>
    </row>
    <row r="336" spans="1:14" s="37" customFormat="1" x14ac:dyDescent="0.3">
      <c r="A336" s="100" t="s">
        <v>228</v>
      </c>
      <c r="B336" s="101"/>
      <c r="C336" s="101"/>
      <c r="D336" s="101"/>
      <c r="E336" s="101"/>
      <c r="F336" s="101"/>
      <c r="G336" s="101"/>
      <c r="H336" s="102"/>
      <c r="J336" s="36"/>
    </row>
    <row r="337" spans="1:14" s="37" customFormat="1" ht="15.75" customHeight="1" x14ac:dyDescent="0.3">
      <c r="A337" s="103">
        <v>1</v>
      </c>
      <c r="B337" s="104"/>
      <c r="C337" s="52">
        <v>1</v>
      </c>
      <c r="D337" s="53">
        <f>(24.98+2.75*1.27+2.7*1.05+1.75*0.6)*(10.764)</f>
        <v>348.29613000000001</v>
      </c>
      <c r="E337" s="42">
        <v>0</v>
      </c>
      <c r="F337" s="42">
        <f t="shared" ref="F337:F354" si="24">D337*(($F$265)+1)+(IF(E337&lt;101,E337,IF(E337&lt;201,E337/2,IF(E337&lt;=301,E337/3,E337/4))))</f>
        <v>522.44419500000004</v>
      </c>
      <c r="G337" s="106" t="str">
        <f>A336</f>
        <v>2nd to 7th, 9th to 12th, 14th to 17th, 19th to 22nd, 24th to 27th &amp; 29th Floor</v>
      </c>
      <c r="H337" s="107"/>
      <c r="I337" s="36"/>
      <c r="L337" s="105"/>
      <c r="M337" s="105"/>
      <c r="N337" s="36"/>
    </row>
    <row r="338" spans="1:14" s="37" customFormat="1" ht="15.75" customHeight="1" x14ac:dyDescent="0.3">
      <c r="A338" s="103">
        <f t="shared" ref="A338:A354" si="25">A337+1</f>
        <v>2</v>
      </c>
      <c r="B338" s="104"/>
      <c r="C338" s="52">
        <v>1</v>
      </c>
      <c r="D338" s="53">
        <f t="shared" ref="D338:D373" si="26">(24.98+2.75*1.27+2.7*1.05+1.75*0.6)*(10.764)</f>
        <v>348.29613000000001</v>
      </c>
      <c r="E338" s="42">
        <v>0</v>
      </c>
      <c r="F338" s="42">
        <f t="shared" si="24"/>
        <v>522.44419500000004</v>
      </c>
      <c r="G338" s="108"/>
      <c r="H338" s="109"/>
      <c r="I338" s="36"/>
      <c r="L338" s="105"/>
      <c r="M338" s="105"/>
      <c r="N338" s="36"/>
    </row>
    <row r="339" spans="1:14" s="37" customFormat="1" ht="15.75" customHeight="1" x14ac:dyDescent="0.3">
      <c r="A339" s="103">
        <f t="shared" si="25"/>
        <v>3</v>
      </c>
      <c r="B339" s="104"/>
      <c r="C339" s="52">
        <v>1</v>
      </c>
      <c r="D339" s="53">
        <f t="shared" si="26"/>
        <v>348.29613000000001</v>
      </c>
      <c r="E339" s="42">
        <v>0</v>
      </c>
      <c r="F339" s="42">
        <f t="shared" si="24"/>
        <v>522.44419500000004</v>
      </c>
      <c r="G339" s="108"/>
      <c r="H339" s="109"/>
      <c r="I339" s="36"/>
      <c r="L339" s="105"/>
      <c r="M339" s="105"/>
      <c r="N339" s="36"/>
    </row>
    <row r="340" spans="1:14" s="37" customFormat="1" ht="15.75" customHeight="1" x14ac:dyDescent="0.3">
      <c r="A340" s="103">
        <f t="shared" si="25"/>
        <v>4</v>
      </c>
      <c r="B340" s="104"/>
      <c r="C340" s="52">
        <v>1</v>
      </c>
      <c r="D340" s="53">
        <f t="shared" si="26"/>
        <v>348.29613000000001</v>
      </c>
      <c r="E340" s="42">
        <v>0</v>
      </c>
      <c r="F340" s="42">
        <f t="shared" si="24"/>
        <v>522.44419500000004</v>
      </c>
      <c r="G340" s="108"/>
      <c r="H340" s="109"/>
      <c r="I340" s="36"/>
      <c r="L340" s="105"/>
      <c r="M340" s="105"/>
      <c r="N340" s="36"/>
    </row>
    <row r="341" spans="1:14" s="37" customFormat="1" ht="15.75" customHeight="1" x14ac:dyDescent="0.3">
      <c r="A341" s="103">
        <f t="shared" si="25"/>
        <v>5</v>
      </c>
      <c r="B341" s="104"/>
      <c r="C341" s="52">
        <v>1</v>
      </c>
      <c r="D341" s="53">
        <f t="shared" si="26"/>
        <v>348.29613000000001</v>
      </c>
      <c r="E341" s="42">
        <v>0</v>
      </c>
      <c r="F341" s="42">
        <f t="shared" si="24"/>
        <v>522.44419500000004</v>
      </c>
      <c r="G341" s="108"/>
      <c r="H341" s="109"/>
      <c r="I341" s="36"/>
      <c r="L341" s="105"/>
      <c r="M341" s="105"/>
      <c r="N341" s="36"/>
    </row>
    <row r="342" spans="1:14" s="37" customFormat="1" ht="15.75" customHeight="1" x14ac:dyDescent="0.3">
      <c r="A342" s="103">
        <f t="shared" si="25"/>
        <v>6</v>
      </c>
      <c r="B342" s="104"/>
      <c r="C342" s="52">
        <v>1</v>
      </c>
      <c r="D342" s="53">
        <f t="shared" si="26"/>
        <v>348.29613000000001</v>
      </c>
      <c r="E342" s="42">
        <v>0</v>
      </c>
      <c r="F342" s="42">
        <f t="shared" si="24"/>
        <v>522.44419500000004</v>
      </c>
      <c r="G342" s="108"/>
      <c r="H342" s="109"/>
      <c r="I342" s="36"/>
      <c r="L342" s="105"/>
      <c r="M342" s="105"/>
      <c r="N342" s="36"/>
    </row>
    <row r="343" spans="1:14" s="37" customFormat="1" ht="15.75" customHeight="1" x14ac:dyDescent="0.3">
      <c r="A343" s="103">
        <f t="shared" si="25"/>
        <v>7</v>
      </c>
      <c r="B343" s="104"/>
      <c r="C343" s="52">
        <v>1</v>
      </c>
      <c r="D343" s="53">
        <f t="shared" si="26"/>
        <v>348.29613000000001</v>
      </c>
      <c r="E343" s="42">
        <v>0</v>
      </c>
      <c r="F343" s="42">
        <f t="shared" si="24"/>
        <v>522.44419500000004</v>
      </c>
      <c r="G343" s="108"/>
      <c r="H343" s="109"/>
      <c r="I343" s="36"/>
      <c r="L343" s="105"/>
      <c r="M343" s="105"/>
      <c r="N343" s="36"/>
    </row>
    <row r="344" spans="1:14" s="37" customFormat="1" ht="15.75" customHeight="1" x14ac:dyDescent="0.3">
      <c r="A344" s="103">
        <f t="shared" si="25"/>
        <v>8</v>
      </c>
      <c r="B344" s="104"/>
      <c r="C344" s="52">
        <v>1</v>
      </c>
      <c r="D344" s="53">
        <f t="shared" si="26"/>
        <v>348.29613000000001</v>
      </c>
      <c r="E344" s="42">
        <v>0</v>
      </c>
      <c r="F344" s="42">
        <f t="shared" si="24"/>
        <v>522.44419500000004</v>
      </c>
      <c r="G344" s="108"/>
      <c r="H344" s="109"/>
      <c r="I344" s="36"/>
      <c r="L344" s="105"/>
      <c r="M344" s="105"/>
      <c r="N344" s="36"/>
    </row>
    <row r="345" spans="1:14" s="37" customFormat="1" ht="15.75" customHeight="1" x14ac:dyDescent="0.3">
      <c r="A345" s="103">
        <f t="shared" si="25"/>
        <v>9</v>
      </c>
      <c r="B345" s="104"/>
      <c r="C345" s="52">
        <v>1</v>
      </c>
      <c r="D345" s="53">
        <f t="shared" si="26"/>
        <v>348.29613000000001</v>
      </c>
      <c r="E345" s="42">
        <v>0</v>
      </c>
      <c r="F345" s="42">
        <f t="shared" si="24"/>
        <v>522.44419500000004</v>
      </c>
      <c r="G345" s="108"/>
      <c r="H345" s="109"/>
      <c r="I345" s="36"/>
      <c r="L345" s="105"/>
      <c r="M345" s="105"/>
      <c r="N345" s="36"/>
    </row>
    <row r="346" spans="1:14" s="37" customFormat="1" ht="15.75" customHeight="1" x14ac:dyDescent="0.3">
      <c r="A346" s="103">
        <f t="shared" si="25"/>
        <v>10</v>
      </c>
      <c r="B346" s="104"/>
      <c r="C346" s="52">
        <v>1</v>
      </c>
      <c r="D346" s="53">
        <f t="shared" si="26"/>
        <v>348.29613000000001</v>
      </c>
      <c r="E346" s="42">
        <v>0</v>
      </c>
      <c r="F346" s="42">
        <f t="shared" si="24"/>
        <v>522.44419500000004</v>
      </c>
      <c r="G346" s="108"/>
      <c r="H346" s="109"/>
      <c r="I346" s="36"/>
      <c r="L346" s="105"/>
      <c r="M346" s="105"/>
      <c r="N346" s="36"/>
    </row>
    <row r="347" spans="1:14" s="37" customFormat="1" ht="15.75" customHeight="1" x14ac:dyDescent="0.3">
      <c r="A347" s="103">
        <f t="shared" si="25"/>
        <v>11</v>
      </c>
      <c r="B347" s="104"/>
      <c r="C347" s="52">
        <v>1</v>
      </c>
      <c r="D347" s="53">
        <f t="shared" si="26"/>
        <v>348.29613000000001</v>
      </c>
      <c r="E347" s="42">
        <v>0</v>
      </c>
      <c r="F347" s="42">
        <f t="shared" si="24"/>
        <v>522.44419500000004</v>
      </c>
      <c r="G347" s="108"/>
      <c r="H347" s="109"/>
      <c r="I347" s="36"/>
      <c r="L347" s="105"/>
      <c r="M347" s="105"/>
      <c r="N347" s="36"/>
    </row>
    <row r="348" spans="1:14" s="37" customFormat="1" ht="15.75" customHeight="1" x14ac:dyDescent="0.3">
      <c r="A348" s="103">
        <f t="shared" si="25"/>
        <v>12</v>
      </c>
      <c r="B348" s="104"/>
      <c r="C348" s="52">
        <v>1</v>
      </c>
      <c r="D348" s="53">
        <f t="shared" si="26"/>
        <v>348.29613000000001</v>
      </c>
      <c r="E348" s="42">
        <v>0</v>
      </c>
      <c r="F348" s="42">
        <f t="shared" si="24"/>
        <v>522.44419500000004</v>
      </c>
      <c r="G348" s="108"/>
      <c r="H348" s="109"/>
      <c r="I348" s="36"/>
      <c r="L348" s="105"/>
      <c r="M348" s="105"/>
      <c r="N348" s="36"/>
    </row>
    <row r="349" spans="1:14" s="37" customFormat="1" ht="15.75" customHeight="1" x14ac:dyDescent="0.3">
      <c r="A349" s="103">
        <f t="shared" si="25"/>
        <v>13</v>
      </c>
      <c r="B349" s="104"/>
      <c r="C349" s="52">
        <v>1</v>
      </c>
      <c r="D349" s="53">
        <f t="shared" si="26"/>
        <v>348.29613000000001</v>
      </c>
      <c r="E349" s="42">
        <v>0</v>
      </c>
      <c r="F349" s="42">
        <f t="shared" si="24"/>
        <v>522.44419500000004</v>
      </c>
      <c r="G349" s="108"/>
      <c r="H349" s="109"/>
      <c r="I349" s="36"/>
      <c r="L349" s="105"/>
      <c r="M349" s="105"/>
      <c r="N349" s="36"/>
    </row>
    <row r="350" spans="1:14" s="37" customFormat="1" ht="15.75" customHeight="1" x14ac:dyDescent="0.3">
      <c r="A350" s="103">
        <f t="shared" si="25"/>
        <v>14</v>
      </c>
      <c r="B350" s="104"/>
      <c r="C350" s="52">
        <v>1</v>
      </c>
      <c r="D350" s="53">
        <f t="shared" si="26"/>
        <v>348.29613000000001</v>
      </c>
      <c r="E350" s="42">
        <v>0</v>
      </c>
      <c r="F350" s="42">
        <f t="shared" si="24"/>
        <v>522.44419500000004</v>
      </c>
      <c r="G350" s="108"/>
      <c r="H350" s="109"/>
      <c r="I350" s="36"/>
      <c r="L350" s="105"/>
      <c r="M350" s="105"/>
      <c r="N350" s="36"/>
    </row>
    <row r="351" spans="1:14" s="37" customFormat="1" ht="15.75" customHeight="1" x14ac:dyDescent="0.3">
      <c r="A351" s="103">
        <f t="shared" si="25"/>
        <v>15</v>
      </c>
      <c r="B351" s="104"/>
      <c r="C351" s="52">
        <v>1</v>
      </c>
      <c r="D351" s="53">
        <f t="shared" si="26"/>
        <v>348.29613000000001</v>
      </c>
      <c r="E351" s="42">
        <v>0</v>
      </c>
      <c r="F351" s="42">
        <f t="shared" si="24"/>
        <v>522.44419500000004</v>
      </c>
      <c r="G351" s="108"/>
      <c r="H351" s="109"/>
      <c r="I351" s="36"/>
      <c r="L351" s="105"/>
      <c r="M351" s="105"/>
      <c r="N351" s="36"/>
    </row>
    <row r="352" spans="1:14" s="37" customFormat="1" ht="15.75" customHeight="1" x14ac:dyDescent="0.3">
      <c r="A352" s="103">
        <f t="shared" si="25"/>
        <v>16</v>
      </c>
      <c r="B352" s="104"/>
      <c r="C352" s="52">
        <v>1</v>
      </c>
      <c r="D352" s="53">
        <f t="shared" si="26"/>
        <v>348.29613000000001</v>
      </c>
      <c r="E352" s="42">
        <v>0</v>
      </c>
      <c r="F352" s="42">
        <f t="shared" si="24"/>
        <v>522.44419500000004</v>
      </c>
      <c r="G352" s="108"/>
      <c r="H352" s="109"/>
      <c r="I352" s="36"/>
      <c r="L352" s="105"/>
      <c r="M352" s="105"/>
      <c r="N352" s="36"/>
    </row>
    <row r="353" spans="1:14" s="37" customFormat="1" ht="15.75" customHeight="1" x14ac:dyDescent="0.3">
      <c r="A353" s="103">
        <f t="shared" si="25"/>
        <v>17</v>
      </c>
      <c r="B353" s="104"/>
      <c r="C353" s="52">
        <v>1</v>
      </c>
      <c r="D353" s="53">
        <f t="shared" si="26"/>
        <v>348.29613000000001</v>
      </c>
      <c r="E353" s="42">
        <v>0</v>
      </c>
      <c r="F353" s="42">
        <f t="shared" si="24"/>
        <v>522.44419500000004</v>
      </c>
      <c r="G353" s="108"/>
      <c r="H353" s="109"/>
      <c r="I353" s="36"/>
      <c r="L353" s="105"/>
      <c r="M353" s="105"/>
      <c r="N353" s="36"/>
    </row>
    <row r="354" spans="1:14" s="37" customFormat="1" ht="15.75" customHeight="1" x14ac:dyDescent="0.3">
      <c r="A354" s="103">
        <f t="shared" si="25"/>
        <v>18</v>
      </c>
      <c r="B354" s="104"/>
      <c r="C354" s="52">
        <v>1</v>
      </c>
      <c r="D354" s="53">
        <f t="shared" si="26"/>
        <v>348.29613000000001</v>
      </c>
      <c r="E354" s="42">
        <v>0</v>
      </c>
      <c r="F354" s="42">
        <f t="shared" si="24"/>
        <v>522.44419500000004</v>
      </c>
      <c r="G354" s="110"/>
      <c r="H354" s="111"/>
      <c r="I354" s="36"/>
      <c r="L354" s="105"/>
      <c r="M354" s="105"/>
      <c r="N354" s="36"/>
    </row>
    <row r="355" spans="1:14" s="37" customFormat="1" x14ac:dyDescent="0.3">
      <c r="A355" s="100" t="s">
        <v>215</v>
      </c>
      <c r="B355" s="101"/>
      <c r="C355" s="101"/>
      <c r="D355" s="101"/>
      <c r="E355" s="101"/>
      <c r="F355" s="101"/>
      <c r="G355" s="101"/>
      <c r="H355" s="102"/>
      <c r="J355" s="36"/>
    </row>
    <row r="356" spans="1:14" s="37" customFormat="1" ht="15.75" customHeight="1" x14ac:dyDescent="0.3">
      <c r="A356" s="103">
        <v>1</v>
      </c>
      <c r="B356" s="104"/>
      <c r="C356" s="52">
        <v>1</v>
      </c>
      <c r="D356" s="53">
        <f t="shared" si="26"/>
        <v>348.29613000000001</v>
      </c>
      <c r="E356" s="42">
        <v>0</v>
      </c>
      <c r="F356" s="42">
        <f>D356*(($F$265)+1)+(IF(E356&lt;101,E356,IF(E356&lt;201,E356/2,IF(E356&lt;=301,E356/3,E356/4))))</f>
        <v>522.44419500000004</v>
      </c>
      <c r="G356" s="106" t="str">
        <f>A355</f>
        <v>8th, 13th, 18th, 23rd &amp; 28th Floor (Part Refuge Area)</v>
      </c>
      <c r="H356" s="107"/>
      <c r="I356" s="36"/>
      <c r="L356" s="105"/>
      <c r="M356" s="105"/>
      <c r="N356" s="36"/>
    </row>
    <row r="357" spans="1:14" s="37" customFormat="1" ht="15.75" customHeight="1" x14ac:dyDescent="0.3">
      <c r="A357" s="103">
        <f t="shared" ref="A357:A373" si="27">A356+1</f>
        <v>2</v>
      </c>
      <c r="B357" s="104"/>
      <c r="C357" s="52">
        <v>1</v>
      </c>
      <c r="D357" s="53">
        <f t="shared" si="26"/>
        <v>348.29613000000001</v>
      </c>
      <c r="E357" s="42">
        <v>0</v>
      </c>
      <c r="F357" s="42">
        <f>D357*(($F$265)+1)+(IF(E357&lt;101,E357,IF(E357&lt;201,E357/2,IF(E357&lt;=301,E357/3,E357/4))))</f>
        <v>522.44419500000004</v>
      </c>
      <c r="G357" s="108"/>
      <c r="H357" s="109"/>
      <c r="I357" s="36"/>
      <c r="L357" s="105"/>
      <c r="M357" s="105"/>
      <c r="N357" s="36"/>
    </row>
    <row r="358" spans="1:14" s="37" customFormat="1" ht="15.75" customHeight="1" x14ac:dyDescent="0.3">
      <c r="A358" s="103">
        <f t="shared" si="27"/>
        <v>3</v>
      </c>
      <c r="B358" s="104"/>
      <c r="C358" s="52">
        <v>1</v>
      </c>
      <c r="D358" s="53">
        <f t="shared" si="26"/>
        <v>348.29613000000001</v>
      </c>
      <c r="E358" s="42">
        <v>0</v>
      </c>
      <c r="F358" s="42">
        <f>D358*(($F$265)+1)+(IF(E358&lt;101,E358,IF(E358&lt;201,E358/2,IF(E358&lt;=301,E358/3,E358/4))))</f>
        <v>522.44419500000004</v>
      </c>
      <c r="G358" s="108"/>
      <c r="H358" s="109"/>
      <c r="I358" s="36"/>
      <c r="L358" s="105"/>
      <c r="M358" s="105"/>
      <c r="N358" s="36"/>
    </row>
    <row r="359" spans="1:14" s="37" customFormat="1" ht="15.75" customHeight="1" x14ac:dyDescent="0.3">
      <c r="A359" s="103">
        <f t="shared" si="27"/>
        <v>4</v>
      </c>
      <c r="B359" s="104"/>
      <c r="C359" s="52">
        <v>1</v>
      </c>
      <c r="D359" s="53">
        <f t="shared" si="26"/>
        <v>348.29613000000001</v>
      </c>
      <c r="E359" s="42">
        <v>0</v>
      </c>
      <c r="F359" s="42">
        <f>D359*(($F$265)+1)+(IF(E359&lt;101,E359,IF(E359&lt;201,E359/2,IF(E359&lt;=301,E359/3,E359/4))))</f>
        <v>522.44419500000004</v>
      </c>
      <c r="G359" s="108"/>
      <c r="H359" s="109"/>
      <c r="I359" s="36"/>
      <c r="L359" s="105"/>
      <c r="M359" s="105"/>
      <c r="N359" s="36"/>
    </row>
    <row r="360" spans="1:14" s="37" customFormat="1" ht="15.75" customHeight="1" x14ac:dyDescent="0.3">
      <c r="A360" s="103">
        <f t="shared" si="27"/>
        <v>5</v>
      </c>
      <c r="B360" s="104"/>
      <c r="C360" s="52">
        <v>1</v>
      </c>
      <c r="D360" s="53">
        <f t="shared" si="26"/>
        <v>348.29613000000001</v>
      </c>
      <c r="E360" s="42">
        <v>0</v>
      </c>
      <c r="F360" s="42">
        <f>D360*(($F$265)+1)+(IF(E360&lt;101,E360,IF(E360&lt;201,E360/2,IF(E360&lt;=301,E360/3,E360/4))))</f>
        <v>522.44419500000004</v>
      </c>
      <c r="G360" s="108"/>
      <c r="H360" s="109"/>
      <c r="I360" s="36"/>
      <c r="L360" s="105"/>
      <c r="M360" s="105"/>
      <c r="N360" s="36"/>
    </row>
    <row r="361" spans="1:14" s="37" customFormat="1" ht="15.75" customHeight="1" x14ac:dyDescent="0.3">
      <c r="A361" s="103">
        <f t="shared" si="27"/>
        <v>6</v>
      </c>
      <c r="B361" s="104"/>
      <c r="C361" s="112" t="s">
        <v>179</v>
      </c>
      <c r="D361" s="113"/>
      <c r="E361" s="113"/>
      <c r="F361" s="114"/>
      <c r="G361" s="108"/>
      <c r="H361" s="109"/>
      <c r="I361" s="36"/>
      <c r="L361" s="105"/>
      <c r="M361" s="105"/>
      <c r="N361" s="36"/>
    </row>
    <row r="362" spans="1:14" s="37" customFormat="1" ht="15.75" customHeight="1" x14ac:dyDescent="0.3">
      <c r="A362" s="103">
        <f t="shared" si="27"/>
        <v>7</v>
      </c>
      <c r="B362" s="104"/>
      <c r="C362" s="52">
        <v>1</v>
      </c>
      <c r="D362" s="55">
        <f>(1.8*1.55+1.1*1.76+2.75*1.89+2.7*2.11+1.65*1.05+1.05*1.5+2.85*1.27+2.96*1.05+1.75*0.6)*10.764</f>
        <v>287.45800199999996</v>
      </c>
      <c r="E362" s="42">
        <v>0</v>
      </c>
      <c r="F362" s="42">
        <f t="shared" ref="F362:F373" si="28">D362*(($F$265)+1)+(IF(E362&lt;101,E362,IF(E362&lt;201,E362/2,IF(E362&lt;=301,E362/3,E362/4))))</f>
        <v>431.18700299999995</v>
      </c>
      <c r="G362" s="108"/>
      <c r="H362" s="109"/>
      <c r="I362" s="36"/>
      <c r="L362" s="105"/>
      <c r="M362" s="105"/>
      <c r="N362" s="36"/>
    </row>
    <row r="363" spans="1:14" s="37" customFormat="1" ht="15.75" customHeight="1" x14ac:dyDescent="0.3">
      <c r="A363" s="103">
        <f t="shared" si="27"/>
        <v>8</v>
      </c>
      <c r="B363" s="104"/>
      <c r="C363" s="52">
        <v>1</v>
      </c>
      <c r="D363" s="53">
        <f t="shared" si="26"/>
        <v>348.29613000000001</v>
      </c>
      <c r="E363" s="42">
        <v>0</v>
      </c>
      <c r="F363" s="42">
        <f t="shared" si="28"/>
        <v>522.44419500000004</v>
      </c>
      <c r="G363" s="108"/>
      <c r="H363" s="109"/>
      <c r="I363" s="36"/>
      <c r="L363" s="105"/>
      <c r="M363" s="105"/>
      <c r="N363" s="36"/>
    </row>
    <row r="364" spans="1:14" s="37" customFormat="1" ht="15.75" customHeight="1" x14ac:dyDescent="0.3">
      <c r="A364" s="103">
        <f t="shared" si="27"/>
        <v>9</v>
      </c>
      <c r="B364" s="104"/>
      <c r="C364" s="52">
        <v>1</v>
      </c>
      <c r="D364" s="53">
        <f t="shared" si="26"/>
        <v>348.29613000000001</v>
      </c>
      <c r="E364" s="42">
        <v>0</v>
      </c>
      <c r="F364" s="42">
        <f t="shared" si="28"/>
        <v>522.44419500000004</v>
      </c>
      <c r="G364" s="108"/>
      <c r="H364" s="109"/>
      <c r="I364" s="36"/>
      <c r="L364" s="105"/>
      <c r="M364" s="105"/>
      <c r="N364" s="36"/>
    </row>
    <row r="365" spans="1:14" s="37" customFormat="1" ht="15.75" customHeight="1" x14ac:dyDescent="0.3">
      <c r="A365" s="103">
        <f t="shared" si="27"/>
        <v>10</v>
      </c>
      <c r="B365" s="104"/>
      <c r="C365" s="52">
        <v>1</v>
      </c>
      <c r="D365" s="53">
        <f t="shared" si="26"/>
        <v>348.29613000000001</v>
      </c>
      <c r="E365" s="42">
        <v>0</v>
      </c>
      <c r="F365" s="42">
        <f t="shared" si="28"/>
        <v>522.44419500000004</v>
      </c>
      <c r="G365" s="108"/>
      <c r="H365" s="109"/>
      <c r="I365" s="36"/>
      <c r="L365" s="105"/>
      <c r="M365" s="105"/>
      <c r="N365" s="36"/>
    </row>
    <row r="366" spans="1:14" s="37" customFormat="1" ht="15.75" customHeight="1" x14ac:dyDescent="0.3">
      <c r="A366" s="103">
        <f t="shared" si="27"/>
        <v>11</v>
      </c>
      <c r="B366" s="104"/>
      <c r="C366" s="52">
        <v>1</v>
      </c>
      <c r="D366" s="53">
        <f t="shared" si="26"/>
        <v>348.29613000000001</v>
      </c>
      <c r="E366" s="42">
        <v>0</v>
      </c>
      <c r="F366" s="42">
        <f t="shared" si="28"/>
        <v>522.44419500000004</v>
      </c>
      <c r="G366" s="108"/>
      <c r="H366" s="109"/>
      <c r="I366" s="36"/>
      <c r="L366" s="105"/>
      <c r="M366" s="105"/>
      <c r="N366" s="36"/>
    </row>
    <row r="367" spans="1:14" s="37" customFormat="1" ht="15.75" customHeight="1" x14ac:dyDescent="0.3">
      <c r="A367" s="103">
        <f t="shared" si="27"/>
        <v>12</v>
      </c>
      <c r="B367" s="104"/>
      <c r="C367" s="52">
        <v>1</v>
      </c>
      <c r="D367" s="53">
        <f t="shared" si="26"/>
        <v>348.29613000000001</v>
      </c>
      <c r="E367" s="42">
        <v>0</v>
      </c>
      <c r="F367" s="42">
        <f t="shared" si="28"/>
        <v>522.44419500000004</v>
      </c>
      <c r="G367" s="108"/>
      <c r="H367" s="109"/>
      <c r="I367" s="36"/>
      <c r="L367" s="105"/>
      <c r="M367" s="105"/>
      <c r="N367" s="36"/>
    </row>
    <row r="368" spans="1:14" s="37" customFormat="1" ht="15.75" customHeight="1" x14ac:dyDescent="0.3">
      <c r="A368" s="103">
        <f t="shared" si="27"/>
        <v>13</v>
      </c>
      <c r="B368" s="104"/>
      <c r="C368" s="52">
        <v>1</v>
      </c>
      <c r="D368" s="53">
        <f t="shared" si="26"/>
        <v>348.29613000000001</v>
      </c>
      <c r="E368" s="42">
        <v>0</v>
      </c>
      <c r="F368" s="42">
        <f t="shared" si="28"/>
        <v>522.44419500000004</v>
      </c>
      <c r="G368" s="108"/>
      <c r="H368" s="109"/>
      <c r="I368" s="36"/>
      <c r="L368" s="105"/>
      <c r="M368" s="105"/>
      <c r="N368" s="36"/>
    </row>
    <row r="369" spans="1:14" s="37" customFormat="1" ht="15.75" customHeight="1" x14ac:dyDescent="0.3">
      <c r="A369" s="103">
        <f t="shared" si="27"/>
        <v>14</v>
      </c>
      <c r="B369" s="104"/>
      <c r="C369" s="52">
        <v>1</v>
      </c>
      <c r="D369" s="53">
        <f t="shared" si="26"/>
        <v>348.29613000000001</v>
      </c>
      <c r="E369" s="42">
        <v>0</v>
      </c>
      <c r="F369" s="42">
        <f t="shared" si="28"/>
        <v>522.44419500000004</v>
      </c>
      <c r="G369" s="108"/>
      <c r="H369" s="109"/>
      <c r="I369" s="36"/>
      <c r="L369" s="105"/>
      <c r="M369" s="105"/>
      <c r="N369" s="36"/>
    </row>
    <row r="370" spans="1:14" s="37" customFormat="1" ht="15.75" customHeight="1" x14ac:dyDescent="0.3">
      <c r="A370" s="103">
        <f t="shared" si="27"/>
        <v>15</v>
      </c>
      <c r="B370" s="104"/>
      <c r="C370" s="52">
        <v>1</v>
      </c>
      <c r="D370" s="53">
        <f t="shared" si="26"/>
        <v>348.29613000000001</v>
      </c>
      <c r="E370" s="42">
        <v>0</v>
      </c>
      <c r="F370" s="42">
        <f t="shared" si="28"/>
        <v>522.44419500000004</v>
      </c>
      <c r="G370" s="108"/>
      <c r="H370" s="109"/>
      <c r="I370" s="36"/>
      <c r="L370" s="105"/>
      <c r="M370" s="105"/>
      <c r="N370" s="36"/>
    </row>
    <row r="371" spans="1:14" s="37" customFormat="1" ht="15.75" customHeight="1" x14ac:dyDescent="0.3">
      <c r="A371" s="103">
        <f t="shared" si="27"/>
        <v>16</v>
      </c>
      <c r="B371" s="104"/>
      <c r="C371" s="52">
        <v>1</v>
      </c>
      <c r="D371" s="53">
        <f t="shared" si="26"/>
        <v>348.29613000000001</v>
      </c>
      <c r="E371" s="42">
        <v>0</v>
      </c>
      <c r="F371" s="42">
        <f t="shared" si="28"/>
        <v>522.44419500000004</v>
      </c>
      <c r="G371" s="108"/>
      <c r="H371" s="109"/>
      <c r="I371" s="36"/>
      <c r="L371" s="105"/>
      <c r="M371" s="105"/>
      <c r="N371" s="36"/>
    </row>
    <row r="372" spans="1:14" s="37" customFormat="1" ht="15.75" customHeight="1" x14ac:dyDescent="0.3">
      <c r="A372" s="103">
        <f t="shared" si="27"/>
        <v>17</v>
      </c>
      <c r="B372" s="104"/>
      <c r="C372" s="52">
        <v>1</v>
      </c>
      <c r="D372" s="53">
        <f t="shared" si="26"/>
        <v>348.29613000000001</v>
      </c>
      <c r="E372" s="42">
        <v>0</v>
      </c>
      <c r="F372" s="42">
        <f t="shared" si="28"/>
        <v>522.44419500000004</v>
      </c>
      <c r="G372" s="108"/>
      <c r="H372" s="109"/>
      <c r="I372" s="36"/>
      <c r="L372" s="105"/>
      <c r="M372" s="105"/>
      <c r="N372" s="36"/>
    </row>
    <row r="373" spans="1:14" s="37" customFormat="1" ht="15.75" customHeight="1" x14ac:dyDescent="0.3">
      <c r="A373" s="103">
        <f t="shared" si="27"/>
        <v>18</v>
      </c>
      <c r="B373" s="104"/>
      <c r="C373" s="52">
        <v>1</v>
      </c>
      <c r="D373" s="53">
        <f t="shared" si="26"/>
        <v>348.29613000000001</v>
      </c>
      <c r="E373" s="42">
        <v>0</v>
      </c>
      <c r="F373" s="42">
        <f t="shared" si="28"/>
        <v>522.44419500000004</v>
      </c>
      <c r="G373" s="110"/>
      <c r="H373" s="111"/>
      <c r="I373" s="36"/>
      <c r="L373" s="105"/>
      <c r="M373" s="105"/>
      <c r="N373" s="36"/>
    </row>
    <row r="374" spans="1:14" s="37" customFormat="1" x14ac:dyDescent="0.3">
      <c r="A374" s="100" t="s">
        <v>180</v>
      </c>
      <c r="B374" s="101"/>
      <c r="C374" s="101"/>
      <c r="D374" s="101"/>
      <c r="E374" s="101"/>
      <c r="F374" s="101"/>
      <c r="G374" s="101"/>
      <c r="H374" s="102"/>
      <c r="J374" s="36"/>
    </row>
    <row r="375" spans="1:14" s="37" customFormat="1" x14ac:dyDescent="0.3">
      <c r="A375" s="100" t="s">
        <v>177</v>
      </c>
      <c r="B375" s="101"/>
      <c r="C375" s="101"/>
      <c r="D375" s="101"/>
      <c r="E375" s="101"/>
      <c r="F375" s="101"/>
      <c r="G375" s="101"/>
      <c r="H375" s="102"/>
      <c r="J375" s="36"/>
    </row>
    <row r="376" spans="1:14" s="37" customFormat="1" x14ac:dyDescent="0.3">
      <c r="A376" s="100" t="s">
        <v>178</v>
      </c>
      <c r="B376" s="101"/>
      <c r="C376" s="101"/>
      <c r="D376" s="101"/>
      <c r="E376" s="101"/>
      <c r="F376" s="101"/>
      <c r="G376" s="101"/>
      <c r="H376" s="102"/>
      <c r="J376" s="36"/>
    </row>
    <row r="377" spans="1:14" s="37" customFormat="1" ht="15.75" customHeight="1" x14ac:dyDescent="0.3">
      <c r="A377" s="103">
        <v>1</v>
      </c>
      <c r="B377" s="104"/>
      <c r="C377" s="52">
        <v>1</v>
      </c>
      <c r="D377" s="53">
        <f>(24.98+2.75*1.27+2.7*1.05+1.75*0.6)*(10.764)</f>
        <v>348.29613000000001</v>
      </c>
      <c r="E377" s="42">
        <v>0</v>
      </c>
      <c r="F377" s="42">
        <f t="shared" ref="F377:F394" si="29">D377*(($F$265)+1)+(IF(E377&lt;101,E377,IF(E377&lt;201,E377/2,IF(E377&lt;=301,E377/3,E377/4))))</f>
        <v>522.44419500000004</v>
      </c>
      <c r="G377" s="106" t="str">
        <f>A376</f>
        <v>1st Floor For Residential</v>
      </c>
      <c r="H377" s="107"/>
      <c r="I377" s="36"/>
      <c r="J377" s="53">
        <f>10.764</f>
        <v>10.763999999999999</v>
      </c>
      <c r="K377" s="37">
        <f>7000*F377</f>
        <v>3657109.3650000002</v>
      </c>
      <c r="L377" s="105"/>
      <c r="M377" s="105"/>
      <c r="N377" s="36"/>
    </row>
    <row r="378" spans="1:14" s="37" customFormat="1" ht="15.75" customHeight="1" x14ac:dyDescent="0.3">
      <c r="A378" s="103">
        <f t="shared" ref="A378:A394" si="30">A377+1</f>
        <v>2</v>
      </c>
      <c r="B378" s="104"/>
      <c r="C378" s="52">
        <v>1</v>
      </c>
      <c r="D378" s="53">
        <f t="shared" ref="D378:D394" si="31">(24.98+2.75*1.27+2.7*1.05+1.75*0.6)*(10.764)</f>
        <v>348.29613000000001</v>
      </c>
      <c r="E378" s="42">
        <v>0</v>
      </c>
      <c r="F378" s="42">
        <f t="shared" si="29"/>
        <v>522.44419500000004</v>
      </c>
      <c r="G378" s="108"/>
      <c r="H378" s="109"/>
      <c r="I378" s="36"/>
      <c r="J378" s="37">
        <f>1.1*0.95+1.55*2.35+1.05*1.5+3.65*2.75+2.11*2.7+1.65*1.05+2.75*1.27+2.7*1.05+1.75*0.6</f>
        <v>31.107000000000003</v>
      </c>
      <c r="K378" s="37">
        <f t="shared" ref="K378:K389" si="32">7000*F378</f>
        <v>3657109.3650000002</v>
      </c>
      <c r="L378" s="105"/>
      <c r="M378" s="105"/>
      <c r="N378" s="36"/>
    </row>
    <row r="379" spans="1:14" s="37" customFormat="1" ht="15.75" customHeight="1" x14ac:dyDescent="0.3">
      <c r="A379" s="103">
        <f t="shared" si="30"/>
        <v>3</v>
      </c>
      <c r="B379" s="104"/>
      <c r="C379" s="52">
        <v>1</v>
      </c>
      <c r="D379" s="53">
        <f t="shared" si="31"/>
        <v>348.29613000000001</v>
      </c>
      <c r="E379" s="42">
        <v>0</v>
      </c>
      <c r="F379" s="42">
        <f t="shared" si="29"/>
        <v>522.44419500000004</v>
      </c>
      <c r="G379" s="108"/>
      <c r="H379" s="109"/>
      <c r="I379" s="36"/>
      <c r="K379" s="37">
        <f t="shared" si="32"/>
        <v>3657109.3650000002</v>
      </c>
      <c r="L379" s="105"/>
      <c r="M379" s="105"/>
      <c r="N379" s="36"/>
    </row>
    <row r="380" spans="1:14" s="37" customFormat="1" ht="15.75" customHeight="1" x14ac:dyDescent="0.3">
      <c r="A380" s="103">
        <f t="shared" si="30"/>
        <v>4</v>
      </c>
      <c r="B380" s="104"/>
      <c r="C380" s="52">
        <v>1</v>
      </c>
      <c r="D380" s="53">
        <f t="shared" si="31"/>
        <v>348.29613000000001</v>
      </c>
      <c r="E380" s="42">
        <v>0</v>
      </c>
      <c r="F380" s="42">
        <f t="shared" si="29"/>
        <v>522.44419500000004</v>
      </c>
      <c r="G380" s="108"/>
      <c r="H380" s="109"/>
      <c r="I380" s="36"/>
      <c r="K380" s="37">
        <f t="shared" si="32"/>
        <v>3657109.3650000002</v>
      </c>
      <c r="L380" s="105"/>
      <c r="M380" s="105"/>
      <c r="N380" s="36"/>
    </row>
    <row r="381" spans="1:14" s="37" customFormat="1" ht="15.75" customHeight="1" x14ac:dyDescent="0.3">
      <c r="A381" s="103">
        <f t="shared" si="30"/>
        <v>5</v>
      </c>
      <c r="B381" s="104"/>
      <c r="C381" s="52">
        <v>1</v>
      </c>
      <c r="D381" s="53">
        <f t="shared" si="31"/>
        <v>348.29613000000001</v>
      </c>
      <c r="E381" s="42">
        <v>0</v>
      </c>
      <c r="F381" s="42">
        <f t="shared" si="29"/>
        <v>522.44419500000004</v>
      </c>
      <c r="G381" s="108"/>
      <c r="H381" s="109"/>
      <c r="I381" s="36"/>
      <c r="K381" s="37">
        <f t="shared" si="32"/>
        <v>3657109.3650000002</v>
      </c>
      <c r="L381" s="105"/>
      <c r="M381" s="105"/>
      <c r="N381" s="36"/>
    </row>
    <row r="382" spans="1:14" s="37" customFormat="1" ht="15.75" customHeight="1" x14ac:dyDescent="0.3">
      <c r="A382" s="103">
        <f t="shared" si="30"/>
        <v>6</v>
      </c>
      <c r="B382" s="104"/>
      <c r="C382" s="52">
        <v>1</v>
      </c>
      <c r="D382" s="53">
        <f t="shared" si="31"/>
        <v>348.29613000000001</v>
      </c>
      <c r="E382" s="42">
        <v>0</v>
      </c>
      <c r="F382" s="42">
        <f t="shared" si="29"/>
        <v>522.44419500000004</v>
      </c>
      <c r="G382" s="108"/>
      <c r="H382" s="109"/>
      <c r="I382" s="36"/>
      <c r="K382" s="37">
        <f t="shared" si="32"/>
        <v>3657109.3650000002</v>
      </c>
      <c r="L382" s="105"/>
      <c r="M382" s="105"/>
      <c r="N382" s="36"/>
    </row>
    <row r="383" spans="1:14" s="37" customFormat="1" ht="15.75" customHeight="1" x14ac:dyDescent="0.3">
      <c r="A383" s="103">
        <f t="shared" si="30"/>
        <v>7</v>
      </c>
      <c r="B383" s="104"/>
      <c r="C383" s="52">
        <v>1</v>
      </c>
      <c r="D383" s="53">
        <f t="shared" si="31"/>
        <v>348.29613000000001</v>
      </c>
      <c r="E383" s="42">
        <v>0</v>
      </c>
      <c r="F383" s="42">
        <f t="shared" si="29"/>
        <v>522.44419500000004</v>
      </c>
      <c r="G383" s="108"/>
      <c r="H383" s="109"/>
      <c r="I383" s="36"/>
      <c r="J383" s="37">
        <f>24.98+2.75*1.27+2.7*1.05+1.75*0.6</f>
        <v>32.357500000000002</v>
      </c>
      <c r="K383" s="37">
        <f t="shared" si="32"/>
        <v>3657109.3650000002</v>
      </c>
      <c r="L383" s="105"/>
      <c r="M383" s="105"/>
      <c r="N383" s="36"/>
    </row>
    <row r="384" spans="1:14" s="37" customFormat="1" ht="15.75" customHeight="1" x14ac:dyDescent="0.3">
      <c r="A384" s="103">
        <f t="shared" si="30"/>
        <v>8</v>
      </c>
      <c r="B384" s="104"/>
      <c r="C384" s="52">
        <v>1</v>
      </c>
      <c r="D384" s="53">
        <f t="shared" si="31"/>
        <v>348.29613000000001</v>
      </c>
      <c r="E384" s="42">
        <v>0</v>
      </c>
      <c r="F384" s="42">
        <f t="shared" si="29"/>
        <v>522.44419500000004</v>
      </c>
      <c r="G384" s="108"/>
      <c r="H384" s="109"/>
      <c r="I384" s="36"/>
      <c r="K384" s="37">
        <f t="shared" si="32"/>
        <v>3657109.3650000002</v>
      </c>
      <c r="L384" s="105"/>
      <c r="M384" s="105"/>
      <c r="N384" s="36"/>
    </row>
    <row r="385" spans="1:14" s="37" customFormat="1" ht="15.75" customHeight="1" x14ac:dyDescent="0.3">
      <c r="A385" s="103">
        <f t="shared" si="30"/>
        <v>9</v>
      </c>
      <c r="B385" s="104"/>
      <c r="C385" s="52">
        <v>1</v>
      </c>
      <c r="D385" s="53">
        <f t="shared" si="31"/>
        <v>348.29613000000001</v>
      </c>
      <c r="E385" s="42">
        <v>0</v>
      </c>
      <c r="F385" s="42">
        <f t="shared" si="29"/>
        <v>522.44419500000004</v>
      </c>
      <c r="G385" s="108"/>
      <c r="H385" s="109"/>
      <c r="I385" s="36"/>
      <c r="K385" s="37">
        <f t="shared" si="32"/>
        <v>3657109.3650000002</v>
      </c>
      <c r="L385" s="105"/>
      <c r="M385" s="105"/>
      <c r="N385" s="36"/>
    </row>
    <row r="386" spans="1:14" s="37" customFormat="1" ht="15.75" customHeight="1" x14ac:dyDescent="0.3">
      <c r="A386" s="103">
        <f t="shared" si="30"/>
        <v>10</v>
      </c>
      <c r="B386" s="104"/>
      <c r="C386" s="52">
        <v>1</v>
      </c>
      <c r="D386" s="53">
        <f t="shared" si="31"/>
        <v>348.29613000000001</v>
      </c>
      <c r="E386" s="42">
        <v>0</v>
      </c>
      <c r="F386" s="42">
        <f t="shared" si="29"/>
        <v>522.44419500000004</v>
      </c>
      <c r="G386" s="108"/>
      <c r="H386" s="109"/>
      <c r="I386" s="36"/>
      <c r="K386" s="37">
        <f t="shared" si="32"/>
        <v>3657109.3650000002</v>
      </c>
      <c r="L386" s="105"/>
      <c r="M386" s="105"/>
      <c r="N386" s="36"/>
    </row>
    <row r="387" spans="1:14" s="37" customFormat="1" ht="15.75" customHeight="1" x14ac:dyDescent="0.3">
      <c r="A387" s="103">
        <f t="shared" si="30"/>
        <v>11</v>
      </c>
      <c r="B387" s="104"/>
      <c r="C387" s="52">
        <v>1</v>
      </c>
      <c r="D387" s="53">
        <f t="shared" si="31"/>
        <v>348.29613000000001</v>
      </c>
      <c r="E387" s="42">
        <v>0</v>
      </c>
      <c r="F387" s="42">
        <f t="shared" si="29"/>
        <v>522.44419500000004</v>
      </c>
      <c r="G387" s="108"/>
      <c r="H387" s="109"/>
      <c r="I387" s="36"/>
      <c r="K387" s="37">
        <f t="shared" si="32"/>
        <v>3657109.3650000002</v>
      </c>
      <c r="L387" s="105"/>
      <c r="M387" s="105"/>
      <c r="N387" s="36"/>
    </row>
    <row r="388" spans="1:14" s="37" customFormat="1" ht="15.75" customHeight="1" x14ac:dyDescent="0.3">
      <c r="A388" s="103">
        <f t="shared" si="30"/>
        <v>12</v>
      </c>
      <c r="B388" s="104"/>
      <c r="C388" s="52">
        <v>1</v>
      </c>
      <c r="D388" s="53">
        <f t="shared" si="31"/>
        <v>348.29613000000001</v>
      </c>
      <c r="E388" s="42">
        <v>0</v>
      </c>
      <c r="F388" s="42">
        <f t="shared" si="29"/>
        <v>522.44419500000004</v>
      </c>
      <c r="G388" s="108"/>
      <c r="H388" s="109"/>
      <c r="I388" s="36"/>
      <c r="K388" s="37">
        <f t="shared" si="32"/>
        <v>3657109.3650000002</v>
      </c>
      <c r="L388" s="105"/>
      <c r="M388" s="105"/>
      <c r="N388" s="36"/>
    </row>
    <row r="389" spans="1:14" s="37" customFormat="1" ht="15.75" customHeight="1" x14ac:dyDescent="0.3">
      <c r="A389" s="103">
        <f t="shared" si="30"/>
        <v>13</v>
      </c>
      <c r="B389" s="104"/>
      <c r="C389" s="52">
        <v>1</v>
      </c>
      <c r="D389" s="53">
        <f t="shared" si="31"/>
        <v>348.29613000000001</v>
      </c>
      <c r="E389" s="42">
        <v>0</v>
      </c>
      <c r="F389" s="42">
        <f t="shared" si="29"/>
        <v>522.44419500000004</v>
      </c>
      <c r="G389" s="108"/>
      <c r="H389" s="109"/>
      <c r="I389" s="36"/>
      <c r="K389" s="37">
        <f t="shared" si="32"/>
        <v>3657109.3650000002</v>
      </c>
      <c r="L389" s="105"/>
      <c r="M389" s="105"/>
      <c r="N389" s="36"/>
    </row>
    <row r="390" spans="1:14" s="37" customFormat="1" ht="15.75" customHeight="1" x14ac:dyDescent="0.3">
      <c r="A390" s="103">
        <f t="shared" si="30"/>
        <v>14</v>
      </c>
      <c r="B390" s="104"/>
      <c r="C390" s="52">
        <v>1</v>
      </c>
      <c r="D390" s="53">
        <f t="shared" si="31"/>
        <v>348.29613000000001</v>
      </c>
      <c r="E390" s="42">
        <v>0</v>
      </c>
      <c r="F390" s="42">
        <f t="shared" si="29"/>
        <v>522.44419500000004</v>
      </c>
      <c r="G390" s="108"/>
      <c r="H390" s="109"/>
      <c r="I390" s="36"/>
      <c r="L390" s="105"/>
      <c r="M390" s="105"/>
      <c r="N390" s="36"/>
    </row>
    <row r="391" spans="1:14" s="37" customFormat="1" ht="15.75" customHeight="1" x14ac:dyDescent="0.3">
      <c r="A391" s="103">
        <f t="shared" si="30"/>
        <v>15</v>
      </c>
      <c r="B391" s="104"/>
      <c r="C391" s="52">
        <v>1</v>
      </c>
      <c r="D391" s="53">
        <f t="shared" si="31"/>
        <v>348.29613000000001</v>
      </c>
      <c r="E391" s="42">
        <v>0</v>
      </c>
      <c r="F391" s="42">
        <f t="shared" si="29"/>
        <v>522.44419500000004</v>
      </c>
      <c r="G391" s="108"/>
      <c r="H391" s="109"/>
      <c r="I391" s="36"/>
      <c r="K391" s="37">
        <f t="shared" ref="K391:K393" si="33">7000*F391</f>
        <v>3657109.3650000002</v>
      </c>
      <c r="L391" s="105"/>
      <c r="M391" s="105"/>
      <c r="N391" s="36"/>
    </row>
    <row r="392" spans="1:14" s="37" customFormat="1" ht="15.75" customHeight="1" x14ac:dyDescent="0.3">
      <c r="A392" s="103">
        <f t="shared" si="30"/>
        <v>16</v>
      </c>
      <c r="B392" s="104"/>
      <c r="C392" s="52">
        <v>1</v>
      </c>
      <c r="D392" s="53">
        <f t="shared" si="31"/>
        <v>348.29613000000001</v>
      </c>
      <c r="E392" s="42">
        <v>0</v>
      </c>
      <c r="F392" s="42">
        <f t="shared" si="29"/>
        <v>522.44419500000004</v>
      </c>
      <c r="G392" s="108"/>
      <c r="H392" s="109"/>
      <c r="I392" s="36"/>
      <c r="K392" s="37">
        <f t="shared" si="33"/>
        <v>3657109.3650000002</v>
      </c>
      <c r="L392" s="105"/>
      <c r="M392" s="105"/>
      <c r="N392" s="36"/>
    </row>
    <row r="393" spans="1:14" s="37" customFormat="1" ht="15.75" customHeight="1" x14ac:dyDescent="0.3">
      <c r="A393" s="103">
        <f t="shared" si="30"/>
        <v>17</v>
      </c>
      <c r="B393" s="104"/>
      <c r="C393" s="52">
        <v>1</v>
      </c>
      <c r="D393" s="53">
        <f t="shared" si="31"/>
        <v>348.29613000000001</v>
      </c>
      <c r="E393" s="42">
        <v>0</v>
      </c>
      <c r="F393" s="42">
        <f t="shared" si="29"/>
        <v>522.44419500000004</v>
      </c>
      <c r="G393" s="108"/>
      <c r="H393" s="109"/>
      <c r="I393" s="36"/>
      <c r="K393" s="37">
        <f t="shared" si="33"/>
        <v>3657109.3650000002</v>
      </c>
      <c r="L393" s="105"/>
      <c r="M393" s="105"/>
      <c r="N393" s="36"/>
    </row>
    <row r="394" spans="1:14" s="37" customFormat="1" ht="15.75" customHeight="1" x14ac:dyDescent="0.3">
      <c r="A394" s="103">
        <f t="shared" si="30"/>
        <v>18</v>
      </c>
      <c r="B394" s="104"/>
      <c r="C394" s="52">
        <v>1</v>
      </c>
      <c r="D394" s="53">
        <f t="shared" si="31"/>
        <v>348.29613000000001</v>
      </c>
      <c r="E394" s="42">
        <v>0</v>
      </c>
      <c r="F394" s="42">
        <f t="shared" si="29"/>
        <v>522.44419500000004</v>
      </c>
      <c r="G394" s="110"/>
      <c r="H394" s="111"/>
      <c r="I394" s="36"/>
      <c r="L394" s="105"/>
      <c r="M394" s="105"/>
      <c r="N394" s="36"/>
    </row>
    <row r="395" spans="1:14" s="37" customFormat="1" x14ac:dyDescent="0.3">
      <c r="A395" s="100" t="s">
        <v>228</v>
      </c>
      <c r="B395" s="101"/>
      <c r="C395" s="101"/>
      <c r="D395" s="101"/>
      <c r="E395" s="101"/>
      <c r="F395" s="101"/>
      <c r="G395" s="101"/>
      <c r="H395" s="102"/>
      <c r="J395" s="36"/>
    </row>
    <row r="396" spans="1:14" s="37" customFormat="1" ht="15.75" customHeight="1" x14ac:dyDescent="0.3">
      <c r="A396" s="103">
        <v>1</v>
      </c>
      <c r="B396" s="104"/>
      <c r="C396" s="52">
        <v>1</v>
      </c>
      <c r="D396" s="53">
        <f>(24.98+2.75*1.27+2.7*1.05+1.75*0.6)*(10.764)</f>
        <v>348.29613000000001</v>
      </c>
      <c r="E396" s="42">
        <v>0</v>
      </c>
      <c r="F396" s="42">
        <f t="shared" ref="F396:F413" si="34">D396*(($F$265)+1)+(IF(E396&lt;101,E396,IF(E396&lt;201,E396/2,IF(E396&lt;=301,E396/3,E396/4))))</f>
        <v>522.44419500000004</v>
      </c>
      <c r="G396" s="106" t="str">
        <f>A395</f>
        <v>2nd to 7th, 9th to 12th, 14th to 17th, 19th to 22nd, 24th to 27th &amp; 29th Floor</v>
      </c>
      <c r="H396" s="107"/>
      <c r="I396" s="36"/>
      <c r="L396" s="105"/>
      <c r="M396" s="105"/>
      <c r="N396" s="36"/>
    </row>
    <row r="397" spans="1:14" s="37" customFormat="1" ht="15.75" customHeight="1" x14ac:dyDescent="0.3">
      <c r="A397" s="103">
        <f t="shared" ref="A397:A413" si="35">A396+1</f>
        <v>2</v>
      </c>
      <c r="B397" s="104"/>
      <c r="C397" s="52">
        <v>1</v>
      </c>
      <c r="D397" s="53">
        <f t="shared" ref="D397:D432" si="36">(24.98+2.75*1.27+2.7*1.05+1.75*0.6)*(10.764)</f>
        <v>348.29613000000001</v>
      </c>
      <c r="E397" s="42">
        <v>0</v>
      </c>
      <c r="F397" s="42">
        <f t="shared" si="34"/>
        <v>522.44419500000004</v>
      </c>
      <c r="G397" s="108"/>
      <c r="H397" s="109"/>
      <c r="I397" s="36"/>
      <c r="L397" s="105"/>
      <c r="M397" s="105"/>
      <c r="N397" s="36"/>
    </row>
    <row r="398" spans="1:14" s="37" customFormat="1" ht="15.75" customHeight="1" x14ac:dyDescent="0.3">
      <c r="A398" s="103">
        <f t="shared" si="35"/>
        <v>3</v>
      </c>
      <c r="B398" s="104"/>
      <c r="C398" s="52">
        <v>1</v>
      </c>
      <c r="D398" s="53">
        <f t="shared" si="36"/>
        <v>348.29613000000001</v>
      </c>
      <c r="E398" s="42">
        <v>0</v>
      </c>
      <c r="F398" s="42">
        <f t="shared" si="34"/>
        <v>522.44419500000004</v>
      </c>
      <c r="G398" s="108"/>
      <c r="H398" s="109"/>
      <c r="I398" s="36"/>
      <c r="L398" s="105"/>
      <c r="M398" s="105"/>
      <c r="N398" s="36"/>
    </row>
    <row r="399" spans="1:14" s="37" customFormat="1" ht="15.75" customHeight="1" x14ac:dyDescent="0.3">
      <c r="A399" s="103">
        <f t="shared" si="35"/>
        <v>4</v>
      </c>
      <c r="B399" s="104"/>
      <c r="C399" s="52">
        <v>1</v>
      </c>
      <c r="D399" s="53">
        <f t="shared" si="36"/>
        <v>348.29613000000001</v>
      </c>
      <c r="E399" s="42">
        <v>0</v>
      </c>
      <c r="F399" s="42">
        <f t="shared" si="34"/>
        <v>522.44419500000004</v>
      </c>
      <c r="G399" s="108"/>
      <c r="H399" s="109"/>
      <c r="I399" s="36"/>
      <c r="L399" s="105"/>
      <c r="M399" s="105"/>
      <c r="N399" s="36"/>
    </row>
    <row r="400" spans="1:14" s="37" customFormat="1" ht="15.75" customHeight="1" x14ac:dyDescent="0.3">
      <c r="A400" s="103">
        <f t="shared" si="35"/>
        <v>5</v>
      </c>
      <c r="B400" s="104"/>
      <c r="C400" s="52">
        <v>1</v>
      </c>
      <c r="D400" s="53">
        <f t="shared" si="36"/>
        <v>348.29613000000001</v>
      </c>
      <c r="E400" s="42">
        <v>0</v>
      </c>
      <c r="F400" s="42">
        <f t="shared" si="34"/>
        <v>522.44419500000004</v>
      </c>
      <c r="G400" s="108"/>
      <c r="H400" s="109"/>
      <c r="I400" s="36"/>
      <c r="L400" s="105"/>
      <c r="M400" s="105"/>
      <c r="N400" s="36"/>
    </row>
    <row r="401" spans="1:14" s="37" customFormat="1" ht="15.75" customHeight="1" x14ac:dyDescent="0.3">
      <c r="A401" s="103">
        <f t="shared" si="35"/>
        <v>6</v>
      </c>
      <c r="B401" s="104"/>
      <c r="C401" s="52">
        <v>1</v>
      </c>
      <c r="D401" s="53">
        <f t="shared" si="36"/>
        <v>348.29613000000001</v>
      </c>
      <c r="E401" s="42">
        <v>0</v>
      </c>
      <c r="F401" s="42">
        <f t="shared" si="34"/>
        <v>522.44419500000004</v>
      </c>
      <c r="G401" s="108"/>
      <c r="H401" s="109"/>
      <c r="I401" s="36"/>
      <c r="L401" s="105"/>
      <c r="M401" s="105"/>
      <c r="N401" s="36"/>
    </row>
    <row r="402" spans="1:14" s="37" customFormat="1" ht="15.75" customHeight="1" x14ac:dyDescent="0.3">
      <c r="A402" s="103">
        <f t="shared" si="35"/>
        <v>7</v>
      </c>
      <c r="B402" s="104"/>
      <c r="C402" s="52">
        <v>1</v>
      </c>
      <c r="D402" s="53">
        <f t="shared" si="36"/>
        <v>348.29613000000001</v>
      </c>
      <c r="E402" s="42">
        <v>0</v>
      </c>
      <c r="F402" s="42">
        <f t="shared" si="34"/>
        <v>522.44419500000004</v>
      </c>
      <c r="G402" s="108"/>
      <c r="H402" s="109"/>
      <c r="I402" s="36"/>
      <c r="L402" s="105"/>
      <c r="M402" s="105"/>
      <c r="N402" s="36"/>
    </row>
    <row r="403" spans="1:14" s="37" customFormat="1" ht="15.75" customHeight="1" x14ac:dyDescent="0.3">
      <c r="A403" s="103">
        <f t="shared" si="35"/>
        <v>8</v>
      </c>
      <c r="B403" s="104"/>
      <c r="C403" s="52">
        <v>1</v>
      </c>
      <c r="D403" s="53">
        <f t="shared" si="36"/>
        <v>348.29613000000001</v>
      </c>
      <c r="E403" s="42">
        <v>0</v>
      </c>
      <c r="F403" s="42">
        <f t="shared" si="34"/>
        <v>522.44419500000004</v>
      </c>
      <c r="G403" s="108"/>
      <c r="H403" s="109"/>
      <c r="I403" s="36"/>
      <c r="L403" s="105"/>
      <c r="M403" s="105"/>
      <c r="N403" s="36"/>
    </row>
    <row r="404" spans="1:14" s="37" customFormat="1" ht="15.75" customHeight="1" x14ac:dyDescent="0.3">
      <c r="A404" s="103">
        <f t="shared" si="35"/>
        <v>9</v>
      </c>
      <c r="B404" s="104"/>
      <c r="C404" s="52">
        <v>1</v>
      </c>
      <c r="D404" s="53">
        <f t="shared" si="36"/>
        <v>348.29613000000001</v>
      </c>
      <c r="E404" s="42">
        <v>0</v>
      </c>
      <c r="F404" s="42">
        <f t="shared" si="34"/>
        <v>522.44419500000004</v>
      </c>
      <c r="G404" s="108"/>
      <c r="H404" s="109"/>
      <c r="I404" s="36"/>
      <c r="L404" s="105"/>
      <c r="M404" s="105"/>
      <c r="N404" s="36"/>
    </row>
    <row r="405" spans="1:14" s="37" customFormat="1" ht="15.75" customHeight="1" x14ac:dyDescent="0.3">
      <c r="A405" s="103">
        <f t="shared" si="35"/>
        <v>10</v>
      </c>
      <c r="B405" s="104"/>
      <c r="C405" s="52">
        <v>1</v>
      </c>
      <c r="D405" s="53">
        <f t="shared" si="36"/>
        <v>348.29613000000001</v>
      </c>
      <c r="E405" s="42">
        <v>0</v>
      </c>
      <c r="F405" s="42">
        <f t="shared" si="34"/>
        <v>522.44419500000004</v>
      </c>
      <c r="G405" s="108"/>
      <c r="H405" s="109"/>
      <c r="I405" s="36"/>
      <c r="L405" s="105"/>
      <c r="M405" s="105"/>
      <c r="N405" s="36"/>
    </row>
    <row r="406" spans="1:14" s="37" customFormat="1" ht="15.75" customHeight="1" x14ac:dyDescent="0.3">
      <c r="A406" s="103">
        <f t="shared" si="35"/>
        <v>11</v>
      </c>
      <c r="B406" s="104"/>
      <c r="C406" s="52">
        <v>1</v>
      </c>
      <c r="D406" s="53">
        <f t="shared" si="36"/>
        <v>348.29613000000001</v>
      </c>
      <c r="E406" s="42">
        <v>0</v>
      </c>
      <c r="F406" s="42">
        <f t="shared" si="34"/>
        <v>522.44419500000004</v>
      </c>
      <c r="G406" s="108"/>
      <c r="H406" s="109"/>
      <c r="I406" s="36"/>
      <c r="L406" s="105"/>
      <c r="M406" s="105"/>
      <c r="N406" s="36"/>
    </row>
    <row r="407" spans="1:14" s="37" customFormat="1" ht="15.75" customHeight="1" x14ac:dyDescent="0.3">
      <c r="A407" s="103">
        <f t="shared" si="35"/>
        <v>12</v>
      </c>
      <c r="B407" s="104"/>
      <c r="C407" s="52">
        <v>1</v>
      </c>
      <c r="D407" s="53">
        <f t="shared" si="36"/>
        <v>348.29613000000001</v>
      </c>
      <c r="E407" s="42">
        <v>0</v>
      </c>
      <c r="F407" s="42">
        <f t="shared" si="34"/>
        <v>522.44419500000004</v>
      </c>
      <c r="G407" s="108"/>
      <c r="H407" s="109"/>
      <c r="I407" s="36"/>
      <c r="L407" s="105"/>
      <c r="M407" s="105"/>
      <c r="N407" s="36"/>
    </row>
    <row r="408" spans="1:14" s="37" customFormat="1" ht="15.75" customHeight="1" x14ac:dyDescent="0.3">
      <c r="A408" s="103">
        <f t="shared" si="35"/>
        <v>13</v>
      </c>
      <c r="B408" s="104"/>
      <c r="C408" s="52">
        <v>1</v>
      </c>
      <c r="D408" s="53">
        <f t="shared" si="36"/>
        <v>348.29613000000001</v>
      </c>
      <c r="E408" s="42">
        <v>0</v>
      </c>
      <c r="F408" s="42">
        <f t="shared" si="34"/>
        <v>522.44419500000004</v>
      </c>
      <c r="G408" s="108"/>
      <c r="H408" s="109"/>
      <c r="I408" s="36"/>
      <c r="L408" s="105"/>
      <c r="M408" s="105"/>
      <c r="N408" s="36"/>
    </row>
    <row r="409" spans="1:14" s="37" customFormat="1" ht="15.75" customHeight="1" x14ac:dyDescent="0.3">
      <c r="A409" s="103">
        <f t="shared" si="35"/>
        <v>14</v>
      </c>
      <c r="B409" s="104"/>
      <c r="C409" s="52">
        <v>1</v>
      </c>
      <c r="D409" s="53">
        <f t="shared" si="36"/>
        <v>348.29613000000001</v>
      </c>
      <c r="E409" s="42">
        <v>0</v>
      </c>
      <c r="F409" s="42">
        <f t="shared" si="34"/>
        <v>522.44419500000004</v>
      </c>
      <c r="G409" s="108"/>
      <c r="H409" s="109"/>
      <c r="I409" s="36"/>
      <c r="L409" s="105"/>
      <c r="M409" s="105"/>
      <c r="N409" s="36"/>
    </row>
    <row r="410" spans="1:14" s="37" customFormat="1" ht="15.75" customHeight="1" x14ac:dyDescent="0.3">
      <c r="A410" s="103">
        <f t="shared" si="35"/>
        <v>15</v>
      </c>
      <c r="B410" s="104"/>
      <c r="C410" s="52">
        <v>1</v>
      </c>
      <c r="D410" s="53">
        <f t="shared" si="36"/>
        <v>348.29613000000001</v>
      </c>
      <c r="E410" s="42">
        <v>0</v>
      </c>
      <c r="F410" s="42">
        <f t="shared" si="34"/>
        <v>522.44419500000004</v>
      </c>
      <c r="G410" s="108"/>
      <c r="H410" s="109"/>
      <c r="I410" s="36"/>
      <c r="L410" s="105"/>
      <c r="M410" s="105"/>
      <c r="N410" s="36"/>
    </row>
    <row r="411" spans="1:14" s="37" customFormat="1" ht="15.75" customHeight="1" x14ac:dyDescent="0.3">
      <c r="A411" s="103">
        <f t="shared" si="35"/>
        <v>16</v>
      </c>
      <c r="B411" s="104"/>
      <c r="C411" s="52">
        <v>1</v>
      </c>
      <c r="D411" s="53">
        <f t="shared" si="36"/>
        <v>348.29613000000001</v>
      </c>
      <c r="E411" s="42">
        <v>0</v>
      </c>
      <c r="F411" s="42">
        <f t="shared" si="34"/>
        <v>522.44419500000004</v>
      </c>
      <c r="G411" s="108"/>
      <c r="H411" s="109"/>
      <c r="I411" s="36"/>
      <c r="L411" s="105"/>
      <c r="M411" s="105"/>
      <c r="N411" s="36"/>
    </row>
    <row r="412" spans="1:14" s="37" customFormat="1" ht="15.75" customHeight="1" x14ac:dyDescent="0.3">
      <c r="A412" s="103">
        <f t="shared" si="35"/>
        <v>17</v>
      </c>
      <c r="B412" s="104"/>
      <c r="C412" s="52">
        <v>1</v>
      </c>
      <c r="D412" s="53">
        <f t="shared" si="36"/>
        <v>348.29613000000001</v>
      </c>
      <c r="E412" s="42">
        <v>0</v>
      </c>
      <c r="F412" s="42">
        <f t="shared" si="34"/>
        <v>522.44419500000004</v>
      </c>
      <c r="G412" s="108"/>
      <c r="H412" s="109"/>
      <c r="I412" s="36"/>
      <c r="L412" s="105"/>
      <c r="M412" s="105"/>
      <c r="N412" s="36"/>
    </row>
    <row r="413" spans="1:14" s="37" customFormat="1" ht="15.75" customHeight="1" x14ac:dyDescent="0.3">
      <c r="A413" s="103">
        <f t="shared" si="35"/>
        <v>18</v>
      </c>
      <c r="B413" s="104"/>
      <c r="C413" s="52">
        <v>1</v>
      </c>
      <c r="D413" s="53">
        <f t="shared" si="36"/>
        <v>348.29613000000001</v>
      </c>
      <c r="E413" s="42">
        <v>0</v>
      </c>
      <c r="F413" s="42">
        <f t="shared" si="34"/>
        <v>522.44419500000004</v>
      </c>
      <c r="G413" s="110"/>
      <c r="H413" s="111"/>
      <c r="I413" s="36"/>
      <c r="L413" s="105"/>
      <c r="M413" s="105"/>
      <c r="N413" s="36"/>
    </row>
    <row r="414" spans="1:14" s="37" customFormat="1" x14ac:dyDescent="0.3">
      <c r="A414" s="100" t="s">
        <v>215</v>
      </c>
      <c r="B414" s="101"/>
      <c r="C414" s="101"/>
      <c r="D414" s="101"/>
      <c r="E414" s="101"/>
      <c r="F414" s="101"/>
      <c r="G414" s="101"/>
      <c r="H414" s="102"/>
      <c r="J414" s="36"/>
    </row>
    <row r="415" spans="1:14" s="37" customFormat="1" ht="15.75" customHeight="1" x14ac:dyDescent="0.3">
      <c r="A415" s="103">
        <v>1</v>
      </c>
      <c r="B415" s="104"/>
      <c r="C415" s="52">
        <v>1</v>
      </c>
      <c r="D415" s="53">
        <f t="shared" si="36"/>
        <v>348.29613000000001</v>
      </c>
      <c r="E415" s="42">
        <v>0</v>
      </c>
      <c r="F415" s="42">
        <f>D415*(($F$265)+1)+(IF(E415&lt;101,E415,IF(E415&lt;201,E415/2,IF(E415&lt;=301,E415/3,E415/4))))</f>
        <v>522.44419500000004</v>
      </c>
      <c r="G415" s="106" t="str">
        <f>A414</f>
        <v>8th, 13th, 18th, 23rd &amp; 28th Floor (Part Refuge Area)</v>
      </c>
      <c r="H415" s="107"/>
      <c r="I415" s="36"/>
      <c r="L415" s="105"/>
      <c r="M415" s="105"/>
      <c r="N415" s="36"/>
    </row>
    <row r="416" spans="1:14" s="37" customFormat="1" ht="15.75" customHeight="1" x14ac:dyDescent="0.3">
      <c r="A416" s="103">
        <f t="shared" ref="A416:A432" si="37">A415+1</f>
        <v>2</v>
      </c>
      <c r="B416" s="104"/>
      <c r="C416" s="52">
        <v>1</v>
      </c>
      <c r="D416" s="53">
        <f t="shared" si="36"/>
        <v>348.29613000000001</v>
      </c>
      <c r="E416" s="42">
        <v>0</v>
      </c>
      <c r="F416" s="42">
        <f>D416*(($F$265)+1)+(IF(E416&lt;101,E416,IF(E416&lt;201,E416/2,IF(E416&lt;=301,E416/3,E416/4))))</f>
        <v>522.44419500000004</v>
      </c>
      <c r="G416" s="108"/>
      <c r="H416" s="109"/>
      <c r="I416" s="36"/>
      <c r="L416" s="105"/>
      <c r="M416" s="105"/>
      <c r="N416" s="36"/>
    </row>
    <row r="417" spans="1:14" s="37" customFormat="1" ht="15.75" customHeight="1" x14ac:dyDescent="0.3">
      <c r="A417" s="103">
        <f t="shared" si="37"/>
        <v>3</v>
      </c>
      <c r="B417" s="104"/>
      <c r="C417" s="52">
        <v>1</v>
      </c>
      <c r="D417" s="53">
        <f t="shared" si="36"/>
        <v>348.29613000000001</v>
      </c>
      <c r="E417" s="42">
        <v>0</v>
      </c>
      <c r="F417" s="42">
        <f>D417*(($F$265)+1)+(IF(E417&lt;101,E417,IF(E417&lt;201,E417/2,IF(E417&lt;=301,E417/3,E417/4))))</f>
        <v>522.44419500000004</v>
      </c>
      <c r="G417" s="108"/>
      <c r="H417" s="109"/>
      <c r="I417" s="36"/>
      <c r="L417" s="105"/>
      <c r="M417" s="105"/>
      <c r="N417" s="36"/>
    </row>
    <row r="418" spans="1:14" s="37" customFormat="1" ht="15.75" customHeight="1" x14ac:dyDescent="0.3">
      <c r="A418" s="103">
        <f t="shared" si="37"/>
        <v>4</v>
      </c>
      <c r="B418" s="104"/>
      <c r="C418" s="52">
        <v>1</v>
      </c>
      <c r="D418" s="53">
        <f t="shared" si="36"/>
        <v>348.29613000000001</v>
      </c>
      <c r="E418" s="42">
        <v>0</v>
      </c>
      <c r="F418" s="42">
        <f>D418*(($F$265)+1)+(IF(E418&lt;101,E418,IF(E418&lt;201,E418/2,IF(E418&lt;=301,E418/3,E418/4))))</f>
        <v>522.44419500000004</v>
      </c>
      <c r="G418" s="108"/>
      <c r="H418" s="109"/>
      <c r="I418" s="36"/>
      <c r="L418" s="105"/>
      <c r="M418" s="105"/>
      <c r="N418" s="36"/>
    </row>
    <row r="419" spans="1:14" s="37" customFormat="1" ht="15.75" customHeight="1" x14ac:dyDescent="0.3">
      <c r="A419" s="103">
        <f t="shared" si="37"/>
        <v>5</v>
      </c>
      <c r="B419" s="104"/>
      <c r="C419" s="52">
        <v>1</v>
      </c>
      <c r="D419" s="53">
        <f t="shared" si="36"/>
        <v>348.29613000000001</v>
      </c>
      <c r="E419" s="42">
        <v>0</v>
      </c>
      <c r="F419" s="42">
        <f>D419*(($F$265)+1)+(IF(E419&lt;101,E419,IF(E419&lt;201,E419/2,IF(E419&lt;=301,E419/3,E419/4))))</f>
        <v>522.44419500000004</v>
      </c>
      <c r="G419" s="108"/>
      <c r="H419" s="109"/>
      <c r="I419" s="36"/>
      <c r="L419" s="105"/>
      <c r="M419" s="105"/>
      <c r="N419" s="36"/>
    </row>
    <row r="420" spans="1:14" s="37" customFormat="1" ht="15.75" customHeight="1" x14ac:dyDescent="0.3">
      <c r="A420" s="103">
        <f t="shared" si="37"/>
        <v>6</v>
      </c>
      <c r="B420" s="104"/>
      <c r="C420" s="112" t="s">
        <v>179</v>
      </c>
      <c r="D420" s="113"/>
      <c r="E420" s="113"/>
      <c r="F420" s="114"/>
      <c r="G420" s="108"/>
      <c r="H420" s="109"/>
      <c r="I420" s="36"/>
      <c r="L420" s="105"/>
      <c r="M420" s="105"/>
      <c r="N420" s="36"/>
    </row>
    <row r="421" spans="1:14" s="37" customFormat="1" ht="15.75" customHeight="1" x14ac:dyDescent="0.3">
      <c r="A421" s="103">
        <f t="shared" si="37"/>
        <v>7</v>
      </c>
      <c r="B421" s="104"/>
      <c r="C421" s="52">
        <v>1</v>
      </c>
      <c r="D421" s="55">
        <f>(1.8*1.55+1.1*1.76+2.75*1.89+2.7*2.11+1.65*1.05+1.05*1.5+2.85*1.27+2.96*1.05+1.75*0.6)*10.764</f>
        <v>287.45800199999996</v>
      </c>
      <c r="E421" s="42">
        <v>0</v>
      </c>
      <c r="F421" s="42">
        <f t="shared" ref="F421:F432" si="38">D421*(($F$265)+1)+(IF(E421&lt;101,E421,IF(E421&lt;201,E421/2,IF(E421&lt;=301,E421/3,E421/4))))</f>
        <v>431.18700299999995</v>
      </c>
      <c r="G421" s="108"/>
      <c r="H421" s="109"/>
      <c r="I421" s="36"/>
      <c r="L421" s="105"/>
      <c r="M421" s="105"/>
      <c r="N421" s="36"/>
    </row>
    <row r="422" spans="1:14" s="37" customFormat="1" ht="15.75" customHeight="1" x14ac:dyDescent="0.3">
      <c r="A422" s="103">
        <f t="shared" si="37"/>
        <v>8</v>
      </c>
      <c r="B422" s="104"/>
      <c r="C422" s="52">
        <v>1</v>
      </c>
      <c r="D422" s="53">
        <f t="shared" si="36"/>
        <v>348.29613000000001</v>
      </c>
      <c r="E422" s="42">
        <v>0</v>
      </c>
      <c r="F422" s="42">
        <f t="shared" si="38"/>
        <v>522.44419500000004</v>
      </c>
      <c r="G422" s="108"/>
      <c r="H422" s="109"/>
      <c r="I422" s="36"/>
      <c r="L422" s="105"/>
      <c r="M422" s="105"/>
      <c r="N422" s="36"/>
    </row>
    <row r="423" spans="1:14" s="37" customFormat="1" ht="15.75" customHeight="1" x14ac:dyDescent="0.3">
      <c r="A423" s="103">
        <f t="shared" si="37"/>
        <v>9</v>
      </c>
      <c r="B423" s="104"/>
      <c r="C423" s="52">
        <v>1</v>
      </c>
      <c r="D423" s="53">
        <f t="shared" si="36"/>
        <v>348.29613000000001</v>
      </c>
      <c r="E423" s="42">
        <v>0</v>
      </c>
      <c r="F423" s="42">
        <f t="shared" si="38"/>
        <v>522.44419500000004</v>
      </c>
      <c r="G423" s="108"/>
      <c r="H423" s="109"/>
      <c r="I423" s="36"/>
      <c r="L423" s="105"/>
      <c r="M423" s="105"/>
      <c r="N423" s="36"/>
    </row>
    <row r="424" spans="1:14" s="37" customFormat="1" ht="15.75" customHeight="1" x14ac:dyDescent="0.3">
      <c r="A424" s="103">
        <f t="shared" si="37"/>
        <v>10</v>
      </c>
      <c r="B424" s="104"/>
      <c r="C424" s="52">
        <v>1</v>
      </c>
      <c r="D424" s="53">
        <f t="shared" si="36"/>
        <v>348.29613000000001</v>
      </c>
      <c r="E424" s="42">
        <v>0</v>
      </c>
      <c r="F424" s="42">
        <f t="shared" si="38"/>
        <v>522.44419500000004</v>
      </c>
      <c r="G424" s="108"/>
      <c r="H424" s="109"/>
      <c r="I424" s="36"/>
      <c r="L424" s="105"/>
      <c r="M424" s="105"/>
      <c r="N424" s="36"/>
    </row>
    <row r="425" spans="1:14" s="37" customFormat="1" ht="15.75" customHeight="1" x14ac:dyDescent="0.3">
      <c r="A425" s="103">
        <f t="shared" si="37"/>
        <v>11</v>
      </c>
      <c r="B425" s="104"/>
      <c r="C425" s="52">
        <v>1</v>
      </c>
      <c r="D425" s="53">
        <f t="shared" si="36"/>
        <v>348.29613000000001</v>
      </c>
      <c r="E425" s="42">
        <v>0</v>
      </c>
      <c r="F425" s="42">
        <f t="shared" si="38"/>
        <v>522.44419500000004</v>
      </c>
      <c r="G425" s="108"/>
      <c r="H425" s="109"/>
      <c r="I425" s="36"/>
      <c r="L425" s="105"/>
      <c r="M425" s="105"/>
      <c r="N425" s="36"/>
    </row>
    <row r="426" spans="1:14" s="37" customFormat="1" ht="15.75" customHeight="1" x14ac:dyDescent="0.3">
      <c r="A426" s="103">
        <f t="shared" si="37"/>
        <v>12</v>
      </c>
      <c r="B426" s="104"/>
      <c r="C426" s="52">
        <v>1</v>
      </c>
      <c r="D426" s="53">
        <f t="shared" si="36"/>
        <v>348.29613000000001</v>
      </c>
      <c r="E426" s="42">
        <v>0</v>
      </c>
      <c r="F426" s="42">
        <f t="shared" si="38"/>
        <v>522.44419500000004</v>
      </c>
      <c r="G426" s="108"/>
      <c r="H426" s="109"/>
      <c r="I426" s="36"/>
      <c r="L426" s="105"/>
      <c r="M426" s="105"/>
      <c r="N426" s="36"/>
    </row>
    <row r="427" spans="1:14" s="37" customFormat="1" ht="15.75" customHeight="1" x14ac:dyDescent="0.3">
      <c r="A427" s="103">
        <f t="shared" si="37"/>
        <v>13</v>
      </c>
      <c r="B427" s="104"/>
      <c r="C427" s="52">
        <v>1</v>
      </c>
      <c r="D427" s="53">
        <f t="shared" si="36"/>
        <v>348.29613000000001</v>
      </c>
      <c r="E427" s="42">
        <v>0</v>
      </c>
      <c r="F427" s="42">
        <f t="shared" si="38"/>
        <v>522.44419500000004</v>
      </c>
      <c r="G427" s="108"/>
      <c r="H427" s="109"/>
      <c r="I427" s="36"/>
      <c r="L427" s="105"/>
      <c r="M427" s="105"/>
      <c r="N427" s="36"/>
    </row>
    <row r="428" spans="1:14" s="37" customFormat="1" ht="15.75" customHeight="1" x14ac:dyDescent="0.3">
      <c r="A428" s="103">
        <f t="shared" si="37"/>
        <v>14</v>
      </c>
      <c r="B428" s="104"/>
      <c r="C428" s="52">
        <v>1</v>
      </c>
      <c r="D428" s="53">
        <f t="shared" si="36"/>
        <v>348.29613000000001</v>
      </c>
      <c r="E428" s="42">
        <v>0</v>
      </c>
      <c r="F428" s="42">
        <f t="shared" si="38"/>
        <v>522.44419500000004</v>
      </c>
      <c r="G428" s="108"/>
      <c r="H428" s="109"/>
      <c r="I428" s="36"/>
      <c r="L428" s="105"/>
      <c r="M428" s="105"/>
      <c r="N428" s="36"/>
    </row>
    <row r="429" spans="1:14" s="37" customFormat="1" ht="15.75" customHeight="1" x14ac:dyDescent="0.3">
      <c r="A429" s="103">
        <f t="shared" si="37"/>
        <v>15</v>
      </c>
      <c r="B429" s="104"/>
      <c r="C429" s="52">
        <v>1</v>
      </c>
      <c r="D429" s="53">
        <f t="shared" si="36"/>
        <v>348.29613000000001</v>
      </c>
      <c r="E429" s="42">
        <v>0</v>
      </c>
      <c r="F429" s="42">
        <f t="shared" si="38"/>
        <v>522.44419500000004</v>
      </c>
      <c r="G429" s="108"/>
      <c r="H429" s="109"/>
      <c r="I429" s="36"/>
      <c r="L429" s="105"/>
      <c r="M429" s="105"/>
      <c r="N429" s="36"/>
    </row>
    <row r="430" spans="1:14" s="37" customFormat="1" ht="15.75" customHeight="1" x14ac:dyDescent="0.3">
      <c r="A430" s="103">
        <f t="shared" si="37"/>
        <v>16</v>
      </c>
      <c r="B430" s="104"/>
      <c r="C430" s="52">
        <v>1</v>
      </c>
      <c r="D430" s="53">
        <f t="shared" si="36"/>
        <v>348.29613000000001</v>
      </c>
      <c r="E430" s="42">
        <v>0</v>
      </c>
      <c r="F430" s="42">
        <f t="shared" si="38"/>
        <v>522.44419500000004</v>
      </c>
      <c r="G430" s="108"/>
      <c r="H430" s="109"/>
      <c r="I430" s="36"/>
      <c r="L430" s="105"/>
      <c r="M430" s="105"/>
      <c r="N430" s="36"/>
    </row>
    <row r="431" spans="1:14" s="37" customFormat="1" ht="15.75" customHeight="1" x14ac:dyDescent="0.3">
      <c r="A431" s="103">
        <f t="shared" si="37"/>
        <v>17</v>
      </c>
      <c r="B431" s="104"/>
      <c r="C431" s="52">
        <v>1</v>
      </c>
      <c r="D431" s="53">
        <f t="shared" si="36"/>
        <v>348.29613000000001</v>
      </c>
      <c r="E431" s="42">
        <v>0</v>
      </c>
      <c r="F431" s="42">
        <f t="shared" si="38"/>
        <v>522.44419500000004</v>
      </c>
      <c r="G431" s="108"/>
      <c r="H431" s="109"/>
      <c r="I431" s="36"/>
      <c r="L431" s="105"/>
      <c r="M431" s="105"/>
      <c r="N431" s="36"/>
    </row>
    <row r="432" spans="1:14" s="37" customFormat="1" ht="15.75" customHeight="1" x14ac:dyDescent="0.3">
      <c r="A432" s="103">
        <f t="shared" si="37"/>
        <v>18</v>
      </c>
      <c r="B432" s="104"/>
      <c r="C432" s="52">
        <v>1</v>
      </c>
      <c r="D432" s="53">
        <f t="shared" si="36"/>
        <v>348.29613000000001</v>
      </c>
      <c r="E432" s="42">
        <v>0</v>
      </c>
      <c r="F432" s="42">
        <f t="shared" si="38"/>
        <v>522.44419500000004</v>
      </c>
      <c r="G432" s="110"/>
      <c r="H432" s="111"/>
      <c r="I432" s="36"/>
      <c r="L432" s="105"/>
      <c r="M432" s="105"/>
      <c r="N432" s="36"/>
    </row>
    <row r="433" spans="1:14" s="37" customFormat="1" x14ac:dyDescent="0.3">
      <c r="A433" s="100" t="s">
        <v>185</v>
      </c>
      <c r="B433" s="101"/>
      <c r="C433" s="101"/>
      <c r="D433" s="101"/>
      <c r="E433" s="101"/>
      <c r="F433" s="101"/>
      <c r="G433" s="101"/>
      <c r="H433" s="102"/>
      <c r="J433" s="36"/>
    </row>
    <row r="434" spans="1:14" s="37" customFormat="1" x14ac:dyDescent="0.3">
      <c r="A434" s="100" t="s">
        <v>177</v>
      </c>
      <c r="B434" s="101"/>
      <c r="C434" s="101"/>
      <c r="D434" s="101"/>
      <c r="E434" s="101"/>
      <c r="F434" s="101"/>
      <c r="G434" s="101"/>
      <c r="H434" s="102"/>
      <c r="J434" s="36"/>
    </row>
    <row r="435" spans="1:14" s="37" customFormat="1" x14ac:dyDescent="0.3">
      <c r="A435" s="100" t="s">
        <v>178</v>
      </c>
      <c r="B435" s="101"/>
      <c r="C435" s="101"/>
      <c r="D435" s="101"/>
      <c r="E435" s="101"/>
      <c r="F435" s="101"/>
      <c r="G435" s="101"/>
      <c r="H435" s="102"/>
      <c r="J435" s="36"/>
    </row>
    <row r="436" spans="1:14" s="37" customFormat="1" ht="15.75" customHeight="1" x14ac:dyDescent="0.3">
      <c r="A436" s="103">
        <v>1</v>
      </c>
      <c r="B436" s="104"/>
      <c r="C436" s="52">
        <v>1</v>
      </c>
      <c r="D436" s="53">
        <f>(24.98+2.83*1.27+3.06*1.05+1.75*0.6)*(10.764)</f>
        <v>353.45854439999999</v>
      </c>
      <c r="E436" s="42">
        <v>0</v>
      </c>
      <c r="F436" s="42">
        <f t="shared" ref="F436:F449" si="39">D436*(($F$265)+1)+(IF(E436&lt;101,E436,IF(E436&lt;201,E436/2,IF(E436&lt;=301,E436/3,E436/4))))</f>
        <v>530.18781660000002</v>
      </c>
      <c r="G436" s="106" t="str">
        <f>A435</f>
        <v>1st Floor For Residential</v>
      </c>
      <c r="H436" s="107"/>
      <c r="I436" s="36"/>
      <c r="J436" s="53">
        <f>10.764</f>
        <v>10.763999999999999</v>
      </c>
      <c r="L436" s="105"/>
      <c r="M436" s="105"/>
      <c r="N436" s="36"/>
    </row>
    <row r="437" spans="1:14" s="37" customFormat="1" ht="15.75" customHeight="1" x14ac:dyDescent="0.3">
      <c r="A437" s="103">
        <f t="shared" ref="A437:A449" si="40">A436+1</f>
        <v>2</v>
      </c>
      <c r="B437" s="104"/>
      <c r="C437" s="52">
        <v>1</v>
      </c>
      <c r="D437" s="53">
        <f>(24.98+2.83*1.27+3.06*1.05+1.75*0.6)*(10.764)</f>
        <v>353.45854439999999</v>
      </c>
      <c r="E437" s="42">
        <v>0</v>
      </c>
      <c r="F437" s="42">
        <f t="shared" si="39"/>
        <v>530.18781660000002</v>
      </c>
      <c r="G437" s="108"/>
      <c r="H437" s="109"/>
      <c r="I437" s="36"/>
      <c r="J437" s="37">
        <f>1.1*0.95+1.55*2.35+1.05*1.5+3.65*2.75+2.11*2.7+1.65*1.05+2.75*1.27+2.7*1.05+1.75*0.6</f>
        <v>31.107000000000003</v>
      </c>
      <c r="L437" s="105"/>
      <c r="M437" s="105"/>
      <c r="N437" s="36"/>
    </row>
    <row r="438" spans="1:14" s="37" customFormat="1" ht="15.75" customHeight="1" x14ac:dyDescent="0.3">
      <c r="A438" s="103">
        <f t="shared" si="40"/>
        <v>3</v>
      </c>
      <c r="B438" s="104"/>
      <c r="C438" s="52">
        <v>1</v>
      </c>
      <c r="D438" s="53">
        <f>(24.98+2.75*1.27+3.06*1.05+1.75*0.6)*(10.764)</f>
        <v>352.36492199999998</v>
      </c>
      <c r="E438" s="42">
        <v>0</v>
      </c>
      <c r="F438" s="42">
        <f t="shared" si="39"/>
        <v>528.54738299999997</v>
      </c>
      <c r="G438" s="108"/>
      <c r="H438" s="109"/>
      <c r="I438" s="36"/>
      <c r="L438" s="105"/>
      <c r="M438" s="105"/>
      <c r="N438" s="36"/>
    </row>
    <row r="439" spans="1:14" s="37" customFormat="1" ht="15.75" customHeight="1" x14ac:dyDescent="0.3">
      <c r="A439" s="103">
        <f t="shared" si="40"/>
        <v>4</v>
      </c>
      <c r="B439" s="104"/>
      <c r="C439" s="52">
        <v>1</v>
      </c>
      <c r="D439" s="53">
        <f>(24.98+2.75*1.27+3.06*1.05+1.75*0.6)*(10.764)</f>
        <v>352.36492199999998</v>
      </c>
      <c r="E439" s="42">
        <v>0</v>
      </c>
      <c r="F439" s="42">
        <f t="shared" si="39"/>
        <v>528.54738299999997</v>
      </c>
      <c r="G439" s="108"/>
      <c r="H439" s="109"/>
      <c r="I439" s="36"/>
      <c r="L439" s="105"/>
      <c r="M439" s="105"/>
      <c r="N439" s="36"/>
    </row>
    <row r="440" spans="1:14" s="37" customFormat="1" ht="15.75" customHeight="1" x14ac:dyDescent="0.3">
      <c r="A440" s="103">
        <f t="shared" si="40"/>
        <v>5</v>
      </c>
      <c r="B440" s="104"/>
      <c r="C440" s="52">
        <v>1</v>
      </c>
      <c r="D440" s="53">
        <f t="shared" ref="D440:D449" si="41">(24.98+2.83*1.27+3.06*1.05+1.75*0.6)*(10.764)</f>
        <v>353.45854439999999</v>
      </c>
      <c r="E440" s="42">
        <v>0</v>
      </c>
      <c r="F440" s="42">
        <f t="shared" si="39"/>
        <v>530.18781660000002</v>
      </c>
      <c r="G440" s="108"/>
      <c r="H440" s="109"/>
      <c r="I440" s="36"/>
      <c r="L440" s="105"/>
      <c r="M440" s="105"/>
      <c r="N440" s="36"/>
    </row>
    <row r="441" spans="1:14" s="37" customFormat="1" ht="15.75" customHeight="1" x14ac:dyDescent="0.3">
      <c r="A441" s="103">
        <f t="shared" si="40"/>
        <v>6</v>
      </c>
      <c r="B441" s="104"/>
      <c r="C441" s="52">
        <v>1</v>
      </c>
      <c r="D441" s="53">
        <f t="shared" si="41"/>
        <v>353.45854439999999</v>
      </c>
      <c r="E441" s="42">
        <v>0</v>
      </c>
      <c r="F441" s="42">
        <f t="shared" si="39"/>
        <v>530.18781660000002</v>
      </c>
      <c r="G441" s="108"/>
      <c r="H441" s="109"/>
      <c r="I441" s="36"/>
      <c r="L441" s="105"/>
      <c r="M441" s="105"/>
      <c r="N441" s="36"/>
    </row>
    <row r="442" spans="1:14" s="37" customFormat="1" ht="15.75" customHeight="1" x14ac:dyDescent="0.3">
      <c r="A442" s="103">
        <f t="shared" si="40"/>
        <v>7</v>
      </c>
      <c r="B442" s="104"/>
      <c r="C442" s="52">
        <v>1</v>
      </c>
      <c r="D442" s="53">
        <f t="shared" si="41"/>
        <v>353.45854439999999</v>
      </c>
      <c r="E442" s="42">
        <v>0</v>
      </c>
      <c r="F442" s="42">
        <f t="shared" si="39"/>
        <v>530.18781660000002</v>
      </c>
      <c r="G442" s="108"/>
      <c r="H442" s="109"/>
      <c r="I442" s="36"/>
      <c r="J442" s="37">
        <f>24.98+2.75*1.27+2.7*1.05+1.75*0.6</f>
        <v>32.357500000000002</v>
      </c>
      <c r="L442" s="105"/>
      <c r="M442" s="105"/>
      <c r="N442" s="36"/>
    </row>
    <row r="443" spans="1:14" s="37" customFormat="1" ht="15.75" customHeight="1" x14ac:dyDescent="0.3">
      <c r="A443" s="103">
        <f t="shared" si="40"/>
        <v>8</v>
      </c>
      <c r="B443" s="104"/>
      <c r="C443" s="52">
        <v>1</v>
      </c>
      <c r="D443" s="53">
        <f t="shared" si="41"/>
        <v>353.45854439999999</v>
      </c>
      <c r="E443" s="42">
        <v>0</v>
      </c>
      <c r="F443" s="42">
        <f t="shared" si="39"/>
        <v>530.18781660000002</v>
      </c>
      <c r="G443" s="108"/>
      <c r="H443" s="109"/>
      <c r="I443" s="36"/>
      <c r="L443" s="105"/>
      <c r="M443" s="105"/>
      <c r="N443" s="36"/>
    </row>
    <row r="444" spans="1:14" s="37" customFormat="1" ht="15.75" customHeight="1" x14ac:dyDescent="0.3">
      <c r="A444" s="103">
        <f t="shared" si="40"/>
        <v>9</v>
      </c>
      <c r="B444" s="104"/>
      <c r="C444" s="52">
        <v>1</v>
      </c>
      <c r="D444" s="53">
        <f t="shared" si="41"/>
        <v>353.45854439999999</v>
      </c>
      <c r="E444" s="42">
        <v>0</v>
      </c>
      <c r="F444" s="42">
        <f t="shared" si="39"/>
        <v>530.18781660000002</v>
      </c>
      <c r="G444" s="108"/>
      <c r="H444" s="109"/>
      <c r="I444" s="36"/>
      <c r="L444" s="105"/>
      <c r="M444" s="105"/>
      <c r="N444" s="36"/>
    </row>
    <row r="445" spans="1:14" s="37" customFormat="1" ht="15.75" customHeight="1" x14ac:dyDescent="0.3">
      <c r="A445" s="103">
        <f t="shared" si="40"/>
        <v>10</v>
      </c>
      <c r="B445" s="104"/>
      <c r="C445" s="52">
        <v>1</v>
      </c>
      <c r="D445" s="53">
        <f t="shared" si="41"/>
        <v>353.45854439999999</v>
      </c>
      <c r="E445" s="42">
        <v>0</v>
      </c>
      <c r="F445" s="42">
        <f t="shared" si="39"/>
        <v>530.18781660000002</v>
      </c>
      <c r="G445" s="108"/>
      <c r="H445" s="109"/>
      <c r="I445" s="36"/>
      <c r="L445" s="105"/>
      <c r="M445" s="105"/>
      <c r="N445" s="36"/>
    </row>
    <row r="446" spans="1:14" s="37" customFormat="1" ht="15.75" customHeight="1" x14ac:dyDescent="0.3">
      <c r="A446" s="103">
        <f t="shared" si="40"/>
        <v>11</v>
      </c>
      <c r="B446" s="104"/>
      <c r="C446" s="52">
        <v>1</v>
      </c>
      <c r="D446" s="53">
        <f t="shared" si="41"/>
        <v>353.45854439999999</v>
      </c>
      <c r="E446" s="42">
        <v>0</v>
      </c>
      <c r="F446" s="42">
        <f t="shared" si="39"/>
        <v>530.18781660000002</v>
      </c>
      <c r="G446" s="108"/>
      <c r="H446" s="109"/>
      <c r="I446" s="36"/>
      <c r="L446" s="105"/>
      <c r="M446" s="105"/>
      <c r="N446" s="36"/>
    </row>
    <row r="447" spans="1:14" s="37" customFormat="1" ht="15.75" customHeight="1" x14ac:dyDescent="0.3">
      <c r="A447" s="103">
        <f t="shared" si="40"/>
        <v>12</v>
      </c>
      <c r="B447" s="104"/>
      <c r="C447" s="52">
        <v>1</v>
      </c>
      <c r="D447" s="53">
        <f t="shared" si="41"/>
        <v>353.45854439999999</v>
      </c>
      <c r="E447" s="42">
        <v>0</v>
      </c>
      <c r="F447" s="42">
        <f t="shared" si="39"/>
        <v>530.18781660000002</v>
      </c>
      <c r="G447" s="108"/>
      <c r="H447" s="109"/>
      <c r="I447" s="36"/>
      <c r="L447" s="105"/>
      <c r="M447" s="105"/>
      <c r="N447" s="36"/>
    </row>
    <row r="448" spans="1:14" s="37" customFormat="1" ht="15.75" customHeight="1" x14ac:dyDescent="0.3">
      <c r="A448" s="103">
        <f t="shared" si="40"/>
        <v>13</v>
      </c>
      <c r="B448" s="104"/>
      <c r="C448" s="52">
        <v>1</v>
      </c>
      <c r="D448" s="53">
        <f t="shared" si="41"/>
        <v>353.45854439999999</v>
      </c>
      <c r="E448" s="42">
        <v>0</v>
      </c>
      <c r="F448" s="42">
        <f t="shared" si="39"/>
        <v>530.18781660000002</v>
      </c>
      <c r="G448" s="108"/>
      <c r="H448" s="109"/>
      <c r="I448" s="36"/>
      <c r="L448" s="105"/>
      <c r="M448" s="105"/>
      <c r="N448" s="36"/>
    </row>
    <row r="449" spans="1:14" s="37" customFormat="1" ht="15.75" customHeight="1" x14ac:dyDescent="0.3">
      <c r="A449" s="103">
        <f t="shared" si="40"/>
        <v>14</v>
      </c>
      <c r="B449" s="104"/>
      <c r="C449" s="52">
        <v>1</v>
      </c>
      <c r="D449" s="53">
        <f t="shared" si="41"/>
        <v>353.45854439999999</v>
      </c>
      <c r="E449" s="42">
        <v>0</v>
      </c>
      <c r="F449" s="42">
        <f t="shared" si="39"/>
        <v>530.18781660000002</v>
      </c>
      <c r="G449" s="110"/>
      <c r="H449" s="111"/>
      <c r="I449" s="36"/>
      <c r="L449" s="105"/>
      <c r="M449" s="105"/>
      <c r="N449" s="36"/>
    </row>
    <row r="450" spans="1:14" s="37" customFormat="1" ht="15.75" customHeight="1" x14ac:dyDescent="0.3">
      <c r="A450" s="100" t="s">
        <v>228</v>
      </c>
      <c r="B450" s="101"/>
      <c r="C450" s="101"/>
      <c r="D450" s="101"/>
      <c r="E450" s="101"/>
      <c r="F450" s="101"/>
      <c r="G450" s="101"/>
      <c r="H450" s="101"/>
      <c r="J450" s="36"/>
    </row>
    <row r="451" spans="1:14" s="37" customFormat="1" ht="15.75" customHeight="1" x14ac:dyDescent="0.3">
      <c r="A451" s="103">
        <v>1</v>
      </c>
      <c r="B451" s="104"/>
      <c r="C451" s="52">
        <v>1</v>
      </c>
      <c r="D451" s="53">
        <f>(24.98+2.83*1.27+3.06*1.05+1.75*0.6)*(10.764)</f>
        <v>353.45854439999999</v>
      </c>
      <c r="E451" s="42">
        <v>0</v>
      </c>
      <c r="F451" s="42">
        <f t="shared" ref="F451:F464" si="42">D451*(($F$265)+1)+(IF(E451&lt;101,E451,IF(E451&lt;201,E451/2,IF(E451&lt;=301,E451/3,E451/4))))</f>
        <v>530.18781660000002</v>
      </c>
      <c r="G451" s="106" t="str">
        <f>A450</f>
        <v>2nd to 7th, 9th to 12th, 14th to 17th, 19th to 22nd, 24th to 27th &amp; 29th Floor</v>
      </c>
      <c r="H451" s="107"/>
      <c r="I451" s="36"/>
      <c r="J451" s="53">
        <f>10.764</f>
        <v>10.763999999999999</v>
      </c>
      <c r="L451" s="105"/>
      <c r="M451" s="105"/>
      <c r="N451" s="36"/>
    </row>
    <row r="452" spans="1:14" s="37" customFormat="1" ht="15.75" customHeight="1" x14ac:dyDescent="0.3">
      <c r="A452" s="103">
        <f t="shared" ref="A452:A464" si="43">A451+1</f>
        <v>2</v>
      </c>
      <c r="B452" s="104"/>
      <c r="C452" s="52">
        <v>1</v>
      </c>
      <c r="D452" s="53">
        <f>(24.98+2.83*1.27+3.06*1.05+1.75*0.6)*(10.764)</f>
        <v>353.45854439999999</v>
      </c>
      <c r="E452" s="42">
        <v>0</v>
      </c>
      <c r="F452" s="42">
        <f t="shared" si="42"/>
        <v>530.18781660000002</v>
      </c>
      <c r="G452" s="108"/>
      <c r="H452" s="109"/>
      <c r="I452" s="36"/>
      <c r="J452" s="37">
        <f>1.1*0.95+1.55*2.35+1.05*1.5+3.65*2.75+2.11*2.7+1.65*1.05+2.75*1.27+2.7*1.05+1.75*0.6</f>
        <v>31.107000000000003</v>
      </c>
      <c r="L452" s="105"/>
      <c r="M452" s="105"/>
      <c r="N452" s="36"/>
    </row>
    <row r="453" spans="1:14" s="37" customFormat="1" ht="15.75" customHeight="1" x14ac:dyDescent="0.3">
      <c r="A453" s="103">
        <f t="shared" si="43"/>
        <v>3</v>
      </c>
      <c r="B453" s="104"/>
      <c r="C453" s="52">
        <v>1</v>
      </c>
      <c r="D453" s="53">
        <f>(24.98+2.75*1.27+3.06*1.05+1.75*0.6)*(10.764)</f>
        <v>352.36492199999998</v>
      </c>
      <c r="E453" s="42">
        <v>0</v>
      </c>
      <c r="F453" s="42">
        <f t="shared" si="42"/>
        <v>528.54738299999997</v>
      </c>
      <c r="G453" s="108"/>
      <c r="H453" s="109"/>
      <c r="I453" s="36"/>
      <c r="L453" s="105"/>
      <c r="M453" s="105"/>
      <c r="N453" s="36"/>
    </row>
    <row r="454" spans="1:14" s="37" customFormat="1" ht="15.75" customHeight="1" x14ac:dyDescent="0.3">
      <c r="A454" s="103">
        <f t="shared" si="43"/>
        <v>4</v>
      </c>
      <c r="B454" s="104"/>
      <c r="C454" s="52">
        <v>1</v>
      </c>
      <c r="D454" s="53">
        <f>(24.98+2.75*1.27+3.06*1.05+1.75*0.6)*(10.764)</f>
        <v>352.36492199999998</v>
      </c>
      <c r="E454" s="42">
        <v>0</v>
      </c>
      <c r="F454" s="42">
        <f t="shared" si="42"/>
        <v>528.54738299999997</v>
      </c>
      <c r="G454" s="108"/>
      <c r="H454" s="109"/>
      <c r="I454" s="36"/>
      <c r="L454" s="105"/>
      <c r="M454" s="105"/>
      <c r="N454" s="36"/>
    </row>
    <row r="455" spans="1:14" s="37" customFormat="1" ht="15.75" customHeight="1" x14ac:dyDescent="0.3">
      <c r="A455" s="103">
        <f t="shared" si="43"/>
        <v>5</v>
      </c>
      <c r="B455" s="104"/>
      <c r="C455" s="52">
        <v>1</v>
      </c>
      <c r="D455" s="53">
        <f t="shared" ref="D455:D464" si="44">(24.98+2.83*1.27+3.06*1.05+1.75*0.6)*(10.764)</f>
        <v>353.45854439999999</v>
      </c>
      <c r="E455" s="42">
        <v>0</v>
      </c>
      <c r="F455" s="42">
        <f t="shared" si="42"/>
        <v>530.18781660000002</v>
      </c>
      <c r="G455" s="108"/>
      <c r="H455" s="109"/>
      <c r="I455" s="36"/>
      <c r="L455" s="105"/>
      <c r="M455" s="105"/>
      <c r="N455" s="36"/>
    </row>
    <row r="456" spans="1:14" s="37" customFormat="1" ht="15.75" customHeight="1" x14ac:dyDescent="0.3">
      <c r="A456" s="103">
        <f t="shared" si="43"/>
        <v>6</v>
      </c>
      <c r="B456" s="104"/>
      <c r="C456" s="52">
        <v>1</v>
      </c>
      <c r="D456" s="53">
        <f t="shared" si="44"/>
        <v>353.45854439999999</v>
      </c>
      <c r="E456" s="42">
        <v>0</v>
      </c>
      <c r="F456" s="42">
        <f t="shared" si="42"/>
        <v>530.18781660000002</v>
      </c>
      <c r="G456" s="108"/>
      <c r="H456" s="109"/>
      <c r="I456" s="36"/>
      <c r="L456" s="105"/>
      <c r="M456" s="105"/>
      <c r="N456" s="36"/>
    </row>
    <row r="457" spans="1:14" s="37" customFormat="1" ht="15.75" customHeight="1" x14ac:dyDescent="0.3">
      <c r="A457" s="103">
        <f t="shared" si="43"/>
        <v>7</v>
      </c>
      <c r="B457" s="104"/>
      <c r="C457" s="52">
        <v>1</v>
      </c>
      <c r="D457" s="53">
        <f t="shared" si="44"/>
        <v>353.45854439999999</v>
      </c>
      <c r="E457" s="42">
        <v>0</v>
      </c>
      <c r="F457" s="42">
        <f t="shared" si="42"/>
        <v>530.18781660000002</v>
      </c>
      <c r="G457" s="108"/>
      <c r="H457" s="109"/>
      <c r="I457" s="36"/>
      <c r="J457" s="37">
        <f>24.98+2.75*1.27+2.7*1.05+1.75*0.6</f>
        <v>32.357500000000002</v>
      </c>
      <c r="L457" s="105"/>
      <c r="M457" s="105"/>
      <c r="N457" s="36"/>
    </row>
    <row r="458" spans="1:14" s="37" customFormat="1" ht="15.75" customHeight="1" x14ac:dyDescent="0.3">
      <c r="A458" s="103">
        <f t="shared" si="43"/>
        <v>8</v>
      </c>
      <c r="B458" s="104"/>
      <c r="C458" s="52">
        <v>1</v>
      </c>
      <c r="D458" s="53">
        <f t="shared" si="44"/>
        <v>353.45854439999999</v>
      </c>
      <c r="E458" s="42">
        <v>0</v>
      </c>
      <c r="F458" s="42">
        <f t="shared" si="42"/>
        <v>530.18781660000002</v>
      </c>
      <c r="G458" s="108"/>
      <c r="H458" s="109"/>
      <c r="I458" s="36"/>
      <c r="L458" s="105"/>
      <c r="M458" s="105"/>
      <c r="N458" s="36"/>
    </row>
    <row r="459" spans="1:14" s="37" customFormat="1" ht="15.75" customHeight="1" x14ac:dyDescent="0.3">
      <c r="A459" s="103">
        <f t="shared" si="43"/>
        <v>9</v>
      </c>
      <c r="B459" s="104"/>
      <c r="C459" s="52">
        <v>1</v>
      </c>
      <c r="D459" s="53">
        <f t="shared" si="44"/>
        <v>353.45854439999999</v>
      </c>
      <c r="E459" s="42">
        <v>0</v>
      </c>
      <c r="F459" s="42">
        <f t="shared" si="42"/>
        <v>530.18781660000002</v>
      </c>
      <c r="G459" s="108"/>
      <c r="H459" s="109"/>
      <c r="I459" s="36"/>
      <c r="L459" s="105"/>
      <c r="M459" s="105"/>
      <c r="N459" s="36"/>
    </row>
    <row r="460" spans="1:14" s="37" customFormat="1" ht="15.75" customHeight="1" x14ac:dyDescent="0.3">
      <c r="A460" s="103">
        <f t="shared" si="43"/>
        <v>10</v>
      </c>
      <c r="B460" s="104"/>
      <c r="C460" s="52">
        <v>1</v>
      </c>
      <c r="D460" s="53">
        <f t="shared" si="44"/>
        <v>353.45854439999999</v>
      </c>
      <c r="E460" s="42">
        <v>0</v>
      </c>
      <c r="F460" s="42">
        <f t="shared" si="42"/>
        <v>530.18781660000002</v>
      </c>
      <c r="G460" s="108"/>
      <c r="H460" s="109"/>
      <c r="I460" s="36"/>
      <c r="L460" s="105"/>
      <c r="M460" s="105"/>
      <c r="N460" s="36"/>
    </row>
    <row r="461" spans="1:14" s="37" customFormat="1" ht="15.75" customHeight="1" x14ac:dyDescent="0.3">
      <c r="A461" s="103">
        <f t="shared" si="43"/>
        <v>11</v>
      </c>
      <c r="B461" s="104"/>
      <c r="C461" s="52">
        <v>1</v>
      </c>
      <c r="D461" s="53">
        <f t="shared" si="44"/>
        <v>353.45854439999999</v>
      </c>
      <c r="E461" s="42">
        <v>0</v>
      </c>
      <c r="F461" s="42">
        <f t="shared" si="42"/>
        <v>530.18781660000002</v>
      </c>
      <c r="G461" s="108"/>
      <c r="H461" s="109"/>
      <c r="I461" s="36"/>
      <c r="L461" s="105"/>
      <c r="M461" s="105"/>
      <c r="N461" s="36"/>
    </row>
    <row r="462" spans="1:14" s="37" customFormat="1" ht="15.75" customHeight="1" x14ac:dyDescent="0.3">
      <c r="A462" s="103">
        <f t="shared" si="43"/>
        <v>12</v>
      </c>
      <c r="B462" s="104"/>
      <c r="C462" s="52">
        <v>1</v>
      </c>
      <c r="D462" s="53">
        <f t="shared" si="44"/>
        <v>353.45854439999999</v>
      </c>
      <c r="E462" s="42">
        <v>0</v>
      </c>
      <c r="F462" s="42">
        <f t="shared" si="42"/>
        <v>530.18781660000002</v>
      </c>
      <c r="G462" s="108"/>
      <c r="H462" s="109"/>
      <c r="I462" s="36"/>
      <c r="L462" s="105"/>
      <c r="M462" s="105"/>
      <c r="N462" s="36"/>
    </row>
    <row r="463" spans="1:14" s="37" customFormat="1" ht="15.75" customHeight="1" x14ac:dyDescent="0.3">
      <c r="A463" s="103">
        <f t="shared" si="43"/>
        <v>13</v>
      </c>
      <c r="B463" s="104"/>
      <c r="C463" s="52">
        <v>1</v>
      </c>
      <c r="D463" s="53">
        <f t="shared" si="44"/>
        <v>353.45854439999999</v>
      </c>
      <c r="E463" s="42">
        <v>0</v>
      </c>
      <c r="F463" s="42">
        <f t="shared" si="42"/>
        <v>530.18781660000002</v>
      </c>
      <c r="G463" s="108"/>
      <c r="H463" s="109"/>
      <c r="I463" s="36"/>
      <c r="L463" s="105"/>
      <c r="M463" s="105"/>
      <c r="N463" s="36"/>
    </row>
    <row r="464" spans="1:14" s="37" customFormat="1" ht="15.75" customHeight="1" x14ac:dyDescent="0.3">
      <c r="A464" s="103">
        <f t="shared" si="43"/>
        <v>14</v>
      </c>
      <c r="B464" s="104"/>
      <c r="C464" s="52">
        <v>1</v>
      </c>
      <c r="D464" s="53">
        <f t="shared" si="44"/>
        <v>353.45854439999999</v>
      </c>
      <c r="E464" s="42">
        <v>0</v>
      </c>
      <c r="F464" s="42">
        <f t="shared" si="42"/>
        <v>530.18781660000002</v>
      </c>
      <c r="G464" s="110"/>
      <c r="H464" s="111"/>
      <c r="I464" s="36"/>
      <c r="L464" s="105"/>
      <c r="M464" s="105"/>
      <c r="N464" s="36"/>
    </row>
    <row r="465" spans="1:14" s="37" customFormat="1" ht="15.75" customHeight="1" x14ac:dyDescent="0.3">
      <c r="A465" s="100" t="s">
        <v>215</v>
      </c>
      <c r="B465" s="101"/>
      <c r="C465" s="101"/>
      <c r="D465" s="101"/>
      <c r="E465" s="101"/>
      <c r="F465" s="101"/>
      <c r="G465" s="101"/>
      <c r="H465" s="102"/>
      <c r="J465" s="36"/>
    </row>
    <row r="466" spans="1:14" s="37" customFormat="1" ht="15.75" customHeight="1" x14ac:dyDescent="0.3">
      <c r="A466" s="103">
        <v>1</v>
      </c>
      <c r="B466" s="104"/>
      <c r="C466" s="52">
        <v>1</v>
      </c>
      <c r="D466" s="53">
        <f>(24.98+2.83*1.27+3.06*1.05+1.75*0.6)*(10.764)</f>
        <v>353.45854439999999</v>
      </c>
      <c r="E466" s="42">
        <v>0</v>
      </c>
      <c r="F466" s="42">
        <f t="shared" ref="F466:F478" si="45">D466*(($F$265)+1)+(IF(E466&lt;101,E466,IF(E466&lt;201,E466/2,IF(E466&lt;=301,E466/3,E466/4))))</f>
        <v>530.18781660000002</v>
      </c>
      <c r="G466" s="106" t="str">
        <f>A465</f>
        <v>8th, 13th, 18th, 23rd &amp; 28th Floor (Part Refuge Area)</v>
      </c>
      <c r="H466" s="107"/>
      <c r="I466" s="36"/>
      <c r="J466" s="53">
        <f>10.764</f>
        <v>10.763999999999999</v>
      </c>
      <c r="L466" s="105"/>
      <c r="M466" s="105"/>
      <c r="N466" s="36"/>
    </row>
    <row r="467" spans="1:14" s="37" customFormat="1" ht="15.75" customHeight="1" x14ac:dyDescent="0.3">
      <c r="A467" s="103">
        <f t="shared" ref="A467:A479" si="46">A466+1</f>
        <v>2</v>
      </c>
      <c r="B467" s="104"/>
      <c r="C467" s="52">
        <v>1</v>
      </c>
      <c r="D467" s="53">
        <f>(24.98+2.83*1.27+3.06*1.05+1.75*0.6)*(10.764)</f>
        <v>353.45854439999999</v>
      </c>
      <c r="E467" s="42">
        <v>0</v>
      </c>
      <c r="F467" s="42">
        <f t="shared" si="45"/>
        <v>530.18781660000002</v>
      </c>
      <c r="G467" s="108"/>
      <c r="H467" s="109"/>
      <c r="I467" s="36"/>
      <c r="J467" s="37">
        <f>1.1*0.95+1.55*2.35+1.05*1.5+3.65*2.75+2.11*2.7+1.65*1.05+2.75*1.27+2.7*1.05+1.75*0.6</f>
        <v>31.107000000000003</v>
      </c>
      <c r="L467" s="105"/>
      <c r="M467" s="105"/>
      <c r="N467" s="36"/>
    </row>
    <row r="468" spans="1:14" s="37" customFormat="1" ht="15.75" customHeight="1" x14ac:dyDescent="0.3">
      <c r="A468" s="103">
        <f t="shared" si="46"/>
        <v>3</v>
      </c>
      <c r="B468" s="104"/>
      <c r="C468" s="52">
        <v>1</v>
      </c>
      <c r="D468" s="53">
        <f>(24.98+2.75*1.27+3.06*1.05+1.75*0.6)*(10.764)</f>
        <v>352.36492199999998</v>
      </c>
      <c r="E468" s="42">
        <v>0</v>
      </c>
      <c r="F468" s="42">
        <f t="shared" si="45"/>
        <v>528.54738299999997</v>
      </c>
      <c r="G468" s="108"/>
      <c r="H468" s="109"/>
      <c r="I468" s="36"/>
      <c r="L468" s="105"/>
      <c r="M468" s="105"/>
      <c r="N468" s="36"/>
    </row>
    <row r="469" spans="1:14" s="37" customFormat="1" ht="15.75" customHeight="1" x14ac:dyDescent="0.3">
      <c r="A469" s="103">
        <f t="shared" si="46"/>
        <v>4</v>
      </c>
      <c r="B469" s="104"/>
      <c r="C469" s="52">
        <v>1</v>
      </c>
      <c r="D469" s="53">
        <f>(24.98+2.75*1.27+3.06*1.05+1.75*0.6)*(10.764)</f>
        <v>352.36492199999998</v>
      </c>
      <c r="E469" s="42">
        <v>0</v>
      </c>
      <c r="F469" s="42">
        <f t="shared" si="45"/>
        <v>528.54738299999997</v>
      </c>
      <c r="G469" s="108"/>
      <c r="H469" s="109"/>
      <c r="I469" s="36"/>
      <c r="L469" s="105"/>
      <c r="M469" s="105"/>
      <c r="N469" s="36"/>
    </row>
    <row r="470" spans="1:14" s="37" customFormat="1" ht="15.75" customHeight="1" x14ac:dyDescent="0.3">
      <c r="A470" s="103">
        <f t="shared" si="46"/>
        <v>5</v>
      </c>
      <c r="B470" s="104"/>
      <c r="C470" s="52">
        <v>1</v>
      </c>
      <c r="D470" s="53">
        <f t="shared" ref="D470:D478" si="47">(24.98+2.83*1.27+3.06*1.05+1.75*0.6)*(10.764)</f>
        <v>353.45854439999999</v>
      </c>
      <c r="E470" s="42">
        <v>0</v>
      </c>
      <c r="F470" s="42">
        <f t="shared" si="45"/>
        <v>530.18781660000002</v>
      </c>
      <c r="G470" s="108"/>
      <c r="H470" s="109"/>
      <c r="I470" s="36"/>
      <c r="L470" s="105"/>
      <c r="M470" s="105"/>
      <c r="N470" s="36"/>
    </row>
    <row r="471" spans="1:14" s="37" customFormat="1" ht="15.75" customHeight="1" x14ac:dyDescent="0.3">
      <c r="A471" s="103">
        <f t="shared" si="46"/>
        <v>6</v>
      </c>
      <c r="B471" s="104"/>
      <c r="C471" s="52">
        <v>1</v>
      </c>
      <c r="D471" s="53">
        <f t="shared" si="47"/>
        <v>353.45854439999999</v>
      </c>
      <c r="E471" s="42">
        <v>0</v>
      </c>
      <c r="F471" s="42">
        <f t="shared" si="45"/>
        <v>530.18781660000002</v>
      </c>
      <c r="G471" s="108"/>
      <c r="H471" s="109"/>
      <c r="I471" s="36"/>
      <c r="L471" s="105"/>
      <c r="M471" s="105"/>
      <c r="N471" s="36"/>
    </row>
    <row r="472" spans="1:14" s="37" customFormat="1" ht="15.75" customHeight="1" x14ac:dyDescent="0.3">
      <c r="A472" s="103">
        <f t="shared" si="46"/>
        <v>7</v>
      </c>
      <c r="B472" s="104"/>
      <c r="C472" s="52">
        <v>1</v>
      </c>
      <c r="D472" s="53">
        <f t="shared" si="47"/>
        <v>353.45854439999999</v>
      </c>
      <c r="E472" s="42">
        <v>0</v>
      </c>
      <c r="F472" s="42">
        <f t="shared" si="45"/>
        <v>530.18781660000002</v>
      </c>
      <c r="G472" s="108"/>
      <c r="H472" s="109"/>
      <c r="I472" s="36"/>
      <c r="J472" s="37">
        <f>24.98+2.75*1.27+2.7*1.05+1.75*0.6</f>
        <v>32.357500000000002</v>
      </c>
      <c r="L472" s="105"/>
      <c r="M472" s="105"/>
      <c r="N472" s="36"/>
    </row>
    <row r="473" spans="1:14" s="37" customFormat="1" ht="15.75" customHeight="1" x14ac:dyDescent="0.3">
      <c r="A473" s="103">
        <f t="shared" si="46"/>
        <v>8</v>
      </c>
      <c r="B473" s="104"/>
      <c r="C473" s="52">
        <v>1</v>
      </c>
      <c r="D473" s="53">
        <f t="shared" si="47"/>
        <v>353.45854439999999</v>
      </c>
      <c r="E473" s="42">
        <v>0</v>
      </c>
      <c r="F473" s="42">
        <f t="shared" si="45"/>
        <v>530.18781660000002</v>
      </c>
      <c r="G473" s="108"/>
      <c r="H473" s="109"/>
      <c r="I473" s="36"/>
      <c r="L473" s="105"/>
      <c r="M473" s="105"/>
      <c r="N473" s="36"/>
    </row>
    <row r="474" spans="1:14" s="37" customFormat="1" ht="15.75" customHeight="1" x14ac:dyDescent="0.3">
      <c r="A474" s="103">
        <f t="shared" si="46"/>
        <v>9</v>
      </c>
      <c r="B474" s="104"/>
      <c r="C474" s="52">
        <v>1</v>
      </c>
      <c r="D474" s="53">
        <f t="shared" si="47"/>
        <v>353.45854439999999</v>
      </c>
      <c r="E474" s="42">
        <v>0</v>
      </c>
      <c r="F474" s="42">
        <f t="shared" si="45"/>
        <v>530.18781660000002</v>
      </c>
      <c r="G474" s="108"/>
      <c r="H474" s="109"/>
      <c r="I474" s="36"/>
      <c r="L474" s="105"/>
      <c r="M474" s="105"/>
      <c r="N474" s="36"/>
    </row>
    <row r="475" spans="1:14" s="37" customFormat="1" ht="15.75" customHeight="1" x14ac:dyDescent="0.3">
      <c r="A475" s="103">
        <f t="shared" si="46"/>
        <v>10</v>
      </c>
      <c r="B475" s="104"/>
      <c r="C475" s="52">
        <v>1</v>
      </c>
      <c r="D475" s="53">
        <f t="shared" si="47"/>
        <v>353.45854439999999</v>
      </c>
      <c r="E475" s="42">
        <v>0</v>
      </c>
      <c r="F475" s="42">
        <f t="shared" si="45"/>
        <v>530.18781660000002</v>
      </c>
      <c r="G475" s="108"/>
      <c r="H475" s="109"/>
      <c r="I475" s="36"/>
      <c r="L475" s="105"/>
      <c r="M475" s="105"/>
      <c r="N475" s="36"/>
    </row>
    <row r="476" spans="1:14" s="37" customFormat="1" ht="15.75" customHeight="1" x14ac:dyDescent="0.3">
      <c r="A476" s="103">
        <f t="shared" si="46"/>
        <v>11</v>
      </c>
      <c r="B476" s="104"/>
      <c r="C476" s="52">
        <v>1</v>
      </c>
      <c r="D476" s="53">
        <f t="shared" si="47"/>
        <v>353.45854439999999</v>
      </c>
      <c r="E476" s="42">
        <v>0</v>
      </c>
      <c r="F476" s="42">
        <f t="shared" si="45"/>
        <v>530.18781660000002</v>
      </c>
      <c r="G476" s="108"/>
      <c r="H476" s="109"/>
      <c r="I476" s="36"/>
      <c r="L476" s="105"/>
      <c r="M476" s="105"/>
      <c r="N476" s="36"/>
    </row>
    <row r="477" spans="1:14" s="37" customFormat="1" ht="15.75" customHeight="1" x14ac:dyDescent="0.3">
      <c r="A477" s="103">
        <f t="shared" si="46"/>
        <v>12</v>
      </c>
      <c r="B477" s="104"/>
      <c r="C477" s="52">
        <v>1</v>
      </c>
      <c r="D477" s="53">
        <f t="shared" si="47"/>
        <v>353.45854439999999</v>
      </c>
      <c r="E477" s="42">
        <v>0</v>
      </c>
      <c r="F477" s="42">
        <f t="shared" si="45"/>
        <v>530.18781660000002</v>
      </c>
      <c r="G477" s="108"/>
      <c r="H477" s="109"/>
      <c r="I477" s="36"/>
      <c r="L477" s="105"/>
      <c r="M477" s="105"/>
      <c r="N477" s="36"/>
    </row>
    <row r="478" spans="1:14" s="37" customFormat="1" ht="15.75" customHeight="1" x14ac:dyDescent="0.3">
      <c r="A478" s="103">
        <f t="shared" si="46"/>
        <v>13</v>
      </c>
      <c r="B478" s="104"/>
      <c r="C478" s="52">
        <v>1</v>
      </c>
      <c r="D478" s="53">
        <f t="shared" si="47"/>
        <v>353.45854439999999</v>
      </c>
      <c r="E478" s="42">
        <v>0</v>
      </c>
      <c r="F478" s="42">
        <f t="shared" si="45"/>
        <v>530.18781660000002</v>
      </c>
      <c r="G478" s="108"/>
      <c r="H478" s="109"/>
      <c r="I478" s="36"/>
      <c r="L478" s="105"/>
      <c r="M478" s="105"/>
      <c r="N478" s="36"/>
    </row>
    <row r="479" spans="1:14" s="37" customFormat="1" ht="15.75" customHeight="1" x14ac:dyDescent="0.3">
      <c r="A479" s="103">
        <f t="shared" si="46"/>
        <v>14</v>
      </c>
      <c r="B479" s="104"/>
      <c r="C479" s="112" t="s">
        <v>179</v>
      </c>
      <c r="D479" s="113"/>
      <c r="E479" s="113"/>
      <c r="F479" s="114"/>
      <c r="G479" s="110"/>
      <c r="H479" s="111"/>
      <c r="I479" s="36"/>
      <c r="L479" s="105"/>
      <c r="M479" s="105"/>
      <c r="N479" s="36"/>
    </row>
    <row r="480" spans="1:14" s="37" customFormat="1" x14ac:dyDescent="0.3">
      <c r="A480" s="100" t="s">
        <v>235</v>
      </c>
      <c r="B480" s="101"/>
      <c r="C480" s="101"/>
      <c r="D480" s="101"/>
      <c r="E480" s="101"/>
      <c r="F480" s="101"/>
      <c r="G480" s="101"/>
      <c r="H480" s="102"/>
      <c r="J480" s="36"/>
    </row>
    <row r="481" spans="1:14" s="37" customFormat="1" x14ac:dyDescent="0.3">
      <c r="A481" s="100" t="s">
        <v>211</v>
      </c>
      <c r="B481" s="101"/>
      <c r="C481" s="101"/>
      <c r="D481" s="101"/>
      <c r="E481" s="101"/>
      <c r="F481" s="101"/>
      <c r="G481" s="101"/>
      <c r="H481" s="102"/>
      <c r="J481" s="36"/>
    </row>
    <row r="482" spans="1:14" s="37" customFormat="1" x14ac:dyDescent="0.3">
      <c r="A482" s="100" t="s">
        <v>177</v>
      </c>
      <c r="B482" s="101"/>
      <c r="C482" s="101"/>
      <c r="D482" s="101"/>
      <c r="E482" s="101"/>
      <c r="F482" s="101"/>
      <c r="G482" s="101"/>
      <c r="H482" s="102"/>
      <c r="J482" s="36"/>
    </row>
    <row r="483" spans="1:14" s="37" customFormat="1" ht="15.75" customHeight="1" x14ac:dyDescent="0.3">
      <c r="A483" s="100" t="s">
        <v>214</v>
      </c>
      <c r="B483" s="101"/>
      <c r="C483" s="101"/>
      <c r="D483" s="101"/>
      <c r="E483" s="101"/>
      <c r="F483" s="101"/>
      <c r="G483" s="101"/>
      <c r="H483" s="101"/>
      <c r="J483" s="36"/>
    </row>
    <row r="484" spans="1:14" s="37" customFormat="1" ht="15.75" customHeight="1" x14ac:dyDescent="0.3">
      <c r="A484" s="103">
        <v>1</v>
      </c>
      <c r="B484" s="104"/>
      <c r="C484" s="52">
        <v>1</v>
      </c>
      <c r="D484" s="53">
        <f>(34.45)*(10.764)</f>
        <v>370.81979999999999</v>
      </c>
      <c r="E484" s="42">
        <v>0</v>
      </c>
      <c r="F484" s="42">
        <f t="shared" ref="F484:F495" si="48">D484*(($F$265)+1)+(IF(E484&lt;101,E484,IF(E484&lt;201,E484/2,IF(E484&lt;=301,E484/3,E484/4))))</f>
        <v>556.22969999999998</v>
      </c>
      <c r="G484" s="106" t="str">
        <f>A483</f>
        <v>1st to 7th, 9th to 12th, 14th to 17th, 19th to 22nd, 24th to 27th, 29th &amp; 30th Floor For Residential</v>
      </c>
      <c r="H484" s="115"/>
      <c r="I484" s="36"/>
      <c r="J484" s="36"/>
      <c r="L484" s="105"/>
      <c r="M484" s="105"/>
      <c r="N484" s="36"/>
    </row>
    <row r="485" spans="1:14" s="37" customFormat="1" ht="15.75" customHeight="1" x14ac:dyDescent="0.3">
      <c r="A485" s="103">
        <f t="shared" ref="A485:A495" si="49">A484+1</f>
        <v>2</v>
      </c>
      <c r="B485" s="104"/>
      <c r="C485" s="52">
        <v>1</v>
      </c>
      <c r="D485" s="53">
        <f t="shared" ref="D485:D491" si="50">(34.45)*(10.764)</f>
        <v>370.81979999999999</v>
      </c>
      <c r="E485" s="42">
        <v>0</v>
      </c>
      <c r="F485" s="42">
        <f t="shared" si="48"/>
        <v>556.22969999999998</v>
      </c>
      <c r="G485" s="108"/>
      <c r="H485" s="116"/>
      <c r="I485" s="36"/>
      <c r="L485" s="105"/>
      <c r="M485" s="105"/>
      <c r="N485" s="36"/>
    </row>
    <row r="486" spans="1:14" s="37" customFormat="1" ht="15.75" customHeight="1" x14ac:dyDescent="0.3">
      <c r="A486" s="103">
        <f t="shared" si="49"/>
        <v>3</v>
      </c>
      <c r="B486" s="104"/>
      <c r="C486" s="52">
        <v>1</v>
      </c>
      <c r="D486" s="53">
        <f t="shared" si="50"/>
        <v>370.81979999999999</v>
      </c>
      <c r="E486" s="42">
        <v>0</v>
      </c>
      <c r="F486" s="42">
        <f t="shared" si="48"/>
        <v>556.22969999999998</v>
      </c>
      <c r="G486" s="108"/>
      <c r="H486" s="116"/>
      <c r="I486" s="36"/>
      <c r="L486" s="105"/>
      <c r="M486" s="105"/>
      <c r="N486" s="36"/>
    </row>
    <row r="487" spans="1:14" s="37" customFormat="1" ht="15.75" customHeight="1" x14ac:dyDescent="0.3">
      <c r="A487" s="103">
        <f t="shared" si="49"/>
        <v>4</v>
      </c>
      <c r="B487" s="104"/>
      <c r="C487" s="52">
        <v>1</v>
      </c>
      <c r="D487" s="53">
        <f t="shared" si="50"/>
        <v>370.81979999999999</v>
      </c>
      <c r="E487" s="42">
        <v>0</v>
      </c>
      <c r="F487" s="42">
        <f t="shared" si="48"/>
        <v>556.22969999999998</v>
      </c>
      <c r="G487" s="108"/>
      <c r="H487" s="116"/>
      <c r="I487" s="36"/>
      <c r="L487" s="105"/>
      <c r="M487" s="105"/>
      <c r="N487" s="36"/>
    </row>
    <row r="488" spans="1:14" s="37" customFormat="1" ht="15.75" customHeight="1" x14ac:dyDescent="0.3">
      <c r="A488" s="103">
        <f t="shared" si="49"/>
        <v>5</v>
      </c>
      <c r="B488" s="104"/>
      <c r="C488" s="52">
        <v>1</v>
      </c>
      <c r="D488" s="53">
        <f t="shared" si="50"/>
        <v>370.81979999999999</v>
      </c>
      <c r="E488" s="42">
        <v>0</v>
      </c>
      <c r="F488" s="42">
        <f t="shared" si="48"/>
        <v>556.22969999999998</v>
      </c>
      <c r="G488" s="108"/>
      <c r="H488" s="116"/>
      <c r="I488" s="36"/>
      <c r="L488" s="105"/>
      <c r="M488" s="105"/>
      <c r="N488" s="36"/>
    </row>
    <row r="489" spans="1:14" s="37" customFormat="1" ht="15.75" customHeight="1" x14ac:dyDescent="0.3">
      <c r="A489" s="103">
        <f t="shared" si="49"/>
        <v>6</v>
      </c>
      <c r="B489" s="104"/>
      <c r="C489" s="52">
        <v>1</v>
      </c>
      <c r="D489" s="53">
        <f t="shared" si="50"/>
        <v>370.81979999999999</v>
      </c>
      <c r="E489" s="42">
        <v>0</v>
      </c>
      <c r="F489" s="42">
        <f t="shared" si="48"/>
        <v>556.22969999999998</v>
      </c>
      <c r="G489" s="108"/>
      <c r="H489" s="116"/>
      <c r="I489" s="36"/>
      <c r="L489" s="105"/>
      <c r="M489" s="105"/>
      <c r="N489" s="36"/>
    </row>
    <row r="490" spans="1:14" s="37" customFormat="1" ht="15.75" customHeight="1" x14ac:dyDescent="0.3">
      <c r="A490" s="103">
        <f t="shared" si="49"/>
        <v>7</v>
      </c>
      <c r="B490" s="104"/>
      <c r="C490" s="52">
        <v>1</v>
      </c>
      <c r="D490" s="53">
        <f t="shared" si="50"/>
        <v>370.81979999999999</v>
      </c>
      <c r="E490" s="42">
        <v>0</v>
      </c>
      <c r="F490" s="42">
        <f t="shared" si="48"/>
        <v>556.22969999999998</v>
      </c>
      <c r="G490" s="108"/>
      <c r="H490" s="116"/>
      <c r="I490" s="36"/>
      <c r="L490" s="105"/>
      <c r="M490" s="105"/>
      <c r="N490" s="36"/>
    </row>
    <row r="491" spans="1:14" s="37" customFormat="1" ht="15.75" customHeight="1" x14ac:dyDescent="0.3">
      <c r="A491" s="103">
        <f t="shared" si="49"/>
        <v>8</v>
      </c>
      <c r="B491" s="104"/>
      <c r="C491" s="52">
        <v>1</v>
      </c>
      <c r="D491" s="53">
        <f t="shared" si="50"/>
        <v>370.81979999999999</v>
      </c>
      <c r="E491" s="42">
        <v>0</v>
      </c>
      <c r="F491" s="42">
        <f t="shared" si="48"/>
        <v>556.22969999999998</v>
      </c>
      <c r="G491" s="108"/>
      <c r="H491" s="116"/>
      <c r="I491" s="36"/>
      <c r="L491" s="105"/>
      <c r="M491" s="105"/>
      <c r="N491" s="36"/>
    </row>
    <row r="492" spans="1:14" s="37" customFormat="1" ht="15.75" customHeight="1" x14ac:dyDescent="0.3">
      <c r="A492" s="103">
        <f t="shared" si="49"/>
        <v>9</v>
      </c>
      <c r="B492" s="104"/>
      <c r="C492" s="52">
        <v>1</v>
      </c>
      <c r="D492" s="53">
        <f>(29.97)*(10.764)</f>
        <v>322.59707999999995</v>
      </c>
      <c r="E492" s="42">
        <v>0</v>
      </c>
      <c r="F492" s="42">
        <f t="shared" si="48"/>
        <v>483.89561999999989</v>
      </c>
      <c r="G492" s="108"/>
      <c r="H492" s="109"/>
      <c r="I492" s="36"/>
      <c r="L492" s="105"/>
      <c r="M492" s="105"/>
      <c r="N492" s="36"/>
    </row>
    <row r="493" spans="1:14" s="37" customFormat="1" ht="15.75" customHeight="1" x14ac:dyDescent="0.3">
      <c r="A493" s="103">
        <f t="shared" si="49"/>
        <v>10</v>
      </c>
      <c r="B493" s="104"/>
      <c r="C493" s="52">
        <v>1</v>
      </c>
      <c r="D493" s="53">
        <f t="shared" ref="D493" si="51">(29.97)*(10.764)</f>
        <v>322.59707999999995</v>
      </c>
      <c r="E493" s="42">
        <v>0</v>
      </c>
      <c r="F493" s="42">
        <f t="shared" si="48"/>
        <v>483.89561999999989</v>
      </c>
      <c r="G493" s="108"/>
      <c r="H493" s="109"/>
      <c r="I493" s="36"/>
      <c r="L493" s="105"/>
      <c r="M493" s="105"/>
      <c r="N493" s="36"/>
    </row>
    <row r="494" spans="1:14" s="37" customFormat="1" ht="15.75" customHeight="1" x14ac:dyDescent="0.3">
      <c r="A494" s="103">
        <f t="shared" si="49"/>
        <v>11</v>
      </c>
      <c r="B494" s="104"/>
      <c r="C494" s="52">
        <v>1</v>
      </c>
      <c r="D494" s="53">
        <f t="shared" ref="D494:D495" si="52">(34.45)*(10.764)</f>
        <v>370.81979999999999</v>
      </c>
      <c r="E494" s="42">
        <v>0</v>
      </c>
      <c r="F494" s="42">
        <f t="shared" si="48"/>
        <v>556.22969999999998</v>
      </c>
      <c r="G494" s="108"/>
      <c r="H494" s="109"/>
      <c r="I494" s="36"/>
      <c r="L494" s="105"/>
      <c r="M494" s="105"/>
      <c r="N494" s="36"/>
    </row>
    <row r="495" spans="1:14" s="37" customFormat="1" ht="15.75" customHeight="1" x14ac:dyDescent="0.3">
      <c r="A495" s="103">
        <f t="shared" si="49"/>
        <v>12</v>
      </c>
      <c r="B495" s="104"/>
      <c r="C495" s="52">
        <v>1</v>
      </c>
      <c r="D495" s="53">
        <f t="shared" si="52"/>
        <v>370.81979999999999</v>
      </c>
      <c r="E495" s="42">
        <v>0</v>
      </c>
      <c r="F495" s="42">
        <f t="shared" si="48"/>
        <v>556.22969999999998</v>
      </c>
      <c r="G495" s="108"/>
      <c r="H495" s="109"/>
      <c r="I495" s="36"/>
      <c r="L495" s="105"/>
      <c r="M495" s="105"/>
      <c r="N495" s="36"/>
    </row>
    <row r="496" spans="1:14" s="37" customFormat="1" ht="15.75" customHeight="1" x14ac:dyDescent="0.3">
      <c r="A496" s="100" t="s">
        <v>215</v>
      </c>
      <c r="B496" s="101"/>
      <c r="C496" s="101"/>
      <c r="D496" s="101"/>
      <c r="E496" s="101"/>
      <c r="F496" s="101"/>
      <c r="G496" s="101"/>
      <c r="H496" s="102"/>
      <c r="J496" s="36"/>
    </row>
    <row r="497" spans="1:14" s="37" customFormat="1" ht="15.75" customHeight="1" x14ac:dyDescent="0.3">
      <c r="A497" s="103">
        <v>1</v>
      </c>
      <c r="B497" s="104"/>
      <c r="C497" s="52">
        <v>1</v>
      </c>
      <c r="D497" s="53">
        <f>(34.45)*(10.764)</f>
        <v>370.81979999999999</v>
      </c>
      <c r="E497" s="42">
        <v>0</v>
      </c>
      <c r="F497" s="42">
        <f>D497*(($F$265)+1)+(IF(E497&lt;101,E497,IF(E497&lt;201,E497/2,IF(E497&lt;=301,E497/3,E497/4))))</f>
        <v>556.22969999999998</v>
      </c>
      <c r="G497" s="106" t="str">
        <f>A496</f>
        <v>8th, 13th, 18th, 23rd &amp; 28th Floor (Part Refuge Area)</v>
      </c>
      <c r="H497" s="107"/>
      <c r="I497" s="36"/>
      <c r="J497" s="36"/>
      <c r="L497" s="105"/>
      <c r="M497" s="105"/>
      <c r="N497" s="36"/>
    </row>
    <row r="498" spans="1:14" s="37" customFormat="1" ht="15.75" customHeight="1" x14ac:dyDescent="0.3">
      <c r="A498" s="103">
        <f t="shared" ref="A498:A508" si="53">A497+1</f>
        <v>2</v>
      </c>
      <c r="B498" s="104"/>
      <c r="C498" s="52">
        <v>1</v>
      </c>
      <c r="D498" s="53">
        <f t="shared" ref="D498:D501" si="54">(34.45)*(10.764)</f>
        <v>370.81979999999999</v>
      </c>
      <c r="E498" s="42">
        <v>0</v>
      </c>
      <c r="F498" s="42">
        <f>D498*(($F$265)+1)+(IF(E498&lt;101,E498,IF(E498&lt;201,E498/2,IF(E498&lt;=301,E498/3,E498/4))))</f>
        <v>556.22969999999998</v>
      </c>
      <c r="G498" s="108"/>
      <c r="H498" s="109"/>
      <c r="I498" s="36"/>
      <c r="L498" s="105"/>
      <c r="M498" s="105"/>
      <c r="N498" s="36"/>
    </row>
    <row r="499" spans="1:14" s="37" customFormat="1" ht="15.75" customHeight="1" x14ac:dyDescent="0.3">
      <c r="A499" s="103">
        <f t="shared" si="53"/>
        <v>3</v>
      </c>
      <c r="B499" s="104"/>
      <c r="C499" s="52">
        <v>1</v>
      </c>
      <c r="D499" s="53">
        <f t="shared" si="54"/>
        <v>370.81979999999999</v>
      </c>
      <c r="E499" s="42">
        <v>0</v>
      </c>
      <c r="F499" s="42">
        <f>D499*(($F$265)+1)+(IF(E499&lt;101,E499,IF(E499&lt;201,E499/2,IF(E499&lt;=301,E499/3,E499/4))))</f>
        <v>556.22969999999998</v>
      </c>
      <c r="G499" s="108"/>
      <c r="H499" s="109"/>
      <c r="I499" s="36"/>
      <c r="L499" s="105"/>
      <c r="M499" s="105"/>
      <c r="N499" s="36"/>
    </row>
    <row r="500" spans="1:14" s="37" customFormat="1" ht="15.75" customHeight="1" x14ac:dyDescent="0.3">
      <c r="A500" s="103">
        <f t="shared" si="53"/>
        <v>4</v>
      </c>
      <c r="B500" s="104"/>
      <c r="C500" s="52">
        <v>1</v>
      </c>
      <c r="D500" s="53">
        <f t="shared" si="54"/>
        <v>370.81979999999999</v>
      </c>
      <c r="E500" s="42">
        <v>0</v>
      </c>
      <c r="F500" s="42">
        <f>D500*(($F$265)+1)+(IF(E500&lt;101,E500,IF(E500&lt;201,E500/2,IF(E500&lt;=301,E500/3,E500/4))))</f>
        <v>556.22969999999998</v>
      </c>
      <c r="G500" s="108"/>
      <c r="H500" s="109"/>
      <c r="I500" s="36"/>
      <c r="L500" s="105"/>
      <c r="M500" s="105"/>
      <c r="N500" s="36"/>
    </row>
    <row r="501" spans="1:14" s="37" customFormat="1" ht="15.75" customHeight="1" x14ac:dyDescent="0.3">
      <c r="A501" s="103">
        <f t="shared" si="53"/>
        <v>5</v>
      </c>
      <c r="B501" s="104"/>
      <c r="C501" s="52">
        <v>1</v>
      </c>
      <c r="D501" s="53">
        <f t="shared" si="54"/>
        <v>370.81979999999999</v>
      </c>
      <c r="E501" s="42">
        <v>0</v>
      </c>
      <c r="F501" s="42">
        <f>D501*(($F$265)+1)+(IF(E501&lt;101,E501,IF(E501&lt;201,E501/2,IF(E501&lt;=301,E501/3,E501/4))))</f>
        <v>556.22969999999998</v>
      </c>
      <c r="G501" s="108"/>
      <c r="H501" s="109"/>
      <c r="I501" s="36"/>
      <c r="L501" s="105"/>
      <c r="M501" s="105"/>
      <c r="N501" s="36"/>
    </row>
    <row r="502" spans="1:14" s="37" customFormat="1" ht="15.75" customHeight="1" x14ac:dyDescent="0.3">
      <c r="A502" s="103">
        <f t="shared" si="53"/>
        <v>6</v>
      </c>
      <c r="B502" s="104"/>
      <c r="C502" s="112" t="s">
        <v>179</v>
      </c>
      <c r="D502" s="113"/>
      <c r="E502" s="113"/>
      <c r="F502" s="114"/>
      <c r="G502" s="108"/>
      <c r="H502" s="109"/>
      <c r="I502" s="36"/>
      <c r="L502" s="105"/>
      <c r="M502" s="105"/>
      <c r="N502" s="36"/>
    </row>
    <row r="503" spans="1:14" s="37" customFormat="1" ht="15.75" customHeight="1" x14ac:dyDescent="0.3">
      <c r="A503" s="103">
        <f t="shared" si="53"/>
        <v>7</v>
      </c>
      <c r="B503" s="104"/>
      <c r="C503" s="52">
        <v>1</v>
      </c>
      <c r="D503" s="53">
        <f t="shared" ref="D503:D504" si="55">(34.45)*(10.764)</f>
        <v>370.81979999999999</v>
      </c>
      <c r="E503" s="42">
        <v>0</v>
      </c>
      <c r="F503" s="42">
        <f t="shared" ref="F503:F508" si="56">D503*(($F$265)+1)+(IF(E503&lt;101,E503,IF(E503&lt;201,E503/2,IF(E503&lt;=301,E503/3,E503/4))))</f>
        <v>556.22969999999998</v>
      </c>
      <c r="G503" s="108"/>
      <c r="H503" s="109"/>
      <c r="I503" s="36"/>
      <c r="L503" s="105"/>
      <c r="M503" s="105"/>
      <c r="N503" s="36"/>
    </row>
    <row r="504" spans="1:14" s="37" customFormat="1" ht="15.75" customHeight="1" x14ac:dyDescent="0.3">
      <c r="A504" s="103">
        <f t="shared" si="53"/>
        <v>8</v>
      </c>
      <c r="B504" s="104"/>
      <c r="C504" s="52">
        <v>1</v>
      </c>
      <c r="D504" s="53">
        <f t="shared" si="55"/>
        <v>370.81979999999999</v>
      </c>
      <c r="E504" s="42">
        <v>0</v>
      </c>
      <c r="F504" s="42">
        <f t="shared" si="56"/>
        <v>556.22969999999998</v>
      </c>
      <c r="G504" s="108"/>
      <c r="H504" s="109"/>
      <c r="I504" s="36"/>
      <c r="L504" s="105"/>
      <c r="M504" s="105"/>
      <c r="N504" s="36"/>
    </row>
    <row r="505" spans="1:14" s="37" customFormat="1" ht="15.75" customHeight="1" x14ac:dyDescent="0.3">
      <c r="A505" s="103">
        <f t="shared" si="53"/>
        <v>9</v>
      </c>
      <c r="B505" s="104"/>
      <c r="C505" s="52">
        <v>1</v>
      </c>
      <c r="D505" s="53">
        <f>(29.97)*(10.764)</f>
        <v>322.59707999999995</v>
      </c>
      <c r="E505" s="42">
        <v>0</v>
      </c>
      <c r="F505" s="42">
        <f t="shared" si="56"/>
        <v>483.89561999999989</v>
      </c>
      <c r="G505" s="108"/>
      <c r="H505" s="109"/>
      <c r="I505" s="36"/>
      <c r="L505" s="105"/>
      <c r="M505" s="105"/>
      <c r="N505" s="36"/>
    </row>
    <row r="506" spans="1:14" s="37" customFormat="1" ht="15.75" customHeight="1" x14ac:dyDescent="0.3">
      <c r="A506" s="103">
        <f t="shared" si="53"/>
        <v>10</v>
      </c>
      <c r="B506" s="104"/>
      <c r="C506" s="52">
        <v>1</v>
      </c>
      <c r="D506" s="53">
        <f t="shared" ref="D506" si="57">(29.97)*(10.764)</f>
        <v>322.59707999999995</v>
      </c>
      <c r="E506" s="42">
        <v>0</v>
      </c>
      <c r="F506" s="42">
        <f t="shared" si="56"/>
        <v>483.89561999999989</v>
      </c>
      <c r="G506" s="108"/>
      <c r="H506" s="109"/>
      <c r="I506" s="36"/>
      <c r="L506" s="105"/>
      <c r="M506" s="105"/>
      <c r="N506" s="36"/>
    </row>
    <row r="507" spans="1:14" s="37" customFormat="1" ht="15.75" customHeight="1" x14ac:dyDescent="0.3">
      <c r="A507" s="103">
        <f t="shared" si="53"/>
        <v>11</v>
      </c>
      <c r="B507" s="104"/>
      <c r="C507" s="52">
        <v>1</v>
      </c>
      <c r="D507" s="53">
        <f t="shared" ref="D507:D508" si="58">(34.45)*(10.764)</f>
        <v>370.81979999999999</v>
      </c>
      <c r="E507" s="42">
        <v>0</v>
      </c>
      <c r="F507" s="42">
        <f t="shared" si="56"/>
        <v>556.22969999999998</v>
      </c>
      <c r="G507" s="108"/>
      <c r="H507" s="109"/>
      <c r="I507" s="36"/>
      <c r="L507" s="105"/>
      <c r="M507" s="105"/>
      <c r="N507" s="36"/>
    </row>
    <row r="508" spans="1:14" s="37" customFormat="1" ht="15.75" customHeight="1" x14ac:dyDescent="0.3">
      <c r="A508" s="103">
        <f t="shared" si="53"/>
        <v>12</v>
      </c>
      <c r="B508" s="104"/>
      <c r="C508" s="52">
        <v>1</v>
      </c>
      <c r="D508" s="53">
        <f t="shared" si="58"/>
        <v>370.81979999999999</v>
      </c>
      <c r="E508" s="42">
        <v>0</v>
      </c>
      <c r="F508" s="42">
        <f t="shared" si="56"/>
        <v>556.22969999999998</v>
      </c>
      <c r="G508" s="108"/>
      <c r="H508" s="109"/>
      <c r="I508" s="36"/>
      <c r="L508" s="105"/>
      <c r="M508" s="105"/>
      <c r="N508" s="36"/>
    </row>
    <row r="509" spans="1:14" s="37" customFormat="1" x14ac:dyDescent="0.3">
      <c r="A509" s="100" t="s">
        <v>210</v>
      </c>
      <c r="B509" s="101"/>
      <c r="C509" s="101"/>
      <c r="D509" s="101"/>
      <c r="E509" s="101"/>
      <c r="F509" s="101"/>
      <c r="G509" s="101"/>
      <c r="H509" s="102"/>
      <c r="J509" s="36"/>
    </row>
    <row r="510" spans="1:14" s="37" customFormat="1" x14ac:dyDescent="0.3">
      <c r="A510" s="100" t="s">
        <v>212</v>
      </c>
      <c r="B510" s="101"/>
      <c r="C510" s="101"/>
      <c r="D510" s="101"/>
      <c r="E510" s="101"/>
      <c r="F510" s="101"/>
      <c r="G510" s="101"/>
      <c r="H510" s="102"/>
      <c r="J510" s="36"/>
    </row>
    <row r="511" spans="1:14" s="37" customFormat="1" x14ac:dyDescent="0.3">
      <c r="A511" s="100" t="s">
        <v>177</v>
      </c>
      <c r="B511" s="101"/>
      <c r="C511" s="101"/>
      <c r="D511" s="101"/>
      <c r="E511" s="101"/>
      <c r="F511" s="101"/>
      <c r="G511" s="101"/>
      <c r="H511" s="102"/>
      <c r="J511" s="36"/>
    </row>
    <row r="512" spans="1:14" s="37" customFormat="1" ht="15.75" customHeight="1" x14ac:dyDescent="0.3">
      <c r="A512" s="100" t="s">
        <v>214</v>
      </c>
      <c r="B512" s="101"/>
      <c r="C512" s="101"/>
      <c r="D512" s="101"/>
      <c r="E512" s="101"/>
      <c r="F512" s="101"/>
      <c r="G512" s="101"/>
      <c r="H512" s="101"/>
      <c r="J512" s="36"/>
    </row>
    <row r="513" spans="1:14" s="37" customFormat="1" ht="15.75" customHeight="1" x14ac:dyDescent="0.3">
      <c r="A513" s="103">
        <v>1</v>
      </c>
      <c r="B513" s="104"/>
      <c r="C513" s="52">
        <v>1</v>
      </c>
      <c r="D513" s="53">
        <f>(34.45)*(10.764)</f>
        <v>370.81979999999999</v>
      </c>
      <c r="E513" s="42">
        <v>0</v>
      </c>
      <c r="F513" s="42">
        <f t="shared" ref="F513:F526" si="59">D513*(($F$265)+1)+(IF(E513&lt;101,E513,IF(E513&lt;201,E513/2,IF(E513&lt;=301,E513/3,E513/4))))</f>
        <v>556.22969999999998</v>
      </c>
      <c r="G513" s="106" t="str">
        <f>A512</f>
        <v>1st to 7th, 9th to 12th, 14th to 17th, 19th to 22nd, 24th to 27th, 29th &amp; 30th Floor For Residential</v>
      </c>
      <c r="H513" s="115"/>
      <c r="I513" s="36"/>
      <c r="J513" s="36">
        <f>2.75*4.35+2*2.45+2.75*3.45+1.65*1.05+1.12*1.79+0.9*2+1.5*1</f>
        <v>33.387299999999996</v>
      </c>
      <c r="L513" s="105"/>
      <c r="M513" s="105"/>
      <c r="N513" s="36"/>
    </row>
    <row r="514" spans="1:14" s="37" customFormat="1" ht="15.75" customHeight="1" x14ac:dyDescent="0.3">
      <c r="A514" s="103">
        <f t="shared" ref="A514:A526" si="60">A513+1</f>
        <v>2</v>
      </c>
      <c r="B514" s="104"/>
      <c r="C514" s="52">
        <v>1</v>
      </c>
      <c r="D514" s="53">
        <f t="shared" ref="D514:D520" si="61">(34.45)*(10.764)</f>
        <v>370.81979999999999</v>
      </c>
      <c r="E514" s="42">
        <v>0</v>
      </c>
      <c r="F514" s="42">
        <f t="shared" si="59"/>
        <v>556.22969999999998</v>
      </c>
      <c r="G514" s="108"/>
      <c r="H514" s="116"/>
      <c r="I514" s="36"/>
      <c r="L514" s="105"/>
      <c r="M514" s="105"/>
      <c r="N514" s="36"/>
    </row>
    <row r="515" spans="1:14" s="37" customFormat="1" ht="15.75" customHeight="1" x14ac:dyDescent="0.3">
      <c r="A515" s="103">
        <f t="shared" si="60"/>
        <v>3</v>
      </c>
      <c r="B515" s="104"/>
      <c r="C515" s="52">
        <v>1</v>
      </c>
      <c r="D515" s="53">
        <f t="shared" si="61"/>
        <v>370.81979999999999</v>
      </c>
      <c r="E515" s="42">
        <v>0</v>
      </c>
      <c r="F515" s="42">
        <f t="shared" si="59"/>
        <v>556.22969999999998</v>
      </c>
      <c r="G515" s="108"/>
      <c r="H515" s="116"/>
      <c r="I515" s="36"/>
      <c r="L515" s="105"/>
      <c r="M515" s="105"/>
      <c r="N515" s="36"/>
    </row>
    <row r="516" spans="1:14" s="37" customFormat="1" ht="15.75" customHeight="1" x14ac:dyDescent="0.3">
      <c r="A516" s="103">
        <f t="shared" si="60"/>
        <v>4</v>
      </c>
      <c r="B516" s="104"/>
      <c r="C516" s="52">
        <v>1</v>
      </c>
      <c r="D516" s="53">
        <f t="shared" si="61"/>
        <v>370.81979999999999</v>
      </c>
      <c r="E516" s="42">
        <v>0</v>
      </c>
      <c r="F516" s="42">
        <f t="shared" si="59"/>
        <v>556.22969999999998</v>
      </c>
      <c r="G516" s="108"/>
      <c r="H516" s="116"/>
      <c r="I516" s="36"/>
      <c r="L516" s="105"/>
      <c r="M516" s="105"/>
      <c r="N516" s="36"/>
    </row>
    <row r="517" spans="1:14" s="37" customFormat="1" ht="15.75" customHeight="1" x14ac:dyDescent="0.3">
      <c r="A517" s="103">
        <f t="shared" si="60"/>
        <v>5</v>
      </c>
      <c r="B517" s="104"/>
      <c r="C517" s="52">
        <v>1</v>
      </c>
      <c r="D517" s="53">
        <f t="shared" si="61"/>
        <v>370.81979999999999</v>
      </c>
      <c r="E517" s="42">
        <v>0</v>
      </c>
      <c r="F517" s="42">
        <f t="shared" si="59"/>
        <v>556.22969999999998</v>
      </c>
      <c r="G517" s="108"/>
      <c r="H517" s="116"/>
      <c r="I517" s="36"/>
      <c r="L517" s="105"/>
      <c r="M517" s="105"/>
      <c r="N517" s="36"/>
    </row>
    <row r="518" spans="1:14" s="37" customFormat="1" ht="15.75" customHeight="1" x14ac:dyDescent="0.3">
      <c r="A518" s="103">
        <f t="shared" si="60"/>
        <v>6</v>
      </c>
      <c r="B518" s="104"/>
      <c r="C518" s="52">
        <v>1</v>
      </c>
      <c r="D518" s="53">
        <f t="shared" si="61"/>
        <v>370.81979999999999</v>
      </c>
      <c r="E518" s="42">
        <v>0</v>
      </c>
      <c r="F518" s="42">
        <f t="shared" si="59"/>
        <v>556.22969999999998</v>
      </c>
      <c r="G518" s="108"/>
      <c r="H518" s="116"/>
      <c r="I518" s="36"/>
      <c r="L518" s="105"/>
      <c r="M518" s="105"/>
      <c r="N518" s="36"/>
    </row>
    <row r="519" spans="1:14" s="37" customFormat="1" ht="15.75" customHeight="1" x14ac:dyDescent="0.3">
      <c r="A519" s="103">
        <f t="shared" si="60"/>
        <v>7</v>
      </c>
      <c r="B519" s="104"/>
      <c r="C519" s="52">
        <v>1</v>
      </c>
      <c r="D519" s="53">
        <f t="shared" si="61"/>
        <v>370.81979999999999</v>
      </c>
      <c r="E519" s="42">
        <v>0</v>
      </c>
      <c r="F519" s="42">
        <f t="shared" si="59"/>
        <v>556.22969999999998</v>
      </c>
      <c r="G519" s="108"/>
      <c r="H519" s="116"/>
      <c r="I519" s="36"/>
      <c r="L519" s="105"/>
      <c r="M519" s="105"/>
      <c r="N519" s="36"/>
    </row>
    <row r="520" spans="1:14" s="37" customFormat="1" ht="15.75" customHeight="1" x14ac:dyDescent="0.3">
      <c r="A520" s="103">
        <f t="shared" si="60"/>
        <v>8</v>
      </c>
      <c r="B520" s="104"/>
      <c r="C520" s="52">
        <v>1</v>
      </c>
      <c r="D520" s="53">
        <f t="shared" si="61"/>
        <v>370.81979999999999</v>
      </c>
      <c r="E520" s="42">
        <v>0</v>
      </c>
      <c r="F520" s="42">
        <f t="shared" si="59"/>
        <v>556.22969999999998</v>
      </c>
      <c r="G520" s="108"/>
      <c r="H520" s="116"/>
      <c r="I520" s="36"/>
      <c r="L520" s="105"/>
      <c r="M520" s="105"/>
      <c r="N520" s="36"/>
    </row>
    <row r="521" spans="1:14" s="37" customFormat="1" ht="15.75" customHeight="1" x14ac:dyDescent="0.3">
      <c r="A521" s="103">
        <f t="shared" si="60"/>
        <v>9</v>
      </c>
      <c r="B521" s="104"/>
      <c r="C521" s="52">
        <v>1</v>
      </c>
      <c r="D521" s="53">
        <f>(29.97)*(10.764)</f>
        <v>322.59707999999995</v>
      </c>
      <c r="E521" s="42">
        <v>0</v>
      </c>
      <c r="F521" s="42">
        <f t="shared" si="59"/>
        <v>483.89561999999989</v>
      </c>
      <c r="G521" s="108"/>
      <c r="H521" s="109"/>
      <c r="I521" s="36"/>
      <c r="L521" s="105"/>
      <c r="M521" s="105"/>
      <c r="N521" s="36"/>
    </row>
    <row r="522" spans="1:14" s="37" customFormat="1" ht="15.75" customHeight="1" x14ac:dyDescent="0.3">
      <c r="A522" s="103">
        <f t="shared" si="60"/>
        <v>10</v>
      </c>
      <c r="B522" s="104"/>
      <c r="C522" s="52">
        <v>1</v>
      </c>
      <c r="D522" s="53">
        <f t="shared" ref="D522:D524" si="62">(29.97)*(10.764)</f>
        <v>322.59707999999995</v>
      </c>
      <c r="E522" s="42">
        <v>0</v>
      </c>
      <c r="F522" s="42">
        <f t="shared" si="59"/>
        <v>483.89561999999989</v>
      </c>
      <c r="G522" s="108"/>
      <c r="H522" s="109"/>
      <c r="I522" s="36"/>
      <c r="L522" s="105"/>
      <c r="M522" s="105"/>
      <c r="N522" s="36"/>
    </row>
    <row r="523" spans="1:14" s="37" customFormat="1" ht="15.75" customHeight="1" x14ac:dyDescent="0.3">
      <c r="A523" s="103">
        <f t="shared" si="60"/>
        <v>11</v>
      </c>
      <c r="B523" s="104"/>
      <c r="C523" s="52">
        <v>1</v>
      </c>
      <c r="D523" s="53">
        <f t="shared" si="62"/>
        <v>322.59707999999995</v>
      </c>
      <c r="E523" s="42">
        <v>0</v>
      </c>
      <c r="F523" s="42">
        <f t="shared" si="59"/>
        <v>483.89561999999989</v>
      </c>
      <c r="G523" s="108"/>
      <c r="H523" s="109"/>
      <c r="I523" s="36"/>
      <c r="L523" s="105"/>
      <c r="M523" s="105"/>
      <c r="N523" s="36"/>
    </row>
    <row r="524" spans="1:14" s="37" customFormat="1" ht="15.75" customHeight="1" x14ac:dyDescent="0.3">
      <c r="A524" s="103">
        <f t="shared" si="60"/>
        <v>12</v>
      </c>
      <c r="B524" s="104"/>
      <c r="C524" s="52">
        <v>1</v>
      </c>
      <c r="D524" s="53">
        <f t="shared" si="62"/>
        <v>322.59707999999995</v>
      </c>
      <c r="E524" s="42">
        <v>0</v>
      </c>
      <c r="F524" s="42">
        <f t="shared" si="59"/>
        <v>483.89561999999989</v>
      </c>
      <c r="G524" s="108"/>
      <c r="H524" s="109"/>
      <c r="I524" s="36"/>
      <c r="L524" s="105"/>
      <c r="M524" s="105"/>
      <c r="N524" s="36"/>
    </row>
    <row r="525" spans="1:14" s="37" customFormat="1" ht="15.75" customHeight="1" x14ac:dyDescent="0.3">
      <c r="A525" s="103">
        <f t="shared" si="60"/>
        <v>13</v>
      </c>
      <c r="B525" s="104"/>
      <c r="C525" s="52">
        <v>1</v>
      </c>
      <c r="D525" s="53">
        <f t="shared" ref="D525:D535" si="63">(34.45)*(10.764)</f>
        <v>370.81979999999999</v>
      </c>
      <c r="E525" s="42">
        <v>0</v>
      </c>
      <c r="F525" s="42">
        <f t="shared" si="59"/>
        <v>556.22969999999998</v>
      </c>
      <c r="G525" s="108"/>
      <c r="H525" s="109"/>
      <c r="I525" s="36"/>
      <c r="L525" s="105"/>
      <c r="M525" s="105"/>
      <c r="N525" s="36"/>
    </row>
    <row r="526" spans="1:14" s="37" customFormat="1" ht="15.75" customHeight="1" x14ac:dyDescent="0.3">
      <c r="A526" s="103">
        <f t="shared" si="60"/>
        <v>14</v>
      </c>
      <c r="B526" s="104"/>
      <c r="C526" s="52">
        <v>1</v>
      </c>
      <c r="D526" s="53">
        <f t="shared" si="63"/>
        <v>370.81979999999999</v>
      </c>
      <c r="E526" s="42">
        <v>0</v>
      </c>
      <c r="F526" s="42">
        <f t="shared" si="59"/>
        <v>556.22969999999998</v>
      </c>
      <c r="G526" s="108"/>
      <c r="H526" s="109"/>
      <c r="I526" s="36"/>
      <c r="L526" s="105"/>
      <c r="M526" s="105"/>
      <c r="N526" s="36"/>
    </row>
    <row r="527" spans="1:14" s="37" customFormat="1" ht="15.75" customHeight="1" x14ac:dyDescent="0.3">
      <c r="A527" s="100" t="s">
        <v>215</v>
      </c>
      <c r="B527" s="101"/>
      <c r="C527" s="101"/>
      <c r="D527" s="101"/>
      <c r="E527" s="101"/>
      <c r="F527" s="101"/>
      <c r="G527" s="101"/>
      <c r="H527" s="102"/>
      <c r="J527" s="36"/>
    </row>
    <row r="528" spans="1:14" s="37" customFormat="1" ht="15.75" customHeight="1" x14ac:dyDescent="0.3">
      <c r="A528" s="103">
        <v>1</v>
      </c>
      <c r="B528" s="104"/>
      <c r="C528" s="52">
        <v>1</v>
      </c>
      <c r="D528" s="53">
        <f t="shared" si="63"/>
        <v>370.81979999999999</v>
      </c>
      <c r="E528" s="42">
        <v>0</v>
      </c>
      <c r="F528" s="42">
        <f>D528*(($F$265)+1)+(IF(E528&lt;101,E528,IF(E528&lt;201,E528/2,IF(E528&lt;=301,E528/3,E528/4))))</f>
        <v>556.22969999999998</v>
      </c>
      <c r="G528" s="106" t="str">
        <f>A527</f>
        <v>8th, 13th, 18th, 23rd &amp; 28th Floor (Part Refuge Area)</v>
      </c>
      <c r="H528" s="107"/>
      <c r="I528" s="36"/>
      <c r="J528" s="36"/>
      <c r="L528" s="105"/>
      <c r="M528" s="105"/>
      <c r="N528" s="36"/>
    </row>
    <row r="529" spans="1:14" s="37" customFormat="1" ht="15.75" customHeight="1" x14ac:dyDescent="0.3">
      <c r="A529" s="103">
        <f t="shared" ref="A529:A541" si="64">A528+1</f>
        <v>2</v>
      </c>
      <c r="B529" s="104"/>
      <c r="C529" s="52">
        <v>1</v>
      </c>
      <c r="D529" s="53">
        <f t="shared" si="63"/>
        <v>370.81979999999999</v>
      </c>
      <c r="E529" s="42">
        <v>0</v>
      </c>
      <c r="F529" s="42">
        <f>D529*(($F$265)+1)+(IF(E529&lt;101,E529,IF(E529&lt;201,E529/2,IF(E529&lt;=301,E529/3,E529/4))))</f>
        <v>556.22969999999998</v>
      </c>
      <c r="G529" s="108"/>
      <c r="H529" s="109"/>
      <c r="I529" s="36"/>
      <c r="L529" s="105"/>
      <c r="M529" s="105"/>
      <c r="N529" s="36"/>
    </row>
    <row r="530" spans="1:14" s="37" customFormat="1" ht="15.75" customHeight="1" x14ac:dyDescent="0.3">
      <c r="A530" s="103">
        <f t="shared" si="64"/>
        <v>3</v>
      </c>
      <c r="B530" s="104"/>
      <c r="C530" s="52">
        <v>1</v>
      </c>
      <c r="D530" s="53">
        <f t="shared" si="63"/>
        <v>370.81979999999999</v>
      </c>
      <c r="E530" s="42">
        <v>0</v>
      </c>
      <c r="F530" s="42">
        <f>D530*(($F$265)+1)+(IF(E530&lt;101,E530,IF(E530&lt;201,E530/2,IF(E530&lt;=301,E530/3,E530/4))))</f>
        <v>556.22969999999998</v>
      </c>
      <c r="G530" s="108"/>
      <c r="H530" s="109"/>
      <c r="I530" s="36"/>
      <c r="L530" s="105"/>
      <c r="M530" s="105"/>
      <c r="N530" s="36"/>
    </row>
    <row r="531" spans="1:14" s="37" customFormat="1" ht="15.75" customHeight="1" x14ac:dyDescent="0.3">
      <c r="A531" s="103">
        <f t="shared" si="64"/>
        <v>4</v>
      </c>
      <c r="B531" s="104"/>
      <c r="C531" s="52">
        <v>1</v>
      </c>
      <c r="D531" s="53">
        <f t="shared" si="63"/>
        <v>370.81979999999999</v>
      </c>
      <c r="E531" s="42">
        <v>0</v>
      </c>
      <c r="F531" s="42">
        <f>D531*(($F$265)+1)+(IF(E531&lt;101,E531,IF(E531&lt;201,E531/2,IF(E531&lt;=301,E531/3,E531/4))))</f>
        <v>556.22969999999998</v>
      </c>
      <c r="G531" s="108"/>
      <c r="H531" s="109"/>
      <c r="I531" s="36"/>
      <c r="L531" s="105"/>
      <c r="M531" s="105"/>
      <c r="N531" s="36"/>
    </row>
    <row r="532" spans="1:14" s="37" customFormat="1" ht="15.75" customHeight="1" x14ac:dyDescent="0.3">
      <c r="A532" s="103">
        <f t="shared" si="64"/>
        <v>5</v>
      </c>
      <c r="B532" s="104"/>
      <c r="C532" s="52">
        <v>1</v>
      </c>
      <c r="D532" s="53">
        <f t="shared" si="63"/>
        <v>370.81979999999999</v>
      </c>
      <c r="E532" s="42">
        <v>0</v>
      </c>
      <c r="F532" s="42">
        <f>D532*(($F$265)+1)+(IF(E532&lt;101,E532,IF(E532&lt;201,E532/2,IF(E532&lt;=301,E532/3,E532/4))))</f>
        <v>556.22969999999998</v>
      </c>
      <c r="G532" s="108"/>
      <c r="H532" s="109"/>
      <c r="I532" s="36"/>
      <c r="L532" s="105"/>
      <c r="M532" s="105"/>
      <c r="N532" s="36"/>
    </row>
    <row r="533" spans="1:14" s="37" customFormat="1" ht="15.75" customHeight="1" x14ac:dyDescent="0.3">
      <c r="A533" s="103">
        <f t="shared" si="64"/>
        <v>6</v>
      </c>
      <c r="B533" s="104"/>
      <c r="C533" s="112" t="s">
        <v>179</v>
      </c>
      <c r="D533" s="113"/>
      <c r="E533" s="113"/>
      <c r="F533" s="114"/>
      <c r="G533" s="108"/>
      <c r="H533" s="109"/>
      <c r="I533" s="36"/>
      <c r="L533" s="105"/>
      <c r="M533" s="105"/>
      <c r="N533" s="36"/>
    </row>
    <row r="534" spans="1:14" s="37" customFormat="1" ht="15.75" customHeight="1" x14ac:dyDescent="0.3">
      <c r="A534" s="103">
        <f t="shared" si="64"/>
        <v>7</v>
      </c>
      <c r="B534" s="104"/>
      <c r="C534" s="52">
        <v>1</v>
      </c>
      <c r="D534" s="53">
        <f t="shared" si="63"/>
        <v>370.81979999999999</v>
      </c>
      <c r="E534" s="42">
        <v>0</v>
      </c>
      <c r="F534" s="42">
        <f t="shared" ref="F534:F541" si="65">D534*(($F$265)+1)+(IF(E534&lt;101,E534,IF(E534&lt;201,E534/2,IF(E534&lt;=301,E534/3,E534/4))))</f>
        <v>556.22969999999998</v>
      </c>
      <c r="G534" s="108"/>
      <c r="H534" s="109"/>
      <c r="I534" s="36"/>
      <c r="L534" s="105"/>
      <c r="M534" s="105"/>
      <c r="N534" s="36"/>
    </row>
    <row r="535" spans="1:14" s="37" customFormat="1" ht="15.75" customHeight="1" x14ac:dyDescent="0.3">
      <c r="A535" s="103">
        <f t="shared" si="64"/>
        <v>8</v>
      </c>
      <c r="B535" s="104"/>
      <c r="C535" s="52">
        <v>1</v>
      </c>
      <c r="D535" s="53">
        <f t="shared" si="63"/>
        <v>370.81979999999999</v>
      </c>
      <c r="E535" s="42">
        <v>0</v>
      </c>
      <c r="F535" s="42">
        <f t="shared" si="65"/>
        <v>556.22969999999998</v>
      </c>
      <c r="G535" s="108"/>
      <c r="H535" s="109"/>
      <c r="I535" s="36"/>
      <c r="L535" s="105"/>
      <c r="M535" s="105"/>
      <c r="N535" s="36"/>
    </row>
    <row r="536" spans="1:14" s="37" customFormat="1" ht="15.75" customHeight="1" x14ac:dyDescent="0.3">
      <c r="A536" s="103">
        <f t="shared" si="64"/>
        <v>9</v>
      </c>
      <c r="B536" s="104"/>
      <c r="C536" s="52">
        <v>1</v>
      </c>
      <c r="D536" s="53">
        <f>(29.97)*(10.764)</f>
        <v>322.59707999999995</v>
      </c>
      <c r="E536" s="42">
        <v>0</v>
      </c>
      <c r="F536" s="42">
        <f t="shared" si="65"/>
        <v>483.89561999999989</v>
      </c>
      <c r="G536" s="108"/>
      <c r="H536" s="109"/>
      <c r="I536" s="36"/>
      <c r="L536" s="105"/>
      <c r="M536" s="105"/>
      <c r="N536" s="36"/>
    </row>
    <row r="537" spans="1:14" s="37" customFormat="1" ht="15.75" customHeight="1" x14ac:dyDescent="0.3">
      <c r="A537" s="103">
        <f t="shared" si="64"/>
        <v>10</v>
      </c>
      <c r="B537" s="104"/>
      <c r="C537" s="52">
        <v>1</v>
      </c>
      <c r="D537" s="53">
        <f t="shared" ref="D537:D539" si="66">(29.97)*(10.764)</f>
        <v>322.59707999999995</v>
      </c>
      <c r="E537" s="42">
        <v>0</v>
      </c>
      <c r="F537" s="42">
        <f t="shared" si="65"/>
        <v>483.89561999999989</v>
      </c>
      <c r="G537" s="108"/>
      <c r="H537" s="109"/>
      <c r="I537" s="36"/>
      <c r="L537" s="105"/>
      <c r="M537" s="105"/>
      <c r="N537" s="36"/>
    </row>
    <row r="538" spans="1:14" s="37" customFormat="1" ht="15.75" customHeight="1" x14ac:dyDescent="0.3">
      <c r="A538" s="103">
        <f t="shared" si="64"/>
        <v>11</v>
      </c>
      <c r="B538" s="104"/>
      <c r="C538" s="52">
        <v>1</v>
      </c>
      <c r="D538" s="53">
        <f t="shared" si="66"/>
        <v>322.59707999999995</v>
      </c>
      <c r="E538" s="42">
        <v>0</v>
      </c>
      <c r="F538" s="42">
        <f t="shared" si="65"/>
        <v>483.89561999999989</v>
      </c>
      <c r="G538" s="108"/>
      <c r="H538" s="109"/>
      <c r="I538" s="36"/>
      <c r="L538" s="105"/>
      <c r="M538" s="105"/>
      <c r="N538" s="36"/>
    </row>
    <row r="539" spans="1:14" s="37" customFormat="1" ht="15.75" customHeight="1" x14ac:dyDescent="0.3">
      <c r="A539" s="103">
        <f t="shared" si="64"/>
        <v>12</v>
      </c>
      <c r="B539" s="104"/>
      <c r="C539" s="52">
        <v>1</v>
      </c>
      <c r="D539" s="53">
        <f t="shared" si="66"/>
        <v>322.59707999999995</v>
      </c>
      <c r="E539" s="42">
        <v>0</v>
      </c>
      <c r="F539" s="42">
        <f t="shared" si="65"/>
        <v>483.89561999999989</v>
      </c>
      <c r="G539" s="108"/>
      <c r="H539" s="109"/>
      <c r="I539" s="36"/>
      <c r="L539" s="105"/>
      <c r="M539" s="105"/>
      <c r="N539" s="36"/>
    </row>
    <row r="540" spans="1:14" s="37" customFormat="1" ht="15.75" customHeight="1" x14ac:dyDescent="0.3">
      <c r="A540" s="103">
        <f t="shared" si="64"/>
        <v>13</v>
      </c>
      <c r="B540" s="104"/>
      <c r="C540" s="52">
        <v>1</v>
      </c>
      <c r="D540" s="53">
        <f t="shared" ref="D540:D541" si="67">(34.45)*(10.764)</f>
        <v>370.81979999999999</v>
      </c>
      <c r="E540" s="42">
        <v>0</v>
      </c>
      <c r="F540" s="42">
        <f t="shared" si="65"/>
        <v>556.22969999999998</v>
      </c>
      <c r="G540" s="108"/>
      <c r="H540" s="109"/>
      <c r="I540" s="36"/>
      <c r="L540" s="105"/>
      <c r="M540" s="105"/>
      <c r="N540" s="36"/>
    </row>
    <row r="541" spans="1:14" s="37" customFormat="1" ht="15.75" customHeight="1" x14ac:dyDescent="0.3">
      <c r="A541" s="103">
        <f t="shared" si="64"/>
        <v>14</v>
      </c>
      <c r="B541" s="104"/>
      <c r="C541" s="52">
        <v>1</v>
      </c>
      <c r="D541" s="53">
        <f t="shared" si="67"/>
        <v>370.81979999999999</v>
      </c>
      <c r="E541" s="42">
        <v>0</v>
      </c>
      <c r="F541" s="42">
        <f t="shared" si="65"/>
        <v>556.22969999999998</v>
      </c>
      <c r="G541" s="108"/>
      <c r="H541" s="109"/>
      <c r="I541" s="36"/>
      <c r="L541" s="105"/>
      <c r="M541" s="105"/>
      <c r="N541" s="36"/>
    </row>
    <row r="542" spans="1:14" s="37" customFormat="1" x14ac:dyDescent="0.3">
      <c r="A542" s="100" t="s">
        <v>229</v>
      </c>
      <c r="B542" s="101"/>
      <c r="C542" s="101"/>
      <c r="D542" s="101"/>
      <c r="E542" s="101"/>
      <c r="F542" s="101"/>
      <c r="G542" s="101"/>
      <c r="H542" s="102"/>
      <c r="J542" s="36"/>
    </row>
    <row r="543" spans="1:14" s="37" customFormat="1" x14ac:dyDescent="0.3">
      <c r="A543" s="100" t="s">
        <v>177</v>
      </c>
      <c r="B543" s="101"/>
      <c r="C543" s="101"/>
      <c r="D543" s="101"/>
      <c r="E543" s="101"/>
      <c r="F543" s="101"/>
      <c r="G543" s="101"/>
      <c r="H543" s="102"/>
      <c r="J543" s="36"/>
    </row>
    <row r="544" spans="1:14" s="37" customFormat="1" ht="15.75" customHeight="1" x14ac:dyDescent="0.3">
      <c r="A544" s="100" t="s">
        <v>214</v>
      </c>
      <c r="B544" s="101"/>
      <c r="C544" s="101"/>
      <c r="D544" s="101"/>
      <c r="E544" s="101"/>
      <c r="F544" s="101"/>
      <c r="G544" s="101"/>
      <c r="H544" s="101"/>
      <c r="J544" s="36"/>
    </row>
    <row r="545" spans="1:14" s="37" customFormat="1" ht="15.75" customHeight="1" x14ac:dyDescent="0.3">
      <c r="A545" s="103">
        <v>1</v>
      </c>
      <c r="B545" s="104"/>
      <c r="C545" s="52">
        <v>1</v>
      </c>
      <c r="D545" s="53">
        <f>(34.45)*(10.764)</f>
        <v>370.81979999999999</v>
      </c>
      <c r="E545" s="42">
        <v>0</v>
      </c>
      <c r="F545" s="42">
        <f t="shared" ref="F545:F558" si="68">D545*(($F$265)+1)+(IF(E545&lt;101,E545,IF(E545&lt;201,E545/2,IF(E545&lt;=301,E545/3,E545/4))))</f>
        <v>556.22969999999998</v>
      </c>
      <c r="G545" s="106" t="str">
        <f>A544</f>
        <v>1st to 7th, 9th to 12th, 14th to 17th, 19th to 22nd, 24th to 27th, 29th &amp; 30th Floor For Residential</v>
      </c>
      <c r="H545" s="115"/>
      <c r="I545" s="36"/>
      <c r="J545" s="36">
        <f>2.75*4.35+2*2.45+2.75*3.45+1.65*1.05+1.12*1.79+0.9*2+1.5*1</f>
        <v>33.387299999999996</v>
      </c>
      <c r="L545" s="105"/>
      <c r="M545" s="105"/>
      <c r="N545" s="36"/>
    </row>
    <row r="546" spans="1:14" s="37" customFormat="1" ht="15.75" customHeight="1" x14ac:dyDescent="0.3">
      <c r="A546" s="103">
        <f t="shared" ref="A546:A558" si="69">A545+1</f>
        <v>2</v>
      </c>
      <c r="B546" s="104"/>
      <c r="C546" s="52">
        <v>1</v>
      </c>
      <c r="D546" s="53">
        <f t="shared" ref="D546:D552" si="70">(34.45)*(10.764)</f>
        <v>370.81979999999999</v>
      </c>
      <c r="E546" s="42">
        <v>0</v>
      </c>
      <c r="F546" s="42">
        <f t="shared" si="68"/>
        <v>556.22969999999998</v>
      </c>
      <c r="G546" s="108"/>
      <c r="H546" s="116"/>
      <c r="I546" s="36"/>
      <c r="L546" s="105"/>
      <c r="M546" s="105"/>
      <c r="N546" s="36"/>
    </row>
    <row r="547" spans="1:14" s="37" customFormat="1" ht="15.75" customHeight="1" x14ac:dyDescent="0.3">
      <c r="A547" s="103">
        <f t="shared" si="69"/>
        <v>3</v>
      </c>
      <c r="B547" s="104"/>
      <c r="C547" s="52">
        <v>1</v>
      </c>
      <c r="D547" s="53">
        <f t="shared" si="70"/>
        <v>370.81979999999999</v>
      </c>
      <c r="E547" s="42">
        <v>0</v>
      </c>
      <c r="F547" s="42">
        <f t="shared" si="68"/>
        <v>556.22969999999998</v>
      </c>
      <c r="G547" s="108"/>
      <c r="H547" s="116"/>
      <c r="I547" s="36"/>
      <c r="L547" s="105"/>
      <c r="M547" s="105"/>
      <c r="N547" s="36"/>
    </row>
    <row r="548" spans="1:14" s="37" customFormat="1" ht="15.75" customHeight="1" x14ac:dyDescent="0.3">
      <c r="A548" s="103">
        <f t="shared" si="69"/>
        <v>4</v>
      </c>
      <c r="B548" s="104"/>
      <c r="C548" s="52">
        <v>1</v>
      </c>
      <c r="D548" s="53">
        <f t="shared" si="70"/>
        <v>370.81979999999999</v>
      </c>
      <c r="E548" s="42">
        <v>0</v>
      </c>
      <c r="F548" s="42">
        <f t="shared" si="68"/>
        <v>556.22969999999998</v>
      </c>
      <c r="G548" s="108"/>
      <c r="H548" s="116"/>
      <c r="I548" s="36"/>
      <c r="L548" s="105"/>
      <c r="M548" s="105"/>
      <c r="N548" s="36"/>
    </row>
    <row r="549" spans="1:14" s="37" customFormat="1" ht="15.75" customHeight="1" x14ac:dyDescent="0.3">
      <c r="A549" s="103">
        <f t="shared" si="69"/>
        <v>5</v>
      </c>
      <c r="B549" s="104"/>
      <c r="C549" s="52">
        <v>1</v>
      </c>
      <c r="D549" s="53">
        <f t="shared" si="70"/>
        <v>370.81979999999999</v>
      </c>
      <c r="E549" s="42">
        <v>0</v>
      </c>
      <c r="F549" s="42">
        <f t="shared" si="68"/>
        <v>556.22969999999998</v>
      </c>
      <c r="G549" s="108"/>
      <c r="H549" s="116"/>
      <c r="I549" s="36"/>
      <c r="L549" s="105"/>
      <c r="M549" s="105"/>
      <c r="N549" s="36"/>
    </row>
    <row r="550" spans="1:14" s="37" customFormat="1" ht="15.75" customHeight="1" x14ac:dyDescent="0.3">
      <c r="A550" s="103">
        <f t="shared" si="69"/>
        <v>6</v>
      </c>
      <c r="B550" s="104"/>
      <c r="C550" s="52">
        <v>1</v>
      </c>
      <c r="D550" s="53">
        <f t="shared" si="70"/>
        <v>370.81979999999999</v>
      </c>
      <c r="E550" s="42">
        <v>0</v>
      </c>
      <c r="F550" s="42">
        <f t="shared" si="68"/>
        <v>556.22969999999998</v>
      </c>
      <c r="G550" s="108"/>
      <c r="H550" s="116"/>
      <c r="I550" s="36"/>
      <c r="L550" s="105"/>
      <c r="M550" s="105"/>
      <c r="N550" s="36"/>
    </row>
    <row r="551" spans="1:14" s="37" customFormat="1" ht="15.75" customHeight="1" x14ac:dyDescent="0.3">
      <c r="A551" s="103">
        <f t="shared" si="69"/>
        <v>7</v>
      </c>
      <c r="B551" s="104"/>
      <c r="C551" s="52">
        <v>1</v>
      </c>
      <c r="D551" s="53">
        <f t="shared" si="70"/>
        <v>370.81979999999999</v>
      </c>
      <c r="E551" s="42">
        <v>0</v>
      </c>
      <c r="F551" s="42">
        <f t="shared" si="68"/>
        <v>556.22969999999998</v>
      </c>
      <c r="G551" s="108"/>
      <c r="H551" s="116"/>
      <c r="I551" s="36"/>
      <c r="L551" s="105"/>
      <c r="M551" s="105"/>
      <c r="N551" s="36"/>
    </row>
    <row r="552" spans="1:14" s="37" customFormat="1" ht="15.75" customHeight="1" x14ac:dyDescent="0.3">
      <c r="A552" s="103">
        <f t="shared" si="69"/>
        <v>8</v>
      </c>
      <c r="B552" s="104"/>
      <c r="C552" s="52">
        <v>1</v>
      </c>
      <c r="D552" s="53">
        <f t="shared" si="70"/>
        <v>370.81979999999999</v>
      </c>
      <c r="E552" s="42">
        <v>0</v>
      </c>
      <c r="F552" s="42">
        <f t="shared" si="68"/>
        <v>556.22969999999998</v>
      </c>
      <c r="G552" s="108"/>
      <c r="H552" s="116"/>
      <c r="I552" s="36"/>
      <c r="L552" s="105"/>
      <c r="M552" s="105"/>
      <c r="N552" s="36"/>
    </row>
    <row r="553" spans="1:14" s="37" customFormat="1" ht="15.75" customHeight="1" x14ac:dyDescent="0.3">
      <c r="A553" s="103">
        <f t="shared" si="69"/>
        <v>9</v>
      </c>
      <c r="B553" s="104"/>
      <c r="C553" s="52">
        <v>1</v>
      </c>
      <c r="D553" s="53">
        <f>(29.97)*(10.764)</f>
        <v>322.59707999999995</v>
      </c>
      <c r="E553" s="42">
        <v>0</v>
      </c>
      <c r="F553" s="42">
        <f t="shared" si="68"/>
        <v>483.89561999999989</v>
      </c>
      <c r="G553" s="108"/>
      <c r="H553" s="109"/>
      <c r="I553" s="36"/>
      <c r="L553" s="105"/>
      <c r="M553" s="105"/>
      <c r="N553" s="36"/>
    </row>
    <row r="554" spans="1:14" s="37" customFormat="1" ht="15.75" customHeight="1" x14ac:dyDescent="0.3">
      <c r="A554" s="103">
        <f t="shared" si="69"/>
        <v>10</v>
      </c>
      <c r="B554" s="104"/>
      <c r="C554" s="52">
        <v>1</v>
      </c>
      <c r="D554" s="53">
        <f t="shared" ref="D554:D556" si="71">(29.97)*(10.764)</f>
        <v>322.59707999999995</v>
      </c>
      <c r="E554" s="42">
        <v>0</v>
      </c>
      <c r="F554" s="42">
        <f t="shared" si="68"/>
        <v>483.89561999999989</v>
      </c>
      <c r="G554" s="108"/>
      <c r="H554" s="109"/>
      <c r="I554" s="36"/>
      <c r="L554" s="105"/>
      <c r="M554" s="105"/>
      <c r="N554" s="36"/>
    </row>
    <row r="555" spans="1:14" s="37" customFormat="1" ht="15.75" customHeight="1" x14ac:dyDescent="0.3">
      <c r="A555" s="103">
        <f t="shared" si="69"/>
        <v>11</v>
      </c>
      <c r="B555" s="104"/>
      <c r="C555" s="52">
        <v>1</v>
      </c>
      <c r="D555" s="53">
        <f t="shared" si="71"/>
        <v>322.59707999999995</v>
      </c>
      <c r="E555" s="42">
        <v>0</v>
      </c>
      <c r="F555" s="42">
        <f t="shared" si="68"/>
        <v>483.89561999999989</v>
      </c>
      <c r="G555" s="108"/>
      <c r="H555" s="109"/>
      <c r="I555" s="36"/>
      <c r="L555" s="105"/>
      <c r="M555" s="105"/>
      <c r="N555" s="36"/>
    </row>
    <row r="556" spans="1:14" s="37" customFormat="1" ht="15.75" customHeight="1" x14ac:dyDescent="0.3">
      <c r="A556" s="103">
        <f t="shared" si="69"/>
        <v>12</v>
      </c>
      <c r="B556" s="104"/>
      <c r="C556" s="52">
        <v>1</v>
      </c>
      <c r="D556" s="53">
        <f t="shared" si="71"/>
        <v>322.59707999999995</v>
      </c>
      <c r="E556" s="42">
        <v>0</v>
      </c>
      <c r="F556" s="42">
        <f t="shared" si="68"/>
        <v>483.89561999999989</v>
      </c>
      <c r="G556" s="108"/>
      <c r="H556" s="109"/>
      <c r="I556" s="36"/>
      <c r="L556" s="105"/>
      <c r="M556" s="105"/>
      <c r="N556" s="36"/>
    </row>
    <row r="557" spans="1:14" s="37" customFormat="1" ht="15.75" customHeight="1" x14ac:dyDescent="0.3">
      <c r="A557" s="103">
        <f t="shared" si="69"/>
        <v>13</v>
      </c>
      <c r="B557" s="104"/>
      <c r="C557" s="52">
        <v>1</v>
      </c>
      <c r="D557" s="53">
        <f t="shared" ref="D557:D567" si="72">(34.45)*(10.764)</f>
        <v>370.81979999999999</v>
      </c>
      <c r="E557" s="42">
        <v>0</v>
      </c>
      <c r="F557" s="42">
        <f t="shared" si="68"/>
        <v>556.22969999999998</v>
      </c>
      <c r="G557" s="108"/>
      <c r="H557" s="109"/>
      <c r="I557" s="36"/>
      <c r="L557" s="105"/>
      <c r="M557" s="105"/>
      <c r="N557" s="36"/>
    </row>
    <row r="558" spans="1:14" s="37" customFormat="1" ht="15.75" customHeight="1" x14ac:dyDescent="0.3">
      <c r="A558" s="103">
        <f t="shared" si="69"/>
        <v>14</v>
      </c>
      <c r="B558" s="104"/>
      <c r="C558" s="52">
        <v>1</v>
      </c>
      <c r="D558" s="53">
        <f t="shared" si="72"/>
        <v>370.81979999999999</v>
      </c>
      <c r="E558" s="42">
        <v>0</v>
      </c>
      <c r="F558" s="42">
        <f t="shared" si="68"/>
        <v>556.22969999999998</v>
      </c>
      <c r="G558" s="108"/>
      <c r="H558" s="109"/>
      <c r="I558" s="36"/>
      <c r="L558" s="105"/>
      <c r="M558" s="105"/>
      <c r="N558" s="36"/>
    </row>
    <row r="559" spans="1:14" s="37" customFormat="1" ht="15.75" customHeight="1" x14ac:dyDescent="0.3">
      <c r="A559" s="100" t="s">
        <v>215</v>
      </c>
      <c r="B559" s="101"/>
      <c r="C559" s="101"/>
      <c r="D559" s="101"/>
      <c r="E559" s="101"/>
      <c r="F559" s="101"/>
      <c r="G559" s="101"/>
      <c r="H559" s="102"/>
      <c r="J559" s="36"/>
    </row>
    <row r="560" spans="1:14" s="37" customFormat="1" ht="15.75" customHeight="1" x14ac:dyDescent="0.3">
      <c r="A560" s="103">
        <v>1</v>
      </c>
      <c r="B560" s="104"/>
      <c r="C560" s="52">
        <v>1</v>
      </c>
      <c r="D560" s="53">
        <f t="shared" si="72"/>
        <v>370.81979999999999</v>
      </c>
      <c r="E560" s="42">
        <v>0</v>
      </c>
      <c r="F560" s="42">
        <f>D560*(($F$265)+1)+(IF(E560&lt;101,E560,IF(E560&lt;201,E560/2,IF(E560&lt;=301,E560/3,E560/4))))</f>
        <v>556.22969999999998</v>
      </c>
      <c r="G560" s="106" t="str">
        <f>A559</f>
        <v>8th, 13th, 18th, 23rd &amp; 28th Floor (Part Refuge Area)</v>
      </c>
      <c r="H560" s="107"/>
      <c r="I560" s="36"/>
      <c r="J560" s="36"/>
      <c r="L560" s="105"/>
      <c r="M560" s="105"/>
      <c r="N560" s="36"/>
    </row>
    <row r="561" spans="1:14" s="37" customFormat="1" ht="15.75" customHeight="1" x14ac:dyDescent="0.3">
      <c r="A561" s="103">
        <f t="shared" ref="A561:A573" si="73">A560+1</f>
        <v>2</v>
      </c>
      <c r="B561" s="104"/>
      <c r="C561" s="52">
        <v>1</v>
      </c>
      <c r="D561" s="53">
        <f t="shared" si="72"/>
        <v>370.81979999999999</v>
      </c>
      <c r="E561" s="42">
        <v>0</v>
      </c>
      <c r="F561" s="42">
        <f>D561*(($F$265)+1)+(IF(E561&lt;101,E561,IF(E561&lt;201,E561/2,IF(E561&lt;=301,E561/3,E561/4))))</f>
        <v>556.22969999999998</v>
      </c>
      <c r="G561" s="108"/>
      <c r="H561" s="109"/>
      <c r="I561" s="36"/>
      <c r="L561" s="105"/>
      <c r="M561" s="105"/>
      <c r="N561" s="36"/>
    </row>
    <row r="562" spans="1:14" s="37" customFormat="1" ht="15.75" customHeight="1" x14ac:dyDescent="0.3">
      <c r="A562" s="103">
        <f t="shared" si="73"/>
        <v>3</v>
      </c>
      <c r="B562" s="104"/>
      <c r="C562" s="52">
        <v>1</v>
      </c>
      <c r="D562" s="53">
        <f t="shared" si="72"/>
        <v>370.81979999999999</v>
      </c>
      <c r="E562" s="42">
        <v>0</v>
      </c>
      <c r="F562" s="42">
        <f>D562*(($F$265)+1)+(IF(E562&lt;101,E562,IF(E562&lt;201,E562/2,IF(E562&lt;=301,E562/3,E562/4))))</f>
        <v>556.22969999999998</v>
      </c>
      <c r="G562" s="108"/>
      <c r="H562" s="109"/>
      <c r="I562" s="36"/>
      <c r="L562" s="105"/>
      <c r="M562" s="105"/>
      <c r="N562" s="36"/>
    </row>
    <row r="563" spans="1:14" s="37" customFormat="1" ht="15.75" customHeight="1" x14ac:dyDescent="0.3">
      <c r="A563" s="103">
        <f t="shared" si="73"/>
        <v>4</v>
      </c>
      <c r="B563" s="104"/>
      <c r="C563" s="52">
        <v>1</v>
      </c>
      <c r="D563" s="53">
        <f t="shared" si="72"/>
        <v>370.81979999999999</v>
      </c>
      <c r="E563" s="42">
        <v>0</v>
      </c>
      <c r="F563" s="42">
        <f>D563*(($F$265)+1)+(IF(E563&lt;101,E563,IF(E563&lt;201,E563/2,IF(E563&lt;=301,E563/3,E563/4))))</f>
        <v>556.22969999999998</v>
      </c>
      <c r="G563" s="108"/>
      <c r="H563" s="109"/>
      <c r="I563" s="36"/>
      <c r="L563" s="105"/>
      <c r="M563" s="105"/>
      <c r="N563" s="36"/>
    </row>
    <row r="564" spans="1:14" s="37" customFormat="1" ht="15.75" customHeight="1" x14ac:dyDescent="0.3">
      <c r="A564" s="103">
        <f t="shared" si="73"/>
        <v>5</v>
      </c>
      <c r="B564" s="104"/>
      <c r="C564" s="52">
        <v>1</v>
      </c>
      <c r="D564" s="53">
        <f t="shared" si="72"/>
        <v>370.81979999999999</v>
      </c>
      <c r="E564" s="42">
        <v>0</v>
      </c>
      <c r="F564" s="42">
        <f>D564*(($F$265)+1)+(IF(E564&lt;101,E564,IF(E564&lt;201,E564/2,IF(E564&lt;=301,E564/3,E564/4))))</f>
        <v>556.22969999999998</v>
      </c>
      <c r="G564" s="108"/>
      <c r="H564" s="109"/>
      <c r="I564" s="36"/>
      <c r="L564" s="105"/>
      <c r="M564" s="105"/>
      <c r="N564" s="36"/>
    </row>
    <row r="565" spans="1:14" s="37" customFormat="1" ht="15.75" customHeight="1" x14ac:dyDescent="0.3">
      <c r="A565" s="103">
        <f t="shared" si="73"/>
        <v>6</v>
      </c>
      <c r="B565" s="104"/>
      <c r="C565" s="112" t="s">
        <v>179</v>
      </c>
      <c r="D565" s="113"/>
      <c r="E565" s="113"/>
      <c r="F565" s="114"/>
      <c r="G565" s="108"/>
      <c r="H565" s="109"/>
      <c r="I565" s="36"/>
      <c r="L565" s="105"/>
      <c r="M565" s="105"/>
      <c r="N565" s="36"/>
    </row>
    <row r="566" spans="1:14" s="37" customFormat="1" ht="15.75" customHeight="1" x14ac:dyDescent="0.3">
      <c r="A566" s="103">
        <f t="shared" si="73"/>
        <v>7</v>
      </c>
      <c r="B566" s="104"/>
      <c r="C566" s="52">
        <v>1</v>
      </c>
      <c r="D566" s="53">
        <f t="shared" si="72"/>
        <v>370.81979999999999</v>
      </c>
      <c r="E566" s="42">
        <v>0</v>
      </c>
      <c r="F566" s="42">
        <f t="shared" ref="F566:F573" si="74">D566*(($F$265)+1)+(IF(E566&lt;101,E566,IF(E566&lt;201,E566/2,IF(E566&lt;=301,E566/3,E566/4))))</f>
        <v>556.22969999999998</v>
      </c>
      <c r="G566" s="108"/>
      <c r="H566" s="109"/>
      <c r="I566" s="36"/>
      <c r="L566" s="105"/>
      <c r="M566" s="105"/>
      <c r="N566" s="36"/>
    </row>
    <row r="567" spans="1:14" s="37" customFormat="1" ht="15.75" customHeight="1" x14ac:dyDescent="0.3">
      <c r="A567" s="103">
        <f t="shared" si="73"/>
        <v>8</v>
      </c>
      <c r="B567" s="104"/>
      <c r="C567" s="52">
        <v>1</v>
      </c>
      <c r="D567" s="53">
        <f t="shared" si="72"/>
        <v>370.81979999999999</v>
      </c>
      <c r="E567" s="42">
        <v>0</v>
      </c>
      <c r="F567" s="42">
        <f t="shared" si="74"/>
        <v>556.22969999999998</v>
      </c>
      <c r="G567" s="108"/>
      <c r="H567" s="109"/>
      <c r="I567" s="36"/>
      <c r="L567" s="105"/>
      <c r="M567" s="105"/>
      <c r="N567" s="36"/>
    </row>
    <row r="568" spans="1:14" s="37" customFormat="1" ht="15.75" customHeight="1" x14ac:dyDescent="0.3">
      <c r="A568" s="103">
        <f t="shared" si="73"/>
        <v>9</v>
      </c>
      <c r="B568" s="104"/>
      <c r="C568" s="52">
        <v>1</v>
      </c>
      <c r="D568" s="53">
        <f>(29.97)*(10.764)</f>
        <v>322.59707999999995</v>
      </c>
      <c r="E568" s="42">
        <v>0</v>
      </c>
      <c r="F568" s="42">
        <f t="shared" si="74"/>
        <v>483.89561999999989</v>
      </c>
      <c r="G568" s="108"/>
      <c r="H568" s="109"/>
      <c r="I568" s="36"/>
      <c r="L568" s="105"/>
      <c r="M568" s="105"/>
      <c r="N568" s="36"/>
    </row>
    <row r="569" spans="1:14" s="37" customFormat="1" ht="15.75" customHeight="1" x14ac:dyDescent="0.3">
      <c r="A569" s="103">
        <f t="shared" si="73"/>
        <v>10</v>
      </c>
      <c r="B569" s="104"/>
      <c r="C569" s="52">
        <v>1</v>
      </c>
      <c r="D569" s="53">
        <f t="shared" ref="D569:D571" si="75">(29.97)*(10.764)</f>
        <v>322.59707999999995</v>
      </c>
      <c r="E569" s="42">
        <v>0</v>
      </c>
      <c r="F569" s="42">
        <f t="shared" si="74"/>
        <v>483.89561999999989</v>
      </c>
      <c r="G569" s="108"/>
      <c r="H569" s="109"/>
      <c r="I569" s="36"/>
      <c r="L569" s="105"/>
      <c r="M569" s="105"/>
      <c r="N569" s="36"/>
    </row>
    <row r="570" spans="1:14" s="37" customFormat="1" ht="15.75" customHeight="1" x14ac:dyDescent="0.3">
      <c r="A570" s="103">
        <f t="shared" si="73"/>
        <v>11</v>
      </c>
      <c r="B570" s="104"/>
      <c r="C570" s="52">
        <v>1</v>
      </c>
      <c r="D570" s="53">
        <f t="shared" si="75"/>
        <v>322.59707999999995</v>
      </c>
      <c r="E570" s="42">
        <v>0</v>
      </c>
      <c r="F570" s="42">
        <f t="shared" si="74"/>
        <v>483.89561999999989</v>
      </c>
      <c r="G570" s="108"/>
      <c r="H570" s="109"/>
      <c r="I570" s="36"/>
      <c r="L570" s="105"/>
      <c r="M570" s="105"/>
      <c r="N570" s="36"/>
    </row>
    <row r="571" spans="1:14" s="37" customFormat="1" ht="15.75" customHeight="1" x14ac:dyDescent="0.3">
      <c r="A571" s="103">
        <f t="shared" si="73"/>
        <v>12</v>
      </c>
      <c r="B571" s="104"/>
      <c r="C571" s="52">
        <v>1</v>
      </c>
      <c r="D571" s="53">
        <f t="shared" si="75"/>
        <v>322.59707999999995</v>
      </c>
      <c r="E571" s="42">
        <v>0</v>
      </c>
      <c r="F571" s="42">
        <f t="shared" si="74"/>
        <v>483.89561999999989</v>
      </c>
      <c r="G571" s="108"/>
      <c r="H571" s="109"/>
      <c r="I571" s="36"/>
      <c r="L571" s="105"/>
      <c r="M571" s="105"/>
      <c r="N571" s="36"/>
    </row>
    <row r="572" spans="1:14" s="37" customFormat="1" ht="15.75" customHeight="1" x14ac:dyDescent="0.3">
      <c r="A572" s="103">
        <f t="shared" si="73"/>
        <v>13</v>
      </c>
      <c r="B572" s="104"/>
      <c r="C572" s="52">
        <v>1</v>
      </c>
      <c r="D572" s="53">
        <f t="shared" ref="D572:D573" si="76">(34.45)*(10.764)</f>
        <v>370.81979999999999</v>
      </c>
      <c r="E572" s="42">
        <v>0</v>
      </c>
      <c r="F572" s="42">
        <f t="shared" si="74"/>
        <v>556.22969999999998</v>
      </c>
      <c r="G572" s="108"/>
      <c r="H572" s="109"/>
      <c r="I572" s="36"/>
      <c r="L572" s="105"/>
      <c r="M572" s="105"/>
      <c r="N572" s="36"/>
    </row>
    <row r="573" spans="1:14" s="37" customFormat="1" ht="15.75" customHeight="1" x14ac:dyDescent="0.3">
      <c r="A573" s="103">
        <f t="shared" si="73"/>
        <v>14</v>
      </c>
      <c r="B573" s="104"/>
      <c r="C573" s="52">
        <v>1</v>
      </c>
      <c r="D573" s="53">
        <f t="shared" si="76"/>
        <v>370.81979999999999</v>
      </c>
      <c r="E573" s="42">
        <v>0</v>
      </c>
      <c r="F573" s="42">
        <f t="shared" si="74"/>
        <v>556.22969999999998</v>
      </c>
      <c r="G573" s="108"/>
      <c r="H573" s="109"/>
      <c r="I573" s="36"/>
      <c r="L573" s="105"/>
      <c r="M573" s="105"/>
      <c r="N573" s="36"/>
    </row>
    <row r="574" spans="1:14" s="37" customFormat="1" x14ac:dyDescent="0.3">
      <c r="A574" s="100" t="s">
        <v>231</v>
      </c>
      <c r="B574" s="101"/>
      <c r="C574" s="101"/>
      <c r="D574" s="101"/>
      <c r="E574" s="101"/>
      <c r="F574" s="101"/>
      <c r="G574" s="101"/>
      <c r="H574" s="102"/>
      <c r="J574" s="36"/>
    </row>
    <row r="575" spans="1:14" s="37" customFormat="1" x14ac:dyDescent="0.3">
      <c r="A575" s="100" t="s">
        <v>216</v>
      </c>
      <c r="B575" s="101"/>
      <c r="C575" s="101"/>
      <c r="D575" s="101"/>
      <c r="E575" s="101"/>
      <c r="F575" s="101"/>
      <c r="G575" s="101"/>
      <c r="H575" s="102"/>
      <c r="J575" s="36"/>
    </row>
    <row r="576" spans="1:14" s="37" customFormat="1" ht="15.75" customHeight="1" x14ac:dyDescent="0.3">
      <c r="A576" s="100" t="s">
        <v>213</v>
      </c>
      <c r="B576" s="101"/>
      <c r="C576" s="101"/>
      <c r="D576" s="101"/>
      <c r="E576" s="101"/>
      <c r="F576" s="101"/>
      <c r="G576" s="101"/>
      <c r="H576" s="101"/>
      <c r="J576" s="36"/>
    </row>
    <row r="577" spans="1:14" s="37" customFormat="1" ht="15.75" customHeight="1" x14ac:dyDescent="0.3">
      <c r="A577" s="103">
        <v>1</v>
      </c>
      <c r="B577" s="104"/>
      <c r="C577" s="52" t="s">
        <v>220</v>
      </c>
      <c r="D577" s="53">
        <f>(49.7)*10.764</f>
        <v>534.97080000000005</v>
      </c>
      <c r="E577" s="42">
        <v>0</v>
      </c>
      <c r="F577" s="42">
        <f t="shared" ref="F577:F588" si="77">D577*(($F$265)+1)+(IF(E577&lt;101,E577,IF(E577&lt;201,E577/2,IF(E577&lt;=301,E577/3,E577/4))))</f>
        <v>802.45620000000008</v>
      </c>
      <c r="G577" s="106" t="str">
        <f>A576</f>
        <v>1st to 7th, 9th to 12th, 14th to 17th, 19th to 22nd, 24th to 27th, 29th &amp; 30th Floor</v>
      </c>
      <c r="H577" s="115"/>
      <c r="I577" s="36"/>
      <c r="J577" s="36"/>
      <c r="L577" s="105"/>
      <c r="M577" s="105"/>
      <c r="N577" s="36"/>
    </row>
    <row r="578" spans="1:14" s="37" customFormat="1" ht="15.75" customHeight="1" x14ac:dyDescent="0.3">
      <c r="A578" s="103">
        <f t="shared" ref="A578:A588" si="78">A577+1</f>
        <v>2</v>
      </c>
      <c r="B578" s="104"/>
      <c r="C578" s="52" t="s">
        <v>220</v>
      </c>
      <c r="D578" s="53">
        <f t="shared" ref="D578:D580" si="79">(49.7)*10.764</f>
        <v>534.97080000000005</v>
      </c>
      <c r="E578" s="42">
        <v>0</v>
      </c>
      <c r="F578" s="42">
        <f t="shared" si="77"/>
        <v>802.45620000000008</v>
      </c>
      <c r="G578" s="108"/>
      <c r="H578" s="116"/>
      <c r="I578" s="36"/>
      <c r="L578" s="105"/>
      <c r="M578" s="105"/>
      <c r="N578" s="36"/>
    </row>
    <row r="579" spans="1:14" s="37" customFormat="1" ht="15.75" customHeight="1" x14ac:dyDescent="0.3">
      <c r="A579" s="103">
        <f t="shared" si="78"/>
        <v>3</v>
      </c>
      <c r="B579" s="104"/>
      <c r="C579" s="52" t="s">
        <v>220</v>
      </c>
      <c r="D579" s="53">
        <f t="shared" si="79"/>
        <v>534.97080000000005</v>
      </c>
      <c r="E579" s="42">
        <v>0</v>
      </c>
      <c r="F579" s="42">
        <f t="shared" si="77"/>
        <v>802.45620000000008</v>
      </c>
      <c r="G579" s="108"/>
      <c r="H579" s="116"/>
      <c r="I579" s="36"/>
      <c r="L579" s="105"/>
      <c r="M579" s="105"/>
      <c r="N579" s="36"/>
    </row>
    <row r="580" spans="1:14" s="37" customFormat="1" ht="15.75" customHeight="1" x14ac:dyDescent="0.3">
      <c r="A580" s="103">
        <f t="shared" si="78"/>
        <v>4</v>
      </c>
      <c r="B580" s="104"/>
      <c r="C580" s="52" t="s">
        <v>220</v>
      </c>
      <c r="D580" s="53">
        <f t="shared" si="79"/>
        <v>534.97080000000005</v>
      </c>
      <c r="E580" s="42">
        <v>0</v>
      </c>
      <c r="F580" s="42">
        <f t="shared" si="77"/>
        <v>802.45620000000008</v>
      </c>
      <c r="G580" s="108"/>
      <c r="H580" s="116"/>
      <c r="I580" s="36"/>
      <c r="L580" s="105"/>
      <c r="M580" s="105"/>
      <c r="N580" s="36"/>
    </row>
    <row r="581" spans="1:14" s="37" customFormat="1" ht="15.75" customHeight="1" x14ac:dyDescent="0.3">
      <c r="A581" s="103">
        <f t="shared" si="78"/>
        <v>5</v>
      </c>
      <c r="B581" s="104"/>
      <c r="C581" s="52" t="s">
        <v>220</v>
      </c>
      <c r="D581" s="53">
        <f>(41.95)*10.764</f>
        <v>451.5498</v>
      </c>
      <c r="E581" s="42">
        <v>0</v>
      </c>
      <c r="F581" s="42">
        <f t="shared" si="77"/>
        <v>677.32470000000001</v>
      </c>
      <c r="G581" s="108"/>
      <c r="H581" s="116"/>
      <c r="I581" s="36"/>
      <c r="L581" s="105"/>
      <c r="M581" s="105"/>
      <c r="N581" s="36"/>
    </row>
    <row r="582" spans="1:14" s="37" customFormat="1" ht="15.75" customHeight="1" x14ac:dyDescent="0.3">
      <c r="A582" s="103">
        <f t="shared" si="78"/>
        <v>6</v>
      </c>
      <c r="B582" s="104"/>
      <c r="C582" s="52" t="s">
        <v>220</v>
      </c>
      <c r="D582" s="53">
        <f t="shared" ref="D582:D588" si="80">(41.95)*10.764</f>
        <v>451.5498</v>
      </c>
      <c r="E582" s="42">
        <v>0</v>
      </c>
      <c r="F582" s="42">
        <f t="shared" si="77"/>
        <v>677.32470000000001</v>
      </c>
      <c r="G582" s="108"/>
      <c r="H582" s="116"/>
      <c r="I582" s="36"/>
      <c r="L582" s="105"/>
      <c r="M582" s="105"/>
      <c r="N582" s="36"/>
    </row>
    <row r="583" spans="1:14" s="37" customFormat="1" ht="15.75" customHeight="1" x14ac:dyDescent="0.3">
      <c r="A583" s="103">
        <f t="shared" si="78"/>
        <v>7</v>
      </c>
      <c r="B583" s="104"/>
      <c r="C583" s="52" t="s">
        <v>220</v>
      </c>
      <c r="D583" s="53">
        <f t="shared" si="80"/>
        <v>451.5498</v>
      </c>
      <c r="E583" s="42">
        <v>0</v>
      </c>
      <c r="F583" s="42">
        <f t="shared" si="77"/>
        <v>677.32470000000001</v>
      </c>
      <c r="G583" s="108"/>
      <c r="H583" s="116"/>
      <c r="I583" s="36"/>
      <c r="L583" s="105"/>
      <c r="M583" s="105"/>
      <c r="N583" s="36"/>
    </row>
    <row r="584" spans="1:14" s="37" customFormat="1" ht="15.75" customHeight="1" x14ac:dyDescent="0.3">
      <c r="A584" s="103">
        <f t="shared" si="78"/>
        <v>8</v>
      </c>
      <c r="B584" s="104"/>
      <c r="C584" s="52" t="s">
        <v>220</v>
      </c>
      <c r="D584" s="53">
        <f t="shared" si="80"/>
        <v>451.5498</v>
      </c>
      <c r="E584" s="42">
        <v>0</v>
      </c>
      <c r="F584" s="42">
        <f t="shared" si="77"/>
        <v>677.32470000000001</v>
      </c>
      <c r="G584" s="108"/>
      <c r="H584" s="116"/>
      <c r="I584" s="36"/>
      <c r="L584" s="105"/>
      <c r="M584" s="105"/>
      <c r="N584" s="36"/>
    </row>
    <row r="585" spans="1:14" s="37" customFormat="1" ht="15.75" customHeight="1" x14ac:dyDescent="0.3">
      <c r="A585" s="103">
        <f t="shared" si="78"/>
        <v>9</v>
      </c>
      <c r="B585" s="104"/>
      <c r="C585" s="52" t="s">
        <v>220</v>
      </c>
      <c r="D585" s="53">
        <f t="shared" si="80"/>
        <v>451.5498</v>
      </c>
      <c r="E585" s="42">
        <v>0</v>
      </c>
      <c r="F585" s="42">
        <f t="shared" si="77"/>
        <v>677.32470000000001</v>
      </c>
      <c r="G585" s="108"/>
      <c r="H585" s="109"/>
      <c r="I585" s="36"/>
      <c r="L585" s="105"/>
      <c r="M585" s="105"/>
      <c r="N585" s="36"/>
    </row>
    <row r="586" spans="1:14" s="37" customFormat="1" ht="15.75" customHeight="1" x14ac:dyDescent="0.3">
      <c r="A586" s="103">
        <f t="shared" si="78"/>
        <v>10</v>
      </c>
      <c r="B586" s="104"/>
      <c r="C586" s="52" t="s">
        <v>220</v>
      </c>
      <c r="D586" s="53">
        <f t="shared" si="80"/>
        <v>451.5498</v>
      </c>
      <c r="E586" s="42">
        <v>0</v>
      </c>
      <c r="F586" s="42">
        <f t="shared" si="77"/>
        <v>677.32470000000001</v>
      </c>
      <c r="G586" s="108"/>
      <c r="H586" s="109"/>
      <c r="I586" s="36"/>
      <c r="L586" s="105"/>
      <c r="M586" s="105"/>
      <c r="N586" s="36"/>
    </row>
    <row r="587" spans="1:14" s="37" customFormat="1" ht="15.75" customHeight="1" x14ac:dyDescent="0.3">
      <c r="A587" s="103">
        <f t="shared" si="78"/>
        <v>11</v>
      </c>
      <c r="B587" s="104"/>
      <c r="C587" s="52" t="s">
        <v>220</v>
      </c>
      <c r="D587" s="53">
        <f t="shared" si="80"/>
        <v>451.5498</v>
      </c>
      <c r="E587" s="42">
        <v>0</v>
      </c>
      <c r="F587" s="42">
        <f t="shared" si="77"/>
        <v>677.32470000000001</v>
      </c>
      <c r="G587" s="108"/>
      <c r="H587" s="109"/>
      <c r="I587" s="36"/>
      <c r="L587" s="105"/>
      <c r="M587" s="105"/>
      <c r="N587" s="36"/>
    </row>
    <row r="588" spans="1:14" s="37" customFormat="1" ht="15.75" customHeight="1" x14ac:dyDescent="0.3">
      <c r="A588" s="103">
        <f t="shared" si="78"/>
        <v>12</v>
      </c>
      <c r="B588" s="104"/>
      <c r="C588" s="52" t="s">
        <v>220</v>
      </c>
      <c r="D588" s="53">
        <f t="shared" si="80"/>
        <v>451.5498</v>
      </c>
      <c r="E588" s="42">
        <v>0</v>
      </c>
      <c r="F588" s="42">
        <f t="shared" si="77"/>
        <v>677.32470000000001</v>
      </c>
      <c r="G588" s="108"/>
      <c r="H588" s="109"/>
      <c r="I588" s="36"/>
      <c r="L588" s="105"/>
      <c r="M588" s="105"/>
      <c r="N588" s="36"/>
    </row>
    <row r="589" spans="1:14" s="37" customFormat="1" ht="15.75" customHeight="1" x14ac:dyDescent="0.3">
      <c r="A589" s="100" t="s">
        <v>215</v>
      </c>
      <c r="B589" s="101"/>
      <c r="C589" s="101"/>
      <c r="D589" s="101"/>
      <c r="E589" s="101"/>
      <c r="F589" s="101"/>
      <c r="G589" s="101"/>
      <c r="H589" s="102"/>
      <c r="J589" s="36"/>
    </row>
    <row r="590" spans="1:14" s="37" customFormat="1" ht="15.75" customHeight="1" x14ac:dyDescent="0.3">
      <c r="A590" s="103">
        <v>1</v>
      </c>
      <c r="B590" s="104"/>
      <c r="C590" s="52" t="s">
        <v>220</v>
      </c>
      <c r="D590" s="53">
        <f>(49.7)*10.764</f>
        <v>534.97080000000005</v>
      </c>
      <c r="E590" s="42">
        <v>0</v>
      </c>
      <c r="F590" s="42">
        <f>D590*(($F$265)+1)+(IF(E590&lt;101,E590,IF(E590&lt;201,E590/2,IF(E590&lt;=301,E590/3,E590/4))))</f>
        <v>802.45620000000008</v>
      </c>
      <c r="G590" s="106" t="str">
        <f>A589</f>
        <v>8th, 13th, 18th, 23rd &amp; 28th Floor (Part Refuge Area)</v>
      </c>
      <c r="H590" s="107"/>
      <c r="I590" s="36"/>
      <c r="J590" s="36"/>
      <c r="L590" s="105"/>
      <c r="M590" s="105"/>
      <c r="N590" s="36"/>
    </row>
    <row r="591" spans="1:14" s="37" customFormat="1" ht="15.75" customHeight="1" x14ac:dyDescent="0.3">
      <c r="A591" s="103">
        <f t="shared" ref="A591:A601" si="81">A590+1</f>
        <v>2</v>
      </c>
      <c r="B591" s="104"/>
      <c r="C591" s="52" t="s">
        <v>220</v>
      </c>
      <c r="D591" s="53">
        <f t="shared" ref="D591:D592" si="82">(49.7)*10.764</f>
        <v>534.97080000000005</v>
      </c>
      <c r="E591" s="42">
        <v>0</v>
      </c>
      <c r="F591" s="42">
        <f>D591*(($F$265)+1)+(IF(E591&lt;101,E591,IF(E591&lt;201,E591/2,IF(E591&lt;=301,E591/3,E591/4))))</f>
        <v>802.45620000000008</v>
      </c>
      <c r="G591" s="108"/>
      <c r="H591" s="109"/>
      <c r="I591" s="36"/>
      <c r="L591" s="105"/>
      <c r="M591" s="105"/>
      <c r="N591" s="36"/>
    </row>
    <row r="592" spans="1:14" s="37" customFormat="1" ht="15.75" customHeight="1" x14ac:dyDescent="0.3">
      <c r="A592" s="103">
        <f t="shared" si="81"/>
        <v>3</v>
      </c>
      <c r="B592" s="104"/>
      <c r="C592" s="52" t="s">
        <v>220</v>
      </c>
      <c r="D592" s="53">
        <f t="shared" si="82"/>
        <v>534.97080000000005</v>
      </c>
      <c r="E592" s="42">
        <v>0</v>
      </c>
      <c r="F592" s="42">
        <f>D592*(($F$265)+1)+(IF(E592&lt;101,E592,IF(E592&lt;201,E592/2,IF(E592&lt;=301,E592/3,E592/4))))</f>
        <v>802.45620000000008</v>
      </c>
      <c r="G592" s="108"/>
      <c r="H592" s="109"/>
      <c r="I592" s="36"/>
      <c r="L592" s="105"/>
      <c r="M592" s="105"/>
      <c r="N592" s="36"/>
    </row>
    <row r="593" spans="1:14" s="37" customFormat="1" ht="15.75" customHeight="1" x14ac:dyDescent="0.3">
      <c r="A593" s="103">
        <v>4</v>
      </c>
      <c r="B593" s="104"/>
      <c r="C593" s="112" t="s">
        <v>179</v>
      </c>
      <c r="D593" s="113"/>
      <c r="E593" s="113"/>
      <c r="F593" s="114"/>
      <c r="G593" s="108"/>
      <c r="H593" s="109"/>
      <c r="I593" s="36"/>
      <c r="L593" s="105"/>
      <c r="M593" s="105"/>
      <c r="N593" s="36"/>
    </row>
    <row r="594" spans="1:14" s="37" customFormat="1" ht="15.75" customHeight="1" x14ac:dyDescent="0.3">
      <c r="A594" s="103">
        <f t="shared" si="81"/>
        <v>5</v>
      </c>
      <c r="B594" s="104"/>
      <c r="C594" s="52" t="s">
        <v>220</v>
      </c>
      <c r="D594" s="53">
        <f t="shared" ref="D594:D601" si="83">(41.95)*10.764</f>
        <v>451.5498</v>
      </c>
      <c r="E594" s="42">
        <v>0</v>
      </c>
      <c r="F594" s="42">
        <f t="shared" ref="F594:F601" si="84">D594*(($F$265)+1)+(IF(E594&lt;101,E594,IF(E594&lt;201,E594/2,IF(E594&lt;=301,E594/3,E594/4))))</f>
        <v>677.32470000000001</v>
      </c>
      <c r="G594" s="108"/>
      <c r="H594" s="109"/>
      <c r="I594" s="36"/>
      <c r="L594" s="105"/>
      <c r="M594" s="105"/>
      <c r="N594" s="36"/>
    </row>
    <row r="595" spans="1:14" s="37" customFormat="1" ht="15.75" customHeight="1" x14ac:dyDescent="0.3">
      <c r="A595" s="103">
        <f t="shared" si="81"/>
        <v>6</v>
      </c>
      <c r="B595" s="104"/>
      <c r="C595" s="52" t="s">
        <v>220</v>
      </c>
      <c r="D595" s="53">
        <f t="shared" si="83"/>
        <v>451.5498</v>
      </c>
      <c r="E595" s="42">
        <v>0</v>
      </c>
      <c r="F595" s="42">
        <f t="shared" si="84"/>
        <v>677.32470000000001</v>
      </c>
      <c r="G595" s="108"/>
      <c r="H595" s="109"/>
      <c r="I595" s="36"/>
      <c r="L595" s="105"/>
      <c r="M595" s="105"/>
      <c r="N595" s="36"/>
    </row>
    <row r="596" spans="1:14" s="37" customFormat="1" ht="15.75" customHeight="1" x14ac:dyDescent="0.3">
      <c r="A596" s="103">
        <f t="shared" si="81"/>
        <v>7</v>
      </c>
      <c r="B596" s="104"/>
      <c r="C596" s="52" t="s">
        <v>220</v>
      </c>
      <c r="D596" s="53">
        <f t="shared" si="83"/>
        <v>451.5498</v>
      </c>
      <c r="E596" s="42">
        <v>0</v>
      </c>
      <c r="F596" s="42">
        <f t="shared" si="84"/>
        <v>677.32470000000001</v>
      </c>
      <c r="G596" s="108"/>
      <c r="H596" s="109"/>
      <c r="I596" s="36"/>
      <c r="L596" s="105"/>
      <c r="M596" s="105"/>
      <c r="N596" s="36"/>
    </row>
    <row r="597" spans="1:14" s="37" customFormat="1" ht="15.75" customHeight="1" x14ac:dyDescent="0.3">
      <c r="A597" s="103">
        <f t="shared" si="81"/>
        <v>8</v>
      </c>
      <c r="B597" s="104"/>
      <c r="C597" s="52" t="s">
        <v>220</v>
      </c>
      <c r="D597" s="53">
        <f t="shared" si="83"/>
        <v>451.5498</v>
      </c>
      <c r="E597" s="42">
        <v>0</v>
      </c>
      <c r="F597" s="42">
        <f t="shared" si="84"/>
        <v>677.32470000000001</v>
      </c>
      <c r="G597" s="108"/>
      <c r="H597" s="109"/>
      <c r="I597" s="36"/>
      <c r="L597" s="105"/>
      <c r="M597" s="105"/>
      <c r="N597" s="36"/>
    </row>
    <row r="598" spans="1:14" s="37" customFormat="1" ht="15.75" customHeight="1" x14ac:dyDescent="0.3">
      <c r="A598" s="103">
        <f t="shared" si="81"/>
        <v>9</v>
      </c>
      <c r="B598" s="104"/>
      <c r="C598" s="52" t="s">
        <v>220</v>
      </c>
      <c r="D598" s="53">
        <f t="shared" si="83"/>
        <v>451.5498</v>
      </c>
      <c r="E598" s="42">
        <v>0</v>
      </c>
      <c r="F598" s="42">
        <f t="shared" si="84"/>
        <v>677.32470000000001</v>
      </c>
      <c r="G598" s="108"/>
      <c r="H598" s="109"/>
      <c r="I598" s="36"/>
      <c r="L598" s="105"/>
      <c r="M598" s="105"/>
      <c r="N598" s="36"/>
    </row>
    <row r="599" spans="1:14" s="37" customFormat="1" ht="15.75" customHeight="1" x14ac:dyDescent="0.3">
      <c r="A599" s="103">
        <f t="shared" si="81"/>
        <v>10</v>
      </c>
      <c r="B599" s="104"/>
      <c r="C599" s="52" t="s">
        <v>220</v>
      </c>
      <c r="D599" s="53">
        <f t="shared" si="83"/>
        <v>451.5498</v>
      </c>
      <c r="E599" s="42">
        <v>0</v>
      </c>
      <c r="F599" s="42">
        <f t="shared" si="84"/>
        <v>677.32470000000001</v>
      </c>
      <c r="G599" s="108"/>
      <c r="H599" s="109"/>
      <c r="I599" s="36"/>
      <c r="L599" s="105"/>
      <c r="M599" s="105"/>
      <c r="N599" s="36"/>
    </row>
    <row r="600" spans="1:14" s="37" customFormat="1" ht="15.75" customHeight="1" x14ac:dyDescent="0.3">
      <c r="A600" s="103">
        <f t="shared" si="81"/>
        <v>11</v>
      </c>
      <c r="B600" s="104"/>
      <c r="C600" s="52" t="s">
        <v>220</v>
      </c>
      <c r="D600" s="53">
        <f t="shared" si="83"/>
        <v>451.5498</v>
      </c>
      <c r="E600" s="42">
        <v>0</v>
      </c>
      <c r="F600" s="42">
        <f t="shared" si="84"/>
        <v>677.32470000000001</v>
      </c>
      <c r="G600" s="108"/>
      <c r="H600" s="109"/>
      <c r="I600" s="36"/>
      <c r="L600" s="105"/>
      <c r="M600" s="105"/>
      <c r="N600" s="36"/>
    </row>
    <row r="601" spans="1:14" s="37" customFormat="1" ht="15.75" customHeight="1" x14ac:dyDescent="0.3">
      <c r="A601" s="103">
        <f t="shared" si="81"/>
        <v>12</v>
      </c>
      <c r="B601" s="104"/>
      <c r="C601" s="52" t="s">
        <v>220</v>
      </c>
      <c r="D601" s="53">
        <f t="shared" si="83"/>
        <v>451.5498</v>
      </c>
      <c r="E601" s="42">
        <v>0</v>
      </c>
      <c r="F601" s="42">
        <f t="shared" si="84"/>
        <v>677.32470000000001</v>
      </c>
      <c r="G601" s="108"/>
      <c r="H601" s="109"/>
      <c r="I601" s="36"/>
      <c r="L601" s="105"/>
      <c r="M601" s="105"/>
      <c r="N601" s="36"/>
    </row>
    <row r="602" spans="1:14" s="37" customFormat="1" x14ac:dyDescent="0.3">
      <c r="A602" s="100" t="s">
        <v>217</v>
      </c>
      <c r="B602" s="101"/>
      <c r="C602" s="101"/>
      <c r="D602" s="101"/>
      <c r="E602" s="101"/>
      <c r="F602" s="101"/>
      <c r="G602" s="101"/>
      <c r="H602" s="102"/>
      <c r="J602" s="36"/>
    </row>
    <row r="603" spans="1:14" s="37" customFormat="1" ht="15.75" customHeight="1" x14ac:dyDescent="0.3">
      <c r="A603" s="100" t="s">
        <v>213</v>
      </c>
      <c r="B603" s="101"/>
      <c r="C603" s="101"/>
      <c r="D603" s="101"/>
      <c r="E603" s="101"/>
      <c r="F603" s="101"/>
      <c r="G603" s="101"/>
      <c r="H603" s="101"/>
      <c r="J603" s="36"/>
    </row>
    <row r="604" spans="1:14" s="37" customFormat="1" ht="15.75" customHeight="1" x14ac:dyDescent="0.3">
      <c r="A604" s="103">
        <v>1</v>
      </c>
      <c r="B604" s="104"/>
      <c r="C604" s="52" t="s">
        <v>220</v>
      </c>
      <c r="D604" s="53">
        <f>(49.7)*10.764</f>
        <v>534.97080000000005</v>
      </c>
      <c r="E604" s="42">
        <v>0</v>
      </c>
      <c r="F604" s="42">
        <f t="shared" ref="F604:F615" si="85">D604*(($F$265)+1)+(IF(E604&lt;101,E604,IF(E604&lt;201,E604/2,IF(E604&lt;=301,E604/3,E604/4))))</f>
        <v>802.45620000000008</v>
      </c>
      <c r="G604" s="106" t="str">
        <f>A603</f>
        <v>1st to 7th, 9th to 12th, 14th to 17th, 19th to 22nd, 24th to 27th, 29th &amp; 30th Floor</v>
      </c>
      <c r="H604" s="115"/>
      <c r="I604" s="36"/>
      <c r="J604" s="36"/>
      <c r="L604" s="105"/>
      <c r="M604" s="105"/>
      <c r="N604" s="36"/>
    </row>
    <row r="605" spans="1:14" s="37" customFormat="1" ht="15.75" customHeight="1" x14ac:dyDescent="0.3">
      <c r="A605" s="103">
        <f t="shared" ref="A605:A615" si="86">A604+1</f>
        <v>2</v>
      </c>
      <c r="B605" s="104"/>
      <c r="C605" s="52" t="s">
        <v>220</v>
      </c>
      <c r="D605" s="53">
        <f t="shared" ref="D605:D607" si="87">(49.7)*10.764</f>
        <v>534.97080000000005</v>
      </c>
      <c r="E605" s="42">
        <v>0</v>
      </c>
      <c r="F605" s="42">
        <f t="shared" si="85"/>
        <v>802.45620000000008</v>
      </c>
      <c r="G605" s="108"/>
      <c r="H605" s="116"/>
      <c r="I605" s="36"/>
      <c r="L605" s="105"/>
      <c r="M605" s="105"/>
      <c r="N605" s="36"/>
    </row>
    <row r="606" spans="1:14" s="37" customFormat="1" ht="15.75" customHeight="1" x14ac:dyDescent="0.3">
      <c r="A606" s="103">
        <f t="shared" si="86"/>
        <v>3</v>
      </c>
      <c r="B606" s="104"/>
      <c r="C606" s="52" t="s">
        <v>220</v>
      </c>
      <c r="D606" s="53">
        <f t="shared" si="87"/>
        <v>534.97080000000005</v>
      </c>
      <c r="E606" s="42">
        <v>0</v>
      </c>
      <c r="F606" s="42">
        <f t="shared" si="85"/>
        <v>802.45620000000008</v>
      </c>
      <c r="G606" s="108"/>
      <c r="H606" s="116"/>
      <c r="I606" s="36"/>
      <c r="L606" s="105"/>
      <c r="M606" s="105"/>
      <c r="N606" s="36"/>
    </row>
    <row r="607" spans="1:14" s="37" customFormat="1" ht="15.75" customHeight="1" x14ac:dyDescent="0.3">
      <c r="A607" s="103">
        <f t="shared" si="86"/>
        <v>4</v>
      </c>
      <c r="B607" s="104"/>
      <c r="C607" s="52" t="s">
        <v>220</v>
      </c>
      <c r="D607" s="53">
        <f t="shared" si="87"/>
        <v>534.97080000000005</v>
      </c>
      <c r="E607" s="42">
        <v>0</v>
      </c>
      <c r="F607" s="42">
        <f t="shared" si="85"/>
        <v>802.45620000000008</v>
      </c>
      <c r="G607" s="108"/>
      <c r="H607" s="116"/>
      <c r="I607" s="36"/>
      <c r="L607" s="105"/>
      <c r="M607" s="105"/>
      <c r="N607" s="36"/>
    </row>
    <row r="608" spans="1:14" s="37" customFormat="1" ht="15.75" customHeight="1" x14ac:dyDescent="0.3">
      <c r="A608" s="103">
        <f t="shared" si="86"/>
        <v>5</v>
      </c>
      <c r="B608" s="104"/>
      <c r="C608" s="52" t="s">
        <v>220</v>
      </c>
      <c r="D608" s="53">
        <f>(41.95)*10.764</f>
        <v>451.5498</v>
      </c>
      <c r="E608" s="42">
        <v>0</v>
      </c>
      <c r="F608" s="42">
        <f t="shared" si="85"/>
        <v>677.32470000000001</v>
      </c>
      <c r="G608" s="108"/>
      <c r="H608" s="116"/>
      <c r="I608" s="36"/>
      <c r="L608" s="105"/>
      <c r="M608" s="105"/>
      <c r="N608" s="36"/>
    </row>
    <row r="609" spans="1:14" s="37" customFormat="1" ht="15.75" customHeight="1" x14ac:dyDescent="0.3">
      <c r="A609" s="103">
        <f t="shared" si="86"/>
        <v>6</v>
      </c>
      <c r="B609" s="104"/>
      <c r="C609" s="52" t="s">
        <v>220</v>
      </c>
      <c r="D609" s="53">
        <f t="shared" ref="D609:D615" si="88">(41.95)*10.764</f>
        <v>451.5498</v>
      </c>
      <c r="E609" s="42">
        <v>0</v>
      </c>
      <c r="F609" s="42">
        <f t="shared" si="85"/>
        <v>677.32470000000001</v>
      </c>
      <c r="G609" s="108"/>
      <c r="H609" s="116"/>
      <c r="I609" s="36"/>
      <c r="L609" s="105"/>
      <c r="M609" s="105"/>
      <c r="N609" s="36"/>
    </row>
    <row r="610" spans="1:14" s="37" customFormat="1" ht="15.75" customHeight="1" x14ac:dyDescent="0.3">
      <c r="A610" s="103">
        <f t="shared" si="86"/>
        <v>7</v>
      </c>
      <c r="B610" s="104"/>
      <c r="C610" s="52" t="s">
        <v>220</v>
      </c>
      <c r="D610" s="53">
        <f t="shared" si="88"/>
        <v>451.5498</v>
      </c>
      <c r="E610" s="42">
        <v>0</v>
      </c>
      <c r="F610" s="42">
        <f t="shared" si="85"/>
        <v>677.32470000000001</v>
      </c>
      <c r="G610" s="108"/>
      <c r="H610" s="116"/>
      <c r="I610" s="36"/>
      <c r="L610" s="105"/>
      <c r="M610" s="105"/>
      <c r="N610" s="36"/>
    </row>
    <row r="611" spans="1:14" s="37" customFormat="1" ht="15.75" customHeight="1" x14ac:dyDescent="0.3">
      <c r="A611" s="103">
        <f t="shared" si="86"/>
        <v>8</v>
      </c>
      <c r="B611" s="104"/>
      <c r="C611" s="52" t="s">
        <v>220</v>
      </c>
      <c r="D611" s="53">
        <f t="shared" si="88"/>
        <v>451.5498</v>
      </c>
      <c r="E611" s="42">
        <v>0</v>
      </c>
      <c r="F611" s="42">
        <f t="shared" si="85"/>
        <v>677.32470000000001</v>
      </c>
      <c r="G611" s="108"/>
      <c r="H611" s="116"/>
      <c r="I611" s="36"/>
      <c r="L611" s="105"/>
      <c r="M611" s="105"/>
      <c r="N611" s="36"/>
    </row>
    <row r="612" spans="1:14" s="37" customFormat="1" ht="15.75" customHeight="1" x14ac:dyDescent="0.3">
      <c r="A612" s="103">
        <f t="shared" si="86"/>
        <v>9</v>
      </c>
      <c r="B612" s="104"/>
      <c r="C612" s="52" t="s">
        <v>220</v>
      </c>
      <c r="D612" s="53">
        <f t="shared" si="88"/>
        <v>451.5498</v>
      </c>
      <c r="E612" s="42">
        <v>0</v>
      </c>
      <c r="F612" s="42">
        <f t="shared" si="85"/>
        <v>677.32470000000001</v>
      </c>
      <c r="G612" s="108"/>
      <c r="H612" s="109"/>
      <c r="I612" s="36"/>
      <c r="L612" s="105"/>
      <c r="M612" s="105"/>
      <c r="N612" s="36"/>
    </row>
    <row r="613" spans="1:14" s="37" customFormat="1" ht="15.75" customHeight="1" x14ac:dyDescent="0.3">
      <c r="A613" s="103">
        <f t="shared" si="86"/>
        <v>10</v>
      </c>
      <c r="B613" s="104"/>
      <c r="C613" s="52" t="s">
        <v>220</v>
      </c>
      <c r="D613" s="53">
        <f t="shared" si="88"/>
        <v>451.5498</v>
      </c>
      <c r="E613" s="42">
        <v>0</v>
      </c>
      <c r="F613" s="42">
        <f t="shared" si="85"/>
        <v>677.32470000000001</v>
      </c>
      <c r="G613" s="108"/>
      <c r="H613" s="109"/>
      <c r="I613" s="36"/>
      <c r="L613" s="105"/>
      <c r="M613" s="105"/>
      <c r="N613" s="36"/>
    </row>
    <row r="614" spans="1:14" s="37" customFormat="1" ht="15.75" customHeight="1" x14ac:dyDescent="0.3">
      <c r="A614" s="103">
        <f t="shared" si="86"/>
        <v>11</v>
      </c>
      <c r="B614" s="104"/>
      <c r="C614" s="52" t="s">
        <v>220</v>
      </c>
      <c r="D614" s="53">
        <f t="shared" si="88"/>
        <v>451.5498</v>
      </c>
      <c r="E614" s="42">
        <v>0</v>
      </c>
      <c r="F614" s="42">
        <f t="shared" si="85"/>
        <v>677.32470000000001</v>
      </c>
      <c r="G614" s="108"/>
      <c r="H614" s="109"/>
      <c r="I614" s="36"/>
      <c r="L614" s="105"/>
      <c r="M614" s="105"/>
      <c r="N614" s="36"/>
    </row>
    <row r="615" spans="1:14" s="37" customFormat="1" ht="15.75" customHeight="1" x14ac:dyDescent="0.3">
      <c r="A615" s="103">
        <f t="shared" si="86"/>
        <v>12</v>
      </c>
      <c r="B615" s="104"/>
      <c r="C615" s="52" t="s">
        <v>220</v>
      </c>
      <c r="D615" s="53">
        <f t="shared" si="88"/>
        <v>451.5498</v>
      </c>
      <c r="E615" s="42">
        <v>0</v>
      </c>
      <c r="F615" s="42">
        <f t="shared" si="85"/>
        <v>677.32470000000001</v>
      </c>
      <c r="G615" s="108"/>
      <c r="H615" s="109"/>
      <c r="I615" s="36"/>
      <c r="L615" s="105"/>
      <c r="M615" s="105"/>
      <c r="N615" s="36"/>
    </row>
    <row r="616" spans="1:14" s="37" customFormat="1" ht="15.75" customHeight="1" x14ac:dyDescent="0.3">
      <c r="A616" s="100" t="s">
        <v>215</v>
      </c>
      <c r="B616" s="101"/>
      <c r="C616" s="101"/>
      <c r="D616" s="101"/>
      <c r="E616" s="101"/>
      <c r="F616" s="101"/>
      <c r="G616" s="101"/>
      <c r="H616" s="102"/>
      <c r="J616" s="36"/>
    </row>
    <row r="617" spans="1:14" s="37" customFormat="1" ht="15.75" customHeight="1" x14ac:dyDescent="0.3">
      <c r="A617" s="103">
        <v>1</v>
      </c>
      <c r="B617" s="104"/>
      <c r="C617" s="52" t="s">
        <v>220</v>
      </c>
      <c r="D617" s="53">
        <f>(49.7)*10.764</f>
        <v>534.97080000000005</v>
      </c>
      <c r="E617" s="42">
        <v>0</v>
      </c>
      <c r="F617" s="42">
        <f>D617*(($F$265)+1)+(IF(E617&lt;101,E617,IF(E617&lt;201,E617/2,IF(E617&lt;=301,E617/3,E617/4))))</f>
        <v>802.45620000000008</v>
      </c>
      <c r="G617" s="106" t="str">
        <f>A616</f>
        <v>8th, 13th, 18th, 23rd &amp; 28th Floor (Part Refuge Area)</v>
      </c>
      <c r="H617" s="107"/>
      <c r="I617" s="36"/>
      <c r="J617" s="36"/>
      <c r="L617" s="105"/>
      <c r="M617" s="105"/>
      <c r="N617" s="36"/>
    </row>
    <row r="618" spans="1:14" s="37" customFormat="1" ht="15.75" customHeight="1" x14ac:dyDescent="0.3">
      <c r="A618" s="103">
        <f t="shared" ref="A618:A628" si="89">A617+1</f>
        <v>2</v>
      </c>
      <c r="B618" s="104"/>
      <c r="C618" s="52" t="s">
        <v>220</v>
      </c>
      <c r="D618" s="53">
        <f t="shared" ref="D618:D619" si="90">(49.7)*10.764</f>
        <v>534.97080000000005</v>
      </c>
      <c r="E618" s="42">
        <v>0</v>
      </c>
      <c r="F618" s="42">
        <f>D618*(($F$265)+1)+(IF(E618&lt;101,E618,IF(E618&lt;201,E618/2,IF(E618&lt;=301,E618/3,E618/4))))</f>
        <v>802.45620000000008</v>
      </c>
      <c r="G618" s="108"/>
      <c r="H618" s="109"/>
      <c r="I618" s="36"/>
      <c r="L618" s="105"/>
      <c r="M618" s="105"/>
      <c r="N618" s="36"/>
    </row>
    <row r="619" spans="1:14" s="37" customFormat="1" ht="15.75" customHeight="1" x14ac:dyDescent="0.3">
      <c r="A619" s="103">
        <f t="shared" si="89"/>
        <v>3</v>
      </c>
      <c r="B619" s="104"/>
      <c r="C619" s="52" t="s">
        <v>220</v>
      </c>
      <c r="D619" s="53">
        <f t="shared" si="90"/>
        <v>534.97080000000005</v>
      </c>
      <c r="E619" s="42">
        <v>0</v>
      </c>
      <c r="F619" s="42">
        <f>D619*(($F$265)+1)+(IF(E619&lt;101,E619,IF(E619&lt;201,E619/2,IF(E619&lt;=301,E619/3,E619/4))))</f>
        <v>802.45620000000008</v>
      </c>
      <c r="G619" s="108"/>
      <c r="H619" s="109"/>
      <c r="I619" s="36"/>
      <c r="L619" s="105"/>
      <c r="M619" s="105"/>
      <c r="N619" s="36"/>
    </row>
    <row r="620" spans="1:14" s="37" customFormat="1" ht="15.75" customHeight="1" x14ac:dyDescent="0.3">
      <c r="A620" s="103">
        <v>4</v>
      </c>
      <c r="B620" s="104"/>
      <c r="C620" s="112" t="s">
        <v>179</v>
      </c>
      <c r="D620" s="113"/>
      <c r="E620" s="113"/>
      <c r="F620" s="114"/>
      <c r="G620" s="108"/>
      <c r="H620" s="109"/>
      <c r="I620" s="36"/>
      <c r="L620" s="105"/>
      <c r="M620" s="105"/>
      <c r="N620" s="36"/>
    </row>
    <row r="621" spans="1:14" s="37" customFormat="1" ht="15.75" customHeight="1" x14ac:dyDescent="0.3">
      <c r="A621" s="103">
        <f t="shared" si="89"/>
        <v>5</v>
      </c>
      <c r="B621" s="104"/>
      <c r="C621" s="52" t="s">
        <v>220</v>
      </c>
      <c r="D621" s="53">
        <f t="shared" ref="D621:D628" si="91">(41.95)*10.764</f>
        <v>451.5498</v>
      </c>
      <c r="E621" s="42">
        <v>0</v>
      </c>
      <c r="F621" s="42">
        <f t="shared" ref="F621:F628" si="92">D621*(($F$265)+1)+(IF(E621&lt;101,E621,IF(E621&lt;201,E621/2,IF(E621&lt;=301,E621/3,E621/4))))</f>
        <v>677.32470000000001</v>
      </c>
      <c r="G621" s="108"/>
      <c r="H621" s="109"/>
      <c r="I621" s="36"/>
      <c r="L621" s="105"/>
      <c r="M621" s="105"/>
      <c r="N621" s="36"/>
    </row>
    <row r="622" spans="1:14" s="37" customFormat="1" ht="15.75" customHeight="1" x14ac:dyDescent="0.3">
      <c r="A622" s="103">
        <f t="shared" si="89"/>
        <v>6</v>
      </c>
      <c r="B622" s="104"/>
      <c r="C622" s="52" t="s">
        <v>220</v>
      </c>
      <c r="D622" s="53">
        <f t="shared" si="91"/>
        <v>451.5498</v>
      </c>
      <c r="E622" s="42">
        <v>0</v>
      </c>
      <c r="F622" s="42">
        <f t="shared" si="92"/>
        <v>677.32470000000001</v>
      </c>
      <c r="G622" s="108"/>
      <c r="H622" s="109"/>
      <c r="I622" s="36"/>
      <c r="L622" s="105"/>
      <c r="M622" s="105"/>
      <c r="N622" s="36"/>
    </row>
    <row r="623" spans="1:14" s="37" customFormat="1" ht="15.75" customHeight="1" x14ac:dyDescent="0.3">
      <c r="A623" s="103">
        <f t="shared" si="89"/>
        <v>7</v>
      </c>
      <c r="B623" s="104"/>
      <c r="C623" s="52" t="s">
        <v>220</v>
      </c>
      <c r="D623" s="53">
        <f t="shared" si="91"/>
        <v>451.5498</v>
      </c>
      <c r="E623" s="42">
        <v>0</v>
      </c>
      <c r="F623" s="42">
        <f t="shared" si="92"/>
        <v>677.32470000000001</v>
      </c>
      <c r="G623" s="108"/>
      <c r="H623" s="109"/>
      <c r="I623" s="36"/>
      <c r="L623" s="105"/>
      <c r="M623" s="105"/>
      <c r="N623" s="36"/>
    </row>
    <row r="624" spans="1:14" s="37" customFormat="1" ht="15.75" customHeight="1" x14ac:dyDescent="0.3">
      <c r="A624" s="103">
        <f t="shared" si="89"/>
        <v>8</v>
      </c>
      <c r="B624" s="104"/>
      <c r="C624" s="52" t="s">
        <v>220</v>
      </c>
      <c r="D624" s="53">
        <f t="shared" si="91"/>
        <v>451.5498</v>
      </c>
      <c r="E624" s="42">
        <v>0</v>
      </c>
      <c r="F624" s="42">
        <f t="shared" si="92"/>
        <v>677.32470000000001</v>
      </c>
      <c r="G624" s="108"/>
      <c r="H624" s="109"/>
      <c r="I624" s="36"/>
      <c r="L624" s="105"/>
      <c r="M624" s="105"/>
      <c r="N624" s="36"/>
    </row>
    <row r="625" spans="1:14" s="37" customFormat="1" ht="15.75" customHeight="1" x14ac:dyDescent="0.3">
      <c r="A625" s="103">
        <f t="shared" si="89"/>
        <v>9</v>
      </c>
      <c r="B625" s="104"/>
      <c r="C625" s="52" t="s">
        <v>220</v>
      </c>
      <c r="D625" s="53">
        <f t="shared" si="91"/>
        <v>451.5498</v>
      </c>
      <c r="E625" s="42">
        <v>0</v>
      </c>
      <c r="F625" s="42">
        <f t="shared" si="92"/>
        <v>677.32470000000001</v>
      </c>
      <c r="G625" s="108"/>
      <c r="H625" s="109"/>
      <c r="I625" s="36"/>
      <c r="L625" s="105"/>
      <c r="M625" s="105"/>
      <c r="N625" s="36"/>
    </row>
    <row r="626" spans="1:14" s="37" customFormat="1" ht="15.75" customHeight="1" x14ac:dyDescent="0.3">
      <c r="A626" s="103">
        <f t="shared" si="89"/>
        <v>10</v>
      </c>
      <c r="B626" s="104"/>
      <c r="C626" s="52" t="s">
        <v>220</v>
      </c>
      <c r="D626" s="53">
        <f t="shared" si="91"/>
        <v>451.5498</v>
      </c>
      <c r="E626" s="42">
        <v>0</v>
      </c>
      <c r="F626" s="42">
        <f t="shared" si="92"/>
        <v>677.32470000000001</v>
      </c>
      <c r="G626" s="108"/>
      <c r="H626" s="109"/>
      <c r="I626" s="36"/>
      <c r="L626" s="105"/>
      <c r="M626" s="105"/>
      <c r="N626" s="36"/>
    </row>
    <row r="627" spans="1:14" s="37" customFormat="1" ht="15.75" customHeight="1" x14ac:dyDescent="0.3">
      <c r="A627" s="103">
        <f t="shared" si="89"/>
        <v>11</v>
      </c>
      <c r="B627" s="104"/>
      <c r="C627" s="52" t="s">
        <v>220</v>
      </c>
      <c r="D627" s="53">
        <f t="shared" si="91"/>
        <v>451.5498</v>
      </c>
      <c r="E627" s="42">
        <v>0</v>
      </c>
      <c r="F627" s="42">
        <f t="shared" si="92"/>
        <v>677.32470000000001</v>
      </c>
      <c r="G627" s="108"/>
      <c r="H627" s="109"/>
      <c r="I627" s="36"/>
      <c r="L627" s="105"/>
      <c r="M627" s="105"/>
      <c r="N627" s="36"/>
    </row>
    <row r="628" spans="1:14" s="37" customFormat="1" ht="15.75" customHeight="1" x14ac:dyDescent="0.3">
      <c r="A628" s="103">
        <f t="shared" si="89"/>
        <v>12</v>
      </c>
      <c r="B628" s="104"/>
      <c r="C628" s="52" t="s">
        <v>220</v>
      </c>
      <c r="D628" s="53">
        <f t="shared" si="91"/>
        <v>451.5498</v>
      </c>
      <c r="E628" s="42">
        <v>0</v>
      </c>
      <c r="F628" s="42">
        <f t="shared" si="92"/>
        <v>677.32470000000001</v>
      </c>
      <c r="G628" s="108"/>
      <c r="H628" s="109"/>
      <c r="I628" s="36"/>
      <c r="L628" s="105"/>
      <c r="M628" s="105"/>
      <c r="N628" s="36"/>
    </row>
    <row r="629" spans="1:14" s="35" customFormat="1" x14ac:dyDescent="0.3">
      <c r="A629" s="187" t="s">
        <v>68</v>
      </c>
      <c r="B629" s="187"/>
      <c r="C629" s="187"/>
      <c r="D629" s="187"/>
      <c r="E629" s="187"/>
      <c r="F629" s="187"/>
      <c r="G629" s="187"/>
      <c r="H629" s="187"/>
    </row>
    <row r="630" spans="1:14" s="35" customFormat="1" ht="63.75" customHeight="1" x14ac:dyDescent="0.3">
      <c r="A630" s="47" t="s">
        <v>151</v>
      </c>
      <c r="B630" s="97" t="s">
        <v>301</v>
      </c>
      <c r="C630" s="98"/>
      <c r="D630" s="98"/>
      <c r="E630" s="98"/>
      <c r="F630" s="98"/>
      <c r="G630" s="98"/>
      <c r="H630" s="99"/>
      <c r="I630" s="35" t="s">
        <v>302</v>
      </c>
    </row>
    <row r="631" spans="1:14" s="35" customFormat="1" x14ac:dyDescent="0.3">
      <c r="A631" s="47" t="s">
        <v>151</v>
      </c>
      <c r="B631" s="97" t="str">
        <f>(IF(F264="Saleable area Loading :","We have considered Saleable area of Flats as per our Calculation.","We considered Saleable area of Flat as per Builder area Sheet."))</f>
        <v>We have considered Saleable area of Flats as per our Calculation.</v>
      </c>
      <c r="C631" s="98"/>
      <c r="D631" s="98"/>
      <c r="E631" s="98"/>
      <c r="F631" s="98"/>
      <c r="G631" s="98"/>
      <c r="H631" s="99"/>
    </row>
    <row r="632" spans="1:14" s="35" customFormat="1" x14ac:dyDescent="0.3">
      <c r="A632" s="47" t="s">
        <v>151</v>
      </c>
      <c r="B632" s="97" t="str">
        <f>(IF(F230="Saleable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632" s="98"/>
      <c r="D632" s="98"/>
      <c r="E632" s="98"/>
      <c r="F632" s="98"/>
      <c r="G632" s="98"/>
      <c r="H632" s="99"/>
    </row>
    <row r="633" spans="1:14" s="35" customFormat="1" x14ac:dyDescent="0.3">
      <c r="A633" s="47" t="s">
        <v>151</v>
      </c>
      <c r="B633" s="177" t="s">
        <v>122</v>
      </c>
      <c r="C633" s="178"/>
      <c r="D633" s="178"/>
      <c r="E633" s="178"/>
      <c r="F633" s="178"/>
      <c r="G633" s="178"/>
      <c r="H633" s="179"/>
    </row>
    <row r="634" spans="1:14" s="35" customFormat="1" x14ac:dyDescent="0.3">
      <c r="A634" s="47" t="s">
        <v>151</v>
      </c>
      <c r="B634" s="177" t="s">
        <v>186</v>
      </c>
      <c r="C634" s="178"/>
      <c r="D634" s="178"/>
      <c r="E634" s="178"/>
      <c r="F634" s="178"/>
      <c r="G634" s="178"/>
      <c r="H634" s="179"/>
    </row>
    <row r="635" spans="1:14" s="35" customFormat="1" x14ac:dyDescent="0.3">
      <c r="A635" s="47" t="s">
        <v>151</v>
      </c>
      <c r="B635" s="177" t="s">
        <v>150</v>
      </c>
      <c r="C635" s="178"/>
      <c r="D635" s="178"/>
      <c r="E635" s="178"/>
      <c r="F635" s="178"/>
      <c r="G635" s="178"/>
      <c r="H635" s="179"/>
    </row>
    <row r="636" spans="1:14" s="35" customFormat="1" x14ac:dyDescent="0.3">
      <c r="A636" s="47" t="s">
        <v>151</v>
      </c>
      <c r="B636" s="177" t="s">
        <v>123</v>
      </c>
      <c r="C636" s="178"/>
      <c r="D636" s="178"/>
      <c r="E636" s="178"/>
      <c r="F636" s="178"/>
      <c r="G636" s="178"/>
      <c r="H636" s="179"/>
    </row>
    <row r="637" spans="1:14" s="35" customFormat="1" ht="34.5" customHeight="1" x14ac:dyDescent="0.3">
      <c r="A637" s="47" t="s">
        <v>151</v>
      </c>
      <c r="B637" s="177" t="s">
        <v>152</v>
      </c>
      <c r="C637" s="178"/>
      <c r="D637" s="178"/>
      <c r="E637" s="178"/>
      <c r="F637" s="178"/>
      <c r="G637" s="178"/>
      <c r="H637" s="179"/>
    </row>
    <row r="638" spans="1:14" s="35" customFormat="1" x14ac:dyDescent="0.3">
      <c r="A638" s="47" t="s">
        <v>151</v>
      </c>
      <c r="B638" s="177" t="s">
        <v>124</v>
      </c>
      <c r="C638" s="178"/>
      <c r="D638" s="178"/>
      <c r="E638" s="178"/>
      <c r="F638" s="178"/>
      <c r="G638" s="178"/>
      <c r="H638" s="179"/>
    </row>
    <row r="639" spans="1:14" s="35" customFormat="1" ht="36" customHeight="1" x14ac:dyDescent="0.3">
      <c r="A639" s="47" t="s">
        <v>151</v>
      </c>
      <c r="B639" s="177" t="s">
        <v>218</v>
      </c>
      <c r="C639" s="178"/>
      <c r="D639" s="178"/>
      <c r="E639" s="178"/>
      <c r="F639" s="178"/>
      <c r="G639" s="178"/>
      <c r="H639" s="179"/>
    </row>
    <row r="640" spans="1:14" s="35" customFormat="1" ht="33.75" customHeight="1" x14ac:dyDescent="0.3">
      <c r="A640" s="47" t="s">
        <v>151</v>
      </c>
      <c r="B640" s="97" t="s">
        <v>253</v>
      </c>
      <c r="C640" s="98"/>
      <c r="D640" s="98"/>
      <c r="E640" s="98"/>
      <c r="F640" s="98"/>
      <c r="G640" s="98"/>
      <c r="H640" s="99"/>
    </row>
    <row r="641" spans="1:8" s="35" customFormat="1" ht="33.75" customHeight="1" x14ac:dyDescent="0.3">
      <c r="A641" s="47" t="s">
        <v>151</v>
      </c>
      <c r="B641" s="97" t="s">
        <v>234</v>
      </c>
      <c r="C641" s="98"/>
      <c r="D641" s="98"/>
      <c r="E641" s="98"/>
      <c r="F641" s="98"/>
      <c r="G641" s="98"/>
      <c r="H641" s="99"/>
    </row>
    <row r="642" spans="1:8" s="35" customFormat="1" ht="15.75" customHeight="1" x14ac:dyDescent="0.3">
      <c r="A642" s="47" t="s">
        <v>151</v>
      </c>
      <c r="B642" s="217" t="s">
        <v>236</v>
      </c>
      <c r="C642" s="217"/>
      <c r="D642" s="217"/>
      <c r="E642" s="218" t="s">
        <v>244</v>
      </c>
      <c r="F642" s="218"/>
      <c r="G642" s="218"/>
      <c r="H642" s="219"/>
    </row>
    <row r="643" spans="1:8" s="35" customFormat="1" ht="48.75" customHeight="1" x14ac:dyDescent="0.3">
      <c r="A643" s="62" t="s">
        <v>238</v>
      </c>
      <c r="B643" s="220" t="s">
        <v>237</v>
      </c>
      <c r="C643" s="220"/>
      <c r="D643" s="220"/>
      <c r="E643" s="220" t="s">
        <v>241</v>
      </c>
      <c r="F643" s="220"/>
      <c r="G643" s="220"/>
      <c r="H643" s="220"/>
    </row>
    <row r="644" spans="1:8" s="35" customFormat="1" ht="48.75" customHeight="1" x14ac:dyDescent="0.3">
      <c r="A644" s="61" t="s">
        <v>242</v>
      </c>
      <c r="B644" s="220" t="s">
        <v>239</v>
      </c>
      <c r="C644" s="220"/>
      <c r="D644" s="220"/>
      <c r="E644" s="220" t="s">
        <v>240</v>
      </c>
      <c r="F644" s="220"/>
      <c r="G644" s="220"/>
      <c r="H644" s="220"/>
    </row>
    <row r="645" spans="1:8" s="35" customFormat="1" ht="33.75" customHeight="1" x14ac:dyDescent="0.3">
      <c r="A645" s="47" t="s">
        <v>151</v>
      </c>
      <c r="B645" s="97" t="s">
        <v>243</v>
      </c>
      <c r="C645" s="98"/>
      <c r="D645" s="98"/>
      <c r="E645" s="98"/>
      <c r="F645" s="98"/>
      <c r="G645" s="98"/>
      <c r="H645" s="99"/>
    </row>
    <row r="646" spans="1:8" s="35" customFormat="1" x14ac:dyDescent="0.3">
      <c r="A646" s="47" t="s">
        <v>151</v>
      </c>
      <c r="B646" s="97" t="s">
        <v>248</v>
      </c>
      <c r="C646" s="98"/>
      <c r="D646" s="98"/>
      <c r="E646" s="98"/>
      <c r="F646" s="98"/>
      <c r="G646" s="98"/>
      <c r="H646" s="99"/>
    </row>
    <row r="647" spans="1:8" x14ac:dyDescent="0.3">
      <c r="A647" s="174" t="s">
        <v>61</v>
      </c>
      <c r="B647" s="175"/>
      <c r="C647" s="175"/>
      <c r="D647" s="175"/>
      <c r="E647" s="175"/>
      <c r="F647" s="175"/>
      <c r="G647" s="175"/>
      <c r="H647" s="176"/>
    </row>
    <row r="648" spans="1:8" x14ac:dyDescent="0.3">
      <c r="A648" s="95" t="s">
        <v>62</v>
      </c>
      <c r="B648" s="95"/>
      <c r="C648" s="95"/>
      <c r="D648" s="95"/>
      <c r="E648" s="95"/>
      <c r="F648" s="95"/>
      <c r="G648" s="95"/>
      <c r="H648" s="95"/>
    </row>
    <row r="649" spans="1:8" ht="15.75" customHeight="1" x14ac:dyDescent="0.3">
      <c r="A649" s="145" t="s">
        <v>63</v>
      </c>
      <c r="B649" s="145"/>
      <c r="C649" s="145"/>
      <c r="D649" s="145"/>
      <c r="E649" s="145"/>
      <c r="F649" s="145"/>
      <c r="G649" s="145"/>
      <c r="H649" s="145"/>
    </row>
    <row r="650" spans="1:8" x14ac:dyDescent="0.3">
      <c r="A650" s="95" t="s">
        <v>64</v>
      </c>
      <c r="B650" s="95"/>
      <c r="C650" s="95"/>
      <c r="D650" s="95"/>
      <c r="E650" s="95"/>
      <c r="F650" s="95"/>
      <c r="G650" s="95"/>
      <c r="H650" s="95"/>
    </row>
    <row r="651" spans="1:8" x14ac:dyDescent="0.3">
      <c r="A651" s="95" t="s">
        <v>65</v>
      </c>
      <c r="B651" s="95"/>
      <c r="C651" s="95"/>
      <c r="D651" s="95"/>
      <c r="E651" s="95"/>
      <c r="F651" s="95"/>
      <c r="G651" s="95"/>
      <c r="H651" s="95"/>
    </row>
    <row r="652" spans="1:8" x14ac:dyDescent="0.3">
      <c r="A652" s="95" t="s">
        <v>125</v>
      </c>
      <c r="B652" s="95"/>
      <c r="C652" s="95"/>
      <c r="D652" s="95"/>
      <c r="E652" s="95"/>
      <c r="F652" s="95"/>
      <c r="G652" s="95"/>
      <c r="H652" s="95"/>
    </row>
    <row r="653" spans="1:8" x14ac:dyDescent="0.3">
      <c r="A653" s="169" t="s">
        <v>126</v>
      </c>
      <c r="B653" s="169"/>
      <c r="C653" s="169"/>
      <c r="D653" s="169"/>
      <c r="E653" s="169"/>
      <c r="F653" s="169"/>
      <c r="G653" s="169"/>
      <c r="H653" s="169"/>
    </row>
    <row r="654" spans="1:8" x14ac:dyDescent="0.3">
      <c r="A654" s="184" t="s">
        <v>78</v>
      </c>
      <c r="B654" s="184"/>
      <c r="C654" s="184" t="s">
        <v>164</v>
      </c>
      <c r="D654" s="184"/>
      <c r="E654" s="184" t="s">
        <v>103</v>
      </c>
      <c r="F654" s="184"/>
      <c r="G654" s="184" t="s">
        <v>303</v>
      </c>
      <c r="H654" s="184"/>
    </row>
    <row r="655" spans="1:8" x14ac:dyDescent="0.3">
      <c r="A655" s="183" t="s">
        <v>80</v>
      </c>
      <c r="B655" s="183"/>
      <c r="C655" s="183"/>
      <c r="D655" s="183"/>
      <c r="E655" s="183"/>
      <c r="F655" s="183"/>
      <c r="G655" s="183"/>
      <c r="H655" s="183"/>
    </row>
    <row r="656" spans="1:8" x14ac:dyDescent="0.3">
      <c r="A656" s="183"/>
      <c r="B656" s="183"/>
      <c r="C656" s="183"/>
      <c r="D656" s="183"/>
      <c r="E656" s="183"/>
      <c r="F656" s="183"/>
      <c r="G656" s="183"/>
      <c r="H656" s="183"/>
    </row>
    <row r="657" spans="1:8" x14ac:dyDescent="0.3">
      <c r="A657" s="183"/>
      <c r="B657" s="183"/>
      <c r="C657" s="183"/>
      <c r="D657" s="183"/>
      <c r="E657" s="183"/>
      <c r="F657" s="183"/>
      <c r="G657" s="183"/>
      <c r="H657" s="183"/>
    </row>
    <row r="658" spans="1:8" x14ac:dyDescent="0.3">
      <c r="A658" s="183"/>
      <c r="B658" s="183"/>
      <c r="C658" s="183"/>
      <c r="D658" s="183"/>
      <c r="E658" s="183"/>
      <c r="F658" s="183"/>
      <c r="G658" s="183"/>
      <c r="H658" s="183"/>
    </row>
    <row r="659" spans="1:8" x14ac:dyDescent="0.3">
      <c r="A659" s="38" t="s">
        <v>66</v>
      </c>
      <c r="B659" s="39"/>
      <c r="C659" s="39"/>
      <c r="D659" s="38" t="str">
        <f>E8</f>
        <v>Dosti Greater Thane - Sector 3A ­ Cluster 2 ­ Phase 1, 2, 3 &amp; 4</v>
      </c>
      <c r="F659" s="39"/>
      <c r="G659" s="39"/>
      <c r="H659" s="39"/>
    </row>
    <row r="660" spans="1:8" x14ac:dyDescent="0.3">
      <c r="A660" s="39"/>
      <c r="B660" s="39"/>
      <c r="C660" s="39"/>
      <c r="D660" s="39"/>
      <c r="E660" s="39"/>
      <c r="F660" s="39"/>
      <c r="G660" s="39"/>
      <c r="H660" s="39"/>
    </row>
    <row r="661" spans="1:8" x14ac:dyDescent="0.3">
      <c r="A661" s="39"/>
      <c r="B661" s="39"/>
      <c r="C661" s="39"/>
      <c r="D661" s="39"/>
      <c r="E661" s="39"/>
      <c r="F661" s="39"/>
      <c r="G661" s="39"/>
      <c r="H661" s="39"/>
    </row>
    <row r="662" spans="1:8" ht="15" customHeight="1" x14ac:dyDescent="0.3"/>
    <row r="701" spans="1:1" x14ac:dyDescent="0.3">
      <c r="A701" s="41" t="s">
        <v>161</v>
      </c>
    </row>
    <row r="739" spans="1:1" x14ac:dyDescent="0.3">
      <c r="A739" s="41" t="s">
        <v>67</v>
      </c>
    </row>
    <row r="780" hidden="1" x14ac:dyDescent="0.3"/>
  </sheetData>
  <mergeCells count="1221">
    <mergeCell ref="I11:L11"/>
    <mergeCell ref="A187:B187"/>
    <mergeCell ref="C187:H187"/>
    <mergeCell ref="A189:B189"/>
    <mergeCell ref="C189:H189"/>
    <mergeCell ref="A190:B190"/>
    <mergeCell ref="E190:F190"/>
    <mergeCell ref="G190:H190"/>
    <mergeCell ref="A191:B191"/>
    <mergeCell ref="E191:F200"/>
    <mergeCell ref="G191:H200"/>
    <mergeCell ref="K12:N12"/>
    <mergeCell ref="K13:N13"/>
    <mergeCell ref="K14:N14"/>
    <mergeCell ref="K15:N15"/>
    <mergeCell ref="K16:N16"/>
    <mergeCell ref="A12:D16"/>
    <mergeCell ref="F12:G12"/>
    <mergeCell ref="A96:B96"/>
    <mergeCell ref="A97:B97"/>
    <mergeCell ref="A98:B98"/>
    <mergeCell ref="A99:B99"/>
    <mergeCell ref="A100:B100"/>
    <mergeCell ref="A101:B101"/>
    <mergeCell ref="A102:B102"/>
    <mergeCell ref="A173:B173"/>
    <mergeCell ref="C173:H173"/>
    <mergeCell ref="A175:B175"/>
    <mergeCell ref="C175:H175"/>
    <mergeCell ref="A85:B85"/>
    <mergeCell ref="A86:B86"/>
    <mergeCell ref="A87:B87"/>
    <mergeCell ref="A88:B88"/>
    <mergeCell ref="A176:B176"/>
    <mergeCell ref="E176:F176"/>
    <mergeCell ref="G176:H176"/>
    <mergeCell ref="A177:B177"/>
    <mergeCell ref="E177:F186"/>
    <mergeCell ref="G177:H186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B645:H645"/>
    <mergeCell ref="B642:D642"/>
    <mergeCell ref="E642:H642"/>
    <mergeCell ref="B643:D643"/>
    <mergeCell ref="E643:H643"/>
    <mergeCell ref="B644:D644"/>
    <mergeCell ref="E644:H644"/>
    <mergeCell ref="A223:A224"/>
    <mergeCell ref="C479:F479"/>
    <mergeCell ref="A602:H602"/>
    <mergeCell ref="A472:B472"/>
    <mergeCell ref="A587:B587"/>
    <mergeCell ref="A533:B533"/>
    <mergeCell ref="C533:F533"/>
    <mergeCell ref="G528:H541"/>
    <mergeCell ref="A507:B507"/>
    <mergeCell ref="A470:B470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70:B170"/>
    <mergeCell ref="G218:H218"/>
    <mergeCell ref="A202:E202"/>
    <mergeCell ref="F201:H201"/>
    <mergeCell ref="F206:H206"/>
    <mergeCell ref="E134:F134"/>
    <mergeCell ref="L477:M477"/>
    <mergeCell ref="A233:H233"/>
    <mergeCell ref="A235:H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A478:B478"/>
    <mergeCell ref="A445:B445"/>
    <mergeCell ref="L445:M445"/>
    <mergeCell ref="A446:B446"/>
    <mergeCell ref="L446:M446"/>
    <mergeCell ref="A454:B454"/>
    <mergeCell ref="L454:M454"/>
    <mergeCell ref="A455:B455"/>
    <mergeCell ref="L455:M455"/>
    <mergeCell ref="A456:B456"/>
    <mergeCell ref="L468:M468"/>
    <mergeCell ref="A469:B469"/>
    <mergeCell ref="L469:M469"/>
    <mergeCell ref="L470:M470"/>
    <mergeCell ref="A471:B471"/>
    <mergeCell ref="L471:M471"/>
    <mergeCell ref="L599:M599"/>
    <mergeCell ref="L546:M546"/>
    <mergeCell ref="A547:B547"/>
    <mergeCell ref="L547:M547"/>
    <mergeCell ref="A517:B517"/>
    <mergeCell ref="L517:M517"/>
    <mergeCell ref="L464:M464"/>
    <mergeCell ref="A475:B475"/>
    <mergeCell ref="L475:M475"/>
    <mergeCell ref="A476:B476"/>
    <mergeCell ref="L476:M476"/>
    <mergeCell ref="A527:H527"/>
    <mergeCell ref="A528:B528"/>
    <mergeCell ref="L533:M533"/>
    <mergeCell ref="A534:B534"/>
    <mergeCell ref="L534:M534"/>
    <mergeCell ref="A604:B604"/>
    <mergeCell ref="L604:M604"/>
    <mergeCell ref="A605:B605"/>
    <mergeCell ref="L605:M605"/>
    <mergeCell ref="A606:B606"/>
    <mergeCell ref="L606:M606"/>
    <mergeCell ref="A589:H589"/>
    <mergeCell ref="A590:B590"/>
    <mergeCell ref="G590:H601"/>
    <mergeCell ref="L590:M590"/>
    <mergeCell ref="A535:B535"/>
    <mergeCell ref="L584:M584"/>
    <mergeCell ref="A585:B585"/>
    <mergeCell ref="L585:M585"/>
    <mergeCell ref="L601:M601"/>
    <mergeCell ref="A591:B591"/>
    <mergeCell ref="L591:M591"/>
    <mergeCell ref="A592:B592"/>
    <mergeCell ref="L592:M592"/>
    <mergeCell ref="A593:B593"/>
    <mergeCell ref="C593:F593"/>
    <mergeCell ref="L593:M593"/>
    <mergeCell ref="A594:B594"/>
    <mergeCell ref="L594:M594"/>
    <mergeCell ref="A595:B595"/>
    <mergeCell ref="A579:B579"/>
    <mergeCell ref="L579:M579"/>
    <mergeCell ref="A580:B580"/>
    <mergeCell ref="L580:M580"/>
    <mergeCell ref="A581:B581"/>
    <mergeCell ref="L581:M581"/>
    <mergeCell ref="A546:B546"/>
    <mergeCell ref="A246:H246"/>
    <mergeCell ref="A474:B474"/>
    <mergeCell ref="L474:M474"/>
    <mergeCell ref="A463:B463"/>
    <mergeCell ref="L463:M463"/>
    <mergeCell ref="A464:B464"/>
    <mergeCell ref="L460:M460"/>
    <mergeCell ref="A461:B461"/>
    <mergeCell ref="L461:M461"/>
    <mergeCell ref="A462:B462"/>
    <mergeCell ref="L462:M462"/>
    <mergeCell ref="A465:H465"/>
    <mergeCell ref="A586:B586"/>
    <mergeCell ref="L586:M586"/>
    <mergeCell ref="L531:M531"/>
    <mergeCell ref="A574:H574"/>
    <mergeCell ref="A576:H576"/>
    <mergeCell ref="A577:B577"/>
    <mergeCell ref="A522:B522"/>
    <mergeCell ref="L522:M522"/>
    <mergeCell ref="A523:B523"/>
    <mergeCell ref="L523:M523"/>
    <mergeCell ref="L535:M535"/>
    <mergeCell ref="A536:B536"/>
    <mergeCell ref="A582:B582"/>
    <mergeCell ref="L582:M582"/>
    <mergeCell ref="A583:B583"/>
    <mergeCell ref="L583:M583"/>
    <mergeCell ref="A584:B584"/>
    <mergeCell ref="G513:H526"/>
    <mergeCell ref="L513:M513"/>
    <mergeCell ref="A514:B514"/>
    <mergeCell ref="L472:M472"/>
    <mergeCell ref="A473:B473"/>
    <mergeCell ref="A539:B539"/>
    <mergeCell ref="L539:M539"/>
    <mergeCell ref="A540:B540"/>
    <mergeCell ref="L540:M540"/>
    <mergeCell ref="A532:B532"/>
    <mergeCell ref="L532:M532"/>
    <mergeCell ref="L514:M514"/>
    <mergeCell ref="A515:B515"/>
    <mergeCell ref="L515:M515"/>
    <mergeCell ref="A530:B530"/>
    <mergeCell ref="L530:M530"/>
    <mergeCell ref="A531:B531"/>
    <mergeCell ref="A504:B504"/>
    <mergeCell ref="L504:M504"/>
    <mergeCell ref="A505:B505"/>
    <mergeCell ref="L505:M505"/>
    <mergeCell ref="A506:B506"/>
    <mergeCell ref="L506:M506"/>
    <mergeCell ref="L508:M508"/>
    <mergeCell ref="L516:M516"/>
    <mergeCell ref="A518:B518"/>
    <mergeCell ref="L518:M518"/>
    <mergeCell ref="A519:B519"/>
    <mergeCell ref="L519:M519"/>
    <mergeCell ref="A520:B520"/>
    <mergeCell ref="L520:M520"/>
    <mergeCell ref="A521:B521"/>
    <mergeCell ref="L521:M521"/>
    <mergeCell ref="A510:H510"/>
    <mergeCell ref="A511:H511"/>
    <mergeCell ref="L587:M587"/>
    <mergeCell ref="A617:B617"/>
    <mergeCell ref="L595:M595"/>
    <mergeCell ref="L617:M617"/>
    <mergeCell ref="A601:B601"/>
    <mergeCell ref="A596:B596"/>
    <mergeCell ref="A600:B600"/>
    <mergeCell ref="L600:M600"/>
    <mergeCell ref="L596:M596"/>
    <mergeCell ref="A597:B597"/>
    <mergeCell ref="L597:M597"/>
    <mergeCell ref="A598:B598"/>
    <mergeCell ref="L598:M598"/>
    <mergeCell ref="A588:B588"/>
    <mergeCell ref="L588:M588"/>
    <mergeCell ref="G577:H588"/>
    <mergeCell ref="L577:M577"/>
    <mergeCell ref="A578:B578"/>
    <mergeCell ref="L578:M578"/>
    <mergeCell ref="L614:M614"/>
    <mergeCell ref="A616:H616"/>
    <mergeCell ref="G617:H628"/>
    <mergeCell ref="A618:B618"/>
    <mergeCell ref="L618:M618"/>
    <mergeCell ref="A619:B619"/>
    <mergeCell ref="L619:M619"/>
    <mergeCell ref="A620:B620"/>
    <mergeCell ref="C620:F620"/>
    <mergeCell ref="L620:M620"/>
    <mergeCell ref="A621:B621"/>
    <mergeCell ref="L621:M621"/>
    <mergeCell ref="A622:B622"/>
    <mergeCell ref="A541:B541"/>
    <mergeCell ref="L541:M541"/>
    <mergeCell ref="A545:B545"/>
    <mergeCell ref="L545:M545"/>
    <mergeCell ref="L536:M536"/>
    <mergeCell ref="A537:B537"/>
    <mergeCell ref="L537:M537"/>
    <mergeCell ref="A538:B538"/>
    <mergeCell ref="L538:M538"/>
    <mergeCell ref="G545:H558"/>
    <mergeCell ref="A548:B548"/>
    <mergeCell ref="A512:H512"/>
    <mergeCell ref="A513:B513"/>
    <mergeCell ref="A516:B516"/>
    <mergeCell ref="A524:B524"/>
    <mergeCell ref="L524:M524"/>
    <mergeCell ref="A525:B525"/>
    <mergeCell ref="L525:M525"/>
    <mergeCell ref="A526:B526"/>
    <mergeCell ref="L526:M526"/>
    <mergeCell ref="L489:M489"/>
    <mergeCell ref="A490:B490"/>
    <mergeCell ref="L490:M490"/>
    <mergeCell ref="A491:B491"/>
    <mergeCell ref="L491:M491"/>
    <mergeCell ref="A492:B492"/>
    <mergeCell ref="L528:M528"/>
    <mergeCell ref="A529:B529"/>
    <mergeCell ref="L529:M529"/>
    <mergeCell ref="A496:H496"/>
    <mergeCell ref="A493:B493"/>
    <mergeCell ref="L493:M493"/>
    <mergeCell ref="A494:B494"/>
    <mergeCell ref="L494:M494"/>
    <mergeCell ref="A495:B495"/>
    <mergeCell ref="L495:M495"/>
    <mergeCell ref="A497:B497"/>
    <mergeCell ref="G497:H508"/>
    <mergeCell ref="L497:M497"/>
    <mergeCell ref="A498:B498"/>
    <mergeCell ref="L498:M498"/>
    <mergeCell ref="A499:B499"/>
    <mergeCell ref="L499:M499"/>
    <mergeCell ref="A500:B500"/>
    <mergeCell ref="L500:M500"/>
    <mergeCell ref="A501:B501"/>
    <mergeCell ref="L501:M501"/>
    <mergeCell ref="A502:B502"/>
    <mergeCell ref="C502:F502"/>
    <mergeCell ref="L502:M502"/>
    <mergeCell ref="A503:B503"/>
    <mergeCell ref="L503:M503"/>
    <mergeCell ref="L478:M478"/>
    <mergeCell ref="A479:B479"/>
    <mergeCell ref="L479:M479"/>
    <mergeCell ref="L473:M473"/>
    <mergeCell ref="A444:B444"/>
    <mergeCell ref="L444:M444"/>
    <mergeCell ref="L507:M507"/>
    <mergeCell ref="A508:B508"/>
    <mergeCell ref="A480:H480"/>
    <mergeCell ref="A481:H481"/>
    <mergeCell ref="A482:H482"/>
    <mergeCell ref="A433:H433"/>
    <mergeCell ref="A447:B447"/>
    <mergeCell ref="L447:M447"/>
    <mergeCell ref="A448:B448"/>
    <mergeCell ref="L448:M448"/>
    <mergeCell ref="A449:B449"/>
    <mergeCell ref="L449:M449"/>
    <mergeCell ref="A450:H450"/>
    <mergeCell ref="A483:H483"/>
    <mergeCell ref="A484:B484"/>
    <mergeCell ref="G484:H495"/>
    <mergeCell ref="L484:M484"/>
    <mergeCell ref="A485:B485"/>
    <mergeCell ref="L485:M485"/>
    <mergeCell ref="A486:B486"/>
    <mergeCell ref="L486:M486"/>
    <mergeCell ref="A487:B487"/>
    <mergeCell ref="L487:M487"/>
    <mergeCell ref="A488:B488"/>
    <mergeCell ref="L488:M488"/>
    <mergeCell ref="A489:B489"/>
    <mergeCell ref="L428:M428"/>
    <mergeCell ref="A429:B429"/>
    <mergeCell ref="L429:M429"/>
    <mergeCell ref="A430:B430"/>
    <mergeCell ref="L430:M430"/>
    <mergeCell ref="L400:M400"/>
    <mergeCell ref="L492:M492"/>
    <mergeCell ref="L443:M443"/>
    <mergeCell ref="A466:B466"/>
    <mergeCell ref="G466:H479"/>
    <mergeCell ref="L466:M466"/>
    <mergeCell ref="A467:B467"/>
    <mergeCell ref="L467:M467"/>
    <mergeCell ref="A468:B468"/>
    <mergeCell ref="A434:H434"/>
    <mergeCell ref="A435:H435"/>
    <mergeCell ref="A436:B436"/>
    <mergeCell ref="G436:H449"/>
    <mergeCell ref="L436:M436"/>
    <mergeCell ref="A437:B437"/>
    <mergeCell ref="L437:M437"/>
    <mergeCell ref="A438:B438"/>
    <mergeCell ref="L438:M438"/>
    <mergeCell ref="A439:B439"/>
    <mergeCell ref="L439:M439"/>
    <mergeCell ref="A440:B440"/>
    <mergeCell ref="L440:M440"/>
    <mergeCell ref="L456:M456"/>
    <mergeCell ref="A457:B457"/>
    <mergeCell ref="L457:M457"/>
    <mergeCell ref="A458:B458"/>
    <mergeCell ref="L458:M458"/>
    <mergeCell ref="L413:M413"/>
    <mergeCell ref="A415:B415"/>
    <mergeCell ref="L415:M415"/>
    <mergeCell ref="A416:B416"/>
    <mergeCell ref="L416:M416"/>
    <mergeCell ref="L404:M404"/>
    <mergeCell ref="A477:B477"/>
    <mergeCell ref="A234:H234"/>
    <mergeCell ref="L417:M417"/>
    <mergeCell ref="A374:H374"/>
    <mergeCell ref="A375:H375"/>
    <mergeCell ref="A451:B451"/>
    <mergeCell ref="G451:H464"/>
    <mergeCell ref="L451:M451"/>
    <mergeCell ref="A452:B452"/>
    <mergeCell ref="L452:M452"/>
    <mergeCell ref="A453:B453"/>
    <mergeCell ref="L453:M453"/>
    <mergeCell ref="A441:B441"/>
    <mergeCell ref="L441:M441"/>
    <mergeCell ref="A442:B442"/>
    <mergeCell ref="L442:M442"/>
    <mergeCell ref="A443:B443"/>
    <mergeCell ref="A459:B459"/>
    <mergeCell ref="L459:M459"/>
    <mergeCell ref="A460:B460"/>
    <mergeCell ref="L242:M242"/>
    <mergeCell ref="A243:B243"/>
    <mergeCell ref="L243:M243"/>
    <mergeCell ref="A427:B427"/>
    <mergeCell ref="L427:M427"/>
    <mergeCell ref="A428:B428"/>
    <mergeCell ref="A422:B422"/>
    <mergeCell ref="L422:M422"/>
    <mergeCell ref="A423:B423"/>
    <mergeCell ref="L423:M423"/>
    <mergeCell ref="A424:B424"/>
    <mergeCell ref="L424:M424"/>
    <mergeCell ref="A425:B425"/>
    <mergeCell ref="L425:M425"/>
    <mergeCell ref="A426:B426"/>
    <mergeCell ref="L426:M426"/>
    <mergeCell ref="A418:B418"/>
    <mergeCell ref="L418:M418"/>
    <mergeCell ref="A419:B419"/>
    <mergeCell ref="L419:M419"/>
    <mergeCell ref="A420:B420"/>
    <mergeCell ref="L420:M420"/>
    <mergeCell ref="A421:B421"/>
    <mergeCell ref="L421:M421"/>
    <mergeCell ref="A390:B390"/>
    <mergeCell ref="L390:M390"/>
    <mergeCell ref="A391:B391"/>
    <mergeCell ref="L391:M391"/>
    <mergeCell ref="A392:B392"/>
    <mergeCell ref="L392:M392"/>
    <mergeCell ref="A408:B408"/>
    <mergeCell ref="L408:M408"/>
    <mergeCell ref="A409:B409"/>
    <mergeCell ref="L409:M409"/>
    <mergeCell ref="A398:B398"/>
    <mergeCell ref="L398:M398"/>
    <mergeCell ref="A399:B399"/>
    <mergeCell ref="L399:M399"/>
    <mergeCell ref="A400:B400"/>
    <mergeCell ref="A401:B401"/>
    <mergeCell ref="L401:M401"/>
    <mergeCell ref="A402:B402"/>
    <mergeCell ref="L402:M402"/>
    <mergeCell ref="A403:B403"/>
    <mergeCell ref="L403:M403"/>
    <mergeCell ref="A404:B404"/>
    <mergeCell ref="L383:M383"/>
    <mergeCell ref="A384:B384"/>
    <mergeCell ref="L384:M384"/>
    <mergeCell ref="A385:B385"/>
    <mergeCell ref="L385:M385"/>
    <mergeCell ref="A386:B386"/>
    <mergeCell ref="L386:M386"/>
    <mergeCell ref="A383:B383"/>
    <mergeCell ref="A396:B396"/>
    <mergeCell ref="L396:M396"/>
    <mergeCell ref="A397:B397"/>
    <mergeCell ref="L397:M397"/>
    <mergeCell ref="A387:B387"/>
    <mergeCell ref="L410:M410"/>
    <mergeCell ref="A411:B411"/>
    <mergeCell ref="A413:B413"/>
    <mergeCell ref="L387:M387"/>
    <mergeCell ref="A393:B393"/>
    <mergeCell ref="L393:M393"/>
    <mergeCell ref="A406:B406"/>
    <mergeCell ref="L406:M406"/>
    <mergeCell ref="A407:B407"/>
    <mergeCell ref="L407:M407"/>
    <mergeCell ref="A410:B410"/>
    <mergeCell ref="A394:B394"/>
    <mergeCell ref="L394:M394"/>
    <mergeCell ref="L411:M411"/>
    <mergeCell ref="L405:M405"/>
    <mergeCell ref="A388:B388"/>
    <mergeCell ref="L388:M388"/>
    <mergeCell ref="A389:B389"/>
    <mergeCell ref="L389:M389"/>
    <mergeCell ref="L357:M357"/>
    <mergeCell ref="A358:B358"/>
    <mergeCell ref="L358:M358"/>
    <mergeCell ref="A359:B359"/>
    <mergeCell ref="L359:M359"/>
    <mergeCell ref="A360:B360"/>
    <mergeCell ref="L360:M360"/>
    <mergeCell ref="A361:B361"/>
    <mergeCell ref="C361:F361"/>
    <mergeCell ref="L361:M361"/>
    <mergeCell ref="A362:B362"/>
    <mergeCell ref="L362:M362"/>
    <mergeCell ref="A363:B363"/>
    <mergeCell ref="L310:M310"/>
    <mergeCell ref="A311:B311"/>
    <mergeCell ref="L311:M311"/>
    <mergeCell ref="A312:B312"/>
    <mergeCell ref="L312:M312"/>
    <mergeCell ref="A314:B314"/>
    <mergeCell ref="L314:M314"/>
    <mergeCell ref="L331:M331"/>
    <mergeCell ref="L332:M332"/>
    <mergeCell ref="L333:M333"/>
    <mergeCell ref="L334:M334"/>
    <mergeCell ref="A343:B343"/>
    <mergeCell ref="L343:M343"/>
    <mergeCell ref="A344:B344"/>
    <mergeCell ref="L344:M344"/>
    <mergeCell ref="A345:B345"/>
    <mergeCell ref="A307:B307"/>
    <mergeCell ref="L307:M307"/>
    <mergeCell ref="A308:B308"/>
    <mergeCell ref="L308:M308"/>
    <mergeCell ref="C306:F306"/>
    <mergeCell ref="A309:B309"/>
    <mergeCell ref="L309:M309"/>
    <mergeCell ref="A382:B382"/>
    <mergeCell ref="L382:M382"/>
    <mergeCell ref="L378:M378"/>
    <mergeCell ref="A379:B379"/>
    <mergeCell ref="L347:M347"/>
    <mergeCell ref="L348:M348"/>
    <mergeCell ref="L349:M349"/>
    <mergeCell ref="A350:B350"/>
    <mergeCell ref="L350:M350"/>
    <mergeCell ref="A351:B351"/>
    <mergeCell ref="L353:M353"/>
    <mergeCell ref="A354:B354"/>
    <mergeCell ref="L354:M354"/>
    <mergeCell ref="A355:H355"/>
    <mergeCell ref="A356:B356"/>
    <mergeCell ref="G356:H373"/>
    <mergeCell ref="L356:M356"/>
    <mergeCell ref="A369:B369"/>
    <mergeCell ref="L367:M367"/>
    <mergeCell ref="A368:B368"/>
    <mergeCell ref="L368:M368"/>
    <mergeCell ref="A372:B372"/>
    <mergeCell ref="L372:M372"/>
    <mergeCell ref="A373:B373"/>
    <mergeCell ref="L370:M370"/>
    <mergeCell ref="L299:M299"/>
    <mergeCell ref="L283:M283"/>
    <mergeCell ref="L284:M284"/>
    <mergeCell ref="L279:M279"/>
    <mergeCell ref="L280:M280"/>
    <mergeCell ref="A281:B281"/>
    <mergeCell ref="L281:M281"/>
    <mergeCell ref="L275:M275"/>
    <mergeCell ref="A276:B276"/>
    <mergeCell ref="A305:B305"/>
    <mergeCell ref="L305:M305"/>
    <mergeCell ref="A306:B306"/>
    <mergeCell ref="L306:M306"/>
    <mergeCell ref="L301:M301"/>
    <mergeCell ref="A302:B302"/>
    <mergeCell ref="L302:M302"/>
    <mergeCell ref="A303:B303"/>
    <mergeCell ref="L303:M303"/>
    <mergeCell ref="A304:B304"/>
    <mergeCell ref="L304:M304"/>
    <mergeCell ref="A280:B280"/>
    <mergeCell ref="L293:M293"/>
    <mergeCell ref="A294:B294"/>
    <mergeCell ref="L294:M294"/>
    <mergeCell ref="A295:B295"/>
    <mergeCell ref="L295:M295"/>
    <mergeCell ref="L273:M273"/>
    <mergeCell ref="L274:M274"/>
    <mergeCell ref="L286:M286"/>
    <mergeCell ref="L287:M287"/>
    <mergeCell ref="L288:M288"/>
    <mergeCell ref="L289:M289"/>
    <mergeCell ref="L290:M290"/>
    <mergeCell ref="L282:M282"/>
    <mergeCell ref="L296:M296"/>
    <mergeCell ref="L297:M297"/>
    <mergeCell ref="L298:M298"/>
    <mergeCell ref="C218:D218"/>
    <mergeCell ref="E218:F218"/>
    <mergeCell ref="B637:H637"/>
    <mergeCell ref="A52:B52"/>
    <mergeCell ref="C52:H52"/>
    <mergeCell ref="B635:H635"/>
    <mergeCell ref="F203:H203"/>
    <mergeCell ref="A203:E203"/>
    <mergeCell ref="D230:D231"/>
    <mergeCell ref="A205:E205"/>
    <mergeCell ref="A259:B259"/>
    <mergeCell ref="A260:B260"/>
    <mergeCell ref="A208:E208"/>
    <mergeCell ref="G227:H227"/>
    <mergeCell ref="C214:D214"/>
    <mergeCell ref="E214:F214"/>
    <mergeCell ref="G214:H214"/>
    <mergeCell ref="A215:B215"/>
    <mergeCell ref="C215:D215"/>
    <mergeCell ref="E215:F215"/>
    <mergeCell ref="G215:H215"/>
    <mergeCell ref="C219:D219"/>
    <mergeCell ref="E219:F219"/>
    <mergeCell ref="G219:H219"/>
    <mergeCell ref="C217:D217"/>
    <mergeCell ref="G217:H217"/>
    <mergeCell ref="A287:B287"/>
    <mergeCell ref="A288:B288"/>
    <mergeCell ref="A289:B289"/>
    <mergeCell ref="A290:B290"/>
    <mergeCell ref="A283:B283"/>
    <mergeCell ref="A284:B284"/>
    <mergeCell ref="L262:M262"/>
    <mergeCell ref="L261:M261"/>
    <mergeCell ref="L260:M260"/>
    <mergeCell ref="L259:M259"/>
    <mergeCell ref="A258:H258"/>
    <mergeCell ref="E230:E231"/>
    <mergeCell ref="G230:H231"/>
    <mergeCell ref="A232:H232"/>
    <mergeCell ref="A417:B417"/>
    <mergeCell ref="L276:M276"/>
    <mergeCell ref="A277:B277"/>
    <mergeCell ref="L277:M277"/>
    <mergeCell ref="A278:B278"/>
    <mergeCell ref="L278:M278"/>
    <mergeCell ref="L271:M271"/>
    <mergeCell ref="A272:B272"/>
    <mergeCell ref="L272:M272"/>
    <mergeCell ref="A273:B273"/>
    <mergeCell ref="A300:H300"/>
    <mergeCell ref="A291:B291"/>
    <mergeCell ref="L291:M291"/>
    <mergeCell ref="A292:B292"/>
    <mergeCell ref="L292:M292"/>
    <mergeCell ref="A293:B293"/>
    <mergeCell ref="G271:H284"/>
    <mergeCell ref="L342:M342"/>
    <mergeCell ref="L254:M254"/>
    <mergeCell ref="L255:M255"/>
    <mergeCell ref="A256:B256"/>
    <mergeCell ref="L256:M256"/>
    <mergeCell ref="A257:B257"/>
    <mergeCell ref="L257:M257"/>
    <mergeCell ref="A70:C70"/>
    <mergeCell ref="D70:H70"/>
    <mergeCell ref="C161:H161"/>
    <mergeCell ref="A164:B164"/>
    <mergeCell ref="A166:B166"/>
    <mergeCell ref="E162:F162"/>
    <mergeCell ref="A71:C71"/>
    <mergeCell ref="D71:H71"/>
    <mergeCell ref="A74:C74"/>
    <mergeCell ref="D74:H74"/>
    <mergeCell ref="A163:B163"/>
    <mergeCell ref="A53:B53"/>
    <mergeCell ref="C53:E53"/>
    <mergeCell ref="G53:H53"/>
    <mergeCell ref="A54:B54"/>
    <mergeCell ref="C54:E54"/>
    <mergeCell ref="G54:H54"/>
    <mergeCell ref="A57:B58"/>
    <mergeCell ref="C57:E57"/>
    <mergeCell ref="G57:H57"/>
    <mergeCell ref="C58:H58"/>
    <mergeCell ref="A131:B131"/>
    <mergeCell ref="C131:H131"/>
    <mergeCell ref="A133:B133"/>
    <mergeCell ref="C133:H133"/>
    <mergeCell ref="A134:B134"/>
    <mergeCell ref="A60:H60"/>
    <mergeCell ref="A61:C61"/>
    <mergeCell ref="A62:C62"/>
    <mergeCell ref="D66:H66"/>
    <mergeCell ref="E135:F144"/>
    <mergeCell ref="G135:H144"/>
    <mergeCell ref="A40:B40"/>
    <mergeCell ref="A44:H44"/>
    <mergeCell ref="A68:C68"/>
    <mergeCell ref="A69:C69"/>
    <mergeCell ref="D68:H68"/>
    <mergeCell ref="E163:F172"/>
    <mergeCell ref="G163:H172"/>
    <mergeCell ref="A171:B171"/>
    <mergeCell ref="A172:B172"/>
    <mergeCell ref="D69:H69"/>
    <mergeCell ref="A47:D47"/>
    <mergeCell ref="E47:H47"/>
    <mergeCell ref="E48:H48"/>
    <mergeCell ref="E49:H49"/>
    <mergeCell ref="E50:H50"/>
    <mergeCell ref="A48:D48"/>
    <mergeCell ref="F40:H40"/>
    <mergeCell ref="A42:B42"/>
    <mergeCell ref="A49:D49"/>
    <mergeCell ref="A50:D50"/>
    <mergeCell ref="A51:H51"/>
    <mergeCell ref="D63:H63"/>
    <mergeCell ref="A63:C63"/>
    <mergeCell ref="A55:B56"/>
    <mergeCell ref="A169:B169"/>
    <mergeCell ref="A162:B162"/>
    <mergeCell ref="A165:B165"/>
    <mergeCell ref="A43:B43"/>
    <mergeCell ref="C43:H43"/>
    <mergeCell ref="A45:D45"/>
    <mergeCell ref="E45:H45"/>
    <mergeCell ref="A161:B161"/>
    <mergeCell ref="A5:D5"/>
    <mergeCell ref="E5:H5"/>
    <mergeCell ref="A6:D6"/>
    <mergeCell ref="E6:H6"/>
    <mergeCell ref="A9:D9"/>
    <mergeCell ref="E9:H9"/>
    <mergeCell ref="A34:D34"/>
    <mergeCell ref="E34:H34"/>
    <mergeCell ref="A35:D35"/>
    <mergeCell ref="E35:H35"/>
    <mergeCell ref="A31:D31"/>
    <mergeCell ref="E31:H31"/>
    <mergeCell ref="C36:E36"/>
    <mergeCell ref="F39:H39"/>
    <mergeCell ref="F37:H37"/>
    <mergeCell ref="F38:H38"/>
    <mergeCell ref="E30:H30"/>
    <mergeCell ref="F36:H36"/>
    <mergeCell ref="A37:B37"/>
    <mergeCell ref="A36:B36"/>
    <mergeCell ref="C37:E37"/>
    <mergeCell ref="A38:B38"/>
    <mergeCell ref="C38:E38"/>
    <mergeCell ref="A7:D7"/>
    <mergeCell ref="E7:H7"/>
    <mergeCell ref="A20:B20"/>
    <mergeCell ref="A17:D17"/>
    <mergeCell ref="E17:H17"/>
    <mergeCell ref="A18:D18"/>
    <mergeCell ref="A11:D11"/>
    <mergeCell ref="E11:H11"/>
    <mergeCell ref="E25:F25"/>
    <mergeCell ref="A41:H41"/>
    <mergeCell ref="C40:E40"/>
    <mergeCell ref="A32:D32"/>
    <mergeCell ref="E32:H32"/>
    <mergeCell ref="A29:D29"/>
    <mergeCell ref="E29:H29"/>
    <mergeCell ref="A33:D33"/>
    <mergeCell ref="E33:H33"/>
    <mergeCell ref="A30:D30"/>
    <mergeCell ref="A39:B39"/>
    <mergeCell ref="C39:E3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6:D27"/>
    <mergeCell ref="E26:H27"/>
    <mergeCell ref="E18:H18"/>
    <mergeCell ref="A19:B19"/>
    <mergeCell ref="C19:H19"/>
    <mergeCell ref="C20:H20"/>
    <mergeCell ref="A28:D28"/>
    <mergeCell ref="E28:H28"/>
    <mergeCell ref="A22:B22"/>
    <mergeCell ref="C22:D22"/>
    <mergeCell ref="E22:F22"/>
    <mergeCell ref="G25:H25"/>
    <mergeCell ref="A21:B21"/>
    <mergeCell ref="C21:H21"/>
    <mergeCell ref="E23:F23"/>
    <mergeCell ref="G23:H23"/>
    <mergeCell ref="A24:B24"/>
    <mergeCell ref="C24:D24"/>
    <mergeCell ref="E24:F24"/>
    <mergeCell ref="G24:H24"/>
    <mergeCell ref="A25:B25"/>
    <mergeCell ref="C25:D25"/>
    <mergeCell ref="G22:H22"/>
    <mergeCell ref="A23:B23"/>
    <mergeCell ref="C23:D23"/>
    <mergeCell ref="A655:H658"/>
    <mergeCell ref="A654:B654"/>
    <mergeCell ref="E654:F654"/>
    <mergeCell ref="C654:D654"/>
    <mergeCell ref="G654:H654"/>
    <mergeCell ref="A211:H211"/>
    <mergeCell ref="A209:E209"/>
    <mergeCell ref="F209:H209"/>
    <mergeCell ref="A210:E210"/>
    <mergeCell ref="F210:H210"/>
    <mergeCell ref="A213:B213"/>
    <mergeCell ref="A650:H650"/>
    <mergeCell ref="A216:H216"/>
    <mergeCell ref="A653:H653"/>
    <mergeCell ref="A651:H651"/>
    <mergeCell ref="B633:H633"/>
    <mergeCell ref="B634:H634"/>
    <mergeCell ref="A629:H629"/>
    <mergeCell ref="A648:H648"/>
    <mergeCell ref="B638:H638"/>
    <mergeCell ref="G261:H261"/>
    <mergeCell ref="G259:H259"/>
    <mergeCell ref="G260:H260"/>
    <mergeCell ref="G262:H262"/>
    <mergeCell ref="B636:H636"/>
    <mergeCell ref="C230:C231"/>
    <mergeCell ref="B264:B265"/>
    <mergeCell ref="A266:H266"/>
    <mergeCell ref="A267:H267"/>
    <mergeCell ref="A268:H268"/>
    <mergeCell ref="A270:H270"/>
    <mergeCell ref="A228:H228"/>
    <mergeCell ref="B630:H630"/>
    <mergeCell ref="B631:H631"/>
    <mergeCell ref="A229:H229"/>
    <mergeCell ref="A286:B286"/>
    <mergeCell ref="G286:H299"/>
    <mergeCell ref="B640:H640"/>
    <mergeCell ref="B639:H639"/>
    <mergeCell ref="A249:B249"/>
    <mergeCell ref="A626:B626"/>
    <mergeCell ref="A559:H559"/>
    <mergeCell ref="A560:B560"/>
    <mergeCell ref="G560:H573"/>
    <mergeCell ref="A370:B370"/>
    <mergeCell ref="A371:B371"/>
    <mergeCell ref="A317:H317"/>
    <mergeCell ref="A318:B318"/>
    <mergeCell ref="G318:H335"/>
    <mergeCell ref="A279:B279"/>
    <mergeCell ref="A285:H285"/>
    <mergeCell ref="A274:B274"/>
    <mergeCell ref="A255:B255"/>
    <mergeCell ref="A137:B137"/>
    <mergeCell ref="A138:B138"/>
    <mergeCell ref="A227:B227"/>
    <mergeCell ref="A159:B159"/>
    <mergeCell ref="C159:H159"/>
    <mergeCell ref="A167:B167"/>
    <mergeCell ref="A143:B143"/>
    <mergeCell ref="A144:B144"/>
    <mergeCell ref="A81:B81"/>
    <mergeCell ref="A82:B82"/>
    <mergeCell ref="A83:B83"/>
    <mergeCell ref="A84:B84"/>
    <mergeCell ref="A135:B135"/>
    <mergeCell ref="A647:H647"/>
    <mergeCell ref="E227:F227"/>
    <mergeCell ref="C212:D212"/>
    <mergeCell ref="F208:H208"/>
    <mergeCell ref="C220:D220"/>
    <mergeCell ref="E220:F220"/>
    <mergeCell ref="G220:H220"/>
    <mergeCell ref="C221:D221"/>
    <mergeCell ref="E221:F221"/>
    <mergeCell ref="F204:H204"/>
    <mergeCell ref="A204:E204"/>
    <mergeCell ref="A201:E201"/>
    <mergeCell ref="F205:H205"/>
    <mergeCell ref="A214:B214"/>
    <mergeCell ref="A206:E206"/>
    <mergeCell ref="G221:H221"/>
    <mergeCell ref="A80:B80"/>
    <mergeCell ref="G212:H212"/>
    <mergeCell ref="C213:D213"/>
    <mergeCell ref="E213:F213"/>
    <mergeCell ref="B230:B231"/>
    <mergeCell ref="A230:A231"/>
    <mergeCell ref="C227:D227"/>
    <mergeCell ref="A72:C72"/>
    <mergeCell ref="D72:H72"/>
    <mergeCell ref="A73:C73"/>
    <mergeCell ref="D73:H73"/>
    <mergeCell ref="A271:B271"/>
    <mergeCell ref="A269:H269"/>
    <mergeCell ref="A275:B275"/>
    <mergeCell ref="A261:B261"/>
    <mergeCell ref="A262:B262"/>
    <mergeCell ref="A282:B282"/>
    <mergeCell ref="A218:A221"/>
    <mergeCell ref="C222:D222"/>
    <mergeCell ref="E222:F222"/>
    <mergeCell ref="G222:H222"/>
    <mergeCell ref="C223:D223"/>
    <mergeCell ref="E223:F223"/>
    <mergeCell ref="G223:H223"/>
    <mergeCell ref="E217:F217"/>
    <mergeCell ref="C226:D226"/>
    <mergeCell ref="E226:F226"/>
    <mergeCell ref="G226:H226"/>
    <mergeCell ref="A225:A226"/>
    <mergeCell ref="C225:D225"/>
    <mergeCell ref="E225:F225"/>
    <mergeCell ref="G225:H225"/>
    <mergeCell ref="A125:B125"/>
    <mergeCell ref="E46:H46"/>
    <mergeCell ref="A46:D46"/>
    <mergeCell ref="A652:H652"/>
    <mergeCell ref="A649:H649"/>
    <mergeCell ref="A217:B217"/>
    <mergeCell ref="D264:D265"/>
    <mergeCell ref="E264:E265"/>
    <mergeCell ref="G264:H265"/>
    <mergeCell ref="A168:B168"/>
    <mergeCell ref="F202:H202"/>
    <mergeCell ref="G213:H213"/>
    <mergeCell ref="G162:H162"/>
    <mergeCell ref="E212:F212"/>
    <mergeCell ref="A212:B212"/>
    <mergeCell ref="G55:H55"/>
    <mergeCell ref="D61:H61"/>
    <mergeCell ref="C55:E55"/>
    <mergeCell ref="D64:H64"/>
    <mergeCell ref="A59:B59"/>
    <mergeCell ref="C59:E59"/>
    <mergeCell ref="G134:H134"/>
    <mergeCell ref="A75:B75"/>
    <mergeCell ref="C75:H75"/>
    <mergeCell ref="A77:B77"/>
    <mergeCell ref="D62:H62"/>
    <mergeCell ref="G59:H59"/>
    <mergeCell ref="C56:H56"/>
    <mergeCell ref="B632:H632"/>
    <mergeCell ref="A79:B79"/>
    <mergeCell ref="E79:F88"/>
    <mergeCell ref="G79:H88"/>
    <mergeCell ref="C224:D224"/>
    <mergeCell ref="E224:F224"/>
    <mergeCell ref="G224:H224"/>
    <mergeCell ref="A296:B296"/>
    <mergeCell ref="A297:B297"/>
    <mergeCell ref="A298:B298"/>
    <mergeCell ref="A299:B299"/>
    <mergeCell ref="G301:H314"/>
    <mergeCell ref="A136:B136"/>
    <mergeCell ref="A89:B89"/>
    <mergeCell ref="C89:H89"/>
    <mergeCell ref="A91:B91"/>
    <mergeCell ref="C91:H91"/>
    <mergeCell ref="A92:B92"/>
    <mergeCell ref="E92:F92"/>
    <mergeCell ref="G92:H92"/>
    <mergeCell ref="A93:B93"/>
    <mergeCell ref="E93:F102"/>
    <mergeCell ref="G93:H102"/>
    <mergeCell ref="A94:B94"/>
    <mergeCell ref="A95:B95"/>
    <mergeCell ref="A110:B110"/>
    <mergeCell ref="A109:B109"/>
    <mergeCell ref="A111:B111"/>
    <mergeCell ref="A112:B112"/>
    <mergeCell ref="A116:B116"/>
    <mergeCell ref="A117:B117"/>
    <mergeCell ref="C117:H117"/>
    <mergeCell ref="A119:B119"/>
    <mergeCell ref="C119:H119"/>
    <mergeCell ref="A120:B120"/>
    <mergeCell ref="E120:F120"/>
    <mergeCell ref="A244:B244"/>
    <mergeCell ref="L244:M244"/>
    <mergeCell ref="A245:B245"/>
    <mergeCell ref="L245:M245"/>
    <mergeCell ref="G236:H245"/>
    <mergeCell ref="A248:B248"/>
    <mergeCell ref="G248:H257"/>
    <mergeCell ref="L248:M248"/>
    <mergeCell ref="A139:B139"/>
    <mergeCell ref="A140:B140"/>
    <mergeCell ref="A141:B141"/>
    <mergeCell ref="A142:B142"/>
    <mergeCell ref="D67:H67"/>
    <mergeCell ref="A64:C67"/>
    <mergeCell ref="A542:H542"/>
    <mergeCell ref="A543:H543"/>
    <mergeCell ref="A544:H544"/>
    <mergeCell ref="A331:B331"/>
    <mergeCell ref="A332:B332"/>
    <mergeCell ref="A333:B333"/>
    <mergeCell ref="A334:B334"/>
    <mergeCell ref="A335:B335"/>
    <mergeCell ref="A367:B367"/>
    <mergeCell ref="A395:H395"/>
    <mergeCell ref="G396:H413"/>
    <mergeCell ref="A412:B412"/>
    <mergeCell ref="C264:C265"/>
    <mergeCell ref="A263:H263"/>
    <mergeCell ref="A264:A265"/>
    <mergeCell ref="A301:B301"/>
    <mergeCell ref="A310:B310"/>
    <mergeCell ref="A405:B405"/>
    <mergeCell ref="A564:B564"/>
    <mergeCell ref="L564:M564"/>
    <mergeCell ref="A565:B565"/>
    <mergeCell ref="C565:F565"/>
    <mergeCell ref="L565:M565"/>
    <mergeCell ref="A566:B566"/>
    <mergeCell ref="L566:M566"/>
    <mergeCell ref="A567:B567"/>
    <mergeCell ref="A551:B551"/>
    <mergeCell ref="L551:M551"/>
    <mergeCell ref="A552:B552"/>
    <mergeCell ref="L552:M552"/>
    <mergeCell ref="A553:B553"/>
    <mergeCell ref="L553:M553"/>
    <mergeCell ref="A554:B554"/>
    <mergeCell ref="L554:M554"/>
    <mergeCell ref="A555:B555"/>
    <mergeCell ref="L555:M555"/>
    <mergeCell ref="A556:B556"/>
    <mergeCell ref="L556:M556"/>
    <mergeCell ref="L249:M249"/>
    <mergeCell ref="A250:B250"/>
    <mergeCell ref="L250:M250"/>
    <mergeCell ref="A251:B251"/>
    <mergeCell ref="L251:M251"/>
    <mergeCell ref="A252:B252"/>
    <mergeCell ref="L252:M252"/>
    <mergeCell ref="A253:B253"/>
    <mergeCell ref="L253:M253"/>
    <mergeCell ref="A254:B254"/>
    <mergeCell ref="A247:H247"/>
    <mergeCell ref="L622:M622"/>
    <mergeCell ref="A623:B623"/>
    <mergeCell ref="L623:M623"/>
    <mergeCell ref="A624:B624"/>
    <mergeCell ref="L624:M624"/>
    <mergeCell ref="A625:B625"/>
    <mergeCell ref="L625:M625"/>
    <mergeCell ref="A568:B568"/>
    <mergeCell ref="L345:M345"/>
    <mergeCell ref="A346:B346"/>
    <mergeCell ref="L346:M346"/>
    <mergeCell ref="L381:M381"/>
    <mergeCell ref="A348:B348"/>
    <mergeCell ref="A349:B349"/>
    <mergeCell ref="A377:B377"/>
    <mergeCell ref="L377:M377"/>
    <mergeCell ref="A378:B378"/>
    <mergeCell ref="L568:M568"/>
    <mergeCell ref="A569:B569"/>
    <mergeCell ref="L569:M569"/>
    <mergeCell ref="A570:B570"/>
    <mergeCell ref="L626:M626"/>
    <mergeCell ref="A627:B627"/>
    <mergeCell ref="L627:M627"/>
    <mergeCell ref="A628:B628"/>
    <mergeCell ref="L628:M628"/>
    <mergeCell ref="A610:B610"/>
    <mergeCell ref="L610:M610"/>
    <mergeCell ref="L335:M335"/>
    <mergeCell ref="A336:H336"/>
    <mergeCell ref="A337:B337"/>
    <mergeCell ref="G337:H354"/>
    <mergeCell ref="L337:M337"/>
    <mergeCell ref="A338:B338"/>
    <mergeCell ref="L338:M338"/>
    <mergeCell ref="A339:B339"/>
    <mergeCell ref="L339:M339"/>
    <mergeCell ref="A340:B340"/>
    <mergeCell ref="L340:M340"/>
    <mergeCell ref="A341:B341"/>
    <mergeCell ref="L341:M341"/>
    <mergeCell ref="A342:B342"/>
    <mergeCell ref="L548:M548"/>
    <mergeCell ref="A549:B549"/>
    <mergeCell ref="L549:M549"/>
    <mergeCell ref="A608:B608"/>
    <mergeCell ref="L608:M608"/>
    <mergeCell ref="A609:B609"/>
    <mergeCell ref="L609:M609"/>
    <mergeCell ref="L572:M572"/>
    <mergeCell ref="A573:B573"/>
    <mergeCell ref="L573:M573"/>
    <mergeCell ref="L567:M567"/>
    <mergeCell ref="L570:M570"/>
    <mergeCell ref="A571:B571"/>
    <mergeCell ref="L571:M571"/>
    <mergeCell ref="A572:B572"/>
    <mergeCell ref="A603:H603"/>
    <mergeCell ref="G604:H615"/>
    <mergeCell ref="L615:M615"/>
    <mergeCell ref="A615:B615"/>
    <mergeCell ref="A599:B599"/>
    <mergeCell ref="A575:H575"/>
    <mergeCell ref="L318:M318"/>
    <mergeCell ref="A319:B319"/>
    <mergeCell ref="L319:M319"/>
    <mergeCell ref="A320:B320"/>
    <mergeCell ref="L320:M320"/>
    <mergeCell ref="A321:B321"/>
    <mergeCell ref="L321:M321"/>
    <mergeCell ref="A322:B322"/>
    <mergeCell ref="L322:M322"/>
    <mergeCell ref="A323:B323"/>
    <mergeCell ref="L323:M323"/>
    <mergeCell ref="A324:B324"/>
    <mergeCell ref="L324:M324"/>
    <mergeCell ref="A347:B347"/>
    <mergeCell ref="A550:B550"/>
    <mergeCell ref="L550:M550"/>
    <mergeCell ref="A607:B607"/>
    <mergeCell ref="L607:M607"/>
    <mergeCell ref="A557:B557"/>
    <mergeCell ref="L557:M557"/>
    <mergeCell ref="A558:B558"/>
    <mergeCell ref="L558:M558"/>
    <mergeCell ref="L562:M562"/>
    <mergeCell ref="A563:B563"/>
    <mergeCell ref="L563:M563"/>
    <mergeCell ref="A313:B313"/>
    <mergeCell ref="L313:M313"/>
    <mergeCell ref="L326:M326"/>
    <mergeCell ref="A327:B327"/>
    <mergeCell ref="L327:M327"/>
    <mergeCell ref="A328:B328"/>
    <mergeCell ref="L328:M328"/>
    <mergeCell ref="A329:B329"/>
    <mergeCell ref="L329:M329"/>
    <mergeCell ref="A330:B330"/>
    <mergeCell ref="L330:M330"/>
    <mergeCell ref="A376:H376"/>
    <mergeCell ref="G377:H394"/>
    <mergeCell ref="L379:M379"/>
    <mergeCell ref="A380:B380"/>
    <mergeCell ref="L380:M380"/>
    <mergeCell ref="A381:B381"/>
    <mergeCell ref="L363:M363"/>
    <mergeCell ref="A364:B364"/>
    <mergeCell ref="L364:M364"/>
    <mergeCell ref="A365:B365"/>
    <mergeCell ref="L365:M365"/>
    <mergeCell ref="A366:B366"/>
    <mergeCell ref="L366:M366"/>
    <mergeCell ref="L369:M369"/>
    <mergeCell ref="L371:M371"/>
    <mergeCell ref="A315:H315"/>
    <mergeCell ref="A316:H316"/>
    <mergeCell ref="A357:B357"/>
    <mergeCell ref="A207:E207"/>
    <mergeCell ref="F207:H207"/>
    <mergeCell ref="B646:H646"/>
    <mergeCell ref="B641:H641"/>
    <mergeCell ref="A509:H509"/>
    <mergeCell ref="A325:B325"/>
    <mergeCell ref="L325:M325"/>
    <mergeCell ref="A326:B326"/>
    <mergeCell ref="L351:M351"/>
    <mergeCell ref="A352:B352"/>
    <mergeCell ref="L352:M352"/>
    <mergeCell ref="A353:B353"/>
    <mergeCell ref="L412:M412"/>
    <mergeCell ref="A414:H414"/>
    <mergeCell ref="G415:H432"/>
    <mergeCell ref="C420:F420"/>
    <mergeCell ref="A431:B431"/>
    <mergeCell ref="L431:M431"/>
    <mergeCell ref="A432:B432"/>
    <mergeCell ref="L432:M432"/>
    <mergeCell ref="L373:M373"/>
    <mergeCell ref="A611:B611"/>
    <mergeCell ref="L611:M611"/>
    <mergeCell ref="A612:B612"/>
    <mergeCell ref="L612:M612"/>
    <mergeCell ref="A613:B613"/>
    <mergeCell ref="L613:M613"/>
    <mergeCell ref="A614:B614"/>
    <mergeCell ref="L560:M560"/>
    <mergeCell ref="A561:B561"/>
    <mergeCell ref="L561:M561"/>
    <mergeCell ref="A562:B562"/>
    <mergeCell ref="A145:B145"/>
    <mergeCell ref="C145:H145"/>
    <mergeCell ref="A147:B147"/>
    <mergeCell ref="C147:H147"/>
    <mergeCell ref="A148:B148"/>
    <mergeCell ref="E148:F148"/>
    <mergeCell ref="G148:H148"/>
    <mergeCell ref="A149:B149"/>
    <mergeCell ref="E149:F158"/>
    <mergeCell ref="G149:H158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26:B126"/>
    <mergeCell ref="A127:B127"/>
    <mergeCell ref="A128:B128"/>
    <mergeCell ref="A129:B129"/>
    <mergeCell ref="A130:B130"/>
    <mergeCell ref="C42:H42"/>
    <mergeCell ref="D65:H65"/>
    <mergeCell ref="A103:B103"/>
    <mergeCell ref="C103:H103"/>
    <mergeCell ref="A105:B105"/>
    <mergeCell ref="C105:H105"/>
    <mergeCell ref="A106:B106"/>
    <mergeCell ref="E106:F106"/>
    <mergeCell ref="G106:H106"/>
    <mergeCell ref="A107:B107"/>
    <mergeCell ref="E107:F116"/>
    <mergeCell ref="G107:H116"/>
    <mergeCell ref="A108:B108"/>
    <mergeCell ref="A113:B113"/>
    <mergeCell ref="A114:B114"/>
    <mergeCell ref="A115:B115"/>
    <mergeCell ref="C77:H77"/>
    <mergeCell ref="A78:B78"/>
    <mergeCell ref="E78:F78"/>
    <mergeCell ref="G78:H78"/>
    <mergeCell ref="G120:H120"/>
    <mergeCell ref="A121:B121"/>
    <mergeCell ref="E121:F130"/>
    <mergeCell ref="G121:H130"/>
    <mergeCell ref="A122:B122"/>
    <mergeCell ref="A123:B123"/>
    <mergeCell ref="A124:B124"/>
  </mergeCells>
  <hyperlinks>
    <hyperlink ref="C43" r:id="rId1" xr:uid="{00000000-0004-0000-0000-000000000000}"/>
    <hyperlink ref="K122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9" manualBreakCount="9">
    <brk id="74" max="16383" man="1"/>
    <brk id="102" max="16383" man="1"/>
    <brk id="130" max="7" man="1"/>
    <brk id="158" max="7" man="1"/>
    <brk id="186" max="7" man="1"/>
    <brk id="222" max="7" man="1"/>
    <brk id="658" max="16383" man="1"/>
    <brk id="700" max="16383" man="1"/>
    <brk id="738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35" t="s">
        <v>104</v>
      </c>
      <c r="C3" s="235"/>
      <c r="D3" s="235"/>
      <c r="E3" s="235"/>
      <c r="F3" s="235"/>
      <c r="G3" s="235"/>
      <c r="H3" s="235"/>
    </row>
    <row r="4" spans="1:9" x14ac:dyDescent="0.3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2025-07-14T07:15:23Z</cp:lastPrinted>
  <dcterms:created xsi:type="dcterms:W3CDTF">2019-07-16T09:29:46Z</dcterms:created>
  <dcterms:modified xsi:type="dcterms:W3CDTF">2025-07-14T07:40:04Z</dcterms:modified>
</cp:coreProperties>
</file>