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AAE48EFD-3BCC-4C95-9FEE-23AFD0FA7F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1" i="1" l="1"/>
  <c r="J211" i="1" s="1"/>
  <c r="I212" i="1"/>
  <c r="J212" i="1" s="1"/>
  <c r="I213" i="1"/>
  <c r="J213" i="1" s="1"/>
  <c r="I214" i="1"/>
  <c r="J214" i="1" s="1"/>
  <c r="I210" i="1"/>
  <c r="J64" i="1" l="1"/>
  <c r="D58" i="1" l="1"/>
  <c r="L222" i="1"/>
  <c r="K191" i="1" l="1"/>
  <c r="K200" i="1"/>
  <c r="G130" i="1"/>
  <c r="G131" i="1"/>
  <c r="G132" i="1"/>
  <c r="G133" i="1"/>
  <c r="G134" i="1" l="1"/>
  <c r="E221" i="1"/>
  <c r="D221" i="1"/>
  <c r="D219" i="1"/>
  <c r="D218" i="1"/>
  <c r="E220" i="1"/>
  <c r="D220" i="1"/>
  <c r="E219" i="1"/>
  <c r="A219" i="1"/>
  <c r="A220" i="1" s="1"/>
  <c r="A221" i="1" s="1"/>
  <c r="J218" i="1"/>
  <c r="E218" i="1"/>
  <c r="E214" i="1"/>
  <c r="D214" i="1"/>
  <c r="E213" i="1"/>
  <c r="D213" i="1"/>
  <c r="E212" i="1"/>
  <c r="D212" i="1"/>
  <c r="E211" i="1"/>
  <c r="D211" i="1"/>
  <c r="E210" i="1"/>
  <c r="D210" i="1"/>
  <c r="J210" i="1"/>
  <c r="A211" i="1"/>
  <c r="A212" i="1" s="1"/>
  <c r="A213" i="1" s="1"/>
  <c r="A214" i="1" s="1"/>
  <c r="E206" i="1"/>
  <c r="D206" i="1"/>
  <c r="E205" i="1"/>
  <c r="D205" i="1"/>
  <c r="E203" i="1"/>
  <c r="D203" i="1"/>
  <c r="E202" i="1"/>
  <c r="D202" i="1"/>
  <c r="A202" i="1"/>
  <c r="A203" i="1" s="1"/>
  <c r="A204" i="1" s="1"/>
  <c r="A205" i="1" s="1"/>
  <c r="A206" i="1" s="1"/>
  <c r="E201" i="1"/>
  <c r="D201" i="1"/>
  <c r="E199" i="1"/>
  <c r="E198" i="1"/>
  <c r="E197" i="1"/>
  <c r="E196" i="1"/>
  <c r="E195" i="1"/>
  <c r="E194" i="1"/>
  <c r="D199" i="1"/>
  <c r="D198" i="1"/>
  <c r="D197" i="1"/>
  <c r="D196" i="1"/>
  <c r="D195" i="1"/>
  <c r="D194" i="1"/>
  <c r="A195" i="1"/>
  <c r="A196" i="1" s="1"/>
  <c r="A197" i="1" s="1"/>
  <c r="A198" i="1" s="1"/>
  <c r="A199" i="1" s="1"/>
  <c r="E181" i="1"/>
  <c r="E190" i="1"/>
  <c r="E189" i="1"/>
  <c r="E188" i="1"/>
  <c r="E187" i="1"/>
  <c r="E186" i="1"/>
  <c r="E185" i="1"/>
  <c r="E184" i="1"/>
  <c r="E183" i="1"/>
  <c r="E182" i="1"/>
  <c r="D190" i="1"/>
  <c r="D189" i="1"/>
  <c r="D188" i="1"/>
  <c r="D187" i="1"/>
  <c r="D186" i="1"/>
  <c r="F186" i="1" s="1"/>
  <c r="K186" i="1" s="1"/>
  <c r="D185" i="1"/>
  <c r="F185" i="1" s="1"/>
  <c r="K185" i="1" s="1"/>
  <c r="D184" i="1"/>
  <c r="D183" i="1"/>
  <c r="D182" i="1"/>
  <c r="D181" i="1"/>
  <c r="A182" i="1"/>
  <c r="A183" i="1" s="1"/>
  <c r="A184" i="1" s="1"/>
  <c r="A185" i="1" s="1"/>
  <c r="A186" i="1" s="1"/>
  <c r="A187" i="1" s="1"/>
  <c r="A188" i="1" s="1"/>
  <c r="A189" i="1" s="1"/>
  <c r="A190" i="1" s="1"/>
  <c r="F174" i="1"/>
  <c r="H174" i="1" s="1"/>
  <c r="F173" i="1"/>
  <c r="H173" i="1" s="1"/>
  <c r="F172" i="1"/>
  <c r="H172" i="1" s="1"/>
  <c r="A172" i="1"/>
  <c r="A173" i="1" s="1"/>
  <c r="A174" i="1" s="1"/>
  <c r="F171" i="1"/>
  <c r="H171" i="1" s="1"/>
  <c r="F210" i="1" l="1"/>
  <c r="L210" i="1" s="1"/>
  <c r="F220" i="1"/>
  <c r="L220" i="1" s="1"/>
  <c r="F211" i="1"/>
  <c r="L211" i="1" s="1"/>
  <c r="C131" i="1"/>
  <c r="F190" i="1"/>
  <c r="K190" i="1" s="1"/>
  <c r="C133" i="1"/>
  <c r="F206" i="1"/>
  <c r="F212" i="1"/>
  <c r="L212" i="1" s="1"/>
  <c r="F219" i="1"/>
  <c r="L219" i="1" s="1"/>
  <c r="F218" i="1"/>
  <c r="L218" i="1" s="1"/>
  <c r="C130" i="1"/>
  <c r="F221" i="1"/>
  <c r="L221" i="1" s="1"/>
  <c r="F195" i="1"/>
  <c r="K195" i="1" s="1"/>
  <c r="F188" i="1"/>
  <c r="K188" i="1" s="1"/>
  <c r="C132" i="1"/>
  <c r="F214" i="1"/>
  <c r="L214" i="1" s="1"/>
  <c r="F197" i="1"/>
  <c r="K197" i="1" s="1"/>
  <c r="F201" i="1"/>
  <c r="F184" i="1"/>
  <c r="K184" i="1" s="1"/>
  <c r="F187" i="1"/>
  <c r="K187" i="1" s="1"/>
  <c r="F203" i="1"/>
  <c r="F213" i="1"/>
  <c r="L213" i="1" s="1"/>
  <c r="F205" i="1"/>
  <c r="F202" i="1"/>
  <c r="F181" i="1"/>
  <c r="K181" i="1" s="1"/>
  <c r="F189" i="1"/>
  <c r="K189" i="1" s="1"/>
  <c r="F196" i="1"/>
  <c r="K196" i="1" s="1"/>
  <c r="F194" i="1"/>
  <c r="K194" i="1" s="1"/>
  <c r="F198" i="1"/>
  <c r="K198" i="1" s="1"/>
  <c r="F182" i="1"/>
  <c r="K182" i="1" s="1"/>
  <c r="F199" i="1"/>
  <c r="K199" i="1" s="1"/>
  <c r="F183" i="1"/>
  <c r="K183" i="1" s="1"/>
  <c r="E132" i="1" l="1"/>
  <c r="E131" i="1"/>
  <c r="C134" i="1"/>
  <c r="E130" i="1"/>
  <c r="E133" i="1"/>
  <c r="A225" i="1"/>
  <c r="A226" i="1" s="1"/>
  <c r="A227" i="1" s="1"/>
  <c r="A228" i="1" s="1"/>
  <c r="A229" i="1" s="1"/>
  <c r="A231" i="1" s="1"/>
  <c r="A232" i="1" s="1"/>
  <c r="A233" i="1" s="1"/>
  <c r="A234" i="1" s="1"/>
  <c r="A235" i="1" s="1"/>
  <c r="A236" i="1" s="1"/>
  <c r="C14" i="1"/>
  <c r="E134" i="1" l="1"/>
  <c r="C72" i="1"/>
  <c r="C70" i="1"/>
  <c r="D147" i="1" l="1"/>
  <c r="D141" i="1"/>
  <c r="E3" i="1" l="1"/>
  <c r="G47" i="1" l="1"/>
  <c r="D166" i="1"/>
  <c r="J166" i="1" s="1"/>
  <c r="D165" i="1"/>
  <c r="J165" i="1" s="1"/>
  <c r="J164" i="1"/>
  <c r="D163" i="1"/>
  <c r="J163" i="1" s="1"/>
  <c r="D162" i="1"/>
  <c r="J162" i="1" s="1"/>
  <c r="G161" i="1"/>
  <c r="D161" i="1"/>
  <c r="J161" i="1" s="1"/>
  <c r="D156" i="1"/>
  <c r="I141" i="1" l="1"/>
  <c r="D159" i="1"/>
  <c r="J159" i="1" s="1"/>
  <c r="D158" i="1"/>
  <c r="J158" i="1" s="1"/>
  <c r="D157" i="1"/>
  <c r="J157" i="1" s="1"/>
  <c r="D155" i="1"/>
  <c r="J155" i="1" s="1"/>
  <c r="J156" i="1"/>
  <c r="D154" i="1"/>
  <c r="G154" i="1"/>
  <c r="D150" i="1"/>
  <c r="J150" i="1" s="1"/>
  <c r="D149" i="1"/>
  <c r="J149" i="1" s="1"/>
  <c r="D148" i="1"/>
  <c r="J148" i="1" s="1"/>
  <c r="J147" i="1"/>
  <c r="D146" i="1"/>
  <c r="J146" i="1" s="1"/>
  <c r="D144" i="1"/>
  <c r="J144" i="1" s="1"/>
  <c r="D145" i="1"/>
  <c r="J145" i="1" s="1"/>
  <c r="D143" i="1"/>
  <c r="J143" i="1" s="1"/>
  <c r="D142" i="1"/>
  <c r="J141" i="1"/>
  <c r="H71" i="1"/>
  <c r="J142" i="1" l="1"/>
  <c r="J154" i="1"/>
  <c r="D78" i="1"/>
  <c r="D85" i="1"/>
  <c r="K84" i="1"/>
  <c r="C77" i="1" s="1"/>
  <c r="D77" i="1" s="1"/>
  <c r="K83" i="1"/>
  <c r="D79" i="1"/>
  <c r="D83" i="1"/>
  <c r="D82" i="1"/>
  <c r="K81" i="1"/>
  <c r="D81" i="1"/>
  <c r="D80" i="1"/>
  <c r="D84" i="1"/>
  <c r="K79" i="1"/>
  <c r="C76" i="1" s="1"/>
  <c r="D76" i="1" s="1"/>
  <c r="K78" i="1"/>
  <c r="K82" i="1"/>
  <c r="H101" i="1"/>
  <c r="H87" i="1"/>
  <c r="K112" i="1" l="1"/>
  <c r="C105" i="1" s="1"/>
  <c r="D105" i="1" s="1"/>
  <c r="D108" i="1"/>
  <c r="D107" i="1"/>
  <c r="D111" i="1"/>
  <c r="K106" i="1"/>
  <c r="D106" i="1"/>
  <c r="D112" i="1"/>
  <c r="K107" i="1"/>
  <c r="C104" i="1" s="1"/>
  <c r="K111" i="1"/>
  <c r="D110" i="1"/>
  <c r="K109" i="1"/>
  <c r="D113" i="1"/>
  <c r="D109" i="1"/>
  <c r="K110" i="1"/>
  <c r="D99" i="1"/>
  <c r="K98" i="1"/>
  <c r="D98" i="1"/>
  <c r="K97" i="1"/>
  <c r="D93" i="1"/>
  <c r="D97" i="1"/>
  <c r="K92" i="1"/>
  <c r="K96" i="1"/>
  <c r="D92" i="1"/>
  <c r="K95" i="1"/>
  <c r="D94" i="1"/>
  <c r="D95" i="1"/>
  <c r="D96" i="1"/>
  <c r="K93" i="1"/>
  <c r="G76" i="1"/>
  <c r="I70" i="1"/>
  <c r="E76" i="1" s="1"/>
  <c r="G141" i="1"/>
  <c r="G104" i="1" l="1"/>
  <c r="D104" i="1"/>
  <c r="I100" i="1" s="1"/>
  <c r="C102" i="1" s="1"/>
  <c r="E104" i="1" s="1"/>
  <c r="C91" i="1"/>
  <c r="D91" i="1" s="1"/>
  <c r="C90" i="1"/>
  <c r="D90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90" i="1" l="1"/>
  <c r="D67" i="1" s="1"/>
  <c r="I86" i="1"/>
  <c r="G12" i="5"/>
  <c r="C88" i="1" l="1"/>
  <c r="E90" i="1" s="1"/>
  <c r="E41" i="1"/>
  <c r="D249" i="1" l="1"/>
  <c r="F124" i="1"/>
  <c r="C47" i="1"/>
  <c r="E4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7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<sst xmlns="http://schemas.openxmlformats.org/spreadsheetml/2006/main" count="470" uniqueCount="272">
  <si>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</si>
  <si>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</si>
  <si>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</si>
  <si>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</si>
  <si>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</si>
  <si>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</si>
  <si>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</si>
  <si>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</si>
  <si>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</si>
  <si>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</si>
  <si>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</si>
  <si>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</si>
  <si>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</si>
  <si>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</si>
  <si>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</si>
  <si>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</si>
  <si>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</si>
  <si>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</si>
  <si>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</si>
  <si>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</si>
  <si>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</si>
  <si>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</si>
  <si>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</si>
  <si>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</si>
  <si>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</si>
  <si>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</si>
  <si>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</si>
  <si>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</si>
  <si>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</si>
  <si>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</si>
  <si>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</si>
  <si>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</si>
  <si>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</si>
  <si>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</si>
  <si>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</si>
  <si>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</si>
  <si>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</si>
  <si>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</si>
  <si>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</si>
  <si>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</si>
  <si>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</si>
  <si>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Layout Approval No     </t>
  </si>
  <si>
    <t>Dated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</si>
  <si>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</si>
  <si>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</si>
  <si>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</si>
  <si>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</si>
  <si>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</si>
  <si>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</si>
  <si>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</si>
  <si>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</si>
  <si>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</si>
  <si>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</si>
  <si>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</si>
  <si>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</si>
  <si>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</si>
  <si>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</si>
  <si>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</si>
  <si>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</si>
  <si>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</si>
  <si>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</si>
  <si>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</si>
  <si>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</si>
  <si>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</si>
  <si>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</si>
  <si>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</si>
  <si>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</si>
  <si>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</si>
  <si>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</si>
  <si>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</si>
  <si>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</si>
  <si>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</si>
  <si>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</si>
  <si>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</si>
  <si>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</si>
  <si>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</si>
  <si>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</si>
  <si>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</si>
  <si>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</si>
  <si>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</si>
  <si>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</si>
  <si>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</si>
  <si>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</si>
  <si>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</si>
  <si>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</si>
  <si>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</si>
  <si>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</si>
  <si>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</si>
  <si>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</si>
  <si>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</si>
  <si>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</si>
  <si>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</si>
  <si>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</si>
  <si>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</si>
  <si>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</si>
  <si>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</si>
  <si>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</si>
  <si>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</si>
  <si>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</si>
  <si>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</si>
  <si>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</si>
  <si>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</si>
  <si>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</si>
  <si>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</si>
  <si>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</si>
  <si>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</si>
  <si>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</si>
  <si>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</si>
  <si>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</si>
  <si>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</si>
  <si>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</si>
  <si>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</si>
  <si>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</si>
  <si>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</si>
  <si>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</si>
  <si>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</si>
  <si>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</si>
  <si>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</si>
  <si>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</si>
  <si>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</si>
  <si>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</si>
  <si>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</si>
  <si>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</si>
  <si>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</si>
  <si>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</si>
  <si>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</si>
  <si>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</si>
  <si>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</si>
  <si>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</si>
  <si>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</si>
  <si>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</si>
  <si>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</si>
  <si>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</si>
  <si>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</si>
  <si>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</si>
  <si>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</si>
  <si>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</si>
  <si>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</si>
  <si>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</si>
  <si>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</si>
  <si>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</si>
  <si>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</si>
  <si>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</si>
  <si>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</si>
  <si>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</si>
  <si>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</si>
  <si>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</si>
  <si>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</si>
  <si>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</si>
  <si>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>Contact Details ( Name &amp; Contect No.)</t>
  </si>
  <si>
    <t>Axis Goregaon</t>
  </si>
  <si>
    <t>Mr. Wasim shamim Khan</t>
  </si>
  <si>
    <t>Munish Glorious</t>
  </si>
  <si>
    <t xml:space="preserve">Name of the builder </t>
  </si>
  <si>
    <t>Middle Class</t>
  </si>
  <si>
    <t>Developing</t>
  </si>
  <si>
    <t>Palghar</t>
  </si>
  <si>
    <t>Vasai</t>
  </si>
  <si>
    <t>Munish Smriti Apartment</t>
  </si>
  <si>
    <t>Open Plot</t>
  </si>
  <si>
    <t>Munish Apartment</t>
  </si>
  <si>
    <t>Survey No</t>
  </si>
  <si>
    <t>Internal Road</t>
  </si>
  <si>
    <t>Munish Apartmnet</t>
  </si>
  <si>
    <t>Vasai-Virar</t>
  </si>
  <si>
    <t>1BHK</t>
  </si>
  <si>
    <t>1RK</t>
  </si>
  <si>
    <t>Builder Saleable area</t>
  </si>
  <si>
    <t>100000/-</t>
  </si>
  <si>
    <t>Approved Plans, CC, Builder Saleable Area, Cost Sheet</t>
  </si>
  <si>
    <t>Housing</t>
  </si>
  <si>
    <t>Vijay Paradise</t>
  </si>
  <si>
    <t>M/s. Munish Group of Company</t>
  </si>
  <si>
    <t>Building no.1</t>
  </si>
  <si>
    <t>Plinth</t>
  </si>
  <si>
    <t>Construction details:</t>
  </si>
  <si>
    <t>Slab/Floor</t>
  </si>
  <si>
    <t>Excavation</t>
  </si>
  <si>
    <t>RCC (Including podiums)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</si>
  <si>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</si>
  <si>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</si>
  <si>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</si>
  <si>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</si>
  <si>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</si>
  <si>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</si>
  <si>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</si>
  <si>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</si>
  <si>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</si>
  <si>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Ground Floor for Parking</t>
  </si>
  <si>
    <t>Building no.2</t>
  </si>
  <si>
    <t>50000/-</t>
  </si>
  <si>
    <t>Advance Maintenance Charges (2 years)</t>
  </si>
  <si>
    <t>1,00,000/-</t>
  </si>
  <si>
    <t>VVCMC/TP/CC/VP-6194/487/2021-22</t>
  </si>
  <si>
    <t>Valid Up to: Building No. 1 &amp; 2 = Gr/Stilt + 7th Floor</t>
  </si>
  <si>
    <t>1st to 6th Floor</t>
  </si>
  <si>
    <t>7th Floor(Part Terrace Area)</t>
  </si>
  <si>
    <t>Building No.1</t>
  </si>
  <si>
    <t>Building No.2</t>
  </si>
  <si>
    <t>Location Link</t>
  </si>
  <si>
    <t>Approved Floor plan No.</t>
  </si>
  <si>
    <t>1st to 7th Floor</t>
  </si>
  <si>
    <t>Latitude, Longitude</t>
  </si>
  <si>
    <t>Office No. 1031, Wing J, Akshar Business Park, Plot No. 03 Sector 25, Near APMC Market,
Vashi, Navi Mumbai, Maharashtra 400703 TEL: 022-46090378/79/80                                                                                                     Email : vsjcapf@gmail.com. Web site : www.vsjadon.com</t>
  </si>
  <si>
    <t xml:space="preserve">Full O. Certificate No.
Approved upto : </t>
  </si>
  <si>
    <t>VVCMC/TP/OC/6194/PO/2024/APL/00009
Building No. 1 &amp; 2 = Gr/Stilt + 7th Floor (3308.52 sqmt BUA)</t>
  </si>
  <si>
    <t>Building No. 1 &amp; 2 = P99000026565
Building No. 4 &amp; 5 = P99000055429</t>
  </si>
  <si>
    <t xml:space="preserve">Building No. 1, 2, 4 &amp; 5
</t>
  </si>
  <si>
    <t>Approval Detail : Plan approval  For Building No. 1 &amp; 2</t>
  </si>
  <si>
    <t>Approval Detail : Plan approval  For Building No. 4 &amp; 5</t>
  </si>
  <si>
    <t xml:space="preserve">O. Certificate No.
Approved upto : </t>
  </si>
  <si>
    <t xml:space="preserve">Not provided </t>
  </si>
  <si>
    <t>VVCMC/TP/CC/VP-6194/58/2023-24</t>
  </si>
  <si>
    <t>04 Buildings</t>
  </si>
  <si>
    <t>As per RERA - Building No. 1 &amp; 2 = Completed
Building No. 4 &amp; 5 = 31/12/2027</t>
  </si>
  <si>
    <t>Building No. 4 &amp; 5 Built up Area added(from CC)in previous BUA of Building No 1 &amp; 2</t>
  </si>
  <si>
    <t>Building No. 1 &amp; 2 = Gr/Stilt + 1st to 7th Floor
Building No. 4 &amp; 5  = Gr/Stilt + 1st to 7th Floor</t>
  </si>
  <si>
    <t>Building No. 4 &amp; 5  = Gr/Stilt + 1st to 7th Floor</t>
  </si>
  <si>
    <t>Building No. 1 &amp; 2 = Gr/Stilt + 1st to 7th Floor</t>
  </si>
  <si>
    <t xml:space="preserve">Wheather the construction is as per approved Building plan : </t>
  </si>
  <si>
    <t>Under Construction</t>
  </si>
  <si>
    <t xml:space="preserve">Violations Observed if any : </t>
  </si>
  <si>
    <t>Proposed Amenities :</t>
  </si>
  <si>
    <t xml:space="preserve">Vitrified tiles flooring, Granite Kitchen Platform, Decorative Entrance, etc.
</t>
  </si>
  <si>
    <t>Building No.4</t>
  </si>
  <si>
    <t>Building No.5</t>
  </si>
  <si>
    <t>We considered  Saleable area as per Builder area sheet.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</si>
  <si>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</si>
  <si>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</si>
  <si>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</si>
  <si>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We update latest revised approved plans for Bldg 2 &amp; revised CC for both buidlings (on 25/3/2022).</t>
  </si>
  <si>
    <t>We update latest revised approved plans for Bldg 1 (on 22/5/2023).</t>
  </si>
  <si>
    <t>As per approved plans dtd.06/08/2021, Building No. 1 has approval of Gr. + 1st to 7th Floor and construction is done as per it.</t>
  </si>
  <si>
    <t>Car parking is subjected to authentic documentation.</t>
  </si>
  <si>
    <t xml:space="preserve">1. 
2. 
3. 
4. 
5. 
6. 
7. 
8. 
9. 
10. 
11. 
8. On Site, we meet Mr. Kalim Khan - 8691030000.
</t>
  </si>
  <si>
    <t>We updated OC from RERA Site (on 04/06/2024).</t>
  </si>
  <si>
    <t>Site person Contact Details ( Name &amp; Contect No.)</t>
  </si>
  <si>
    <t>Mr. Kalim Shaikh 8691030000</t>
  </si>
  <si>
    <t>We have updated Building No. 04 &amp; 05 (on 04/07/2024).</t>
  </si>
  <si>
    <t>19.398369,72.846164</t>
  </si>
  <si>
    <t>https://maps.app.goo.gl/GpgzziPqLDcWRAHa8</t>
  </si>
  <si>
    <t xml:space="preserve">Details of Residential &amp; Commercials in Building   </t>
  </si>
  <si>
    <t>Shop No. (Sale Plan)</t>
  </si>
  <si>
    <t>Carpet area</t>
  </si>
  <si>
    <t>Attached Loft area</t>
  </si>
  <si>
    <t>Saleable area Loading :</t>
  </si>
  <si>
    <t>Ground Floor</t>
  </si>
  <si>
    <t>Flat No. (Sale Plan)</t>
  </si>
  <si>
    <t>Terrace Area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</si>
  <si>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</si>
  <si>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</si>
  <si>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RERA Carpet area</t>
  </si>
  <si>
    <t>Chajja Area</t>
  </si>
  <si>
    <t>Builder Saleable Area</t>
  </si>
  <si>
    <t>Building no. 4</t>
  </si>
  <si>
    <t>Ground Floor for Entrance Lobby, Society Office, Drivers Room &amp; Parking</t>
  </si>
  <si>
    <t>Building no. 5</t>
  </si>
  <si>
    <t>Flats - 174</t>
  </si>
  <si>
    <t>3.10Km from Vasai Road Railway Station</t>
  </si>
  <si>
    <t>Please provide revised approved layout plan &amp; Area Statement.</t>
  </si>
  <si>
    <t>Gokhivare</t>
  </si>
  <si>
    <t>Residential</t>
  </si>
  <si>
    <t>Valid Up to: Building No. 4 &amp; 5 = Gr/Stilt + 7th Floor</t>
  </si>
  <si>
    <t>We considered Gross carpet area = Net carpet + A. P Area.</t>
  </si>
  <si>
    <t>Navnath Bhatkar</t>
  </si>
  <si>
    <t>11, H No. 5, 7, 8, 9, 10, 20, 21/1, 21/2, 24 and Survey No. 12, H. No.21, 22/1, 22/2, 30</t>
  </si>
  <si>
    <t>60 Years after completion</t>
  </si>
  <si>
    <t>Building No. 4 = Gr/Stilt + 1st to 7th Floor</t>
  </si>
  <si>
    <t>Building No. 5  = Gr/Stilt + 1st to 7th Floor</t>
  </si>
  <si>
    <t>Building No. 1 &amp; 2 = All work Completed. OC Received.
Building No. 4 &amp; 5 = Construction work is in process at the time of Visit (Labour found).</t>
  </si>
  <si>
    <t>Mr. Kalim : 8169083290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</si>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</sst>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83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3" fillId="0" borderId="6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18" fillId="0" borderId="0" xfId="0" applyFont="1" applyProtection="1">
      <protection hidden="1"/>
    </xf>
    <xf numFmtId="0" fontId="8" fillId="0" borderId="12" xfId="1" applyFont="1" applyBorder="1" applyProtection="1">
      <protection hidden="1"/>
    </xf>
    <xf numFmtId="0" fontId="8" fillId="0" borderId="0" xfId="1" applyFont="1" applyProtection="1">
      <protection hidden="1"/>
    </xf>
    <xf numFmtId="0" fontId="14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1" xfId="1" applyFont="1" applyBorder="1" applyAlignment="1" applyProtection="1">
      <alignment vertical="top"/>
      <protection locked="0"/>
    </xf>
    <xf numFmtId="0" fontId="13" fillId="0" borderId="0" xfId="1" applyFont="1"/>
    <xf numFmtId="0" fontId="8" fillId="0" borderId="13" xfId="1" applyFont="1" applyBorder="1" applyProtection="1">
      <protection hidden="1"/>
    </xf>
    <xf numFmtId="0" fontId="8" fillId="0" borderId="14" xfId="1" applyFont="1" applyBorder="1" applyProtection="1">
      <protection hidden="1"/>
    </xf>
    <xf numFmtId="0" fontId="8" fillId="0" borderId="14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9" fontId="18" fillId="0" borderId="0" xfId="0" applyNumberFormat="1" applyFont="1" applyProtection="1">
      <protection hidden="1"/>
    </xf>
    <xf numFmtId="0" fontId="18" fillId="0" borderId="14" xfId="0" applyFont="1" applyBorder="1" applyProtection="1">
      <protection hidden="1"/>
    </xf>
    <xf numFmtId="0" fontId="13" fillId="0" borderId="8" xfId="1" applyFont="1" applyBorder="1" applyAlignment="1" applyProtection="1">
      <alignment horizontal="center" wrapText="1"/>
      <protection locked="0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0" fontId="0" fillId="0" borderId="15" xfId="0" applyBorder="1"/>
    <xf numFmtId="0" fontId="0" fillId="0" borderId="16" xfId="0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8" fillId="0" borderId="0" xfId="0" applyFont="1"/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14" xfId="1" applyFont="1" applyBorder="1" applyAlignment="1" applyProtection="1">
      <alignment horizontal="center" vertical="center"/>
      <protection hidden="1"/>
    </xf>
    <xf numFmtId="0" fontId="13" fillId="0" borderId="4" xfId="1" applyFont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14" fillId="0" borderId="3" xfId="1" applyNumberFormat="1" applyFont="1" applyBorder="1" applyAlignment="1" applyProtection="1">
      <alignment horizontal="center" vertical="top" wrapText="1"/>
      <protection locked="0"/>
    </xf>
    <xf numFmtId="9" fontId="14" fillId="0" borderId="4" xfId="9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7" xfId="1" applyNumberFormat="1" applyFont="1" applyBorder="1" applyAlignment="1" applyProtection="1">
      <alignment horizontal="center" vertical="center" wrapText="1"/>
      <protection locked="0"/>
    </xf>
    <xf numFmtId="1" fontId="9" fillId="0" borderId="1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Border="1" applyAlignment="1" applyProtection="1">
      <alignment horizontal="center" vertical="center" wrapText="1"/>
      <protection locked="0"/>
    </xf>
    <xf numFmtId="1" fontId="13" fillId="0" borderId="11" xfId="1" applyNumberFormat="1" applyFont="1" applyBorder="1" applyAlignment="1" applyProtection="1">
      <alignment horizontal="center" vertical="center" wrapText="1"/>
      <protection locked="0"/>
    </xf>
    <xf numFmtId="1" fontId="14" fillId="0" borderId="18" xfId="1" applyNumberFormat="1" applyFont="1" applyBorder="1" applyAlignment="1" applyProtection="1">
      <alignment horizontal="center" vertical="top" wrapText="1"/>
      <protection locked="0"/>
    </xf>
    <xf numFmtId="1" fontId="14" fillId="0" borderId="28" xfId="1" applyNumberFormat="1" applyFont="1" applyBorder="1" applyAlignment="1" applyProtection="1">
      <alignment horizontal="center" vertical="top" wrapText="1"/>
      <protection locked="0"/>
    </xf>
    <xf numFmtId="1" fontId="14" fillId="0" borderId="3" xfId="1" applyNumberFormat="1" applyFont="1" applyBorder="1" applyAlignment="1" applyProtection="1">
      <alignment horizontal="center" vertical="top" wrapText="1"/>
      <protection locked="0"/>
    </xf>
    <xf numFmtId="1" fontId="14" fillId="0" borderId="4" xfId="1" applyNumberFormat="1" applyFont="1" applyBorder="1" applyAlignment="1" applyProtection="1">
      <alignment horizontal="center" vertical="top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4" xfId="1" applyNumberFormat="1" applyFont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9" fontId="13" fillId="0" borderId="6" xfId="1" applyNumberFormat="1" applyFont="1" applyBorder="1" applyAlignment="1" applyProtection="1">
      <alignment horizontal="center" vertical="center" wrapText="1"/>
      <protection hidden="1"/>
    </xf>
    <xf numFmtId="9" fontId="13" fillId="0" borderId="9" xfId="1" applyNumberFormat="1" applyFont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4" fontId="14" fillId="0" borderId="10" xfId="1" applyNumberFormat="1" applyFont="1" applyBorder="1" applyAlignment="1" applyProtection="1">
      <alignment horizontal="left" vertical="top" wrapText="1"/>
      <protection locked="0"/>
    </xf>
    <xf numFmtId="14" fontId="14" fillId="0" borderId="11" xfId="1" applyNumberFormat="1" applyFont="1" applyBorder="1" applyAlignment="1" applyProtection="1">
      <alignment horizontal="left" vertical="top" wrapText="1"/>
      <protection locked="0"/>
    </xf>
    <xf numFmtId="0" fontId="24" fillId="0" borderId="21" xfId="1" applyFont="1" applyBorder="1" applyAlignment="1">
      <alignment horizontal="left" wrapText="1"/>
    </xf>
    <xf numFmtId="0" fontId="24" fillId="0" borderId="0" xfId="1" applyFont="1" applyAlignment="1">
      <alignment horizontal="left" wrapText="1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14" fillId="0" borderId="5" xfId="1" applyFont="1" applyBorder="1" applyAlignment="1" applyProtection="1">
      <alignment horizontal="left" vertical="top"/>
      <protection locked="0"/>
    </xf>
    <xf numFmtId="0" fontId="14" fillId="0" borderId="6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3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14" fillId="0" borderId="10" xfId="2" applyFont="1" applyBorder="1" applyAlignment="1" applyProtection="1">
      <alignment horizontal="left" vertical="top" wrapText="1"/>
      <protection locked="0"/>
    </xf>
    <xf numFmtId="0" fontId="14" fillId="0" borderId="17" xfId="2" applyFont="1" applyBorder="1" applyAlignment="1" applyProtection="1">
      <alignment horizontal="left" vertical="top" wrapText="1"/>
      <protection locked="0"/>
    </xf>
    <xf numFmtId="0" fontId="14" fillId="0" borderId="11" xfId="2" applyFont="1" applyBorder="1" applyAlignment="1" applyProtection="1">
      <alignment horizontal="left" vertical="top" wrapText="1"/>
      <protection locked="0"/>
    </xf>
    <xf numFmtId="1" fontId="14" fillId="0" borderId="10" xfId="1" applyNumberFormat="1" applyFont="1" applyBorder="1" applyAlignment="1" applyProtection="1">
      <alignment horizontal="center" vertical="center" wrapText="1"/>
      <protection locked="0"/>
    </xf>
    <xf numFmtId="1" fontId="14" fillId="0" borderId="17" xfId="1" applyNumberFormat="1" applyFont="1" applyBorder="1" applyAlignment="1" applyProtection="1">
      <alignment horizontal="center" vertical="center" wrapText="1"/>
      <protection locked="0"/>
    </xf>
    <xf numFmtId="1" fontId="14" fillId="0" borderId="11" xfId="1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22" fillId="0" borderId="1" xfId="8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9" fontId="14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9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640773</xdr:colOff>
      <xdr:row>293</xdr:row>
      <xdr:rowOff>17318</xdr:rowOff>
    </xdr:from>
    <xdr:to>
      <xdr:col>7</xdr:col>
      <xdr:colOff>121228</xdr:colOff>
      <xdr:row>332</xdr:row>
      <xdr:rowOff>77932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40773" y="52039058"/>
          <a:ext cx="5264035" cy="7787294"/>
          <a:chOff x="845387" y="224287"/>
          <a:chExt cx="5193101" cy="8160589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5524" t="28106" r="39204" b="15763"/>
          <a:stretch/>
        </xdr:blipFill>
        <xdr:spPr>
          <a:xfrm>
            <a:off x="1147312" y="224287"/>
            <a:ext cx="4589253" cy="41061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845387" y="4485735"/>
            <a:ext cx="5193101" cy="3899141"/>
            <a:chOff x="845387" y="4485735"/>
            <a:chExt cx="5193101" cy="3899141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4839" t="28538" r="35248" b="18162"/>
            <a:stretch/>
          </xdr:blipFill>
          <xdr:spPr>
            <a:xfrm>
              <a:off x="845387" y="4485735"/>
              <a:ext cx="5193101" cy="38991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 rot="20872374">
              <a:off x="2207601" y="5583009"/>
              <a:ext cx="2070425" cy="1704592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9</xdr:col>
      <xdr:colOff>0</xdr:colOff>
      <xdr:row>248</xdr:row>
      <xdr:rowOff>0</xdr:rowOff>
    </xdr:from>
    <xdr:to>
      <xdr:col>10</xdr:col>
      <xdr:colOff>107494</xdr:colOff>
      <xdr:row>249</xdr:row>
      <xdr:rowOff>67710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274050" y="42754550"/>
          <a:ext cx="793294" cy="26456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>
              <a:solidFill>
                <a:sysClr val="windowText" lastClr="000000"/>
              </a:solidFill>
            </a:rPr>
            <a:t>Bldg no.02</a:t>
          </a:r>
        </a:p>
      </xdr:txBody>
    </xdr:sp>
    <xdr:clientData/>
  </xdr:twoCellAnchor>
  <xdr:twoCellAnchor>
    <xdr:from>
      <xdr:col>10</xdr:col>
      <xdr:colOff>0</xdr:colOff>
      <xdr:row>250</xdr:row>
      <xdr:rowOff>0</xdr:rowOff>
    </xdr:from>
    <xdr:to>
      <xdr:col>11</xdr:col>
      <xdr:colOff>151944</xdr:colOff>
      <xdr:row>251</xdr:row>
      <xdr:rowOff>67710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959850" y="43148250"/>
          <a:ext cx="793294" cy="26456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>
              <a:solidFill>
                <a:srgbClr val="FFFF00"/>
              </a:solidFill>
            </a:rPr>
            <a:t>Bldg no.02</a:t>
          </a:r>
        </a:p>
      </xdr:txBody>
    </xdr:sp>
    <xdr:clientData/>
  </xdr:twoCellAnchor>
  <xdr:twoCellAnchor>
    <xdr:from>
      <xdr:col>8</xdr:col>
      <xdr:colOff>742950</xdr:colOff>
      <xdr:row>247</xdr:row>
      <xdr:rowOff>5080</xdr:rowOff>
    </xdr:from>
    <xdr:to>
      <xdr:col>17</xdr:col>
      <xdr:colOff>620919</xdr:colOff>
      <xdr:row>279</xdr:row>
      <xdr:rowOff>53984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09C25E3-0F4E-F62C-E50B-595F8BD3100E}"/>
            </a:ext>
          </a:extLst>
        </xdr:cNvPr>
        <xdr:cNvGrpSpPr/>
      </xdr:nvGrpSpPr>
      <xdr:grpSpPr>
        <a:xfrm>
          <a:off x="7471410" y="42920920"/>
          <a:ext cx="6377829" cy="6381124"/>
          <a:chOff x="171450" y="43210480"/>
          <a:chExt cx="6377829" cy="6381124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71450" y="43210480"/>
            <a:ext cx="6377829" cy="6381124"/>
            <a:chOff x="171450" y="43040300"/>
            <a:chExt cx="6474349" cy="6341754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30275" y="47366054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451" y="43040300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26092" y="43040300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0733" y="43040300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35374" y="43040300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450" y="45203177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30275" y="45203177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0562" y="45203177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30849" y="45203177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26092" y="47366054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450" y="47366054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0561" y="47366054"/>
              <a:ext cx="1510425" cy="2016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488950" y="44941490"/>
            <a:ext cx="778054" cy="26583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Bldg no.01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>
            <a:off x="2153920" y="44889420"/>
            <a:ext cx="780594" cy="267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Bldg no.02</a:t>
            </a:r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3741420" y="44570650"/>
            <a:ext cx="781864" cy="26583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Bldg no.04</a:t>
            </a:r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/>
        </xdr:nvSpPr>
        <xdr:spPr>
          <a:xfrm>
            <a:off x="5490210" y="44570650"/>
            <a:ext cx="781864" cy="26583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Bldg no.04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342900" y="47056040"/>
            <a:ext cx="778054" cy="267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Bldg no.05</a:t>
            </a:r>
          </a:p>
        </xdr:txBody>
      </xdr:sp>
    </xdr:grpSp>
    <xdr:clientData/>
  </xdr:twoCellAnchor>
  <xdr:twoCellAnchor>
    <xdr:from>
      <xdr:col>0</xdr:col>
      <xdr:colOff>464820</xdr:colOff>
      <xdr:row>250</xdr:row>
      <xdr:rowOff>22860</xdr:rowOff>
    </xdr:from>
    <xdr:to>
      <xdr:col>7</xdr:col>
      <xdr:colOff>616253</xdr:colOff>
      <xdr:row>290</xdr:row>
      <xdr:rowOff>81426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6F03C57-846B-740D-B9FB-E4FD743B460D}"/>
            </a:ext>
          </a:extLst>
        </xdr:cNvPr>
        <xdr:cNvGrpSpPr/>
      </xdr:nvGrpSpPr>
      <xdr:grpSpPr>
        <a:xfrm>
          <a:off x="464820" y="43533060"/>
          <a:ext cx="5935013" cy="7975746"/>
          <a:chOff x="225640" y="170948"/>
          <a:chExt cx="5935013" cy="797574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1B9967D-C619-8672-0027-3FE9804A25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640" y="562669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1A31781-78C0-37AB-CEC3-089D2F11F4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7321" y="289882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0AE9802-8235-0CEE-B3BE-DAAD18BFD4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641" y="17094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79F742B-9A1A-7EA3-079E-86F5D28DB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7320" y="562669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335734F-4BE3-5BF2-49AB-45006E154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2621" y="289882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305FD84-D032-3FF5-C812-166B6474CC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2621" y="562669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8EF8637-5458-369F-D17A-7B08CF857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7323" y="17094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091668C-6A1D-7964-9AAE-67BF89E2A1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2622" y="17094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2A88B311-1CE8-18BF-C306-FEDA11317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640" y="289882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" name="TextBox 25">
            <a:extLst>
              <a:ext uri="{FF2B5EF4-FFF2-40B4-BE49-F238E27FC236}">
                <a16:creationId xmlns:a16="http://schemas.microsoft.com/office/drawing/2014/main" id="{7F9ECDFC-F539-92A4-9EC7-2349017DBFA7}"/>
              </a:ext>
            </a:extLst>
          </xdr:cNvPr>
          <xdr:cNvSpPr txBox="1"/>
        </xdr:nvSpPr>
        <xdr:spPr>
          <a:xfrm>
            <a:off x="225640" y="4930704"/>
            <a:ext cx="11320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Building 5</a:t>
            </a:r>
          </a:p>
        </xdr:txBody>
      </xdr:sp>
      <xdr:sp macro="" textlink="">
        <xdr:nvSpPr>
          <xdr:cNvPr id="15" name="TextBox 26">
            <a:extLst>
              <a:ext uri="{FF2B5EF4-FFF2-40B4-BE49-F238E27FC236}">
                <a16:creationId xmlns:a16="http://schemas.microsoft.com/office/drawing/2014/main" id="{6E85E785-4474-6686-8428-B1DD43A8D642}"/>
              </a:ext>
            </a:extLst>
          </xdr:cNvPr>
          <xdr:cNvSpPr txBox="1"/>
        </xdr:nvSpPr>
        <xdr:spPr>
          <a:xfrm>
            <a:off x="4761059" y="2202831"/>
            <a:ext cx="11320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Building 4</a:t>
            </a:r>
          </a:p>
        </xdr:txBody>
      </xdr:sp>
      <xdr:sp macro="" textlink="">
        <xdr:nvSpPr>
          <xdr:cNvPr id="16" name="TextBox 27">
            <a:extLst>
              <a:ext uri="{FF2B5EF4-FFF2-40B4-BE49-F238E27FC236}">
                <a16:creationId xmlns:a16="http://schemas.microsoft.com/office/drawing/2014/main" id="{71670E5E-01E5-5AA9-BE58-EFAF48D18648}"/>
              </a:ext>
            </a:extLst>
          </xdr:cNvPr>
          <xdr:cNvSpPr txBox="1"/>
        </xdr:nvSpPr>
        <xdr:spPr>
          <a:xfrm>
            <a:off x="2500927" y="2240887"/>
            <a:ext cx="11320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Building 2</a:t>
            </a:r>
          </a:p>
        </xdr:txBody>
      </xdr:sp>
      <xdr:sp macro="" textlink="">
        <xdr:nvSpPr>
          <xdr:cNvPr id="17" name="TextBox 28">
            <a:extLst>
              <a:ext uri="{FF2B5EF4-FFF2-40B4-BE49-F238E27FC236}">
                <a16:creationId xmlns:a16="http://schemas.microsoft.com/office/drawing/2014/main" id="{9720EF3A-8022-EE36-379C-0AB2BF84D96C}"/>
              </a:ext>
            </a:extLst>
          </xdr:cNvPr>
          <xdr:cNvSpPr txBox="1"/>
        </xdr:nvSpPr>
        <xdr:spPr>
          <a:xfrm>
            <a:off x="603634" y="170948"/>
            <a:ext cx="11320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Building 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pgzziPqLDcWRAHa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2"/>
  <sheetViews>
    <sheetView tabSelected="1" showWhiteSpace="0" view="pageBreakPreview" topLeftCell="A224" zoomScaleNormal="100" zoomScaleSheetLayoutView="100" zoomScalePageLayoutView="112" workbookViewId="0">
      <selection activeCell="K230" sqref="K230"/>
    </sheetView>
  </sheetViews>
  <sheetFormatPr defaultColWidth="9.21875" defaultRowHeight="15.6" x14ac:dyDescent="0.3"/>
  <cols>
    <col min="1" max="1" width="11.44140625" style="55" customWidth="1"/>
    <col min="2" max="2" width="12" style="55" customWidth="1"/>
    <col min="3" max="4" width="12.77734375" style="55" customWidth="1"/>
    <col min="5" max="7" width="11.77734375" style="55" customWidth="1"/>
    <col min="8" max="8" width="13.77734375" style="55" customWidth="1"/>
    <col min="9" max="9" width="20.44140625" style="29" customWidth="1"/>
    <col min="10" max="10" width="9.77734375" style="29" bestFit="1" customWidth="1"/>
    <col min="11" max="252" width="9.21875" style="29"/>
    <col min="253" max="253" width="8.77734375" style="29" customWidth="1"/>
    <col min="254" max="254" width="9.77734375" style="29" customWidth="1"/>
    <col min="255" max="255" width="14.44140625" style="29" customWidth="1"/>
    <col min="256" max="256" width="7.21875" style="29" customWidth="1"/>
    <col min="257" max="257" width="5.5546875" style="29" customWidth="1"/>
    <col min="258" max="258" width="9" style="29" customWidth="1"/>
    <col min="259" max="260" width="9.77734375" style="29" customWidth="1"/>
    <col min="261" max="261" width="11.21875" style="29" customWidth="1"/>
    <col min="262" max="262" width="2.77734375" style="29" customWidth="1"/>
    <col min="263" max="263" width="3.5546875" style="29" customWidth="1"/>
    <col min="264" max="508" width="9.21875" style="29"/>
    <col min="509" max="509" width="8.77734375" style="29" customWidth="1"/>
    <col min="510" max="510" width="9.77734375" style="29" customWidth="1"/>
    <col min="511" max="511" width="14.44140625" style="29" customWidth="1"/>
    <col min="512" max="512" width="7.21875" style="29" customWidth="1"/>
    <col min="513" max="513" width="5.5546875" style="29" customWidth="1"/>
    <col min="514" max="514" width="9" style="29" customWidth="1"/>
    <col min="515" max="516" width="9.77734375" style="29" customWidth="1"/>
    <col min="517" max="517" width="11.21875" style="29" customWidth="1"/>
    <col min="518" max="518" width="2.77734375" style="29" customWidth="1"/>
    <col min="519" max="519" width="3.5546875" style="29" customWidth="1"/>
    <col min="520" max="764" width="9.21875" style="29"/>
    <col min="765" max="765" width="8.77734375" style="29" customWidth="1"/>
    <col min="766" max="766" width="9.77734375" style="29" customWidth="1"/>
    <col min="767" max="767" width="14.44140625" style="29" customWidth="1"/>
    <col min="768" max="768" width="7.21875" style="29" customWidth="1"/>
    <col min="769" max="769" width="5.5546875" style="29" customWidth="1"/>
    <col min="770" max="770" width="9" style="29" customWidth="1"/>
    <col min="771" max="772" width="9.77734375" style="29" customWidth="1"/>
    <col min="773" max="773" width="11.21875" style="29" customWidth="1"/>
    <col min="774" max="774" width="2.77734375" style="29" customWidth="1"/>
    <col min="775" max="775" width="3.5546875" style="29" customWidth="1"/>
    <col min="776" max="1020" width="9.21875" style="29"/>
    <col min="1021" max="1021" width="8.77734375" style="29" customWidth="1"/>
    <col min="1022" max="1022" width="9.77734375" style="29" customWidth="1"/>
    <col min="1023" max="1023" width="14.44140625" style="29" customWidth="1"/>
    <col min="1024" max="1024" width="7.21875" style="29" customWidth="1"/>
    <col min="1025" max="1025" width="5.5546875" style="29" customWidth="1"/>
    <col min="1026" max="1026" width="9" style="29" customWidth="1"/>
    <col min="1027" max="1028" width="9.77734375" style="29" customWidth="1"/>
    <col min="1029" max="1029" width="11.21875" style="29" customWidth="1"/>
    <col min="1030" max="1030" width="2.77734375" style="29" customWidth="1"/>
    <col min="1031" max="1031" width="3.5546875" style="29" customWidth="1"/>
    <col min="1032" max="1276" width="9.21875" style="29"/>
    <col min="1277" max="1277" width="8.77734375" style="29" customWidth="1"/>
    <col min="1278" max="1278" width="9.77734375" style="29" customWidth="1"/>
    <col min="1279" max="1279" width="14.44140625" style="29" customWidth="1"/>
    <col min="1280" max="1280" width="7.21875" style="29" customWidth="1"/>
    <col min="1281" max="1281" width="5.5546875" style="29" customWidth="1"/>
    <col min="1282" max="1282" width="9" style="29" customWidth="1"/>
    <col min="1283" max="1284" width="9.77734375" style="29" customWidth="1"/>
    <col min="1285" max="1285" width="11.21875" style="29" customWidth="1"/>
    <col min="1286" max="1286" width="2.77734375" style="29" customWidth="1"/>
    <col min="1287" max="1287" width="3.5546875" style="29" customWidth="1"/>
    <col min="1288" max="1532" width="9.21875" style="29"/>
    <col min="1533" max="1533" width="8.77734375" style="29" customWidth="1"/>
    <col min="1534" max="1534" width="9.77734375" style="29" customWidth="1"/>
    <col min="1535" max="1535" width="14.44140625" style="29" customWidth="1"/>
    <col min="1536" max="1536" width="7.21875" style="29" customWidth="1"/>
    <col min="1537" max="1537" width="5.5546875" style="29" customWidth="1"/>
    <col min="1538" max="1538" width="9" style="29" customWidth="1"/>
    <col min="1539" max="1540" width="9.77734375" style="29" customWidth="1"/>
    <col min="1541" max="1541" width="11.21875" style="29" customWidth="1"/>
    <col min="1542" max="1542" width="2.77734375" style="29" customWidth="1"/>
    <col min="1543" max="1543" width="3.5546875" style="29" customWidth="1"/>
    <col min="1544" max="1788" width="9.21875" style="29"/>
    <col min="1789" max="1789" width="8.77734375" style="29" customWidth="1"/>
    <col min="1790" max="1790" width="9.77734375" style="29" customWidth="1"/>
    <col min="1791" max="1791" width="14.44140625" style="29" customWidth="1"/>
    <col min="1792" max="1792" width="7.21875" style="29" customWidth="1"/>
    <col min="1793" max="1793" width="5.5546875" style="29" customWidth="1"/>
    <col min="1794" max="1794" width="9" style="29" customWidth="1"/>
    <col min="1795" max="1796" width="9.77734375" style="29" customWidth="1"/>
    <col min="1797" max="1797" width="11.21875" style="29" customWidth="1"/>
    <col min="1798" max="1798" width="2.77734375" style="29" customWidth="1"/>
    <col min="1799" max="1799" width="3.5546875" style="29" customWidth="1"/>
    <col min="1800" max="2044" width="9.21875" style="29"/>
    <col min="2045" max="2045" width="8.77734375" style="29" customWidth="1"/>
    <col min="2046" max="2046" width="9.77734375" style="29" customWidth="1"/>
    <col min="2047" max="2047" width="14.44140625" style="29" customWidth="1"/>
    <col min="2048" max="2048" width="7.21875" style="29" customWidth="1"/>
    <col min="2049" max="2049" width="5.5546875" style="29" customWidth="1"/>
    <col min="2050" max="2050" width="9" style="29" customWidth="1"/>
    <col min="2051" max="2052" width="9.77734375" style="29" customWidth="1"/>
    <col min="2053" max="2053" width="11.21875" style="29" customWidth="1"/>
    <col min="2054" max="2054" width="2.77734375" style="29" customWidth="1"/>
    <col min="2055" max="2055" width="3.5546875" style="29" customWidth="1"/>
    <col min="2056" max="2300" width="9.21875" style="29"/>
    <col min="2301" max="2301" width="8.77734375" style="29" customWidth="1"/>
    <col min="2302" max="2302" width="9.77734375" style="29" customWidth="1"/>
    <col min="2303" max="2303" width="14.44140625" style="29" customWidth="1"/>
    <col min="2304" max="2304" width="7.21875" style="29" customWidth="1"/>
    <col min="2305" max="2305" width="5.5546875" style="29" customWidth="1"/>
    <col min="2306" max="2306" width="9" style="29" customWidth="1"/>
    <col min="2307" max="2308" width="9.77734375" style="29" customWidth="1"/>
    <col min="2309" max="2309" width="11.21875" style="29" customWidth="1"/>
    <col min="2310" max="2310" width="2.77734375" style="29" customWidth="1"/>
    <col min="2311" max="2311" width="3.5546875" style="29" customWidth="1"/>
    <col min="2312" max="2556" width="9.21875" style="29"/>
    <col min="2557" max="2557" width="8.77734375" style="29" customWidth="1"/>
    <col min="2558" max="2558" width="9.77734375" style="29" customWidth="1"/>
    <col min="2559" max="2559" width="14.44140625" style="29" customWidth="1"/>
    <col min="2560" max="2560" width="7.21875" style="29" customWidth="1"/>
    <col min="2561" max="2561" width="5.5546875" style="29" customWidth="1"/>
    <col min="2562" max="2562" width="9" style="29" customWidth="1"/>
    <col min="2563" max="2564" width="9.77734375" style="29" customWidth="1"/>
    <col min="2565" max="2565" width="11.21875" style="29" customWidth="1"/>
    <col min="2566" max="2566" width="2.77734375" style="29" customWidth="1"/>
    <col min="2567" max="2567" width="3.5546875" style="29" customWidth="1"/>
    <col min="2568" max="2812" width="9.21875" style="29"/>
    <col min="2813" max="2813" width="8.77734375" style="29" customWidth="1"/>
    <col min="2814" max="2814" width="9.77734375" style="29" customWidth="1"/>
    <col min="2815" max="2815" width="14.44140625" style="29" customWidth="1"/>
    <col min="2816" max="2816" width="7.21875" style="29" customWidth="1"/>
    <col min="2817" max="2817" width="5.5546875" style="29" customWidth="1"/>
    <col min="2818" max="2818" width="9" style="29" customWidth="1"/>
    <col min="2819" max="2820" width="9.77734375" style="29" customWidth="1"/>
    <col min="2821" max="2821" width="11.21875" style="29" customWidth="1"/>
    <col min="2822" max="2822" width="2.77734375" style="29" customWidth="1"/>
    <col min="2823" max="2823" width="3.5546875" style="29" customWidth="1"/>
    <col min="2824" max="3068" width="9.21875" style="29"/>
    <col min="3069" max="3069" width="8.77734375" style="29" customWidth="1"/>
    <col min="3070" max="3070" width="9.77734375" style="29" customWidth="1"/>
    <col min="3071" max="3071" width="14.44140625" style="29" customWidth="1"/>
    <col min="3072" max="3072" width="7.21875" style="29" customWidth="1"/>
    <col min="3073" max="3073" width="5.5546875" style="29" customWidth="1"/>
    <col min="3074" max="3074" width="9" style="29" customWidth="1"/>
    <col min="3075" max="3076" width="9.77734375" style="29" customWidth="1"/>
    <col min="3077" max="3077" width="11.21875" style="29" customWidth="1"/>
    <col min="3078" max="3078" width="2.77734375" style="29" customWidth="1"/>
    <col min="3079" max="3079" width="3.5546875" style="29" customWidth="1"/>
    <col min="3080" max="3324" width="9.21875" style="29"/>
    <col min="3325" max="3325" width="8.77734375" style="29" customWidth="1"/>
    <col min="3326" max="3326" width="9.77734375" style="29" customWidth="1"/>
    <col min="3327" max="3327" width="14.44140625" style="29" customWidth="1"/>
    <col min="3328" max="3328" width="7.21875" style="29" customWidth="1"/>
    <col min="3329" max="3329" width="5.5546875" style="29" customWidth="1"/>
    <col min="3330" max="3330" width="9" style="29" customWidth="1"/>
    <col min="3331" max="3332" width="9.77734375" style="29" customWidth="1"/>
    <col min="3333" max="3333" width="11.21875" style="29" customWidth="1"/>
    <col min="3334" max="3334" width="2.77734375" style="29" customWidth="1"/>
    <col min="3335" max="3335" width="3.5546875" style="29" customWidth="1"/>
    <col min="3336" max="3580" width="9.21875" style="29"/>
    <col min="3581" max="3581" width="8.77734375" style="29" customWidth="1"/>
    <col min="3582" max="3582" width="9.77734375" style="29" customWidth="1"/>
    <col min="3583" max="3583" width="14.44140625" style="29" customWidth="1"/>
    <col min="3584" max="3584" width="7.21875" style="29" customWidth="1"/>
    <col min="3585" max="3585" width="5.5546875" style="29" customWidth="1"/>
    <col min="3586" max="3586" width="9" style="29" customWidth="1"/>
    <col min="3587" max="3588" width="9.77734375" style="29" customWidth="1"/>
    <col min="3589" max="3589" width="11.21875" style="29" customWidth="1"/>
    <col min="3590" max="3590" width="2.77734375" style="29" customWidth="1"/>
    <col min="3591" max="3591" width="3.5546875" style="29" customWidth="1"/>
    <col min="3592" max="3836" width="9.21875" style="29"/>
    <col min="3837" max="3837" width="8.77734375" style="29" customWidth="1"/>
    <col min="3838" max="3838" width="9.77734375" style="29" customWidth="1"/>
    <col min="3839" max="3839" width="14.44140625" style="29" customWidth="1"/>
    <col min="3840" max="3840" width="7.21875" style="29" customWidth="1"/>
    <col min="3841" max="3841" width="5.5546875" style="29" customWidth="1"/>
    <col min="3842" max="3842" width="9" style="29" customWidth="1"/>
    <col min="3843" max="3844" width="9.77734375" style="29" customWidth="1"/>
    <col min="3845" max="3845" width="11.21875" style="29" customWidth="1"/>
    <col min="3846" max="3846" width="2.77734375" style="29" customWidth="1"/>
    <col min="3847" max="3847" width="3.5546875" style="29" customWidth="1"/>
    <col min="3848" max="4092" width="9.21875" style="29"/>
    <col min="4093" max="4093" width="8.77734375" style="29" customWidth="1"/>
    <col min="4094" max="4094" width="9.77734375" style="29" customWidth="1"/>
    <col min="4095" max="4095" width="14.44140625" style="29" customWidth="1"/>
    <col min="4096" max="4096" width="7.21875" style="29" customWidth="1"/>
    <col min="4097" max="4097" width="5.5546875" style="29" customWidth="1"/>
    <col min="4098" max="4098" width="9" style="29" customWidth="1"/>
    <col min="4099" max="4100" width="9.77734375" style="29" customWidth="1"/>
    <col min="4101" max="4101" width="11.21875" style="29" customWidth="1"/>
    <col min="4102" max="4102" width="2.77734375" style="29" customWidth="1"/>
    <col min="4103" max="4103" width="3.5546875" style="29" customWidth="1"/>
    <col min="4104" max="4348" width="9.21875" style="29"/>
    <col min="4349" max="4349" width="8.77734375" style="29" customWidth="1"/>
    <col min="4350" max="4350" width="9.77734375" style="29" customWidth="1"/>
    <col min="4351" max="4351" width="14.44140625" style="29" customWidth="1"/>
    <col min="4352" max="4352" width="7.21875" style="29" customWidth="1"/>
    <col min="4353" max="4353" width="5.5546875" style="29" customWidth="1"/>
    <col min="4354" max="4354" width="9" style="29" customWidth="1"/>
    <col min="4355" max="4356" width="9.77734375" style="29" customWidth="1"/>
    <col min="4357" max="4357" width="11.21875" style="29" customWidth="1"/>
    <col min="4358" max="4358" width="2.77734375" style="29" customWidth="1"/>
    <col min="4359" max="4359" width="3.5546875" style="29" customWidth="1"/>
    <col min="4360" max="4604" width="9.21875" style="29"/>
    <col min="4605" max="4605" width="8.77734375" style="29" customWidth="1"/>
    <col min="4606" max="4606" width="9.77734375" style="29" customWidth="1"/>
    <col min="4607" max="4607" width="14.44140625" style="29" customWidth="1"/>
    <col min="4608" max="4608" width="7.21875" style="29" customWidth="1"/>
    <col min="4609" max="4609" width="5.5546875" style="29" customWidth="1"/>
    <col min="4610" max="4610" width="9" style="29" customWidth="1"/>
    <col min="4611" max="4612" width="9.77734375" style="29" customWidth="1"/>
    <col min="4613" max="4613" width="11.21875" style="29" customWidth="1"/>
    <col min="4614" max="4614" width="2.77734375" style="29" customWidth="1"/>
    <col min="4615" max="4615" width="3.5546875" style="29" customWidth="1"/>
    <col min="4616" max="4860" width="9.21875" style="29"/>
    <col min="4861" max="4861" width="8.77734375" style="29" customWidth="1"/>
    <col min="4862" max="4862" width="9.77734375" style="29" customWidth="1"/>
    <col min="4863" max="4863" width="14.44140625" style="29" customWidth="1"/>
    <col min="4864" max="4864" width="7.21875" style="29" customWidth="1"/>
    <col min="4865" max="4865" width="5.5546875" style="29" customWidth="1"/>
    <col min="4866" max="4866" width="9" style="29" customWidth="1"/>
    <col min="4867" max="4868" width="9.77734375" style="29" customWidth="1"/>
    <col min="4869" max="4869" width="11.21875" style="29" customWidth="1"/>
    <col min="4870" max="4870" width="2.77734375" style="29" customWidth="1"/>
    <col min="4871" max="4871" width="3.5546875" style="29" customWidth="1"/>
    <col min="4872" max="5116" width="9.21875" style="29"/>
    <col min="5117" max="5117" width="8.77734375" style="29" customWidth="1"/>
    <col min="5118" max="5118" width="9.77734375" style="29" customWidth="1"/>
    <col min="5119" max="5119" width="14.44140625" style="29" customWidth="1"/>
    <col min="5120" max="5120" width="7.21875" style="29" customWidth="1"/>
    <col min="5121" max="5121" width="5.5546875" style="29" customWidth="1"/>
    <col min="5122" max="5122" width="9" style="29" customWidth="1"/>
    <col min="5123" max="5124" width="9.77734375" style="29" customWidth="1"/>
    <col min="5125" max="5125" width="11.21875" style="29" customWidth="1"/>
    <col min="5126" max="5126" width="2.77734375" style="29" customWidth="1"/>
    <col min="5127" max="5127" width="3.5546875" style="29" customWidth="1"/>
    <col min="5128" max="5372" width="9.21875" style="29"/>
    <col min="5373" max="5373" width="8.77734375" style="29" customWidth="1"/>
    <col min="5374" max="5374" width="9.77734375" style="29" customWidth="1"/>
    <col min="5375" max="5375" width="14.44140625" style="29" customWidth="1"/>
    <col min="5376" max="5376" width="7.21875" style="29" customWidth="1"/>
    <col min="5377" max="5377" width="5.5546875" style="29" customWidth="1"/>
    <col min="5378" max="5378" width="9" style="29" customWidth="1"/>
    <col min="5379" max="5380" width="9.77734375" style="29" customWidth="1"/>
    <col min="5381" max="5381" width="11.21875" style="29" customWidth="1"/>
    <col min="5382" max="5382" width="2.77734375" style="29" customWidth="1"/>
    <col min="5383" max="5383" width="3.5546875" style="29" customWidth="1"/>
    <col min="5384" max="5628" width="9.21875" style="29"/>
    <col min="5629" max="5629" width="8.77734375" style="29" customWidth="1"/>
    <col min="5630" max="5630" width="9.77734375" style="29" customWidth="1"/>
    <col min="5631" max="5631" width="14.44140625" style="29" customWidth="1"/>
    <col min="5632" max="5632" width="7.21875" style="29" customWidth="1"/>
    <col min="5633" max="5633" width="5.5546875" style="29" customWidth="1"/>
    <col min="5634" max="5634" width="9" style="29" customWidth="1"/>
    <col min="5635" max="5636" width="9.77734375" style="29" customWidth="1"/>
    <col min="5637" max="5637" width="11.21875" style="29" customWidth="1"/>
    <col min="5638" max="5638" width="2.77734375" style="29" customWidth="1"/>
    <col min="5639" max="5639" width="3.5546875" style="29" customWidth="1"/>
    <col min="5640" max="5884" width="9.21875" style="29"/>
    <col min="5885" max="5885" width="8.77734375" style="29" customWidth="1"/>
    <col min="5886" max="5886" width="9.77734375" style="29" customWidth="1"/>
    <col min="5887" max="5887" width="14.44140625" style="29" customWidth="1"/>
    <col min="5888" max="5888" width="7.21875" style="29" customWidth="1"/>
    <col min="5889" max="5889" width="5.5546875" style="29" customWidth="1"/>
    <col min="5890" max="5890" width="9" style="29" customWidth="1"/>
    <col min="5891" max="5892" width="9.77734375" style="29" customWidth="1"/>
    <col min="5893" max="5893" width="11.21875" style="29" customWidth="1"/>
    <col min="5894" max="5894" width="2.77734375" style="29" customWidth="1"/>
    <col min="5895" max="5895" width="3.5546875" style="29" customWidth="1"/>
    <col min="5896" max="6140" width="9.21875" style="29"/>
    <col min="6141" max="6141" width="8.77734375" style="29" customWidth="1"/>
    <col min="6142" max="6142" width="9.77734375" style="29" customWidth="1"/>
    <col min="6143" max="6143" width="14.44140625" style="29" customWidth="1"/>
    <col min="6144" max="6144" width="7.21875" style="29" customWidth="1"/>
    <col min="6145" max="6145" width="5.5546875" style="29" customWidth="1"/>
    <col min="6146" max="6146" width="9" style="29" customWidth="1"/>
    <col min="6147" max="6148" width="9.77734375" style="29" customWidth="1"/>
    <col min="6149" max="6149" width="11.21875" style="29" customWidth="1"/>
    <col min="6150" max="6150" width="2.77734375" style="29" customWidth="1"/>
    <col min="6151" max="6151" width="3.5546875" style="29" customWidth="1"/>
    <col min="6152" max="6396" width="9.21875" style="29"/>
    <col min="6397" max="6397" width="8.77734375" style="29" customWidth="1"/>
    <col min="6398" max="6398" width="9.77734375" style="29" customWidth="1"/>
    <col min="6399" max="6399" width="14.44140625" style="29" customWidth="1"/>
    <col min="6400" max="6400" width="7.21875" style="29" customWidth="1"/>
    <col min="6401" max="6401" width="5.5546875" style="29" customWidth="1"/>
    <col min="6402" max="6402" width="9" style="29" customWidth="1"/>
    <col min="6403" max="6404" width="9.77734375" style="29" customWidth="1"/>
    <col min="6405" max="6405" width="11.21875" style="29" customWidth="1"/>
    <col min="6406" max="6406" width="2.77734375" style="29" customWidth="1"/>
    <col min="6407" max="6407" width="3.5546875" style="29" customWidth="1"/>
    <col min="6408" max="6652" width="9.21875" style="29"/>
    <col min="6653" max="6653" width="8.77734375" style="29" customWidth="1"/>
    <col min="6654" max="6654" width="9.77734375" style="29" customWidth="1"/>
    <col min="6655" max="6655" width="14.44140625" style="29" customWidth="1"/>
    <col min="6656" max="6656" width="7.21875" style="29" customWidth="1"/>
    <col min="6657" max="6657" width="5.5546875" style="29" customWidth="1"/>
    <col min="6658" max="6658" width="9" style="29" customWidth="1"/>
    <col min="6659" max="6660" width="9.77734375" style="29" customWidth="1"/>
    <col min="6661" max="6661" width="11.21875" style="29" customWidth="1"/>
    <col min="6662" max="6662" width="2.77734375" style="29" customWidth="1"/>
    <col min="6663" max="6663" width="3.5546875" style="29" customWidth="1"/>
    <col min="6664" max="6908" width="9.21875" style="29"/>
    <col min="6909" max="6909" width="8.77734375" style="29" customWidth="1"/>
    <col min="6910" max="6910" width="9.77734375" style="29" customWidth="1"/>
    <col min="6911" max="6911" width="14.44140625" style="29" customWidth="1"/>
    <col min="6912" max="6912" width="7.21875" style="29" customWidth="1"/>
    <col min="6913" max="6913" width="5.5546875" style="29" customWidth="1"/>
    <col min="6914" max="6914" width="9" style="29" customWidth="1"/>
    <col min="6915" max="6916" width="9.77734375" style="29" customWidth="1"/>
    <col min="6917" max="6917" width="11.21875" style="29" customWidth="1"/>
    <col min="6918" max="6918" width="2.77734375" style="29" customWidth="1"/>
    <col min="6919" max="6919" width="3.5546875" style="29" customWidth="1"/>
    <col min="6920" max="7164" width="9.21875" style="29"/>
    <col min="7165" max="7165" width="8.77734375" style="29" customWidth="1"/>
    <col min="7166" max="7166" width="9.77734375" style="29" customWidth="1"/>
    <col min="7167" max="7167" width="14.44140625" style="29" customWidth="1"/>
    <col min="7168" max="7168" width="7.21875" style="29" customWidth="1"/>
    <col min="7169" max="7169" width="5.5546875" style="29" customWidth="1"/>
    <col min="7170" max="7170" width="9" style="29" customWidth="1"/>
    <col min="7171" max="7172" width="9.77734375" style="29" customWidth="1"/>
    <col min="7173" max="7173" width="11.21875" style="29" customWidth="1"/>
    <col min="7174" max="7174" width="2.77734375" style="29" customWidth="1"/>
    <col min="7175" max="7175" width="3.5546875" style="29" customWidth="1"/>
    <col min="7176" max="7420" width="9.21875" style="29"/>
    <col min="7421" max="7421" width="8.77734375" style="29" customWidth="1"/>
    <col min="7422" max="7422" width="9.77734375" style="29" customWidth="1"/>
    <col min="7423" max="7423" width="14.44140625" style="29" customWidth="1"/>
    <col min="7424" max="7424" width="7.21875" style="29" customWidth="1"/>
    <col min="7425" max="7425" width="5.5546875" style="29" customWidth="1"/>
    <col min="7426" max="7426" width="9" style="29" customWidth="1"/>
    <col min="7427" max="7428" width="9.77734375" style="29" customWidth="1"/>
    <col min="7429" max="7429" width="11.21875" style="29" customWidth="1"/>
    <col min="7430" max="7430" width="2.77734375" style="29" customWidth="1"/>
    <col min="7431" max="7431" width="3.5546875" style="29" customWidth="1"/>
    <col min="7432" max="7676" width="9.21875" style="29"/>
    <col min="7677" max="7677" width="8.77734375" style="29" customWidth="1"/>
    <col min="7678" max="7678" width="9.77734375" style="29" customWidth="1"/>
    <col min="7679" max="7679" width="14.44140625" style="29" customWidth="1"/>
    <col min="7680" max="7680" width="7.21875" style="29" customWidth="1"/>
    <col min="7681" max="7681" width="5.5546875" style="29" customWidth="1"/>
    <col min="7682" max="7682" width="9" style="29" customWidth="1"/>
    <col min="7683" max="7684" width="9.77734375" style="29" customWidth="1"/>
    <col min="7685" max="7685" width="11.21875" style="29" customWidth="1"/>
    <col min="7686" max="7686" width="2.77734375" style="29" customWidth="1"/>
    <col min="7687" max="7687" width="3.5546875" style="29" customWidth="1"/>
    <col min="7688" max="7932" width="9.21875" style="29"/>
    <col min="7933" max="7933" width="8.77734375" style="29" customWidth="1"/>
    <col min="7934" max="7934" width="9.77734375" style="29" customWidth="1"/>
    <col min="7935" max="7935" width="14.44140625" style="29" customWidth="1"/>
    <col min="7936" max="7936" width="7.21875" style="29" customWidth="1"/>
    <col min="7937" max="7937" width="5.5546875" style="29" customWidth="1"/>
    <col min="7938" max="7938" width="9" style="29" customWidth="1"/>
    <col min="7939" max="7940" width="9.77734375" style="29" customWidth="1"/>
    <col min="7941" max="7941" width="11.21875" style="29" customWidth="1"/>
    <col min="7942" max="7942" width="2.77734375" style="29" customWidth="1"/>
    <col min="7943" max="7943" width="3.5546875" style="29" customWidth="1"/>
    <col min="7944" max="8188" width="9.21875" style="29"/>
    <col min="8189" max="8189" width="8.77734375" style="29" customWidth="1"/>
    <col min="8190" max="8190" width="9.77734375" style="29" customWidth="1"/>
    <col min="8191" max="8191" width="14.44140625" style="29" customWidth="1"/>
    <col min="8192" max="8192" width="7.21875" style="29" customWidth="1"/>
    <col min="8193" max="8193" width="5.5546875" style="29" customWidth="1"/>
    <col min="8194" max="8194" width="9" style="29" customWidth="1"/>
    <col min="8195" max="8196" width="9.77734375" style="29" customWidth="1"/>
    <col min="8197" max="8197" width="11.21875" style="29" customWidth="1"/>
    <col min="8198" max="8198" width="2.77734375" style="29" customWidth="1"/>
    <col min="8199" max="8199" width="3.5546875" style="29" customWidth="1"/>
    <col min="8200" max="8444" width="9.21875" style="29"/>
    <col min="8445" max="8445" width="8.77734375" style="29" customWidth="1"/>
    <col min="8446" max="8446" width="9.77734375" style="29" customWidth="1"/>
    <col min="8447" max="8447" width="14.44140625" style="29" customWidth="1"/>
    <col min="8448" max="8448" width="7.21875" style="29" customWidth="1"/>
    <col min="8449" max="8449" width="5.5546875" style="29" customWidth="1"/>
    <col min="8450" max="8450" width="9" style="29" customWidth="1"/>
    <col min="8451" max="8452" width="9.77734375" style="29" customWidth="1"/>
    <col min="8453" max="8453" width="11.21875" style="29" customWidth="1"/>
    <col min="8454" max="8454" width="2.77734375" style="29" customWidth="1"/>
    <col min="8455" max="8455" width="3.5546875" style="29" customWidth="1"/>
    <col min="8456" max="8700" width="9.21875" style="29"/>
    <col min="8701" max="8701" width="8.77734375" style="29" customWidth="1"/>
    <col min="8702" max="8702" width="9.77734375" style="29" customWidth="1"/>
    <col min="8703" max="8703" width="14.44140625" style="29" customWidth="1"/>
    <col min="8704" max="8704" width="7.21875" style="29" customWidth="1"/>
    <col min="8705" max="8705" width="5.5546875" style="29" customWidth="1"/>
    <col min="8706" max="8706" width="9" style="29" customWidth="1"/>
    <col min="8707" max="8708" width="9.77734375" style="29" customWidth="1"/>
    <col min="8709" max="8709" width="11.21875" style="29" customWidth="1"/>
    <col min="8710" max="8710" width="2.77734375" style="29" customWidth="1"/>
    <col min="8711" max="8711" width="3.5546875" style="29" customWidth="1"/>
    <col min="8712" max="8956" width="9.21875" style="29"/>
    <col min="8957" max="8957" width="8.77734375" style="29" customWidth="1"/>
    <col min="8958" max="8958" width="9.77734375" style="29" customWidth="1"/>
    <col min="8959" max="8959" width="14.44140625" style="29" customWidth="1"/>
    <col min="8960" max="8960" width="7.21875" style="29" customWidth="1"/>
    <col min="8961" max="8961" width="5.5546875" style="29" customWidth="1"/>
    <col min="8962" max="8962" width="9" style="29" customWidth="1"/>
    <col min="8963" max="8964" width="9.77734375" style="29" customWidth="1"/>
    <col min="8965" max="8965" width="11.21875" style="29" customWidth="1"/>
    <col min="8966" max="8966" width="2.77734375" style="29" customWidth="1"/>
    <col min="8967" max="8967" width="3.5546875" style="29" customWidth="1"/>
    <col min="8968" max="9212" width="9.21875" style="29"/>
    <col min="9213" max="9213" width="8.77734375" style="29" customWidth="1"/>
    <col min="9214" max="9214" width="9.77734375" style="29" customWidth="1"/>
    <col min="9215" max="9215" width="14.44140625" style="29" customWidth="1"/>
    <col min="9216" max="9216" width="7.21875" style="29" customWidth="1"/>
    <col min="9217" max="9217" width="5.5546875" style="29" customWidth="1"/>
    <col min="9218" max="9218" width="9" style="29" customWidth="1"/>
    <col min="9219" max="9220" width="9.77734375" style="29" customWidth="1"/>
    <col min="9221" max="9221" width="11.21875" style="29" customWidth="1"/>
    <col min="9222" max="9222" width="2.77734375" style="29" customWidth="1"/>
    <col min="9223" max="9223" width="3.5546875" style="29" customWidth="1"/>
    <col min="9224" max="9468" width="9.21875" style="29"/>
    <col min="9469" max="9469" width="8.77734375" style="29" customWidth="1"/>
    <col min="9470" max="9470" width="9.77734375" style="29" customWidth="1"/>
    <col min="9471" max="9471" width="14.44140625" style="29" customWidth="1"/>
    <col min="9472" max="9472" width="7.21875" style="29" customWidth="1"/>
    <col min="9473" max="9473" width="5.5546875" style="29" customWidth="1"/>
    <col min="9474" max="9474" width="9" style="29" customWidth="1"/>
    <col min="9475" max="9476" width="9.77734375" style="29" customWidth="1"/>
    <col min="9477" max="9477" width="11.21875" style="29" customWidth="1"/>
    <col min="9478" max="9478" width="2.77734375" style="29" customWidth="1"/>
    <col min="9479" max="9479" width="3.5546875" style="29" customWidth="1"/>
    <col min="9480" max="9724" width="9.21875" style="29"/>
    <col min="9725" max="9725" width="8.77734375" style="29" customWidth="1"/>
    <col min="9726" max="9726" width="9.77734375" style="29" customWidth="1"/>
    <col min="9727" max="9727" width="14.44140625" style="29" customWidth="1"/>
    <col min="9728" max="9728" width="7.21875" style="29" customWidth="1"/>
    <col min="9729" max="9729" width="5.5546875" style="29" customWidth="1"/>
    <col min="9730" max="9730" width="9" style="29" customWidth="1"/>
    <col min="9731" max="9732" width="9.77734375" style="29" customWidth="1"/>
    <col min="9733" max="9733" width="11.21875" style="29" customWidth="1"/>
    <col min="9734" max="9734" width="2.77734375" style="29" customWidth="1"/>
    <col min="9735" max="9735" width="3.5546875" style="29" customWidth="1"/>
    <col min="9736" max="9980" width="9.21875" style="29"/>
    <col min="9981" max="9981" width="8.77734375" style="29" customWidth="1"/>
    <col min="9982" max="9982" width="9.77734375" style="29" customWidth="1"/>
    <col min="9983" max="9983" width="14.44140625" style="29" customWidth="1"/>
    <col min="9984" max="9984" width="7.21875" style="29" customWidth="1"/>
    <col min="9985" max="9985" width="5.5546875" style="29" customWidth="1"/>
    <col min="9986" max="9986" width="9" style="29" customWidth="1"/>
    <col min="9987" max="9988" width="9.77734375" style="29" customWidth="1"/>
    <col min="9989" max="9989" width="11.21875" style="29" customWidth="1"/>
    <col min="9990" max="9990" width="2.77734375" style="29" customWidth="1"/>
    <col min="9991" max="9991" width="3.5546875" style="29" customWidth="1"/>
    <col min="9992" max="10236" width="9.21875" style="29"/>
    <col min="10237" max="10237" width="8.77734375" style="29" customWidth="1"/>
    <col min="10238" max="10238" width="9.77734375" style="29" customWidth="1"/>
    <col min="10239" max="10239" width="14.44140625" style="29" customWidth="1"/>
    <col min="10240" max="10240" width="7.21875" style="29" customWidth="1"/>
    <col min="10241" max="10241" width="5.5546875" style="29" customWidth="1"/>
    <col min="10242" max="10242" width="9" style="29" customWidth="1"/>
    <col min="10243" max="10244" width="9.77734375" style="29" customWidth="1"/>
    <col min="10245" max="10245" width="11.21875" style="29" customWidth="1"/>
    <col min="10246" max="10246" width="2.77734375" style="29" customWidth="1"/>
    <col min="10247" max="10247" width="3.5546875" style="29" customWidth="1"/>
    <col min="10248" max="10492" width="9.21875" style="29"/>
    <col min="10493" max="10493" width="8.77734375" style="29" customWidth="1"/>
    <col min="10494" max="10494" width="9.77734375" style="29" customWidth="1"/>
    <col min="10495" max="10495" width="14.44140625" style="29" customWidth="1"/>
    <col min="10496" max="10496" width="7.21875" style="29" customWidth="1"/>
    <col min="10497" max="10497" width="5.5546875" style="29" customWidth="1"/>
    <col min="10498" max="10498" width="9" style="29" customWidth="1"/>
    <col min="10499" max="10500" width="9.77734375" style="29" customWidth="1"/>
    <col min="10501" max="10501" width="11.21875" style="29" customWidth="1"/>
    <col min="10502" max="10502" width="2.77734375" style="29" customWidth="1"/>
    <col min="10503" max="10503" width="3.5546875" style="29" customWidth="1"/>
    <col min="10504" max="10748" width="9.21875" style="29"/>
    <col min="10749" max="10749" width="8.77734375" style="29" customWidth="1"/>
    <col min="10750" max="10750" width="9.77734375" style="29" customWidth="1"/>
    <col min="10751" max="10751" width="14.44140625" style="29" customWidth="1"/>
    <col min="10752" max="10752" width="7.21875" style="29" customWidth="1"/>
    <col min="10753" max="10753" width="5.5546875" style="29" customWidth="1"/>
    <col min="10754" max="10754" width="9" style="29" customWidth="1"/>
    <col min="10755" max="10756" width="9.77734375" style="29" customWidth="1"/>
    <col min="10757" max="10757" width="11.21875" style="29" customWidth="1"/>
    <col min="10758" max="10758" width="2.77734375" style="29" customWidth="1"/>
    <col min="10759" max="10759" width="3.5546875" style="29" customWidth="1"/>
    <col min="10760" max="11004" width="9.21875" style="29"/>
    <col min="11005" max="11005" width="8.77734375" style="29" customWidth="1"/>
    <col min="11006" max="11006" width="9.77734375" style="29" customWidth="1"/>
    <col min="11007" max="11007" width="14.44140625" style="29" customWidth="1"/>
    <col min="11008" max="11008" width="7.21875" style="29" customWidth="1"/>
    <col min="11009" max="11009" width="5.5546875" style="29" customWidth="1"/>
    <col min="11010" max="11010" width="9" style="29" customWidth="1"/>
    <col min="11011" max="11012" width="9.77734375" style="29" customWidth="1"/>
    <col min="11013" max="11013" width="11.21875" style="29" customWidth="1"/>
    <col min="11014" max="11014" width="2.77734375" style="29" customWidth="1"/>
    <col min="11015" max="11015" width="3.5546875" style="29" customWidth="1"/>
    <col min="11016" max="11260" width="9.21875" style="29"/>
    <col min="11261" max="11261" width="8.77734375" style="29" customWidth="1"/>
    <col min="11262" max="11262" width="9.77734375" style="29" customWidth="1"/>
    <col min="11263" max="11263" width="14.44140625" style="29" customWidth="1"/>
    <col min="11264" max="11264" width="7.21875" style="29" customWidth="1"/>
    <col min="11265" max="11265" width="5.5546875" style="29" customWidth="1"/>
    <col min="11266" max="11266" width="9" style="29" customWidth="1"/>
    <col min="11267" max="11268" width="9.77734375" style="29" customWidth="1"/>
    <col min="11269" max="11269" width="11.21875" style="29" customWidth="1"/>
    <col min="11270" max="11270" width="2.77734375" style="29" customWidth="1"/>
    <col min="11271" max="11271" width="3.5546875" style="29" customWidth="1"/>
    <col min="11272" max="11516" width="9.21875" style="29"/>
    <col min="11517" max="11517" width="8.77734375" style="29" customWidth="1"/>
    <col min="11518" max="11518" width="9.77734375" style="29" customWidth="1"/>
    <col min="11519" max="11519" width="14.44140625" style="29" customWidth="1"/>
    <col min="11520" max="11520" width="7.21875" style="29" customWidth="1"/>
    <col min="11521" max="11521" width="5.5546875" style="29" customWidth="1"/>
    <col min="11522" max="11522" width="9" style="29" customWidth="1"/>
    <col min="11523" max="11524" width="9.77734375" style="29" customWidth="1"/>
    <col min="11525" max="11525" width="11.21875" style="29" customWidth="1"/>
    <col min="11526" max="11526" width="2.77734375" style="29" customWidth="1"/>
    <col min="11527" max="11527" width="3.5546875" style="29" customWidth="1"/>
    <col min="11528" max="11772" width="9.21875" style="29"/>
    <col min="11773" max="11773" width="8.77734375" style="29" customWidth="1"/>
    <col min="11774" max="11774" width="9.77734375" style="29" customWidth="1"/>
    <col min="11775" max="11775" width="14.44140625" style="29" customWidth="1"/>
    <col min="11776" max="11776" width="7.21875" style="29" customWidth="1"/>
    <col min="11777" max="11777" width="5.5546875" style="29" customWidth="1"/>
    <col min="11778" max="11778" width="9" style="29" customWidth="1"/>
    <col min="11779" max="11780" width="9.77734375" style="29" customWidth="1"/>
    <col min="11781" max="11781" width="11.21875" style="29" customWidth="1"/>
    <col min="11782" max="11782" width="2.77734375" style="29" customWidth="1"/>
    <col min="11783" max="11783" width="3.5546875" style="29" customWidth="1"/>
    <col min="11784" max="12028" width="9.21875" style="29"/>
    <col min="12029" max="12029" width="8.77734375" style="29" customWidth="1"/>
    <col min="12030" max="12030" width="9.77734375" style="29" customWidth="1"/>
    <col min="12031" max="12031" width="14.44140625" style="29" customWidth="1"/>
    <col min="12032" max="12032" width="7.21875" style="29" customWidth="1"/>
    <col min="12033" max="12033" width="5.5546875" style="29" customWidth="1"/>
    <col min="12034" max="12034" width="9" style="29" customWidth="1"/>
    <col min="12035" max="12036" width="9.77734375" style="29" customWidth="1"/>
    <col min="12037" max="12037" width="11.21875" style="29" customWidth="1"/>
    <col min="12038" max="12038" width="2.77734375" style="29" customWidth="1"/>
    <col min="12039" max="12039" width="3.5546875" style="29" customWidth="1"/>
    <col min="12040" max="12284" width="9.21875" style="29"/>
    <col min="12285" max="12285" width="8.77734375" style="29" customWidth="1"/>
    <col min="12286" max="12286" width="9.77734375" style="29" customWidth="1"/>
    <col min="12287" max="12287" width="14.44140625" style="29" customWidth="1"/>
    <col min="12288" max="12288" width="7.21875" style="29" customWidth="1"/>
    <col min="12289" max="12289" width="5.5546875" style="29" customWidth="1"/>
    <col min="12290" max="12290" width="9" style="29" customWidth="1"/>
    <col min="12291" max="12292" width="9.77734375" style="29" customWidth="1"/>
    <col min="12293" max="12293" width="11.21875" style="29" customWidth="1"/>
    <col min="12294" max="12294" width="2.77734375" style="29" customWidth="1"/>
    <col min="12295" max="12295" width="3.5546875" style="29" customWidth="1"/>
    <col min="12296" max="12540" width="9.21875" style="29"/>
    <col min="12541" max="12541" width="8.77734375" style="29" customWidth="1"/>
    <col min="12542" max="12542" width="9.77734375" style="29" customWidth="1"/>
    <col min="12543" max="12543" width="14.44140625" style="29" customWidth="1"/>
    <col min="12544" max="12544" width="7.21875" style="29" customWidth="1"/>
    <col min="12545" max="12545" width="5.5546875" style="29" customWidth="1"/>
    <col min="12546" max="12546" width="9" style="29" customWidth="1"/>
    <col min="12547" max="12548" width="9.77734375" style="29" customWidth="1"/>
    <col min="12549" max="12549" width="11.21875" style="29" customWidth="1"/>
    <col min="12550" max="12550" width="2.77734375" style="29" customWidth="1"/>
    <col min="12551" max="12551" width="3.5546875" style="29" customWidth="1"/>
    <col min="12552" max="12796" width="9.21875" style="29"/>
    <col min="12797" max="12797" width="8.77734375" style="29" customWidth="1"/>
    <col min="12798" max="12798" width="9.77734375" style="29" customWidth="1"/>
    <col min="12799" max="12799" width="14.44140625" style="29" customWidth="1"/>
    <col min="12800" max="12800" width="7.21875" style="29" customWidth="1"/>
    <col min="12801" max="12801" width="5.5546875" style="29" customWidth="1"/>
    <col min="12802" max="12802" width="9" style="29" customWidth="1"/>
    <col min="12803" max="12804" width="9.77734375" style="29" customWidth="1"/>
    <col min="12805" max="12805" width="11.21875" style="29" customWidth="1"/>
    <col min="12806" max="12806" width="2.77734375" style="29" customWidth="1"/>
    <col min="12807" max="12807" width="3.5546875" style="29" customWidth="1"/>
    <col min="12808" max="13052" width="9.21875" style="29"/>
    <col min="13053" max="13053" width="8.77734375" style="29" customWidth="1"/>
    <col min="13054" max="13054" width="9.77734375" style="29" customWidth="1"/>
    <col min="13055" max="13055" width="14.44140625" style="29" customWidth="1"/>
    <col min="13056" max="13056" width="7.21875" style="29" customWidth="1"/>
    <col min="13057" max="13057" width="5.5546875" style="29" customWidth="1"/>
    <col min="13058" max="13058" width="9" style="29" customWidth="1"/>
    <col min="13059" max="13060" width="9.77734375" style="29" customWidth="1"/>
    <col min="13061" max="13061" width="11.21875" style="29" customWidth="1"/>
    <col min="13062" max="13062" width="2.77734375" style="29" customWidth="1"/>
    <col min="13063" max="13063" width="3.5546875" style="29" customWidth="1"/>
    <col min="13064" max="13308" width="9.21875" style="29"/>
    <col min="13309" max="13309" width="8.77734375" style="29" customWidth="1"/>
    <col min="13310" max="13310" width="9.77734375" style="29" customWidth="1"/>
    <col min="13311" max="13311" width="14.44140625" style="29" customWidth="1"/>
    <col min="13312" max="13312" width="7.21875" style="29" customWidth="1"/>
    <col min="13313" max="13313" width="5.5546875" style="29" customWidth="1"/>
    <col min="13314" max="13314" width="9" style="29" customWidth="1"/>
    <col min="13315" max="13316" width="9.77734375" style="29" customWidth="1"/>
    <col min="13317" max="13317" width="11.21875" style="29" customWidth="1"/>
    <col min="13318" max="13318" width="2.77734375" style="29" customWidth="1"/>
    <col min="13319" max="13319" width="3.5546875" style="29" customWidth="1"/>
    <col min="13320" max="13564" width="9.21875" style="29"/>
    <col min="13565" max="13565" width="8.77734375" style="29" customWidth="1"/>
    <col min="13566" max="13566" width="9.77734375" style="29" customWidth="1"/>
    <col min="13567" max="13567" width="14.44140625" style="29" customWidth="1"/>
    <col min="13568" max="13568" width="7.21875" style="29" customWidth="1"/>
    <col min="13569" max="13569" width="5.5546875" style="29" customWidth="1"/>
    <col min="13570" max="13570" width="9" style="29" customWidth="1"/>
    <col min="13571" max="13572" width="9.77734375" style="29" customWidth="1"/>
    <col min="13573" max="13573" width="11.21875" style="29" customWidth="1"/>
    <col min="13574" max="13574" width="2.77734375" style="29" customWidth="1"/>
    <col min="13575" max="13575" width="3.5546875" style="29" customWidth="1"/>
    <col min="13576" max="13820" width="9.21875" style="29"/>
    <col min="13821" max="13821" width="8.77734375" style="29" customWidth="1"/>
    <col min="13822" max="13822" width="9.77734375" style="29" customWidth="1"/>
    <col min="13823" max="13823" width="14.44140625" style="29" customWidth="1"/>
    <col min="13824" max="13824" width="7.21875" style="29" customWidth="1"/>
    <col min="13825" max="13825" width="5.5546875" style="29" customWidth="1"/>
    <col min="13826" max="13826" width="9" style="29" customWidth="1"/>
    <col min="13827" max="13828" width="9.77734375" style="29" customWidth="1"/>
    <col min="13829" max="13829" width="11.21875" style="29" customWidth="1"/>
    <col min="13830" max="13830" width="2.77734375" style="29" customWidth="1"/>
    <col min="13831" max="13831" width="3.5546875" style="29" customWidth="1"/>
    <col min="13832" max="14076" width="9.21875" style="29"/>
    <col min="14077" max="14077" width="8.77734375" style="29" customWidth="1"/>
    <col min="14078" max="14078" width="9.77734375" style="29" customWidth="1"/>
    <col min="14079" max="14079" width="14.44140625" style="29" customWidth="1"/>
    <col min="14080" max="14080" width="7.21875" style="29" customWidth="1"/>
    <col min="14081" max="14081" width="5.5546875" style="29" customWidth="1"/>
    <col min="14082" max="14082" width="9" style="29" customWidth="1"/>
    <col min="14083" max="14084" width="9.77734375" style="29" customWidth="1"/>
    <col min="14085" max="14085" width="11.21875" style="29" customWidth="1"/>
    <col min="14086" max="14086" width="2.77734375" style="29" customWidth="1"/>
    <col min="14087" max="14087" width="3.5546875" style="29" customWidth="1"/>
    <col min="14088" max="14332" width="9.21875" style="29"/>
    <col min="14333" max="14333" width="8.77734375" style="29" customWidth="1"/>
    <col min="14334" max="14334" width="9.77734375" style="29" customWidth="1"/>
    <col min="14335" max="14335" width="14.44140625" style="29" customWidth="1"/>
    <col min="14336" max="14336" width="7.21875" style="29" customWidth="1"/>
    <col min="14337" max="14337" width="5.5546875" style="29" customWidth="1"/>
    <col min="14338" max="14338" width="9" style="29" customWidth="1"/>
    <col min="14339" max="14340" width="9.77734375" style="29" customWidth="1"/>
    <col min="14341" max="14341" width="11.21875" style="29" customWidth="1"/>
    <col min="14342" max="14342" width="2.77734375" style="29" customWidth="1"/>
    <col min="14343" max="14343" width="3.5546875" style="29" customWidth="1"/>
    <col min="14344" max="14588" width="9.21875" style="29"/>
    <col min="14589" max="14589" width="8.77734375" style="29" customWidth="1"/>
    <col min="14590" max="14590" width="9.77734375" style="29" customWidth="1"/>
    <col min="14591" max="14591" width="14.44140625" style="29" customWidth="1"/>
    <col min="14592" max="14592" width="7.21875" style="29" customWidth="1"/>
    <col min="14593" max="14593" width="5.5546875" style="29" customWidth="1"/>
    <col min="14594" max="14594" width="9" style="29" customWidth="1"/>
    <col min="14595" max="14596" width="9.77734375" style="29" customWidth="1"/>
    <col min="14597" max="14597" width="11.21875" style="29" customWidth="1"/>
    <col min="14598" max="14598" width="2.77734375" style="29" customWidth="1"/>
    <col min="14599" max="14599" width="3.5546875" style="29" customWidth="1"/>
    <col min="14600" max="14844" width="9.21875" style="29"/>
    <col min="14845" max="14845" width="8.77734375" style="29" customWidth="1"/>
    <col min="14846" max="14846" width="9.77734375" style="29" customWidth="1"/>
    <col min="14847" max="14847" width="14.44140625" style="29" customWidth="1"/>
    <col min="14848" max="14848" width="7.21875" style="29" customWidth="1"/>
    <col min="14849" max="14849" width="5.5546875" style="29" customWidth="1"/>
    <col min="14850" max="14850" width="9" style="29" customWidth="1"/>
    <col min="14851" max="14852" width="9.77734375" style="29" customWidth="1"/>
    <col min="14853" max="14853" width="11.21875" style="29" customWidth="1"/>
    <col min="14854" max="14854" width="2.77734375" style="29" customWidth="1"/>
    <col min="14855" max="14855" width="3.5546875" style="29" customWidth="1"/>
    <col min="14856" max="15100" width="9.21875" style="29"/>
    <col min="15101" max="15101" width="8.77734375" style="29" customWidth="1"/>
    <col min="15102" max="15102" width="9.77734375" style="29" customWidth="1"/>
    <col min="15103" max="15103" width="14.44140625" style="29" customWidth="1"/>
    <col min="15104" max="15104" width="7.21875" style="29" customWidth="1"/>
    <col min="15105" max="15105" width="5.5546875" style="29" customWidth="1"/>
    <col min="15106" max="15106" width="9" style="29" customWidth="1"/>
    <col min="15107" max="15108" width="9.77734375" style="29" customWidth="1"/>
    <col min="15109" max="15109" width="11.21875" style="29" customWidth="1"/>
    <col min="15110" max="15110" width="2.77734375" style="29" customWidth="1"/>
    <col min="15111" max="15111" width="3.5546875" style="29" customWidth="1"/>
    <col min="15112" max="15356" width="9.21875" style="29"/>
    <col min="15357" max="15357" width="8.77734375" style="29" customWidth="1"/>
    <col min="15358" max="15358" width="9.77734375" style="29" customWidth="1"/>
    <col min="15359" max="15359" width="14.44140625" style="29" customWidth="1"/>
    <col min="15360" max="15360" width="7.21875" style="29" customWidth="1"/>
    <col min="15361" max="15361" width="5.5546875" style="29" customWidth="1"/>
    <col min="15362" max="15362" width="9" style="29" customWidth="1"/>
    <col min="15363" max="15364" width="9.77734375" style="29" customWidth="1"/>
    <col min="15365" max="15365" width="11.21875" style="29" customWidth="1"/>
    <col min="15366" max="15366" width="2.77734375" style="29" customWidth="1"/>
    <col min="15367" max="15367" width="3.5546875" style="29" customWidth="1"/>
    <col min="15368" max="15612" width="9.21875" style="29"/>
    <col min="15613" max="15613" width="8.77734375" style="29" customWidth="1"/>
    <col min="15614" max="15614" width="9.77734375" style="29" customWidth="1"/>
    <col min="15615" max="15615" width="14.44140625" style="29" customWidth="1"/>
    <col min="15616" max="15616" width="7.21875" style="29" customWidth="1"/>
    <col min="15617" max="15617" width="5.5546875" style="29" customWidth="1"/>
    <col min="15618" max="15618" width="9" style="29" customWidth="1"/>
    <col min="15619" max="15620" width="9.77734375" style="29" customWidth="1"/>
    <col min="15621" max="15621" width="11.21875" style="29" customWidth="1"/>
    <col min="15622" max="15622" width="2.77734375" style="29" customWidth="1"/>
    <col min="15623" max="15623" width="3.5546875" style="29" customWidth="1"/>
    <col min="15624" max="15868" width="9.21875" style="29"/>
    <col min="15869" max="15869" width="8.77734375" style="29" customWidth="1"/>
    <col min="15870" max="15870" width="9.77734375" style="29" customWidth="1"/>
    <col min="15871" max="15871" width="14.44140625" style="29" customWidth="1"/>
    <col min="15872" max="15872" width="7.21875" style="29" customWidth="1"/>
    <col min="15873" max="15873" width="5.5546875" style="29" customWidth="1"/>
    <col min="15874" max="15874" width="9" style="29" customWidth="1"/>
    <col min="15875" max="15876" width="9.77734375" style="29" customWidth="1"/>
    <col min="15877" max="15877" width="11.21875" style="29" customWidth="1"/>
    <col min="15878" max="15878" width="2.77734375" style="29" customWidth="1"/>
    <col min="15879" max="15879" width="3.5546875" style="29" customWidth="1"/>
    <col min="15880" max="16124" width="9.21875" style="29"/>
    <col min="16125" max="16125" width="8.77734375" style="29" customWidth="1"/>
    <col min="16126" max="16126" width="9.77734375" style="29" customWidth="1"/>
    <col min="16127" max="16127" width="14.44140625" style="29" customWidth="1"/>
    <col min="16128" max="16128" width="7.21875" style="29" customWidth="1"/>
    <col min="16129" max="16129" width="5.5546875" style="29" customWidth="1"/>
    <col min="16130" max="16130" width="9" style="29" customWidth="1"/>
    <col min="16131" max="16132" width="9.77734375" style="29" customWidth="1"/>
    <col min="16133" max="16133" width="11.21875" style="29" customWidth="1"/>
    <col min="16134" max="16134" width="2.77734375" style="29" customWidth="1"/>
    <col min="16135" max="16135" width="3.5546875" style="29" customWidth="1"/>
    <col min="16136" max="16384" width="9.21875" style="29"/>
  </cols>
  <sheetData>
    <row r="1" spans="1:8" ht="46.5" customHeight="1" x14ac:dyDescent="0.3">
      <c r="A1" s="160" t="s">
        <v>203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3">
      <c r="A2" s="161" t="s">
        <v>0</v>
      </c>
      <c r="B2" s="161"/>
      <c r="C2" s="161"/>
      <c r="D2" s="161"/>
      <c r="E2" s="161"/>
      <c r="F2" s="161"/>
      <c r="G2" s="161"/>
      <c r="H2" s="161"/>
    </row>
    <row r="3" spans="1:8" x14ac:dyDescent="0.3">
      <c r="A3" s="95" t="s">
        <v>1</v>
      </c>
      <c r="B3" s="95"/>
      <c r="C3" s="95"/>
      <c r="D3" s="95"/>
      <c r="E3" s="162" t="str">
        <f ca="1">TEXT(TODAY(),"DD/MM/YYYY")</f>
        <v>09/07/2025</v>
      </c>
      <c r="F3" s="162"/>
      <c r="G3" s="162"/>
      <c r="H3" s="162"/>
    </row>
    <row r="4" spans="1:8" ht="15" customHeight="1" x14ac:dyDescent="0.3">
      <c r="A4" s="95" t="s">
        <v>2</v>
      </c>
      <c r="B4" s="95"/>
      <c r="C4" s="95"/>
      <c r="D4" s="95"/>
      <c r="E4" s="155" t="s">
        <v>150</v>
      </c>
      <c r="F4" s="155"/>
      <c r="G4" s="155"/>
      <c r="H4" s="155"/>
    </row>
    <row r="5" spans="1:8" x14ac:dyDescent="0.3">
      <c r="A5" s="95" t="s">
        <v>3</v>
      </c>
      <c r="B5" s="95"/>
      <c r="C5" s="95"/>
      <c r="D5" s="95"/>
      <c r="E5" s="151">
        <v>45846</v>
      </c>
      <c r="F5" s="151"/>
      <c r="G5" s="151"/>
      <c r="H5" s="151"/>
    </row>
    <row r="6" spans="1:8" ht="16.5" customHeight="1" x14ac:dyDescent="0.3">
      <c r="A6" s="95" t="s">
        <v>153</v>
      </c>
      <c r="B6" s="95"/>
      <c r="C6" s="95"/>
      <c r="D6" s="95"/>
      <c r="E6" s="149" t="s">
        <v>151</v>
      </c>
      <c r="F6" s="149"/>
      <c r="G6" s="149"/>
      <c r="H6" s="149"/>
    </row>
    <row r="7" spans="1:8" ht="17.25" customHeight="1" x14ac:dyDescent="0.3">
      <c r="A7" s="95" t="s">
        <v>4</v>
      </c>
      <c r="B7" s="95"/>
      <c r="C7" s="95"/>
      <c r="D7" s="95"/>
      <c r="E7" s="149" t="s">
        <v>172</v>
      </c>
      <c r="F7" s="149"/>
      <c r="G7" s="149"/>
      <c r="H7" s="149"/>
    </row>
    <row r="8" spans="1:8" x14ac:dyDescent="0.3">
      <c r="A8" s="95" t="s">
        <v>5</v>
      </c>
      <c r="B8" s="95"/>
      <c r="C8" s="95"/>
      <c r="D8" s="95"/>
      <c r="E8" s="148" t="s">
        <v>152</v>
      </c>
      <c r="F8" s="148"/>
      <c r="G8" s="148"/>
      <c r="H8" s="148"/>
    </row>
    <row r="9" spans="1:8" x14ac:dyDescent="0.3">
      <c r="A9" s="95" t="s">
        <v>149</v>
      </c>
      <c r="B9" s="95"/>
      <c r="C9" s="95"/>
      <c r="D9" s="95"/>
      <c r="E9" s="95" t="s">
        <v>237</v>
      </c>
      <c r="F9" s="95"/>
      <c r="G9" s="95"/>
      <c r="H9" s="95"/>
    </row>
    <row r="10" spans="1:8" x14ac:dyDescent="0.3">
      <c r="A10" s="95" t="s">
        <v>236</v>
      </c>
      <c r="B10" s="95"/>
      <c r="C10" s="95"/>
      <c r="D10" s="95"/>
      <c r="E10" s="95" t="s">
        <v>270</v>
      </c>
      <c r="F10" s="95"/>
      <c r="G10" s="95"/>
      <c r="H10" s="95"/>
    </row>
    <row r="11" spans="1:8" ht="17.25" customHeight="1" x14ac:dyDescent="0.3">
      <c r="A11" s="133" t="s">
        <v>6</v>
      </c>
      <c r="B11" s="133"/>
      <c r="C11" s="133"/>
      <c r="D11" s="133"/>
      <c r="E11" s="131" t="s">
        <v>207</v>
      </c>
      <c r="F11" s="133"/>
      <c r="G11" s="133"/>
      <c r="H11" s="133"/>
    </row>
    <row r="12" spans="1:8" ht="32.25" customHeight="1" x14ac:dyDescent="0.3">
      <c r="A12" s="95" t="s">
        <v>7</v>
      </c>
      <c r="B12" s="95"/>
      <c r="C12" s="95"/>
      <c r="D12" s="95"/>
      <c r="E12" s="131" t="s">
        <v>169</v>
      </c>
      <c r="F12" s="131"/>
      <c r="G12" s="131"/>
      <c r="H12" s="131"/>
    </row>
    <row r="13" spans="1:8" ht="33" customHeight="1" x14ac:dyDescent="0.3">
      <c r="A13" s="95" t="s">
        <v>8</v>
      </c>
      <c r="B13" s="95"/>
      <c r="C13" s="95"/>
      <c r="D13" s="95"/>
      <c r="E13" s="131" t="s">
        <v>206</v>
      </c>
      <c r="F13" s="133"/>
      <c r="G13" s="133"/>
      <c r="H13" s="133"/>
    </row>
    <row r="14" spans="1:8" ht="51" customHeight="1" x14ac:dyDescent="0.3">
      <c r="A14" s="149" t="s">
        <v>9</v>
      </c>
      <c r="B14" s="149"/>
      <c r="C14" s="149" t="str">
        <f>CONCATENATE((IF(OR(E8="",E8="NA"),"",E8)),", ",(IF(OR(A15="",A15="NA"),"",A15)),".",(IF(OR(C15="",C15="NA"),"",C15)),", ",(IF(OR(C16="",C16="NA"),"",C16)),", ",(IF(OR(G16="",G16="NA"),"",G16)),", ",(IF(OR(C17="",C17="NA"),"",C17)),", ",(IF(OR(C18="",C18="NA"),"",C18)),", ",(IF(OR(G17="",G17="NA"),"",G17))," - ",(IF(OR(G18="",G18="NA"),"",G18)),".")</f>
        <v>Munish Glorious, Survey No.11, H No. 5, 7, 8, 9, 10, 20, 21/1, 21/2, 24 and Survey No. 12, H. No.21, 22/1, 22/2, 30, Internal Road, Gokhivare, Vasai-Virar, Vasai, Palghar - 401208.</v>
      </c>
      <c r="D14" s="149"/>
      <c r="E14" s="149"/>
      <c r="F14" s="149"/>
      <c r="G14" s="149"/>
      <c r="H14" s="149"/>
    </row>
    <row r="15" spans="1:8" ht="32.25" customHeight="1" x14ac:dyDescent="0.3">
      <c r="A15" s="131" t="s">
        <v>161</v>
      </c>
      <c r="B15" s="131"/>
      <c r="C15" s="131" t="s">
        <v>265</v>
      </c>
      <c r="D15" s="131"/>
      <c r="E15" s="131"/>
      <c r="F15" s="131"/>
      <c r="G15" s="131"/>
      <c r="H15" s="131"/>
    </row>
    <row r="16" spans="1:8" ht="15.75" customHeight="1" x14ac:dyDescent="0.3">
      <c r="A16" s="149" t="s">
        <v>10</v>
      </c>
      <c r="B16" s="149"/>
      <c r="C16" s="133" t="s">
        <v>162</v>
      </c>
      <c r="D16" s="133"/>
      <c r="E16" s="149" t="s">
        <v>99</v>
      </c>
      <c r="F16" s="149"/>
      <c r="G16" s="131" t="s">
        <v>260</v>
      </c>
      <c r="H16" s="131"/>
    </row>
    <row r="17" spans="1:8" x14ac:dyDescent="0.3">
      <c r="A17" s="95" t="s">
        <v>12</v>
      </c>
      <c r="B17" s="95"/>
      <c r="C17" s="131" t="s">
        <v>164</v>
      </c>
      <c r="D17" s="131"/>
      <c r="E17" s="149" t="s">
        <v>11</v>
      </c>
      <c r="F17" s="149"/>
      <c r="G17" s="156" t="s">
        <v>156</v>
      </c>
      <c r="H17" s="156"/>
    </row>
    <row r="18" spans="1:8" x14ac:dyDescent="0.3">
      <c r="A18" s="95" t="s">
        <v>100</v>
      </c>
      <c r="B18" s="95"/>
      <c r="C18" s="131" t="s">
        <v>157</v>
      </c>
      <c r="D18" s="131"/>
      <c r="E18" s="149" t="s">
        <v>13</v>
      </c>
      <c r="F18" s="149"/>
      <c r="G18" s="131">
        <v>401208</v>
      </c>
      <c r="H18" s="131"/>
    </row>
    <row r="19" spans="1:8" ht="32.25" customHeight="1" x14ac:dyDescent="0.3">
      <c r="A19" s="95" t="s">
        <v>14</v>
      </c>
      <c r="B19" s="95"/>
      <c r="C19" s="149" t="s">
        <v>163</v>
      </c>
      <c r="D19" s="149"/>
      <c r="E19" s="149" t="s">
        <v>15</v>
      </c>
      <c r="F19" s="149"/>
      <c r="G19" s="131" t="s">
        <v>258</v>
      </c>
      <c r="H19" s="131"/>
    </row>
    <row r="20" spans="1:8" ht="15" customHeight="1" x14ac:dyDescent="0.3">
      <c r="A20" s="149" t="s">
        <v>104</v>
      </c>
      <c r="B20" s="149"/>
      <c r="C20" s="149"/>
      <c r="D20" s="149"/>
      <c r="E20" s="133" t="s">
        <v>16</v>
      </c>
      <c r="F20" s="133"/>
      <c r="G20" s="133"/>
      <c r="H20" s="133"/>
    </row>
    <row r="21" spans="1:8" ht="18.75" customHeight="1" x14ac:dyDescent="0.3">
      <c r="A21" s="149"/>
      <c r="B21" s="149"/>
      <c r="C21" s="149"/>
      <c r="D21" s="149"/>
      <c r="E21" s="133"/>
      <c r="F21" s="133"/>
      <c r="G21" s="133"/>
      <c r="H21" s="133"/>
    </row>
    <row r="22" spans="1:8" ht="15" customHeight="1" x14ac:dyDescent="0.3">
      <c r="A22" s="149" t="s">
        <v>17</v>
      </c>
      <c r="B22" s="149"/>
      <c r="C22" s="149"/>
      <c r="D22" s="149"/>
      <c r="E22" s="131" t="s">
        <v>18</v>
      </c>
      <c r="F22" s="131"/>
      <c r="G22" s="131"/>
      <c r="H22" s="131"/>
    </row>
    <row r="23" spans="1:8" ht="15" customHeight="1" x14ac:dyDescent="0.3">
      <c r="A23" s="95" t="s">
        <v>19</v>
      </c>
      <c r="B23" s="95"/>
      <c r="C23" s="95"/>
      <c r="D23" s="95"/>
      <c r="E23" s="131" t="s">
        <v>154</v>
      </c>
      <c r="F23" s="131"/>
      <c r="G23" s="131"/>
      <c r="H23" s="131"/>
    </row>
    <row r="24" spans="1:8" x14ac:dyDescent="0.3">
      <c r="A24" s="95" t="s">
        <v>20</v>
      </c>
      <c r="B24" s="95"/>
      <c r="C24" s="95"/>
      <c r="D24" s="95"/>
      <c r="E24" s="131" t="s">
        <v>21</v>
      </c>
      <c r="F24" s="131"/>
      <c r="G24" s="131"/>
      <c r="H24" s="131"/>
    </row>
    <row r="25" spans="1:8" x14ac:dyDescent="0.3">
      <c r="A25" s="95" t="s">
        <v>22</v>
      </c>
      <c r="B25" s="95"/>
      <c r="C25" s="95"/>
      <c r="D25" s="95"/>
      <c r="E25" s="131" t="s">
        <v>155</v>
      </c>
      <c r="F25" s="131"/>
      <c r="G25" s="131"/>
      <c r="H25" s="131"/>
    </row>
    <row r="26" spans="1:8" x14ac:dyDescent="0.3">
      <c r="A26" s="95" t="s">
        <v>23</v>
      </c>
      <c r="B26" s="95"/>
      <c r="C26" s="95"/>
      <c r="D26" s="95"/>
      <c r="E26" s="131" t="s">
        <v>24</v>
      </c>
      <c r="F26" s="131"/>
      <c r="G26" s="131"/>
      <c r="H26" s="131"/>
    </row>
    <row r="27" spans="1:8" x14ac:dyDescent="0.3">
      <c r="A27" s="95" t="s">
        <v>109</v>
      </c>
      <c r="B27" s="95"/>
      <c r="C27" s="95"/>
      <c r="D27" s="95"/>
      <c r="E27" s="131" t="s">
        <v>110</v>
      </c>
      <c r="F27" s="131"/>
      <c r="G27" s="131"/>
      <c r="H27" s="131"/>
    </row>
    <row r="28" spans="1:8" ht="15" customHeight="1" x14ac:dyDescent="0.3">
      <c r="A28" s="149" t="s">
        <v>33</v>
      </c>
      <c r="B28" s="149"/>
      <c r="C28" s="149"/>
      <c r="D28" s="149"/>
      <c r="E28" s="155" t="s">
        <v>261</v>
      </c>
      <c r="F28" s="155"/>
      <c r="G28" s="155"/>
      <c r="H28" s="155"/>
    </row>
    <row r="29" spans="1:8" x14ac:dyDescent="0.3">
      <c r="A29" s="149" t="s">
        <v>121</v>
      </c>
      <c r="B29" s="149"/>
      <c r="C29" s="149"/>
      <c r="D29" s="149"/>
      <c r="E29" s="149" t="s">
        <v>34</v>
      </c>
      <c r="F29" s="149"/>
      <c r="G29" s="149"/>
      <c r="H29" s="149"/>
    </row>
    <row r="30" spans="1:8" s="30" customFormat="1" x14ac:dyDescent="0.3">
      <c r="A30" s="159" t="s">
        <v>122</v>
      </c>
      <c r="B30" s="159"/>
      <c r="C30" s="142" t="s">
        <v>29</v>
      </c>
      <c r="D30" s="142"/>
      <c r="E30" s="142"/>
      <c r="F30" s="142" t="s">
        <v>31</v>
      </c>
      <c r="G30" s="142"/>
      <c r="H30" s="142"/>
    </row>
    <row r="31" spans="1:8" s="30" customFormat="1" x14ac:dyDescent="0.3">
      <c r="A31" s="157" t="s">
        <v>25</v>
      </c>
      <c r="B31" s="157" t="s">
        <v>30</v>
      </c>
      <c r="C31" s="136" t="s">
        <v>30</v>
      </c>
      <c r="D31" s="136"/>
      <c r="E31" s="136"/>
      <c r="F31" s="136" t="s">
        <v>158</v>
      </c>
      <c r="G31" s="136"/>
      <c r="H31" s="136"/>
    </row>
    <row r="32" spans="1:8" x14ac:dyDescent="0.3">
      <c r="A32" s="157" t="s">
        <v>26</v>
      </c>
      <c r="B32" s="157" t="s">
        <v>30</v>
      </c>
      <c r="C32" s="136" t="s">
        <v>30</v>
      </c>
      <c r="D32" s="136"/>
      <c r="E32" s="136"/>
      <c r="F32" s="136" t="s">
        <v>159</v>
      </c>
      <c r="G32" s="136"/>
      <c r="H32" s="136"/>
    </row>
    <row r="33" spans="1:8" s="30" customFormat="1" x14ac:dyDescent="0.3">
      <c r="A33" s="157" t="s">
        <v>28</v>
      </c>
      <c r="B33" s="157" t="s">
        <v>30</v>
      </c>
      <c r="C33" s="136" t="s">
        <v>30</v>
      </c>
      <c r="D33" s="136"/>
      <c r="E33" s="136"/>
      <c r="F33" s="136" t="s">
        <v>160</v>
      </c>
      <c r="G33" s="136"/>
      <c r="H33" s="136"/>
    </row>
    <row r="34" spans="1:8" x14ac:dyDescent="0.3">
      <c r="A34" s="157" t="s">
        <v>27</v>
      </c>
      <c r="B34" s="157" t="s">
        <v>30</v>
      </c>
      <c r="C34" s="136" t="s">
        <v>30</v>
      </c>
      <c r="D34" s="136"/>
      <c r="E34" s="136"/>
      <c r="F34" s="136" t="s">
        <v>159</v>
      </c>
      <c r="G34" s="136"/>
      <c r="H34" s="136"/>
    </row>
    <row r="35" spans="1:8" x14ac:dyDescent="0.3">
      <c r="A35" s="95" t="s">
        <v>32</v>
      </c>
      <c r="B35" s="95"/>
      <c r="C35" s="95"/>
      <c r="D35" s="95"/>
      <c r="E35" s="95"/>
      <c r="F35" s="95"/>
      <c r="G35" s="95"/>
      <c r="H35" s="95"/>
    </row>
    <row r="36" spans="1:8" ht="15.75" customHeight="1" x14ac:dyDescent="0.3">
      <c r="A36" s="148" t="s">
        <v>202</v>
      </c>
      <c r="B36" s="148"/>
      <c r="C36" s="156" t="s">
        <v>239</v>
      </c>
      <c r="D36" s="156"/>
      <c r="E36" s="156"/>
      <c r="F36" s="156"/>
      <c r="G36" s="156"/>
      <c r="H36" s="156"/>
    </row>
    <row r="37" spans="1:8" ht="15.75" customHeight="1" x14ac:dyDescent="0.3">
      <c r="A37" s="148" t="s">
        <v>199</v>
      </c>
      <c r="B37" s="148"/>
      <c r="C37" s="175" t="s">
        <v>240</v>
      </c>
      <c r="D37" s="133"/>
      <c r="E37" s="133"/>
      <c r="F37" s="133"/>
      <c r="G37" s="133"/>
      <c r="H37" s="133"/>
    </row>
    <row r="38" spans="1:8" x14ac:dyDescent="0.3">
      <c r="A38" s="148" t="s">
        <v>35</v>
      </c>
      <c r="B38" s="148"/>
      <c r="C38" s="148"/>
      <c r="D38" s="148"/>
      <c r="E38" s="148"/>
      <c r="F38" s="148"/>
      <c r="G38" s="148"/>
      <c r="H38" s="148"/>
    </row>
    <row r="39" spans="1:8" x14ac:dyDescent="0.3">
      <c r="A39" s="95" t="s">
        <v>36</v>
      </c>
      <c r="B39" s="95"/>
      <c r="C39" s="95"/>
      <c r="D39" s="95"/>
      <c r="E39" s="158">
        <v>3596.52</v>
      </c>
      <c r="F39" s="158"/>
      <c r="G39" s="158"/>
      <c r="H39" s="158"/>
    </row>
    <row r="40" spans="1:8" x14ac:dyDescent="0.3">
      <c r="A40" s="95" t="s">
        <v>37</v>
      </c>
      <c r="B40" s="95"/>
      <c r="C40" s="95"/>
      <c r="D40" s="95"/>
      <c r="E40" s="173">
        <v>1.1000000000000001</v>
      </c>
      <c r="F40" s="173"/>
      <c r="G40" s="173"/>
      <c r="H40" s="173"/>
    </row>
    <row r="41" spans="1:8" x14ac:dyDescent="0.3">
      <c r="A41" s="95" t="s">
        <v>38</v>
      </c>
      <c r="B41" s="95"/>
      <c r="C41" s="95"/>
      <c r="D41" s="95"/>
      <c r="E41" s="173">
        <f>E43/E39-E40</f>
        <v>0.65999855415790809</v>
      </c>
      <c r="F41" s="173"/>
      <c r="G41" s="173"/>
      <c r="H41" s="173"/>
    </row>
    <row r="42" spans="1:8" x14ac:dyDescent="0.3">
      <c r="A42" s="95" t="s">
        <v>39</v>
      </c>
      <c r="B42" s="95"/>
      <c r="C42" s="95"/>
      <c r="D42" s="95"/>
      <c r="E42" s="173">
        <f>E40+E41</f>
        <v>1.7599985541579082</v>
      </c>
      <c r="F42" s="173"/>
      <c r="G42" s="173"/>
      <c r="H42" s="173"/>
    </row>
    <row r="43" spans="1:8" x14ac:dyDescent="0.3">
      <c r="A43" s="95" t="s">
        <v>120</v>
      </c>
      <c r="B43" s="95"/>
      <c r="C43" s="95"/>
      <c r="D43" s="95"/>
      <c r="E43" s="174">
        <v>6329.87</v>
      </c>
      <c r="F43" s="174"/>
      <c r="G43" s="174"/>
      <c r="H43" s="174"/>
    </row>
    <row r="44" spans="1:8" x14ac:dyDescent="0.3">
      <c r="A44" s="133" t="s">
        <v>40</v>
      </c>
      <c r="B44" s="133"/>
      <c r="C44" s="133"/>
      <c r="D44" s="133"/>
      <c r="E44" s="133" t="s">
        <v>213</v>
      </c>
      <c r="F44" s="133"/>
      <c r="G44" s="133"/>
      <c r="H44" s="133"/>
    </row>
    <row r="45" spans="1:8" x14ac:dyDescent="0.3">
      <c r="A45" s="144" t="s">
        <v>208</v>
      </c>
      <c r="B45" s="144"/>
      <c r="C45" s="144"/>
      <c r="D45" s="144"/>
      <c r="E45" s="144"/>
      <c r="F45" s="144"/>
      <c r="G45" s="144"/>
      <c r="H45" s="144"/>
    </row>
    <row r="46" spans="1:8" x14ac:dyDescent="0.3">
      <c r="A46" s="149" t="s">
        <v>41</v>
      </c>
      <c r="B46" s="149"/>
      <c r="C46" s="131" t="s">
        <v>193</v>
      </c>
      <c r="D46" s="133"/>
      <c r="E46" s="133"/>
      <c r="F46" s="27" t="s">
        <v>42</v>
      </c>
      <c r="G46" s="150">
        <v>44475</v>
      </c>
      <c r="H46" s="150"/>
    </row>
    <row r="47" spans="1:8" x14ac:dyDescent="0.3">
      <c r="A47" s="149" t="s">
        <v>200</v>
      </c>
      <c r="B47" s="149"/>
      <c r="C47" s="131" t="str">
        <f>C46</f>
        <v>VVCMC/TP/CC/VP-6194/487/2021-22</v>
      </c>
      <c r="D47" s="131"/>
      <c r="E47" s="131"/>
      <c r="F47" s="27" t="s">
        <v>42</v>
      </c>
      <c r="G47" s="150">
        <f>G46</f>
        <v>44475</v>
      </c>
      <c r="H47" s="131"/>
    </row>
    <row r="48" spans="1:8" s="32" customFormat="1" x14ac:dyDescent="0.3">
      <c r="A48" s="131" t="s">
        <v>43</v>
      </c>
      <c r="B48" s="131"/>
      <c r="C48" s="131" t="s">
        <v>193</v>
      </c>
      <c r="D48" s="133"/>
      <c r="E48" s="133"/>
      <c r="F48" s="31" t="s">
        <v>42</v>
      </c>
      <c r="G48" s="151">
        <v>44475</v>
      </c>
      <c r="H48" s="133"/>
    </row>
    <row r="49" spans="1:13" s="32" customFormat="1" x14ac:dyDescent="0.3">
      <c r="A49" s="131"/>
      <c r="B49" s="131"/>
      <c r="C49" s="152" t="s">
        <v>194</v>
      </c>
      <c r="D49" s="153"/>
      <c r="E49" s="153"/>
      <c r="F49" s="153"/>
      <c r="G49" s="153"/>
      <c r="H49" s="154"/>
    </row>
    <row r="50" spans="1:13" ht="66" customHeight="1" x14ac:dyDescent="0.3">
      <c r="A50" s="134" t="s">
        <v>204</v>
      </c>
      <c r="B50" s="134"/>
      <c r="C50" s="114" t="s">
        <v>205</v>
      </c>
      <c r="D50" s="115"/>
      <c r="E50" s="115" t="s">
        <v>44</v>
      </c>
      <c r="F50" s="25" t="s">
        <v>42</v>
      </c>
      <c r="G50" s="116">
        <v>45338</v>
      </c>
      <c r="H50" s="117"/>
    </row>
    <row r="51" spans="1:13" x14ac:dyDescent="0.3">
      <c r="A51" s="144" t="s">
        <v>209</v>
      </c>
      <c r="B51" s="144"/>
      <c r="C51" s="144"/>
      <c r="D51" s="144"/>
      <c r="E51" s="144"/>
      <c r="F51" s="144"/>
      <c r="G51" s="144"/>
      <c r="H51" s="144"/>
    </row>
    <row r="52" spans="1:13" x14ac:dyDescent="0.3">
      <c r="A52" s="149" t="s">
        <v>41</v>
      </c>
      <c r="B52" s="149"/>
      <c r="C52" s="131" t="s">
        <v>211</v>
      </c>
      <c r="D52" s="133"/>
      <c r="E52" s="133"/>
      <c r="F52" s="27" t="s">
        <v>42</v>
      </c>
      <c r="G52" s="150" t="s">
        <v>30</v>
      </c>
      <c r="H52" s="150"/>
    </row>
    <row r="53" spans="1:13" x14ac:dyDescent="0.3">
      <c r="A53" s="149" t="s">
        <v>200</v>
      </c>
      <c r="B53" s="149"/>
      <c r="C53" s="131" t="s">
        <v>212</v>
      </c>
      <c r="D53" s="131"/>
      <c r="E53" s="131"/>
      <c r="F53" s="27" t="s">
        <v>42</v>
      </c>
      <c r="G53" s="150">
        <v>45134</v>
      </c>
      <c r="H53" s="131"/>
    </row>
    <row r="54" spans="1:13" s="32" customFormat="1" ht="18.75" customHeight="1" x14ac:dyDescent="0.3">
      <c r="A54" s="131" t="s">
        <v>43</v>
      </c>
      <c r="B54" s="131"/>
      <c r="C54" s="131" t="s">
        <v>212</v>
      </c>
      <c r="D54" s="131"/>
      <c r="E54" s="131"/>
      <c r="F54" s="31" t="s">
        <v>42</v>
      </c>
      <c r="G54" s="151">
        <v>45134</v>
      </c>
      <c r="H54" s="133"/>
    </row>
    <row r="55" spans="1:13" s="32" customFormat="1" x14ac:dyDescent="0.3">
      <c r="A55" s="131"/>
      <c r="B55" s="131"/>
      <c r="C55" s="152" t="s">
        <v>262</v>
      </c>
      <c r="D55" s="153"/>
      <c r="E55" s="153"/>
      <c r="F55" s="153"/>
      <c r="G55" s="153"/>
      <c r="H55" s="154"/>
    </row>
    <row r="56" spans="1:13" x14ac:dyDescent="0.3">
      <c r="A56" s="134" t="s">
        <v>210</v>
      </c>
      <c r="B56" s="134"/>
      <c r="C56" s="114" t="s">
        <v>30</v>
      </c>
      <c r="D56" s="115"/>
      <c r="E56" s="115" t="s">
        <v>44</v>
      </c>
      <c r="F56" s="25" t="s">
        <v>42</v>
      </c>
      <c r="G56" s="116" t="s">
        <v>30</v>
      </c>
      <c r="H56" s="117"/>
    </row>
    <row r="57" spans="1:13" x14ac:dyDescent="0.3">
      <c r="A57" s="145" t="s">
        <v>46</v>
      </c>
      <c r="B57" s="145"/>
      <c r="C57" s="145"/>
      <c r="D57" s="145"/>
      <c r="E57" s="145"/>
      <c r="F57" s="145"/>
      <c r="G57" s="145"/>
      <c r="H57" s="145"/>
    </row>
    <row r="58" spans="1:13" x14ac:dyDescent="0.3">
      <c r="A58" s="131" t="s">
        <v>119</v>
      </c>
      <c r="B58" s="131"/>
      <c r="C58" s="131"/>
      <c r="D58" s="133">
        <f>2162.86+1145.66+986.44+817.89</f>
        <v>5112.8500000000013</v>
      </c>
      <c r="E58" s="133"/>
      <c r="F58" s="133"/>
      <c r="G58" s="133"/>
      <c r="H58" s="133"/>
      <c r="I58" s="118" t="s">
        <v>215</v>
      </c>
      <c r="J58" s="119"/>
      <c r="K58" s="119"/>
      <c r="L58" s="119"/>
      <c r="M58" s="119"/>
    </row>
    <row r="59" spans="1:13" x14ac:dyDescent="0.3">
      <c r="A59" s="131" t="s">
        <v>47</v>
      </c>
      <c r="B59" s="133"/>
      <c r="C59" s="133"/>
      <c r="D59" s="133" t="s">
        <v>257</v>
      </c>
      <c r="E59" s="133"/>
      <c r="F59" s="133"/>
      <c r="G59" s="133"/>
      <c r="H59" s="133"/>
      <c r="I59" s="118"/>
      <c r="J59" s="119"/>
      <c r="K59" s="119"/>
      <c r="L59" s="119"/>
      <c r="M59" s="119"/>
    </row>
    <row r="60" spans="1:13" ht="34.5" customHeight="1" x14ac:dyDescent="0.3">
      <c r="A60" s="131" t="s">
        <v>48</v>
      </c>
      <c r="B60" s="133"/>
      <c r="C60" s="133"/>
      <c r="D60" s="120" t="s">
        <v>216</v>
      </c>
      <c r="E60" s="121"/>
      <c r="F60" s="121"/>
      <c r="G60" s="121"/>
      <c r="H60" s="121"/>
    </row>
    <row r="61" spans="1:13" ht="15.75" customHeight="1" x14ac:dyDescent="0.3">
      <c r="A61" s="122" t="s">
        <v>117</v>
      </c>
      <c r="B61" s="123"/>
      <c r="C61" s="124"/>
      <c r="D61" s="120" t="s">
        <v>218</v>
      </c>
      <c r="E61" s="121"/>
      <c r="F61" s="121"/>
      <c r="G61" s="121"/>
      <c r="H61" s="121"/>
    </row>
    <row r="62" spans="1:13" ht="15.75" customHeight="1" x14ac:dyDescent="0.3">
      <c r="A62" s="125"/>
      <c r="B62" s="126"/>
      <c r="C62" s="127"/>
      <c r="D62" s="120" t="s">
        <v>217</v>
      </c>
      <c r="E62" s="121"/>
      <c r="F62" s="121"/>
      <c r="G62" s="121"/>
      <c r="H62" s="121"/>
    </row>
    <row r="63" spans="1:13" ht="31.5" customHeight="1" x14ac:dyDescent="0.3">
      <c r="A63" s="133" t="s">
        <v>45</v>
      </c>
      <c r="B63" s="133"/>
      <c r="C63" s="133"/>
      <c r="D63" s="131" t="s">
        <v>214</v>
      </c>
      <c r="E63" s="131"/>
      <c r="F63" s="131"/>
      <c r="G63" s="131"/>
      <c r="H63" s="131"/>
    </row>
    <row r="64" spans="1:13" ht="33" customHeight="1" x14ac:dyDescent="0.3">
      <c r="A64" s="133" t="s">
        <v>222</v>
      </c>
      <c r="B64" s="133"/>
      <c r="C64" s="133"/>
      <c r="D64" s="131" t="s">
        <v>223</v>
      </c>
      <c r="E64" s="131"/>
      <c r="F64" s="131"/>
      <c r="G64" s="131"/>
      <c r="H64" s="131"/>
      <c r="J64" s="29">
        <f>35+28</f>
        <v>63</v>
      </c>
    </row>
    <row r="65" spans="1:11" ht="15.75" customHeight="1" x14ac:dyDescent="0.3">
      <c r="A65" s="133" t="s">
        <v>115</v>
      </c>
      <c r="B65" s="133"/>
      <c r="C65" s="133"/>
      <c r="D65" s="132" t="s">
        <v>266</v>
      </c>
      <c r="E65" s="132"/>
      <c r="F65" s="132"/>
      <c r="G65" s="132"/>
      <c r="H65" s="132"/>
    </row>
    <row r="66" spans="1:11" ht="15.75" customHeight="1" x14ac:dyDescent="0.3">
      <c r="A66" s="133" t="s">
        <v>116</v>
      </c>
      <c r="B66" s="133"/>
      <c r="C66" s="133"/>
      <c r="D66" s="131" t="s">
        <v>24</v>
      </c>
      <c r="E66" s="131"/>
      <c r="F66" s="131"/>
      <c r="G66" s="131"/>
      <c r="H66" s="131"/>
      <c r="J66" s="24"/>
      <c r="K66" s="24"/>
    </row>
    <row r="67" spans="1:11" ht="15.75" customHeight="1" x14ac:dyDescent="0.3">
      <c r="A67" s="133" t="s">
        <v>114</v>
      </c>
      <c r="B67" s="133"/>
      <c r="C67" s="133"/>
      <c r="D67" s="131" t="str">
        <f ca="1">(IF(G90&gt;95%,"Nothing",IF(G90&gt;0%,"Cement, Aggregate, Steel, etc",IF(G90=0%,"Work not yet Started"))))</f>
        <v>Cement, Aggregate, Steel, etc</v>
      </c>
      <c r="E67" s="131"/>
      <c r="F67" s="131"/>
      <c r="G67" s="131"/>
      <c r="H67" s="131"/>
      <c r="J67" s="24"/>
      <c r="K67" s="24"/>
    </row>
    <row r="68" spans="1:11" x14ac:dyDescent="0.3">
      <c r="A68" s="133" t="s">
        <v>221</v>
      </c>
      <c r="B68" s="133"/>
      <c r="C68" s="133"/>
      <c r="D68" s="132" t="s">
        <v>30</v>
      </c>
      <c r="E68" s="132"/>
      <c r="F68" s="132"/>
      <c r="G68" s="132"/>
      <c r="H68" s="132"/>
    </row>
    <row r="69" spans="1:11" ht="34.5" customHeight="1" thickBot="1" x14ac:dyDescent="0.35">
      <c r="A69" s="131" t="s">
        <v>219</v>
      </c>
      <c r="B69" s="131"/>
      <c r="C69" s="131"/>
      <c r="D69" s="132" t="s">
        <v>220</v>
      </c>
      <c r="E69" s="132"/>
      <c r="F69" s="132"/>
      <c r="G69" s="132"/>
      <c r="H69" s="132"/>
    </row>
    <row r="70" spans="1:11" ht="15.75" customHeight="1" x14ac:dyDescent="0.3">
      <c r="A70" s="134" t="s">
        <v>175</v>
      </c>
      <c r="B70" s="134"/>
      <c r="C70" s="134" t="str">
        <f>D61</f>
        <v>Building No. 1 &amp; 2 = Gr/Stilt + 1st to 7th Floor</v>
      </c>
      <c r="D70" s="134"/>
      <c r="E70" s="134"/>
      <c r="F70" s="134"/>
      <c r="G70" s="134"/>
      <c r="H70" s="134"/>
      <c r="I70" s="23" t="str">
        <f ca="1">(IF(C76=0,"Work not yet Started.",IF(D76=50%,"Excavation work in process",IF(D76=100%,"Excavation work completed, ","0")))&amp;(IF(C77=0%,"",IF(D77=25%,"Footing work is process",IF(D77=50%,"Footing work Completed",IF(D77=75%,"Plinth work is process",IF(D77=100%,"Plinth work completed","0"))))))&amp;(IF(C78&gt;0,", RCC upto "&amp;C78&amp;" Slab completed",""))&amp;(IF(C79&gt;0,", Brickwork upto "&amp;C79&amp;" Floor completed"," "))&amp;(IF(C80&gt;0,", Internal Plaster upto "&amp;C80&amp;" Floor completed"," "))&amp;(IF(C81&gt;0,", External Plaster upto "&amp;C81&amp;" Floor completed"," "))&amp;(IF(C82&gt;0,", Flooring upto "&amp;C82&amp;" Floor completed"," "))&amp;(IF(C83&gt;0,", Painting upto "&amp;C83&amp;" Floor completed"," "))&amp;(IF(C84&gt;0,", Finishing upto "&amp;C84&amp;" Floor completed"," ")))</f>
        <v>Excavation work completed, Plinth work completed, RCC upto 8 Slab completed, Brickwork upto 7 Floor completed, Internal Plaster upto 7 Floor completed, External Plaster upto 7 Floor completed, Flooring upto 7 Floor completed, Painting upto 7 Floor completed, Finishing upto 7 Floor completed</v>
      </c>
      <c r="J70" s="23"/>
      <c r="K70" s="33"/>
    </row>
    <row r="71" spans="1:11" x14ac:dyDescent="0.3">
      <c r="A71" s="135" t="s">
        <v>98</v>
      </c>
      <c r="B71" s="135"/>
      <c r="C71" s="136">
        <v>1</v>
      </c>
      <c r="D71" s="136"/>
      <c r="E71" s="66" t="s">
        <v>97</v>
      </c>
      <c r="F71" s="66">
        <v>0</v>
      </c>
      <c r="G71" s="65" t="s">
        <v>108</v>
      </c>
      <c r="H71" s="66">
        <f ca="1">--TRIM(RIGHT(SUBSTITUTE(LEFT(C70,_xlfn.AGGREGATE(16,6,FIND({0,1,2,3,4,5,6,7,8,9},C70,ROW(INDIRECT("1:"&amp;LEN(C70)))),1))," ",REPT(" ",LEN(C70))),LEN(C70)))</f>
        <v>7</v>
      </c>
      <c r="I71" s="24" t="s">
        <v>135</v>
      </c>
      <c r="J71" s="24"/>
      <c r="K71" s="34"/>
    </row>
    <row r="72" spans="1:11" x14ac:dyDescent="0.3">
      <c r="A72" s="115" t="s">
        <v>118</v>
      </c>
      <c r="B72" s="115"/>
      <c r="C72" s="114" t="str">
        <f>I71</f>
        <v>All work Completed. OC Received.</v>
      </c>
      <c r="D72" s="114"/>
      <c r="E72" s="114"/>
      <c r="F72" s="114"/>
      <c r="G72" s="114"/>
      <c r="H72" s="114"/>
      <c r="I72" s="24" t="s">
        <v>148</v>
      </c>
      <c r="J72" s="24"/>
      <c r="K72" s="34"/>
    </row>
    <row r="73" spans="1:11" s="50" customFormat="1" x14ac:dyDescent="0.3">
      <c r="A73" s="176" t="s">
        <v>113</v>
      </c>
      <c r="B73" s="176"/>
      <c r="C73" s="177">
        <v>1</v>
      </c>
      <c r="D73" s="178"/>
      <c r="E73" s="178" t="s">
        <v>112</v>
      </c>
      <c r="F73" s="178"/>
      <c r="G73" s="177">
        <v>1</v>
      </c>
      <c r="H73" s="178"/>
      <c r="I73" s="58"/>
      <c r="J73" s="58"/>
      <c r="K73" s="59"/>
    </row>
    <row r="74" spans="1:11" s="50" customFormat="1" ht="16.2" thickBot="1" x14ac:dyDescent="0.35">
      <c r="A74" s="176"/>
      <c r="B74" s="176"/>
      <c r="C74" s="178"/>
      <c r="D74" s="178"/>
      <c r="E74" s="178"/>
      <c r="F74" s="178"/>
      <c r="G74" s="178"/>
      <c r="H74" s="178"/>
      <c r="I74" s="58"/>
      <c r="J74" s="58"/>
      <c r="K74" s="59"/>
    </row>
    <row r="75" spans="1:11" ht="31.2" hidden="1" x14ac:dyDescent="0.3">
      <c r="A75" s="96" t="s">
        <v>49</v>
      </c>
      <c r="B75" s="97"/>
      <c r="C75" s="60" t="s">
        <v>176</v>
      </c>
      <c r="D75" s="60" t="s">
        <v>111</v>
      </c>
      <c r="E75" s="98" t="s">
        <v>113</v>
      </c>
      <c r="F75" s="98"/>
      <c r="G75" s="98" t="s">
        <v>112</v>
      </c>
      <c r="H75" s="99"/>
      <c r="I75" s="24" t="s">
        <v>135</v>
      </c>
      <c r="K75" s="35"/>
    </row>
    <row r="76" spans="1:11" hidden="1" x14ac:dyDescent="0.3">
      <c r="A76" s="100" t="s">
        <v>177</v>
      </c>
      <c r="B76" s="101"/>
      <c r="C76" s="36">
        <f ca="1">K79</f>
        <v>7</v>
      </c>
      <c r="D76" s="37">
        <f ca="1">((100/H71)*C76)/100</f>
        <v>1</v>
      </c>
      <c r="E76" s="102" t="str">
        <f>(IF(C72=I72,"100%",IF(C72=I75,"100%",(((C77/H71*10)+(40/(C71+F71+H71)*C78)+(7.5/(H71)*C79)+(7.5/(H71)*C80)+(10/H71*C81)+(10/H71*C82)+(5/H71*C83)+(5/H71*C84)+(5/H71*C85))/100))))</f>
        <v>100%</v>
      </c>
      <c r="F76" s="102"/>
      <c r="G76" s="102">
        <f ca="1">((((C76/H71)*20)+((C77/H71)*25)+(30/(H71+F71+C71)*C78)+(5/H71*C79)+(5/H71*C80)+(5/H71*C81)+(5/H71*C82)+(0/H71*C83)+(0/H71*C84)+(5/H71*C85))/100)</f>
        <v>1</v>
      </c>
      <c r="H76" s="104"/>
      <c r="I76" s="24"/>
      <c r="K76" s="35"/>
    </row>
    <row r="77" spans="1:11" hidden="1" x14ac:dyDescent="0.3">
      <c r="A77" s="100" t="s">
        <v>174</v>
      </c>
      <c r="B77" s="101"/>
      <c r="C77" s="36">
        <f ca="1">K84</f>
        <v>7</v>
      </c>
      <c r="D77" s="37">
        <f ca="1">((100/H71)*C77)/100</f>
        <v>1</v>
      </c>
      <c r="E77" s="102"/>
      <c r="F77" s="102"/>
      <c r="G77" s="102"/>
      <c r="H77" s="104"/>
      <c r="K77" s="35"/>
    </row>
    <row r="78" spans="1:11" hidden="1" x14ac:dyDescent="0.3">
      <c r="A78" s="106" t="s">
        <v>178</v>
      </c>
      <c r="B78" s="107"/>
      <c r="C78" s="38">
        <v>8</v>
      </c>
      <c r="D78" s="37">
        <f ca="1">((100/(C71+F71+H71))*C78)/100</f>
        <v>1</v>
      </c>
      <c r="E78" s="102"/>
      <c r="F78" s="102"/>
      <c r="G78" s="102"/>
      <c r="H78" s="104"/>
      <c r="I78" s="22" t="s">
        <v>129</v>
      </c>
      <c r="J78" s="39"/>
      <c r="K78" s="40">
        <f ca="1">H71*50%</f>
        <v>3.5</v>
      </c>
    </row>
    <row r="79" spans="1:11" hidden="1" x14ac:dyDescent="0.3">
      <c r="A79" s="100" t="s">
        <v>179</v>
      </c>
      <c r="B79" s="101" t="s">
        <v>180</v>
      </c>
      <c r="C79" s="36">
        <v>7</v>
      </c>
      <c r="D79" s="37">
        <f ca="1">((100/H71)*C79)/100</f>
        <v>1</v>
      </c>
      <c r="E79" s="102"/>
      <c r="F79" s="102"/>
      <c r="G79" s="102"/>
      <c r="H79" s="104"/>
      <c r="I79" s="22" t="s">
        <v>130</v>
      </c>
      <c r="J79" s="39"/>
      <c r="K79" s="40">
        <f ca="1">H71</f>
        <v>7</v>
      </c>
    </row>
    <row r="80" spans="1:11" hidden="1" x14ac:dyDescent="0.3">
      <c r="A80" s="100" t="s">
        <v>181</v>
      </c>
      <c r="B80" s="101" t="s">
        <v>180</v>
      </c>
      <c r="C80" s="36">
        <v>7</v>
      </c>
      <c r="D80" s="37">
        <f ca="1">((100/H71)*C80)/100</f>
        <v>1</v>
      </c>
      <c r="E80" s="102"/>
      <c r="F80" s="102"/>
      <c r="G80" s="102"/>
      <c r="H80" s="104"/>
      <c r="I80" s="22"/>
      <c r="J80" s="39"/>
      <c r="K80" s="40"/>
    </row>
    <row r="81" spans="1:11" ht="15" hidden="1" customHeight="1" x14ac:dyDescent="0.3">
      <c r="A81" s="100" t="s">
        <v>182</v>
      </c>
      <c r="B81" s="101" t="s">
        <v>183</v>
      </c>
      <c r="C81" s="36">
        <v>7</v>
      </c>
      <c r="D81" s="37">
        <f ca="1">((100/(H71))*C81)/100</f>
        <v>1</v>
      </c>
      <c r="E81" s="102"/>
      <c r="F81" s="102"/>
      <c r="G81" s="102"/>
      <c r="H81" s="104"/>
      <c r="I81" s="22" t="s">
        <v>131</v>
      </c>
      <c r="J81" s="39"/>
      <c r="K81" s="40">
        <f ca="1">H71*25%</f>
        <v>1.75</v>
      </c>
    </row>
    <row r="82" spans="1:11" hidden="1" x14ac:dyDescent="0.3">
      <c r="A82" s="100" t="s">
        <v>184</v>
      </c>
      <c r="B82" s="101" t="s">
        <v>184</v>
      </c>
      <c r="C82" s="36">
        <v>7</v>
      </c>
      <c r="D82" s="37">
        <f ca="1">((100/H71)*C82)/100</f>
        <v>1</v>
      </c>
      <c r="E82" s="102"/>
      <c r="F82" s="102"/>
      <c r="G82" s="102"/>
      <c r="H82" s="104"/>
      <c r="I82" s="22" t="s">
        <v>132</v>
      </c>
      <c r="J82" s="39"/>
      <c r="K82" s="40">
        <f ca="1">H71*50%</f>
        <v>3.5</v>
      </c>
    </row>
    <row r="83" spans="1:11" hidden="1" x14ac:dyDescent="0.3">
      <c r="A83" s="100" t="s">
        <v>185</v>
      </c>
      <c r="B83" s="101"/>
      <c r="C83" s="36">
        <v>7</v>
      </c>
      <c r="D83" s="37">
        <f ca="1">((100/H71)*C83)/100</f>
        <v>1</v>
      </c>
      <c r="E83" s="102"/>
      <c r="F83" s="102"/>
      <c r="G83" s="102"/>
      <c r="H83" s="104"/>
      <c r="I83" s="22" t="s">
        <v>133</v>
      </c>
      <c r="J83" s="39"/>
      <c r="K83" s="40">
        <f ca="1">H71*75%</f>
        <v>5.25</v>
      </c>
    </row>
    <row r="84" spans="1:11" hidden="1" x14ac:dyDescent="0.3">
      <c r="A84" s="100" t="s">
        <v>186</v>
      </c>
      <c r="B84" s="101" t="s">
        <v>186</v>
      </c>
      <c r="C84" s="36">
        <v>7</v>
      </c>
      <c r="D84" s="37">
        <f ca="1">((100/(H71))*C84)/100</f>
        <v>1</v>
      </c>
      <c r="E84" s="102"/>
      <c r="F84" s="102"/>
      <c r="G84" s="102"/>
      <c r="H84" s="104"/>
      <c r="I84" s="22" t="s">
        <v>134</v>
      </c>
      <c r="J84" s="39"/>
      <c r="K84" s="40">
        <f ca="1">H71</f>
        <v>7</v>
      </c>
    </row>
    <row r="85" spans="1:11" ht="16.2" hidden="1" thickBot="1" x14ac:dyDescent="0.35">
      <c r="A85" s="108" t="s">
        <v>187</v>
      </c>
      <c r="B85" s="109"/>
      <c r="C85" s="41">
        <v>7</v>
      </c>
      <c r="D85" s="42">
        <f ca="1">((100/(H71))*C85)/100</f>
        <v>1</v>
      </c>
      <c r="E85" s="103"/>
      <c r="F85" s="103"/>
      <c r="G85" s="103"/>
      <c r="H85" s="105"/>
      <c r="I85" s="43"/>
      <c r="J85" s="43"/>
      <c r="K85" s="44"/>
    </row>
    <row r="86" spans="1:11" ht="15.75" customHeight="1" x14ac:dyDescent="0.3">
      <c r="A86" s="128" t="s">
        <v>175</v>
      </c>
      <c r="B86" s="129"/>
      <c r="C86" s="129" t="s">
        <v>267</v>
      </c>
      <c r="D86" s="129"/>
      <c r="E86" s="129"/>
      <c r="F86" s="129"/>
      <c r="G86" s="129"/>
      <c r="H86" s="130"/>
      <c r="I86" s="23" t="str">
        <f ca="1">(IF(C90=0,"Work not yet Started.",IF(D90=50%,"Excavation work in process",IF(D90=100%,"Excavation work completed, ","0")))&amp;(IF(C91=0%,"",IF(D91=25%,"Footing work is process",IF(D91=50%,"Footing work Completed",IF(D91=75%,"Plinth work is process",IF(D91=100%,"Plinth work completed","0"))))))&amp;(IF(C92&gt;0,", RCC upto "&amp;C92&amp;" Slab completed",""))&amp;(IF(C93&gt;0,", Brickwork upto "&amp;C93&amp;" Floor completed"," "))&amp;(IF(C94&gt;0,", Internal Plaster upto "&amp;C94&amp;" Floor completed"," "))&amp;(IF(C95&gt;0,", External Plaster upto "&amp;C95&amp;" Floor completed"," "))&amp;(IF(C96&gt;0,", Flooring upto "&amp;C96&amp;" Floor completed"," "))&amp;(IF(C97&gt;0,", Painting upto "&amp;C97&amp;" Floor completed"," "))&amp;(IF(C98&gt;0,", Finishing upto "&amp;C98&amp;" Floor completed"," ")))</f>
        <v xml:space="preserve">Excavation work completed, Plinth work completed, RCC upto 8 Slab completed, Brickwork upto 7 Floor completed, Internal Plaster upto 7 Floor completed, External Plaster upto 6 Floor completed, Flooring upto 4 Floor completed, Painting upto 4 Floor completed </v>
      </c>
      <c r="J86" s="23"/>
      <c r="K86" s="33"/>
    </row>
    <row r="87" spans="1:11" x14ac:dyDescent="0.3">
      <c r="A87" s="139" t="s">
        <v>98</v>
      </c>
      <c r="B87" s="135"/>
      <c r="C87" s="136">
        <v>1</v>
      </c>
      <c r="D87" s="136"/>
      <c r="E87" s="66" t="s">
        <v>97</v>
      </c>
      <c r="F87" s="66">
        <v>0</v>
      </c>
      <c r="G87" s="65" t="s">
        <v>108</v>
      </c>
      <c r="H87" s="19">
        <f ca="1">--TRIM(RIGHT(SUBSTITUTE(LEFT(C86,_xlfn.AGGREGATE(16,6,FIND({0,1,2,3,4,5,6,7,8,9},C86,ROW(INDIRECT("1:"&amp;LEN(C86)))),1))," ",REPT(" ",LEN(C86))),LEN(C86)))</f>
        <v>7</v>
      </c>
      <c r="I87" s="24" t="s">
        <v>135</v>
      </c>
      <c r="J87" s="24"/>
      <c r="K87" s="34"/>
    </row>
    <row r="88" spans="1:11" ht="70.2" customHeight="1" x14ac:dyDescent="0.3">
      <c r="A88" s="140" t="s">
        <v>118</v>
      </c>
      <c r="B88" s="115"/>
      <c r="C88" s="114" t="str">
        <f ca="1">I86</f>
        <v xml:space="preserve">Excavation work completed, Plinth work completed, RCC upto 8 Slab completed, Brickwork upto 7 Floor completed, Internal Plaster upto 7 Floor completed, External Plaster upto 6 Floor completed, Flooring upto 4 Floor completed, Painting upto 4 Floor completed </v>
      </c>
      <c r="D88" s="114"/>
      <c r="E88" s="114"/>
      <c r="F88" s="114"/>
      <c r="G88" s="114"/>
      <c r="H88" s="141"/>
      <c r="I88" s="24" t="s">
        <v>148</v>
      </c>
      <c r="J88" s="24"/>
      <c r="K88" s="34"/>
    </row>
    <row r="89" spans="1:11" ht="17.399999999999999" customHeight="1" x14ac:dyDescent="0.3">
      <c r="A89" s="96" t="s">
        <v>49</v>
      </c>
      <c r="B89" s="97"/>
      <c r="C89" s="60" t="s">
        <v>176</v>
      </c>
      <c r="D89" s="60" t="s">
        <v>111</v>
      </c>
      <c r="E89" s="98" t="s">
        <v>113</v>
      </c>
      <c r="F89" s="98"/>
      <c r="G89" s="98" t="s">
        <v>112</v>
      </c>
      <c r="H89" s="99"/>
      <c r="I89" s="24" t="s">
        <v>135</v>
      </c>
      <c r="K89" s="35"/>
    </row>
    <row r="90" spans="1:11" x14ac:dyDescent="0.3">
      <c r="A90" s="100" t="s">
        <v>177</v>
      </c>
      <c r="B90" s="101"/>
      <c r="C90" s="36">
        <f ca="1">K93</f>
        <v>7</v>
      </c>
      <c r="D90" s="37">
        <f ca="1">((100/H87)*C90)/100</f>
        <v>1</v>
      </c>
      <c r="E90" s="102">
        <f ca="1">(IF(C88=I88,"100%",IF(C88=I89,"100%",(((C91/H87*10)+(40/(C87+F87+H87)*C92)+(7.5/(H87)*C93)+(7.5/(H87)*C94)+(10/H87*C95)+(10/H87*C96)+(5/H87*C97)+(5/H87*C98)+(5/H87*C99))/100))))</f>
        <v>0.8214285714285714</v>
      </c>
      <c r="F90" s="102"/>
      <c r="G90" s="102">
        <f ca="1">((((C90/H87)*20)+((C91/H87)*25)+(30/(H87+F87+C87)*C92)+(5/H87*C93)+(5/H87*C94)+(5/H87*C95)+(5/H87*C96)+(0/H87*C97)+(0/H87*C98)+(5/H87*C99))/100)</f>
        <v>0.92142857142857149</v>
      </c>
      <c r="H90" s="104"/>
      <c r="I90" s="24"/>
      <c r="K90" s="35"/>
    </row>
    <row r="91" spans="1:11" x14ac:dyDescent="0.3">
      <c r="A91" s="100" t="s">
        <v>174</v>
      </c>
      <c r="B91" s="101"/>
      <c r="C91" s="36">
        <f ca="1">K98</f>
        <v>7</v>
      </c>
      <c r="D91" s="37">
        <f ca="1">((100/H87)*C91)/100</f>
        <v>1</v>
      </c>
      <c r="E91" s="102"/>
      <c r="F91" s="102"/>
      <c r="G91" s="102"/>
      <c r="H91" s="104"/>
      <c r="K91" s="35"/>
    </row>
    <row r="92" spans="1:11" x14ac:dyDescent="0.3">
      <c r="A92" s="106" t="s">
        <v>178</v>
      </c>
      <c r="B92" s="107"/>
      <c r="C92" s="38">
        <v>8</v>
      </c>
      <c r="D92" s="37">
        <f ca="1">((100/(C87+F87+H87))*C92)/100</f>
        <v>1</v>
      </c>
      <c r="E92" s="102"/>
      <c r="F92" s="102"/>
      <c r="G92" s="102"/>
      <c r="H92" s="104"/>
      <c r="I92" s="22" t="s">
        <v>129</v>
      </c>
      <c r="J92" s="39"/>
      <c r="K92" s="40">
        <f ca="1">H87*50%</f>
        <v>3.5</v>
      </c>
    </row>
    <row r="93" spans="1:11" x14ac:dyDescent="0.3">
      <c r="A93" s="100" t="s">
        <v>179</v>
      </c>
      <c r="B93" s="101" t="s">
        <v>180</v>
      </c>
      <c r="C93" s="36">
        <v>7</v>
      </c>
      <c r="D93" s="37">
        <f ca="1">((100/H87)*C93)/100</f>
        <v>1</v>
      </c>
      <c r="E93" s="102"/>
      <c r="F93" s="102"/>
      <c r="G93" s="102"/>
      <c r="H93" s="104"/>
      <c r="I93" s="22" t="s">
        <v>130</v>
      </c>
      <c r="J93" s="39"/>
      <c r="K93" s="40">
        <f ca="1">H87</f>
        <v>7</v>
      </c>
    </row>
    <row r="94" spans="1:11" x14ac:dyDescent="0.3">
      <c r="A94" s="100" t="s">
        <v>181</v>
      </c>
      <c r="B94" s="101" t="s">
        <v>180</v>
      </c>
      <c r="C94" s="36">
        <v>7</v>
      </c>
      <c r="D94" s="37">
        <f ca="1">((100/H87)*C94)/100</f>
        <v>1</v>
      </c>
      <c r="E94" s="102"/>
      <c r="F94" s="102"/>
      <c r="G94" s="102"/>
      <c r="H94" s="104"/>
      <c r="I94" s="22"/>
      <c r="J94" s="39"/>
      <c r="K94" s="40"/>
    </row>
    <row r="95" spans="1:11" ht="15" customHeight="1" x14ac:dyDescent="0.3">
      <c r="A95" s="100" t="s">
        <v>182</v>
      </c>
      <c r="B95" s="101" t="s">
        <v>183</v>
      </c>
      <c r="C95" s="36">
        <v>6</v>
      </c>
      <c r="D95" s="37">
        <f ca="1">((100/(H87))*C95)/100</f>
        <v>0.85714285714285721</v>
      </c>
      <c r="E95" s="102"/>
      <c r="F95" s="102"/>
      <c r="G95" s="102"/>
      <c r="H95" s="104"/>
      <c r="I95" s="22" t="s">
        <v>131</v>
      </c>
      <c r="J95" s="39"/>
      <c r="K95" s="40">
        <f ca="1">H87*25%</f>
        <v>1.75</v>
      </c>
    </row>
    <row r="96" spans="1:11" x14ac:dyDescent="0.3">
      <c r="A96" s="100" t="s">
        <v>184</v>
      </c>
      <c r="B96" s="101" t="s">
        <v>184</v>
      </c>
      <c r="C96" s="36">
        <v>4</v>
      </c>
      <c r="D96" s="37">
        <f ca="1">((100/H87)*C96)/100</f>
        <v>0.57142857142857151</v>
      </c>
      <c r="E96" s="102"/>
      <c r="F96" s="102"/>
      <c r="G96" s="102"/>
      <c r="H96" s="104"/>
      <c r="I96" s="22" t="s">
        <v>132</v>
      </c>
      <c r="J96" s="39"/>
      <c r="K96" s="40">
        <f ca="1">H87*50%</f>
        <v>3.5</v>
      </c>
    </row>
    <row r="97" spans="1:11" x14ac:dyDescent="0.3">
      <c r="A97" s="100" t="s">
        <v>185</v>
      </c>
      <c r="B97" s="101"/>
      <c r="C97" s="36">
        <v>4</v>
      </c>
      <c r="D97" s="37">
        <f ca="1">((100/H87)*C97)/100</f>
        <v>0.57142857142857151</v>
      </c>
      <c r="E97" s="102"/>
      <c r="F97" s="102"/>
      <c r="G97" s="102"/>
      <c r="H97" s="104"/>
      <c r="I97" s="22" t="s">
        <v>133</v>
      </c>
      <c r="J97" s="39"/>
      <c r="K97" s="40">
        <f ca="1">H87*75%</f>
        <v>5.25</v>
      </c>
    </row>
    <row r="98" spans="1:11" x14ac:dyDescent="0.3">
      <c r="A98" s="100" t="s">
        <v>186</v>
      </c>
      <c r="B98" s="101" t="s">
        <v>186</v>
      </c>
      <c r="C98" s="36">
        <v>0</v>
      </c>
      <c r="D98" s="37">
        <f ca="1">((100/(H87))*C98)/100</f>
        <v>0</v>
      </c>
      <c r="E98" s="102"/>
      <c r="F98" s="102"/>
      <c r="G98" s="102"/>
      <c r="H98" s="104"/>
      <c r="I98" s="22" t="s">
        <v>134</v>
      </c>
      <c r="J98" s="39"/>
      <c r="K98" s="40">
        <f ca="1">H87</f>
        <v>7</v>
      </c>
    </row>
    <row r="99" spans="1:11" ht="16.2" thickBot="1" x14ac:dyDescent="0.35">
      <c r="A99" s="108" t="s">
        <v>187</v>
      </c>
      <c r="B99" s="109"/>
      <c r="C99" s="41">
        <v>0</v>
      </c>
      <c r="D99" s="42">
        <f ca="1">((100/(H87))*C99)/100</f>
        <v>0</v>
      </c>
      <c r="E99" s="103"/>
      <c r="F99" s="103"/>
      <c r="G99" s="103"/>
      <c r="H99" s="105"/>
      <c r="I99" s="43"/>
      <c r="J99" s="43"/>
      <c r="K99" s="44"/>
    </row>
    <row r="100" spans="1:11" ht="15.75" customHeight="1" x14ac:dyDescent="0.3">
      <c r="A100" s="128" t="s">
        <v>175</v>
      </c>
      <c r="B100" s="129"/>
      <c r="C100" s="129" t="s">
        <v>268</v>
      </c>
      <c r="D100" s="129"/>
      <c r="E100" s="129"/>
      <c r="F100" s="129"/>
      <c r="G100" s="129"/>
      <c r="H100" s="130"/>
      <c r="I100" s="23" t="str">
        <f ca="1">(IF(C104=0,"Work not yet Started.",IF(D104=50%,"Excavation work in process",IF(D104=100%,"Excavation work completed, ","0")))&amp;(IF(C105=0%,"",IF(D105=25%,"Footing work is process",IF(D105=50%,"Footing work Completed",IF(D105=75%,"Plinth work is process",IF(D105=100%,"Plinth work completed","0"))))))&amp;(IF(C106&gt;0,", RCC upto "&amp;C106&amp;" Slab completed",""))&amp;(IF(C107&gt;0,", Brickwork upto "&amp;C107&amp;" Floor completed"," "))&amp;(IF(C108&gt;0,", Internal Plaster upto "&amp;C108&amp;" Floor completed"," "))&amp;(IF(C109&gt;0,", External Plaster upto "&amp;C109&amp;" Floor completed"," "))&amp;(IF(C110&gt;0,", Flooring upto "&amp;C110&amp;" Floor completed"," "))&amp;(IF(C111&gt;0,", Painting upto "&amp;C111&amp;" Floor completed"," "))&amp;(IF(C112&gt;0,", Finishing upto "&amp;C112&amp;" Floor completed"," ")))</f>
        <v xml:space="preserve">Excavation work completed, Plinth work completed, RCC upto 8 Slab completed, Brickwork upto 7 Floor completed, Internal Plaster upto 7 Floor completed, External Plaster upto 6 Floor completed, Flooring upto 2 Floor completed  </v>
      </c>
      <c r="J100" s="23"/>
      <c r="K100" s="33"/>
    </row>
    <row r="101" spans="1:11" x14ac:dyDescent="0.3">
      <c r="A101" s="139" t="s">
        <v>98</v>
      </c>
      <c r="B101" s="135"/>
      <c r="C101" s="136">
        <v>1</v>
      </c>
      <c r="D101" s="136"/>
      <c r="E101" s="66" t="s">
        <v>97</v>
      </c>
      <c r="F101" s="66">
        <v>0</v>
      </c>
      <c r="G101" s="65" t="s">
        <v>108</v>
      </c>
      <c r="H101" s="19">
        <f ca="1">--TRIM(RIGHT(SUBSTITUTE(LEFT(C100,_xlfn.AGGREGATE(16,6,FIND({0,1,2,3,4,5,6,7,8,9},C100,ROW(INDIRECT("1:"&amp;LEN(C100)))),1))," ",REPT(" ",LEN(C100))),LEN(C100)))</f>
        <v>7</v>
      </c>
      <c r="I101" s="24" t="s">
        <v>135</v>
      </c>
      <c r="J101" s="24"/>
      <c r="K101" s="34"/>
    </row>
    <row r="102" spans="1:11" ht="67.2" customHeight="1" x14ac:dyDescent="0.3">
      <c r="A102" s="140" t="s">
        <v>118</v>
      </c>
      <c r="B102" s="115"/>
      <c r="C102" s="114" t="str">
        <f ca="1">I100</f>
        <v xml:space="preserve">Excavation work completed, Plinth work completed, RCC upto 8 Slab completed, Brickwork upto 7 Floor completed, Internal Plaster upto 7 Floor completed, External Plaster upto 6 Floor completed, Flooring upto 2 Floor completed  </v>
      </c>
      <c r="D102" s="114"/>
      <c r="E102" s="114"/>
      <c r="F102" s="114"/>
      <c r="G102" s="114"/>
      <c r="H102" s="141"/>
      <c r="I102" s="24" t="s">
        <v>148</v>
      </c>
      <c r="J102" s="24"/>
      <c r="K102" s="34"/>
    </row>
    <row r="103" spans="1:11" ht="19.8" customHeight="1" x14ac:dyDescent="0.3">
      <c r="A103" s="96" t="s">
        <v>49</v>
      </c>
      <c r="B103" s="97"/>
      <c r="C103" s="60" t="s">
        <v>176</v>
      </c>
      <c r="D103" s="60" t="s">
        <v>111</v>
      </c>
      <c r="E103" s="98" t="s">
        <v>113</v>
      </c>
      <c r="F103" s="98"/>
      <c r="G103" s="98" t="s">
        <v>112</v>
      </c>
      <c r="H103" s="99"/>
      <c r="I103" s="24" t="s">
        <v>135</v>
      </c>
      <c r="K103" s="35"/>
    </row>
    <row r="104" spans="1:11" x14ac:dyDescent="0.3">
      <c r="A104" s="101" t="s">
        <v>177</v>
      </c>
      <c r="B104" s="101"/>
      <c r="C104" s="36">
        <f ca="1">K107</f>
        <v>7</v>
      </c>
      <c r="D104" s="37">
        <f ca="1">((100/H101)*C104)/100</f>
        <v>1</v>
      </c>
      <c r="E104" s="102">
        <f ca="1">(IF(C102=I102,"100%",IF(C102=I103,"100%",(((C105/H101*10)+(40/(C101+F101+H101)*C106)+(7.5/(H101)*C107)+(7.5/(H101)*C108)+(10/H101*C109)+(10/H101*C110)+(5/H101*C111)+(5/H101*C112)+(5/H101*C113))/100))))</f>
        <v>0.76428571428571435</v>
      </c>
      <c r="F104" s="102"/>
      <c r="G104" s="102">
        <f ca="1">((((C104/H101)*20)+((C105/H101)*25)+(30/(H101+F101+C101)*C106)+(5/H101*C107)+(5/H101*C108)+(5/H101*C109)+(5/H101*C110)+(0/H101*C111)+(0/H101*C112)+(5/H101*C113))/100)</f>
        <v>0.90714285714285725</v>
      </c>
      <c r="H104" s="102"/>
      <c r="I104" s="24"/>
      <c r="K104" s="35"/>
    </row>
    <row r="105" spans="1:11" x14ac:dyDescent="0.3">
      <c r="A105" s="101" t="s">
        <v>174</v>
      </c>
      <c r="B105" s="101"/>
      <c r="C105" s="36">
        <f ca="1">K112</f>
        <v>7</v>
      </c>
      <c r="D105" s="37">
        <f ca="1">((100/H101)*C105)/100</f>
        <v>1</v>
      </c>
      <c r="E105" s="102"/>
      <c r="F105" s="102"/>
      <c r="G105" s="102"/>
      <c r="H105" s="102"/>
      <c r="K105" s="35"/>
    </row>
    <row r="106" spans="1:11" x14ac:dyDescent="0.3">
      <c r="A106" s="107" t="s">
        <v>178</v>
      </c>
      <c r="B106" s="107"/>
      <c r="C106" s="38">
        <v>8</v>
      </c>
      <c r="D106" s="37">
        <f ca="1">((100/(C101+F101+H101))*C106)/100</f>
        <v>1</v>
      </c>
      <c r="E106" s="102"/>
      <c r="F106" s="102"/>
      <c r="G106" s="102"/>
      <c r="H106" s="102"/>
      <c r="I106" s="22" t="s">
        <v>129</v>
      </c>
      <c r="J106" s="39"/>
      <c r="K106" s="40">
        <f ca="1">H101*50%</f>
        <v>3.5</v>
      </c>
    </row>
    <row r="107" spans="1:11" x14ac:dyDescent="0.3">
      <c r="A107" s="101" t="s">
        <v>179</v>
      </c>
      <c r="B107" s="101" t="s">
        <v>180</v>
      </c>
      <c r="C107" s="36">
        <v>7</v>
      </c>
      <c r="D107" s="37">
        <f ca="1">((100/H101)*C107)/100</f>
        <v>1</v>
      </c>
      <c r="E107" s="102"/>
      <c r="F107" s="102"/>
      <c r="G107" s="102"/>
      <c r="H107" s="102"/>
      <c r="I107" s="22" t="s">
        <v>130</v>
      </c>
      <c r="J107" s="39"/>
      <c r="K107" s="40">
        <f ca="1">H101</f>
        <v>7</v>
      </c>
    </row>
    <row r="108" spans="1:11" x14ac:dyDescent="0.3">
      <c r="A108" s="101" t="s">
        <v>181</v>
      </c>
      <c r="B108" s="101" t="s">
        <v>180</v>
      </c>
      <c r="C108" s="36">
        <v>7</v>
      </c>
      <c r="D108" s="37">
        <f ca="1">((100/H101)*C108)/100</f>
        <v>1</v>
      </c>
      <c r="E108" s="102"/>
      <c r="F108" s="102"/>
      <c r="G108" s="102"/>
      <c r="H108" s="102"/>
      <c r="I108" s="22"/>
      <c r="J108" s="39"/>
      <c r="K108" s="40"/>
    </row>
    <row r="109" spans="1:11" ht="15" customHeight="1" x14ac:dyDescent="0.3">
      <c r="A109" s="101" t="s">
        <v>182</v>
      </c>
      <c r="B109" s="101" t="s">
        <v>183</v>
      </c>
      <c r="C109" s="36">
        <v>6</v>
      </c>
      <c r="D109" s="37">
        <f ca="1">((100/(H101))*C109)/100</f>
        <v>0.85714285714285721</v>
      </c>
      <c r="E109" s="102"/>
      <c r="F109" s="102"/>
      <c r="G109" s="102"/>
      <c r="H109" s="102"/>
      <c r="I109" s="22" t="s">
        <v>131</v>
      </c>
      <c r="J109" s="39"/>
      <c r="K109" s="40">
        <f ca="1">H101*25%</f>
        <v>1.75</v>
      </c>
    </row>
    <row r="110" spans="1:11" x14ac:dyDescent="0.3">
      <c r="A110" s="101" t="s">
        <v>184</v>
      </c>
      <c r="B110" s="101" t="s">
        <v>184</v>
      </c>
      <c r="C110" s="36">
        <v>2</v>
      </c>
      <c r="D110" s="37">
        <f ca="1">((100/H101)*C110)/100</f>
        <v>0.28571428571428575</v>
      </c>
      <c r="E110" s="102"/>
      <c r="F110" s="102"/>
      <c r="G110" s="102"/>
      <c r="H110" s="102"/>
      <c r="I110" s="22" t="s">
        <v>132</v>
      </c>
      <c r="J110" s="39"/>
      <c r="K110" s="40">
        <f ca="1">H101*50%</f>
        <v>3.5</v>
      </c>
    </row>
    <row r="111" spans="1:11" x14ac:dyDescent="0.3">
      <c r="A111" s="101" t="s">
        <v>185</v>
      </c>
      <c r="B111" s="101"/>
      <c r="C111" s="36">
        <v>0</v>
      </c>
      <c r="D111" s="37">
        <f ca="1">((100/H101)*C111)/100</f>
        <v>0</v>
      </c>
      <c r="E111" s="102"/>
      <c r="F111" s="102"/>
      <c r="G111" s="102"/>
      <c r="H111" s="102"/>
      <c r="I111" s="22" t="s">
        <v>133</v>
      </c>
      <c r="J111" s="39"/>
      <c r="K111" s="40">
        <f ca="1">H101*75%</f>
        <v>5.25</v>
      </c>
    </row>
    <row r="112" spans="1:11" x14ac:dyDescent="0.3">
      <c r="A112" s="101" t="s">
        <v>186</v>
      </c>
      <c r="B112" s="101" t="s">
        <v>186</v>
      </c>
      <c r="C112" s="36">
        <v>0</v>
      </c>
      <c r="D112" s="37">
        <f ca="1">((100/(H101))*C112)/100</f>
        <v>0</v>
      </c>
      <c r="E112" s="102"/>
      <c r="F112" s="102"/>
      <c r="G112" s="102"/>
      <c r="H112" s="102"/>
      <c r="I112" s="22" t="s">
        <v>134</v>
      </c>
      <c r="J112" s="39"/>
      <c r="K112" s="40">
        <f ca="1">H101</f>
        <v>7</v>
      </c>
    </row>
    <row r="113" spans="1:11" ht="16.2" thickBot="1" x14ac:dyDescent="0.35">
      <c r="A113" s="101" t="s">
        <v>187</v>
      </c>
      <c r="B113" s="101"/>
      <c r="C113" s="36">
        <v>0</v>
      </c>
      <c r="D113" s="37">
        <f ca="1">((100/(H101))*C113)/100</f>
        <v>0</v>
      </c>
      <c r="E113" s="102"/>
      <c r="F113" s="102"/>
      <c r="G113" s="102"/>
      <c r="H113" s="102"/>
      <c r="I113" s="43"/>
      <c r="J113" s="43"/>
      <c r="K113" s="44"/>
    </row>
    <row r="114" spans="1:11" x14ac:dyDescent="0.3">
      <c r="A114" s="148" t="s">
        <v>50</v>
      </c>
      <c r="B114" s="148"/>
      <c r="C114" s="148"/>
      <c r="D114" s="148"/>
      <c r="E114" s="148"/>
      <c r="F114" s="148"/>
      <c r="G114" s="148"/>
      <c r="H114" s="148"/>
    </row>
    <row r="115" spans="1:11" x14ac:dyDescent="0.3">
      <c r="A115" s="95" t="s">
        <v>101</v>
      </c>
      <c r="B115" s="95"/>
      <c r="C115" s="95"/>
      <c r="D115" s="95"/>
      <c r="E115" s="95"/>
      <c r="F115" s="133">
        <v>5000</v>
      </c>
      <c r="G115" s="133"/>
      <c r="H115" s="133"/>
    </row>
    <row r="116" spans="1:11" s="45" customFormat="1" x14ac:dyDescent="0.25">
      <c r="A116" s="95" t="s">
        <v>123</v>
      </c>
      <c r="B116" s="95"/>
      <c r="C116" s="95"/>
      <c r="D116" s="95"/>
      <c r="E116" s="95"/>
      <c r="F116" s="133" t="s">
        <v>192</v>
      </c>
      <c r="G116" s="133"/>
      <c r="H116" s="133"/>
    </row>
    <row r="117" spans="1:11" s="45" customFormat="1" hidden="1" x14ac:dyDescent="0.25">
      <c r="A117" s="95" t="s">
        <v>124</v>
      </c>
      <c r="B117" s="95"/>
      <c r="C117" s="95"/>
      <c r="D117" s="95"/>
      <c r="E117" s="95"/>
      <c r="F117" s="133" t="s">
        <v>30</v>
      </c>
      <c r="G117" s="133"/>
      <c r="H117" s="133"/>
    </row>
    <row r="118" spans="1:11" s="45" customFormat="1" hidden="1" x14ac:dyDescent="0.25">
      <c r="A118" s="95" t="s">
        <v>125</v>
      </c>
      <c r="B118" s="95"/>
      <c r="C118" s="95"/>
      <c r="D118" s="95"/>
      <c r="E118" s="95"/>
      <c r="F118" s="133" t="s">
        <v>30</v>
      </c>
      <c r="G118" s="133"/>
      <c r="H118" s="133"/>
    </row>
    <row r="119" spans="1:11" s="45" customFormat="1" hidden="1" x14ac:dyDescent="0.25">
      <c r="A119" s="95" t="s">
        <v>126</v>
      </c>
      <c r="B119" s="95"/>
      <c r="C119" s="95"/>
      <c r="D119" s="95"/>
      <c r="E119" s="95"/>
      <c r="F119" s="133" t="s">
        <v>30</v>
      </c>
      <c r="G119" s="133"/>
      <c r="H119" s="133"/>
    </row>
    <row r="120" spans="1:11" s="45" customFormat="1" hidden="1" x14ac:dyDescent="0.25">
      <c r="A120" s="95" t="s">
        <v>127</v>
      </c>
      <c r="B120" s="95"/>
      <c r="C120" s="95"/>
      <c r="D120" s="95"/>
      <c r="E120" s="95"/>
      <c r="F120" s="133" t="s">
        <v>30</v>
      </c>
      <c r="G120" s="133"/>
      <c r="H120" s="133"/>
    </row>
    <row r="121" spans="1:11" s="45" customFormat="1" x14ac:dyDescent="0.25">
      <c r="A121" s="95" t="s">
        <v>128</v>
      </c>
      <c r="B121" s="95"/>
      <c r="C121" s="95"/>
      <c r="D121" s="95"/>
      <c r="E121" s="95"/>
      <c r="F121" s="133" t="s">
        <v>192</v>
      </c>
      <c r="G121" s="133"/>
      <c r="H121" s="133"/>
    </row>
    <row r="122" spans="1:11" s="45" customFormat="1" x14ac:dyDescent="0.25">
      <c r="A122" s="95" t="s">
        <v>191</v>
      </c>
      <c r="B122" s="95"/>
      <c r="C122" s="95"/>
      <c r="D122" s="95"/>
      <c r="E122" s="95"/>
      <c r="F122" s="131" t="s">
        <v>190</v>
      </c>
      <c r="G122" s="133"/>
      <c r="H122" s="133"/>
    </row>
    <row r="123" spans="1:11" x14ac:dyDescent="0.3">
      <c r="A123" s="95" t="s">
        <v>51</v>
      </c>
      <c r="B123" s="95"/>
      <c r="C123" s="95"/>
      <c r="D123" s="95"/>
      <c r="E123" s="95"/>
      <c r="F123" s="131" t="s">
        <v>168</v>
      </c>
      <c r="G123" s="131"/>
      <c r="H123" s="131"/>
    </row>
    <row r="124" spans="1:11" s="46" customFormat="1" x14ac:dyDescent="0.3">
      <c r="A124" s="148" t="s">
        <v>52</v>
      </c>
      <c r="B124" s="148"/>
      <c r="C124" s="148"/>
      <c r="D124" s="148"/>
      <c r="E124" s="148"/>
      <c r="F124" s="133">
        <f>F115*0.8</f>
        <v>4000</v>
      </c>
      <c r="G124" s="133"/>
      <c r="H124" s="133"/>
    </row>
    <row r="125" spans="1:11" s="47" customFormat="1" ht="15.75" hidden="1" customHeight="1" x14ac:dyDescent="0.3">
      <c r="A125" s="165" t="s">
        <v>102</v>
      </c>
      <c r="B125" s="165"/>
      <c r="C125" s="165"/>
      <c r="D125" s="165"/>
      <c r="E125" s="165"/>
      <c r="F125" s="165"/>
      <c r="G125" s="165"/>
      <c r="H125" s="165"/>
    </row>
    <row r="126" spans="1:11" s="47" customFormat="1" ht="15.75" hidden="1" customHeight="1" x14ac:dyDescent="0.3">
      <c r="A126" s="72" t="s">
        <v>53</v>
      </c>
      <c r="B126" s="72"/>
      <c r="C126" s="48" t="s">
        <v>106</v>
      </c>
      <c r="D126" s="74" t="s">
        <v>54</v>
      </c>
      <c r="E126" s="74"/>
      <c r="F126" s="72" t="s">
        <v>55</v>
      </c>
      <c r="G126" s="72"/>
      <c r="H126" s="72"/>
    </row>
    <row r="127" spans="1:11" s="47" customFormat="1" hidden="1" x14ac:dyDescent="0.3">
      <c r="A127" s="68"/>
      <c r="B127" s="68"/>
      <c r="C127" s="49"/>
      <c r="D127" s="146"/>
      <c r="E127" s="146"/>
      <c r="F127" s="147"/>
      <c r="G127" s="147"/>
      <c r="H127" s="147"/>
    </row>
    <row r="128" spans="1:11" s="47" customFormat="1" x14ac:dyDescent="0.3">
      <c r="A128" s="165" t="s">
        <v>96</v>
      </c>
      <c r="B128" s="165"/>
      <c r="C128" s="165"/>
      <c r="D128" s="165"/>
      <c r="E128" s="165"/>
      <c r="F128" s="165"/>
      <c r="G128" s="165"/>
      <c r="H128" s="165"/>
    </row>
    <row r="129" spans="1:20" s="47" customFormat="1" ht="15.75" customHeight="1" x14ac:dyDescent="0.3">
      <c r="A129" s="72" t="s">
        <v>53</v>
      </c>
      <c r="B129" s="72"/>
      <c r="C129" s="73" t="s">
        <v>106</v>
      </c>
      <c r="D129" s="73"/>
      <c r="E129" s="74" t="s">
        <v>54</v>
      </c>
      <c r="F129" s="74"/>
      <c r="G129" s="72" t="s">
        <v>55</v>
      </c>
      <c r="H129" s="72"/>
      <c r="T129"/>
    </row>
    <row r="130" spans="1:20" s="47" customFormat="1" ht="15.75" customHeight="1" x14ac:dyDescent="0.3">
      <c r="A130" s="68" t="s">
        <v>197</v>
      </c>
      <c r="B130" s="68"/>
      <c r="C130" s="67">
        <f>COUNT(D181:D190)*7</f>
        <v>70</v>
      </c>
      <c r="D130" s="67"/>
      <c r="E130" s="67">
        <f t="shared" ref="E130" si="0">SUM(F181:F190)*7</f>
        <v>19907.506709999998</v>
      </c>
      <c r="F130" s="67"/>
      <c r="G130" s="67">
        <f t="shared" ref="G130" si="1">SUM(H181:H190)*7</f>
        <v>30450</v>
      </c>
      <c r="H130" s="67"/>
      <c r="T130"/>
    </row>
    <row r="131" spans="1:20" s="47" customFormat="1" ht="15.75" customHeight="1" x14ac:dyDescent="0.3">
      <c r="A131" s="68" t="s">
        <v>198</v>
      </c>
      <c r="B131" s="68"/>
      <c r="C131" s="67">
        <f>COUNT(D194:D199)*6+COUNT(D201:D203,D205:D206)</f>
        <v>41</v>
      </c>
      <c r="D131" s="67"/>
      <c r="E131" s="67">
        <f t="shared" ref="E131" si="2">SUM(F194:F199)*6+SUM(F201:F203,F205:F206)</f>
        <v>10631.871899999998</v>
      </c>
      <c r="F131" s="67"/>
      <c r="G131" s="67">
        <f t="shared" ref="G131" si="3">SUM(H194:H199)*6+SUM(H201:H203,H205:H206)</f>
        <v>15895</v>
      </c>
      <c r="H131" s="67"/>
      <c r="T131"/>
    </row>
    <row r="132" spans="1:20" s="47" customFormat="1" ht="15.75" customHeight="1" x14ac:dyDescent="0.3">
      <c r="A132" s="68" t="s">
        <v>224</v>
      </c>
      <c r="B132" s="68"/>
      <c r="C132" s="67">
        <f>COUNT(D210:D214)*7</f>
        <v>35</v>
      </c>
      <c r="D132" s="67"/>
      <c r="E132" s="67">
        <f t="shared" ref="E132" si="4">SUM(F210:F214)*7</f>
        <v>8598.5253900000007</v>
      </c>
      <c r="F132" s="67"/>
      <c r="G132" s="67">
        <f t="shared" ref="G132" si="5">SUM(H210:H214)*7</f>
        <v>13125</v>
      </c>
      <c r="H132" s="67"/>
      <c r="T132"/>
    </row>
    <row r="133" spans="1:20" s="47" customFormat="1" ht="15.75" customHeight="1" x14ac:dyDescent="0.3">
      <c r="A133" s="68" t="s">
        <v>225</v>
      </c>
      <c r="B133" s="68"/>
      <c r="C133" s="67">
        <f>COUNT(D218:D221)*7</f>
        <v>28</v>
      </c>
      <c r="D133" s="67"/>
      <c r="E133" s="67">
        <f t="shared" ref="E133" si="6">SUM(F218:F221)*7</f>
        <v>7244.1450899999982</v>
      </c>
      <c r="F133" s="67"/>
      <c r="G133" s="67">
        <f t="shared" ref="G133" si="7">SUM(H218:H221)*7</f>
        <v>11095</v>
      </c>
      <c r="H133" s="67"/>
      <c r="T133"/>
    </row>
    <row r="134" spans="1:20" s="47" customFormat="1" x14ac:dyDescent="0.3">
      <c r="A134" s="75" t="s">
        <v>57</v>
      </c>
      <c r="B134" s="75"/>
      <c r="C134" s="76">
        <f>SUM(C130:D133)</f>
        <v>174</v>
      </c>
      <c r="D134" s="77"/>
      <c r="E134" s="76">
        <f t="shared" ref="E134" si="8">SUM(E130:F133)</f>
        <v>46382.049089999993</v>
      </c>
      <c r="F134" s="77"/>
      <c r="G134" s="76">
        <f t="shared" ref="G134" si="9">SUM(G130:H133)</f>
        <v>70565</v>
      </c>
      <c r="H134" s="77"/>
      <c r="T134"/>
    </row>
    <row r="135" spans="1:20" s="46" customFormat="1" x14ac:dyDescent="0.3">
      <c r="A135" s="161" t="s">
        <v>58</v>
      </c>
      <c r="B135" s="161"/>
      <c r="C135" s="161"/>
      <c r="D135" s="161"/>
      <c r="E135" s="161"/>
      <c r="F135" s="161"/>
      <c r="G135" s="161"/>
      <c r="H135" s="161"/>
    </row>
    <row r="136" spans="1:20" hidden="1" x14ac:dyDescent="0.3">
      <c r="A136" s="161" t="s">
        <v>59</v>
      </c>
      <c r="B136" s="161"/>
      <c r="C136" s="161"/>
      <c r="D136" s="161"/>
      <c r="E136" s="161"/>
      <c r="F136" s="161"/>
      <c r="G136" s="161"/>
      <c r="H136" s="161"/>
    </row>
    <row r="137" spans="1:20" ht="47.25" hidden="1" customHeight="1" x14ac:dyDescent="0.3">
      <c r="A137" s="166" t="s">
        <v>103</v>
      </c>
      <c r="B137" s="166"/>
      <c r="C137" s="28" t="s">
        <v>60</v>
      </c>
      <c r="D137" s="6" t="s">
        <v>61</v>
      </c>
      <c r="E137" s="6" t="s">
        <v>62</v>
      </c>
      <c r="F137" s="6" t="s">
        <v>167</v>
      </c>
      <c r="G137" s="166" t="s">
        <v>63</v>
      </c>
      <c r="H137" s="166"/>
    </row>
    <row r="138" spans="1:20" s="50" customFormat="1" hidden="1" x14ac:dyDescent="0.3">
      <c r="A138" s="79" t="s">
        <v>173</v>
      </c>
      <c r="B138" s="79"/>
      <c r="C138" s="79"/>
      <c r="D138" s="79"/>
      <c r="E138" s="79"/>
      <c r="F138" s="79"/>
      <c r="G138" s="79"/>
      <c r="H138" s="79"/>
    </row>
    <row r="139" spans="1:20" s="50" customFormat="1" hidden="1" x14ac:dyDescent="0.3">
      <c r="A139" s="79" t="s">
        <v>188</v>
      </c>
      <c r="B139" s="79"/>
      <c r="C139" s="79"/>
      <c r="D139" s="79"/>
      <c r="E139" s="79"/>
      <c r="F139" s="79"/>
      <c r="G139" s="79"/>
      <c r="H139" s="79"/>
    </row>
    <row r="140" spans="1:20" s="50" customFormat="1" hidden="1" x14ac:dyDescent="0.3">
      <c r="A140" s="79" t="s">
        <v>201</v>
      </c>
      <c r="B140" s="79"/>
      <c r="C140" s="79"/>
      <c r="D140" s="79"/>
      <c r="E140" s="79"/>
      <c r="F140" s="79"/>
      <c r="G140" s="79"/>
      <c r="H140" s="79"/>
    </row>
    <row r="141" spans="1:20" s="50" customFormat="1" ht="15.75" hidden="1" customHeight="1" x14ac:dyDescent="0.3">
      <c r="A141" s="83">
        <v>1</v>
      </c>
      <c r="B141" s="83"/>
      <c r="C141" s="26" t="s">
        <v>166</v>
      </c>
      <c r="D141" s="26">
        <f>(15.61+1.5*0.75+2.75*0.75)*10.764</f>
        <v>202.33628999999999</v>
      </c>
      <c r="E141" s="26">
        <v>0</v>
      </c>
      <c r="F141" s="26">
        <v>310</v>
      </c>
      <c r="G141" s="110" t="str">
        <f>A140</f>
        <v>1st to 7th Floor</v>
      </c>
      <c r="H141" s="111"/>
      <c r="I141" s="50">
        <f>1550000/F141</f>
        <v>5000</v>
      </c>
      <c r="J141" s="51">
        <f>F141/D141</f>
        <v>1.5321028175420237</v>
      </c>
    </row>
    <row r="142" spans="1:20" s="50" customFormat="1" hidden="1" x14ac:dyDescent="0.3">
      <c r="A142" s="83">
        <v>2</v>
      </c>
      <c r="B142" s="83"/>
      <c r="C142" s="26" t="s">
        <v>165</v>
      </c>
      <c r="D142" s="26">
        <f>(26.07+(2.6+2.1+2.75)*0.75)*10.764</f>
        <v>340.76132999999999</v>
      </c>
      <c r="E142" s="26">
        <v>0</v>
      </c>
      <c r="F142" s="26">
        <v>515</v>
      </c>
      <c r="G142" s="112"/>
      <c r="H142" s="113"/>
      <c r="J142" s="51">
        <f t="shared" ref="J142:J150" si="10">F142/D142</f>
        <v>1.5113217218632173</v>
      </c>
    </row>
    <row r="143" spans="1:20" s="50" customFormat="1" hidden="1" x14ac:dyDescent="0.3">
      <c r="A143" s="83">
        <v>3</v>
      </c>
      <c r="B143" s="83"/>
      <c r="C143" s="26" t="s">
        <v>165</v>
      </c>
      <c r="D143" s="26">
        <f>(26.07+(2.6+2.1+2.75)*0.75)*10.764</f>
        <v>340.76132999999999</v>
      </c>
      <c r="E143" s="26">
        <v>0</v>
      </c>
      <c r="F143" s="26">
        <v>515</v>
      </c>
      <c r="G143" s="112"/>
      <c r="H143" s="113"/>
      <c r="J143" s="51">
        <f t="shared" si="10"/>
        <v>1.5113217218632173</v>
      </c>
    </row>
    <row r="144" spans="1:20" s="50" customFormat="1" hidden="1" x14ac:dyDescent="0.3">
      <c r="A144" s="83">
        <v>4</v>
      </c>
      <c r="B144" s="83"/>
      <c r="C144" s="26" t="s">
        <v>165</v>
      </c>
      <c r="D144" s="26">
        <f>(27.35+(2.6+2.1+2.75)*0.75)*10.764</f>
        <v>354.53924999999998</v>
      </c>
      <c r="E144" s="26">
        <v>0</v>
      </c>
      <c r="F144" s="26">
        <v>535</v>
      </c>
      <c r="G144" s="112"/>
      <c r="H144" s="113"/>
      <c r="J144" s="51">
        <f t="shared" si="10"/>
        <v>1.5090007664877725</v>
      </c>
    </row>
    <row r="145" spans="1:10" s="50" customFormat="1" hidden="1" x14ac:dyDescent="0.3">
      <c r="A145" s="83">
        <v>5</v>
      </c>
      <c r="B145" s="83"/>
      <c r="C145" s="26" t="s">
        <v>165</v>
      </c>
      <c r="D145" s="26">
        <f>(26.22+(2.6+2.1+2.75)*0.75)*10.764</f>
        <v>342.37592999999993</v>
      </c>
      <c r="E145" s="26">
        <v>0</v>
      </c>
      <c r="F145" s="26">
        <v>520</v>
      </c>
      <c r="G145" s="112"/>
      <c r="H145" s="113"/>
      <c r="J145" s="51">
        <f t="shared" si="10"/>
        <v>1.5187983571158175</v>
      </c>
    </row>
    <row r="146" spans="1:10" s="50" customFormat="1" hidden="1" x14ac:dyDescent="0.3">
      <c r="A146" s="83">
        <v>6</v>
      </c>
      <c r="B146" s="83"/>
      <c r="C146" s="26" t="s">
        <v>166</v>
      </c>
      <c r="D146" s="26">
        <f>(18.99+(2.89+1.5)*0.75)*10.764</f>
        <v>239.84882999999996</v>
      </c>
      <c r="E146" s="26">
        <v>0</v>
      </c>
      <c r="F146" s="26">
        <v>365</v>
      </c>
      <c r="G146" s="112"/>
      <c r="H146" s="113"/>
      <c r="J146" s="51">
        <f t="shared" si="10"/>
        <v>1.5217918719887025</v>
      </c>
    </row>
    <row r="147" spans="1:10" s="50" customFormat="1" hidden="1" x14ac:dyDescent="0.3">
      <c r="A147" s="83">
        <v>7</v>
      </c>
      <c r="B147" s="83"/>
      <c r="C147" s="26" t="s">
        <v>166</v>
      </c>
      <c r="D147" s="26">
        <f>(16.61+(2.45+1.2)*0.75)*10.764</f>
        <v>208.25648999999999</v>
      </c>
      <c r="E147" s="26">
        <v>0</v>
      </c>
      <c r="F147" s="26">
        <v>335</v>
      </c>
      <c r="G147" s="112"/>
      <c r="H147" s="113"/>
      <c r="J147" s="51">
        <f t="shared" si="10"/>
        <v>1.6085933264312677</v>
      </c>
    </row>
    <row r="148" spans="1:10" s="50" customFormat="1" hidden="1" x14ac:dyDescent="0.3">
      <c r="A148" s="83">
        <v>8</v>
      </c>
      <c r="B148" s="83"/>
      <c r="C148" s="26" t="s">
        <v>166</v>
      </c>
      <c r="D148" s="26">
        <f>(16.61+(2.45+1.2)*0.75)*10.764</f>
        <v>208.25648999999999</v>
      </c>
      <c r="E148" s="26">
        <v>0</v>
      </c>
      <c r="F148" s="26">
        <v>335</v>
      </c>
      <c r="G148" s="112"/>
      <c r="H148" s="113"/>
      <c r="J148" s="51">
        <f t="shared" si="10"/>
        <v>1.6085933264312677</v>
      </c>
    </row>
    <row r="149" spans="1:10" s="50" customFormat="1" hidden="1" x14ac:dyDescent="0.3">
      <c r="A149" s="83">
        <v>9</v>
      </c>
      <c r="B149" s="83"/>
      <c r="C149" s="26" t="s">
        <v>166</v>
      </c>
      <c r="D149" s="26">
        <f>(19.7+(1.8+3.65)*0.75)*10.764</f>
        <v>256.04865000000001</v>
      </c>
      <c r="E149" s="26">
        <v>0</v>
      </c>
      <c r="F149" s="26">
        <v>390</v>
      </c>
      <c r="G149" s="112"/>
      <c r="H149" s="113"/>
      <c r="J149" s="51">
        <f t="shared" si="10"/>
        <v>1.5231480423739785</v>
      </c>
    </row>
    <row r="150" spans="1:10" s="50" customFormat="1" hidden="1" x14ac:dyDescent="0.3">
      <c r="A150" s="83">
        <v>10</v>
      </c>
      <c r="B150" s="83"/>
      <c r="C150" s="26" t="s">
        <v>165</v>
      </c>
      <c r="D150" s="26">
        <f>(26.96+(2.75+2+2.75)*0.75)*10.764</f>
        <v>350.74493999999999</v>
      </c>
      <c r="E150" s="26">
        <v>0</v>
      </c>
      <c r="F150" s="26">
        <v>530</v>
      </c>
      <c r="G150" s="112"/>
      <c r="H150" s="113"/>
      <c r="J150" s="51">
        <f t="shared" si="10"/>
        <v>1.5110695538473058</v>
      </c>
    </row>
    <row r="151" spans="1:10" s="50" customFormat="1" hidden="1" x14ac:dyDescent="0.3">
      <c r="A151" s="79"/>
      <c r="B151" s="79"/>
      <c r="C151" s="79"/>
      <c r="D151" s="79"/>
      <c r="E151" s="79"/>
      <c r="F151" s="79"/>
      <c r="G151" s="79"/>
      <c r="H151" s="79"/>
    </row>
    <row r="152" spans="1:10" s="50" customFormat="1" hidden="1" x14ac:dyDescent="0.3">
      <c r="A152" s="79"/>
      <c r="B152" s="79"/>
      <c r="C152" s="79"/>
      <c r="D152" s="79"/>
      <c r="E152" s="79"/>
      <c r="F152" s="79"/>
      <c r="G152" s="79"/>
      <c r="H152" s="79"/>
    </row>
    <row r="153" spans="1:10" s="50" customFormat="1" hidden="1" x14ac:dyDescent="0.3">
      <c r="A153" s="79" t="s">
        <v>195</v>
      </c>
      <c r="B153" s="79"/>
      <c r="C153" s="79"/>
      <c r="D153" s="79"/>
      <c r="E153" s="79"/>
      <c r="F153" s="79"/>
      <c r="G153" s="79"/>
      <c r="H153" s="79"/>
      <c r="J153" s="51"/>
    </row>
    <row r="154" spans="1:10" s="50" customFormat="1" ht="15.75" hidden="1" customHeight="1" x14ac:dyDescent="0.3">
      <c r="A154" s="83">
        <v>1</v>
      </c>
      <c r="B154" s="83"/>
      <c r="C154" s="26" t="s">
        <v>165</v>
      </c>
      <c r="D154" s="26">
        <f>(26.07+(2.6+2.1+2.75)*0.75)*10.764</f>
        <v>340.76132999999999</v>
      </c>
      <c r="E154" s="26">
        <v>0</v>
      </c>
      <c r="F154" s="26">
        <v>530</v>
      </c>
      <c r="G154" s="110" t="str">
        <f>A153</f>
        <v>1st to 6th Floor</v>
      </c>
      <c r="H154" s="111"/>
      <c r="J154" s="51">
        <f t="shared" ref="J154:J159" si="11">F154/D154</f>
        <v>1.5553408011407868</v>
      </c>
    </row>
    <row r="155" spans="1:10" s="50" customFormat="1" hidden="1" x14ac:dyDescent="0.3">
      <c r="A155" s="83">
        <v>2</v>
      </c>
      <c r="B155" s="83"/>
      <c r="C155" s="26" t="s">
        <v>166</v>
      </c>
      <c r="D155" s="26">
        <f>(15.56+(3.05+1.7)*0.75)*10.764</f>
        <v>205.83459000000002</v>
      </c>
      <c r="E155" s="26">
        <v>0</v>
      </c>
      <c r="F155" s="26">
        <v>310</v>
      </c>
      <c r="G155" s="112"/>
      <c r="H155" s="113"/>
      <c r="J155" s="51">
        <f t="shared" si="11"/>
        <v>1.5060636795788307</v>
      </c>
    </row>
    <row r="156" spans="1:10" s="50" customFormat="1" hidden="1" x14ac:dyDescent="0.3">
      <c r="A156" s="83">
        <v>3</v>
      </c>
      <c r="B156" s="83"/>
      <c r="C156" s="26" t="s">
        <v>165</v>
      </c>
      <c r="D156" s="26">
        <f>(29.92+(2.6+2.15+2.75)*0.75)*10.764</f>
        <v>382.60638</v>
      </c>
      <c r="E156" s="26">
        <v>0</v>
      </c>
      <c r="F156" s="26">
        <v>545</v>
      </c>
      <c r="G156" s="112"/>
      <c r="H156" s="113"/>
      <c r="J156" s="51">
        <f t="shared" si="11"/>
        <v>1.4244404392838406</v>
      </c>
    </row>
    <row r="157" spans="1:10" s="50" customFormat="1" hidden="1" x14ac:dyDescent="0.3">
      <c r="A157" s="83">
        <v>4</v>
      </c>
      <c r="B157" s="83"/>
      <c r="C157" s="26" t="s">
        <v>166</v>
      </c>
      <c r="D157" s="26">
        <f>(16.36+(2.45+1.3)*0.75)*10.764</f>
        <v>206.37278999999998</v>
      </c>
      <c r="E157" s="26">
        <v>0</v>
      </c>
      <c r="F157" s="26">
        <v>310</v>
      </c>
      <c r="G157" s="112"/>
      <c r="H157" s="113"/>
      <c r="J157" s="51">
        <f t="shared" si="11"/>
        <v>1.5021360131827457</v>
      </c>
    </row>
    <row r="158" spans="1:10" s="50" customFormat="1" hidden="1" x14ac:dyDescent="0.3">
      <c r="A158" s="83">
        <v>5</v>
      </c>
      <c r="B158" s="83"/>
      <c r="C158" s="26" t="s">
        <v>166</v>
      </c>
      <c r="D158" s="26">
        <f t="shared" ref="D158:D159" si="12">(16.36+(2.45+1.3)*0.75)*10.764</f>
        <v>206.37278999999998</v>
      </c>
      <c r="E158" s="26">
        <v>0</v>
      </c>
      <c r="F158" s="26">
        <v>310</v>
      </c>
      <c r="G158" s="112"/>
      <c r="H158" s="113"/>
      <c r="J158" s="51">
        <f t="shared" si="11"/>
        <v>1.5021360131827457</v>
      </c>
    </row>
    <row r="159" spans="1:10" s="50" customFormat="1" hidden="1" x14ac:dyDescent="0.3">
      <c r="A159" s="83">
        <v>6</v>
      </c>
      <c r="B159" s="83"/>
      <c r="C159" s="26" t="s">
        <v>166</v>
      </c>
      <c r="D159" s="26">
        <f t="shared" si="12"/>
        <v>206.37278999999998</v>
      </c>
      <c r="E159" s="26">
        <v>0</v>
      </c>
      <c r="F159" s="26">
        <v>310</v>
      </c>
      <c r="G159" s="112"/>
      <c r="H159" s="113"/>
      <c r="J159" s="51">
        <f t="shared" si="11"/>
        <v>1.5021360131827457</v>
      </c>
    </row>
    <row r="160" spans="1:10" s="50" customFormat="1" hidden="1" x14ac:dyDescent="0.3">
      <c r="A160" s="79" t="s">
        <v>196</v>
      </c>
      <c r="B160" s="79"/>
      <c r="C160" s="79"/>
      <c r="D160" s="79"/>
      <c r="E160" s="79"/>
      <c r="F160" s="79"/>
      <c r="G160" s="79"/>
      <c r="H160" s="79"/>
      <c r="J160" s="51"/>
    </row>
    <row r="161" spans="1:20" s="50" customFormat="1" ht="15.75" hidden="1" customHeight="1" x14ac:dyDescent="0.3">
      <c r="A161" s="83">
        <v>1</v>
      </c>
      <c r="B161" s="83"/>
      <c r="C161" s="26" t="s">
        <v>165</v>
      </c>
      <c r="D161" s="26">
        <f>(26.07+(2.6+2.1+2.75)*0.75)*10.764</f>
        <v>340.76132999999999</v>
      </c>
      <c r="E161" s="26">
        <v>0</v>
      </c>
      <c r="F161" s="26">
        <v>530</v>
      </c>
      <c r="G161" s="110" t="str">
        <f>A160</f>
        <v>7th Floor(Part Terrace Area)</v>
      </c>
      <c r="H161" s="111"/>
      <c r="J161" s="51">
        <f t="shared" ref="J161:J166" si="13">F161/D161</f>
        <v>1.5553408011407868</v>
      </c>
    </row>
    <row r="162" spans="1:20" s="50" customFormat="1" hidden="1" x14ac:dyDescent="0.3">
      <c r="A162" s="83">
        <v>2</v>
      </c>
      <c r="B162" s="83"/>
      <c r="C162" s="26" t="s">
        <v>166</v>
      </c>
      <c r="D162" s="26">
        <f>(15.56+(3.05+1.7)*0.75)*10.764</f>
        <v>205.83459000000002</v>
      </c>
      <c r="E162" s="26">
        <v>0</v>
      </c>
      <c r="F162" s="26">
        <v>310</v>
      </c>
      <c r="G162" s="112"/>
      <c r="H162" s="113"/>
      <c r="J162" s="51">
        <f t="shared" si="13"/>
        <v>1.5060636795788307</v>
      </c>
    </row>
    <row r="163" spans="1:20" s="50" customFormat="1" hidden="1" x14ac:dyDescent="0.3">
      <c r="A163" s="83">
        <v>3</v>
      </c>
      <c r="B163" s="83"/>
      <c r="C163" s="26" t="s">
        <v>165</v>
      </c>
      <c r="D163" s="26">
        <f>(29.92+(2.6+2.15+2.75)*0.75)*10.764</f>
        <v>382.60638</v>
      </c>
      <c r="E163" s="26">
        <v>0</v>
      </c>
      <c r="F163" s="26">
        <v>545</v>
      </c>
      <c r="G163" s="112"/>
      <c r="H163" s="113"/>
      <c r="J163" s="51">
        <f t="shared" si="13"/>
        <v>1.4244404392838406</v>
      </c>
    </row>
    <row r="164" spans="1:20" s="50" customFormat="1" hidden="1" x14ac:dyDescent="0.3">
      <c r="A164" s="83">
        <v>4</v>
      </c>
      <c r="B164" s="83"/>
      <c r="C164" s="70" t="s">
        <v>79</v>
      </c>
      <c r="D164" s="138"/>
      <c r="E164" s="138"/>
      <c r="F164" s="71"/>
      <c r="G164" s="112"/>
      <c r="H164" s="113"/>
      <c r="J164" s="51" t="e">
        <f t="shared" si="13"/>
        <v>#DIV/0!</v>
      </c>
    </row>
    <row r="165" spans="1:20" s="50" customFormat="1" hidden="1" x14ac:dyDescent="0.3">
      <c r="A165" s="83">
        <v>5</v>
      </c>
      <c r="B165" s="83"/>
      <c r="C165" s="26" t="s">
        <v>166</v>
      </c>
      <c r="D165" s="26">
        <f t="shared" ref="D165:D166" si="14">(16.36+(2.45+1.3)*0.75)*10.764</f>
        <v>206.37278999999998</v>
      </c>
      <c r="E165" s="26">
        <v>0</v>
      </c>
      <c r="F165" s="26">
        <v>310</v>
      </c>
      <c r="G165" s="112"/>
      <c r="H165" s="113"/>
      <c r="J165" s="51">
        <f t="shared" si="13"/>
        <v>1.5021360131827457</v>
      </c>
    </row>
    <row r="166" spans="1:20" s="50" customFormat="1" hidden="1" x14ac:dyDescent="0.3">
      <c r="A166" s="83">
        <v>6</v>
      </c>
      <c r="B166" s="83"/>
      <c r="C166" s="26" t="s">
        <v>166</v>
      </c>
      <c r="D166" s="26">
        <f t="shared" si="14"/>
        <v>206.37278999999998</v>
      </c>
      <c r="E166" s="26">
        <v>0</v>
      </c>
      <c r="F166" s="26">
        <v>310</v>
      </c>
      <c r="G166" s="112"/>
      <c r="H166" s="113"/>
      <c r="J166" s="51">
        <f t="shared" si="13"/>
        <v>1.5021360131827457</v>
      </c>
    </row>
    <row r="167" spans="1:20" x14ac:dyDescent="0.3">
      <c r="A167" s="142" t="s">
        <v>241</v>
      </c>
      <c r="B167" s="142"/>
      <c r="C167" s="142"/>
      <c r="D167" s="142"/>
      <c r="E167" s="142"/>
      <c r="F167" s="142"/>
      <c r="G167" s="142"/>
      <c r="H167" s="142"/>
      <c r="T167" s="47"/>
    </row>
    <row r="168" spans="1:20" ht="47.25" hidden="1" customHeight="1" x14ac:dyDescent="0.3">
      <c r="A168" s="88" t="s">
        <v>249</v>
      </c>
      <c r="B168" s="88" t="s">
        <v>242</v>
      </c>
      <c r="C168" s="88" t="s">
        <v>60</v>
      </c>
      <c r="D168" s="88" t="s">
        <v>243</v>
      </c>
      <c r="E168" s="90" t="s">
        <v>244</v>
      </c>
      <c r="F168" s="88" t="s">
        <v>61</v>
      </c>
      <c r="G168" s="90" t="s">
        <v>62</v>
      </c>
      <c r="H168" s="62" t="s">
        <v>245</v>
      </c>
      <c r="T168" s="47"/>
    </row>
    <row r="169" spans="1:20" s="50" customFormat="1" hidden="1" x14ac:dyDescent="0.3">
      <c r="A169" s="89"/>
      <c r="B169" s="89"/>
      <c r="C169" s="89"/>
      <c r="D169" s="89"/>
      <c r="E169" s="91"/>
      <c r="F169" s="89"/>
      <c r="G169" s="91"/>
      <c r="H169" s="63">
        <v>0.45</v>
      </c>
      <c r="T169" s="47"/>
    </row>
    <row r="170" spans="1:20" s="50" customFormat="1" hidden="1" x14ac:dyDescent="0.3">
      <c r="A170" s="170" t="s">
        <v>246</v>
      </c>
      <c r="B170" s="171"/>
      <c r="C170" s="171"/>
      <c r="D170" s="171"/>
      <c r="E170" s="171"/>
      <c r="F170" s="171"/>
      <c r="G170" s="171"/>
      <c r="H170" s="172"/>
      <c r="J170" s="61"/>
      <c r="T170" s="47"/>
    </row>
    <row r="171" spans="1:20" s="50" customFormat="1" ht="15.75" hidden="1" customHeight="1" x14ac:dyDescent="0.3">
      <c r="A171" s="84">
        <v>1</v>
      </c>
      <c r="B171" s="85"/>
      <c r="C171" s="64"/>
      <c r="D171" s="64">
        <v>0</v>
      </c>
      <c r="E171" s="64">
        <v>0</v>
      </c>
      <c r="F171" s="64">
        <f>D171+(IF(E171&lt;201,E171,IF(E171&lt;301,E171/2,E171/3)))</f>
        <v>0</v>
      </c>
      <c r="G171" s="64">
        <v>0</v>
      </c>
      <c r="H171" s="64">
        <f>(F171+(IF(G171&lt;101,G171,IF(G171&lt;201,G171/2,IF(G171&lt;=301,G171/3,G171/4)))))*(($H$169)+1)</f>
        <v>0</v>
      </c>
      <c r="I171" s="61"/>
      <c r="L171" s="69"/>
      <c r="M171" s="69"/>
      <c r="N171" s="61"/>
      <c r="T171" s="47"/>
    </row>
    <row r="172" spans="1:20" s="50" customFormat="1" ht="15.75" hidden="1" customHeight="1" x14ac:dyDescent="0.3">
      <c r="A172" s="84">
        <f>A171+1</f>
        <v>2</v>
      </c>
      <c r="B172" s="85"/>
      <c r="C172" s="64"/>
      <c r="D172" s="64"/>
      <c r="E172" s="64">
        <v>0</v>
      </c>
      <c r="F172" s="64">
        <f t="shared" ref="F172:F174" si="15">D172+(IF(E172&lt;201,E172,IF(E172&lt;301,E172/2,E172/3)))</f>
        <v>0</v>
      </c>
      <c r="G172" s="64">
        <v>0</v>
      </c>
      <c r="H172" s="64">
        <f t="shared" ref="H172:H174" si="16">(F172+(IF(G172&lt;101,G172,IF(G172&lt;201,G172/2,IF(G172&lt;=301,G172/3,G172/4)))))*(($H$169)+1)</f>
        <v>0</v>
      </c>
      <c r="I172" s="61"/>
      <c r="L172" s="69"/>
      <c r="M172" s="69"/>
      <c r="N172" s="61"/>
      <c r="T172" s="46"/>
    </row>
    <row r="173" spans="1:20" s="50" customFormat="1" ht="15.75" hidden="1" customHeight="1" x14ac:dyDescent="0.3">
      <c r="A173" s="84">
        <f>A172+1</f>
        <v>3</v>
      </c>
      <c r="B173" s="85"/>
      <c r="C173" s="64"/>
      <c r="D173" s="64"/>
      <c r="E173" s="64">
        <v>0</v>
      </c>
      <c r="F173" s="64">
        <f t="shared" si="15"/>
        <v>0</v>
      </c>
      <c r="G173" s="64">
        <v>0</v>
      </c>
      <c r="H173" s="64">
        <f t="shared" si="16"/>
        <v>0</v>
      </c>
      <c r="I173" s="61"/>
      <c r="L173" s="69"/>
      <c r="M173" s="69"/>
      <c r="N173" s="61"/>
      <c r="T173" s="29"/>
    </row>
    <row r="174" spans="1:20" s="50" customFormat="1" ht="15.75" hidden="1" customHeight="1" x14ac:dyDescent="0.3">
      <c r="A174" s="84">
        <f>A173+1</f>
        <v>4</v>
      </c>
      <c r="B174" s="85"/>
      <c r="C174" s="64"/>
      <c r="D174" s="64"/>
      <c r="E174" s="64">
        <v>0</v>
      </c>
      <c r="F174" s="64">
        <f t="shared" si="15"/>
        <v>0</v>
      </c>
      <c r="G174" s="64">
        <v>0</v>
      </c>
      <c r="H174" s="64">
        <f t="shared" si="16"/>
        <v>0</v>
      </c>
      <c r="I174" s="61"/>
      <c r="L174" s="69"/>
      <c r="M174" s="69"/>
      <c r="N174" s="61"/>
      <c r="T174" s="29"/>
    </row>
    <row r="175" spans="1:20" s="50" customFormat="1" hidden="1" x14ac:dyDescent="0.3">
      <c r="A175" s="84"/>
      <c r="B175" s="179"/>
      <c r="C175" s="179"/>
      <c r="D175" s="179"/>
      <c r="E175" s="179"/>
      <c r="F175" s="179"/>
      <c r="G175" s="179"/>
      <c r="H175" s="85"/>
      <c r="I175" s="61"/>
      <c r="N175" s="61"/>
    </row>
    <row r="176" spans="1:20" ht="47.25" customHeight="1" x14ac:dyDescent="0.3">
      <c r="A176" s="86" t="s">
        <v>250</v>
      </c>
      <c r="B176" s="88" t="s">
        <v>247</v>
      </c>
      <c r="C176" s="88" t="s">
        <v>60</v>
      </c>
      <c r="D176" s="88" t="s">
        <v>251</v>
      </c>
      <c r="E176" s="88" t="s">
        <v>252</v>
      </c>
      <c r="F176" s="88" t="s">
        <v>61</v>
      </c>
      <c r="G176" s="90" t="s">
        <v>62</v>
      </c>
      <c r="H176" s="62" t="s">
        <v>253</v>
      </c>
      <c r="I176" s="61"/>
      <c r="T176" s="50"/>
    </row>
    <row r="177" spans="1:20" s="50" customFormat="1" hidden="1" x14ac:dyDescent="0.3">
      <c r="A177" s="87"/>
      <c r="B177" s="89"/>
      <c r="C177" s="89"/>
      <c r="D177" s="89"/>
      <c r="E177" s="89"/>
      <c r="F177" s="89"/>
      <c r="G177" s="91"/>
      <c r="H177" s="63">
        <v>0.5</v>
      </c>
      <c r="I177" s="61"/>
    </row>
    <row r="178" spans="1:20" s="50" customFormat="1" x14ac:dyDescent="0.3">
      <c r="A178" s="78" t="s">
        <v>173</v>
      </c>
      <c r="B178" s="78"/>
      <c r="C178" s="78"/>
      <c r="D178" s="78"/>
      <c r="E178" s="78"/>
      <c r="F178" s="78"/>
      <c r="G178" s="78"/>
      <c r="H178" s="78"/>
    </row>
    <row r="179" spans="1:20" s="50" customFormat="1" x14ac:dyDescent="0.3">
      <c r="A179" s="79" t="s">
        <v>188</v>
      </c>
      <c r="B179" s="79"/>
      <c r="C179" s="79"/>
      <c r="D179" s="79"/>
      <c r="E179" s="79"/>
      <c r="F179" s="79"/>
      <c r="G179" s="79"/>
      <c r="H179" s="79"/>
    </row>
    <row r="180" spans="1:20" s="50" customFormat="1" x14ac:dyDescent="0.3">
      <c r="A180" s="80" t="s">
        <v>201</v>
      </c>
      <c r="B180" s="81"/>
      <c r="C180" s="81"/>
      <c r="D180" s="81"/>
      <c r="E180" s="81"/>
      <c r="F180" s="81"/>
      <c r="G180" s="81"/>
      <c r="H180" s="82"/>
      <c r="J180" s="61"/>
    </row>
    <row r="181" spans="1:20" s="50" customFormat="1" ht="15.75" customHeight="1" x14ac:dyDescent="0.3">
      <c r="A181" s="70">
        <v>1</v>
      </c>
      <c r="B181" s="71"/>
      <c r="C181" s="26" t="s">
        <v>166</v>
      </c>
      <c r="D181" s="26">
        <f>(15.61)*10.764</f>
        <v>168.02603999999999</v>
      </c>
      <c r="E181" s="26">
        <f>(1.5*0.75+2.75*0.75)*10.764</f>
        <v>34.310249999999996</v>
      </c>
      <c r="F181" s="26">
        <f>D181+E181</f>
        <v>202.33628999999999</v>
      </c>
      <c r="G181" s="26">
        <v>0</v>
      </c>
      <c r="H181" s="26">
        <v>310</v>
      </c>
      <c r="I181" s="61"/>
      <c r="K181" s="50">
        <f t="shared" ref="K181:K191" si="17">H181/F181</f>
        <v>1.5321028175420237</v>
      </c>
      <c r="L181" s="69"/>
      <c r="M181" s="69"/>
      <c r="N181" s="61"/>
    </row>
    <row r="182" spans="1:20" s="50" customFormat="1" ht="15.75" customHeight="1" x14ac:dyDescent="0.3">
      <c r="A182" s="70">
        <f>A181+1</f>
        <v>2</v>
      </c>
      <c r="B182" s="71"/>
      <c r="C182" s="26" t="s">
        <v>165</v>
      </c>
      <c r="D182" s="26">
        <f>(26.07)*10.764</f>
        <v>280.61748</v>
      </c>
      <c r="E182" s="26">
        <f>((2.6+2.1+2.75)*0.75)*10.764</f>
        <v>60.14385</v>
      </c>
      <c r="F182" s="26">
        <f>D182+E182</f>
        <v>340.76132999999999</v>
      </c>
      <c r="G182" s="26">
        <v>0</v>
      </c>
      <c r="H182" s="26">
        <v>515</v>
      </c>
      <c r="I182" s="61"/>
      <c r="K182" s="50">
        <f t="shared" si="17"/>
        <v>1.5113217218632173</v>
      </c>
      <c r="L182" s="69"/>
      <c r="M182" s="69"/>
      <c r="N182" s="61"/>
    </row>
    <row r="183" spans="1:20" s="50" customFormat="1" ht="15.75" customHeight="1" x14ac:dyDescent="0.3">
      <c r="A183" s="70">
        <f>A182+1</f>
        <v>3</v>
      </c>
      <c r="B183" s="71"/>
      <c r="C183" s="26" t="s">
        <v>165</v>
      </c>
      <c r="D183" s="26">
        <f>(26.07)*10.764</f>
        <v>280.61748</v>
      </c>
      <c r="E183" s="26">
        <f>((2.6+2.1+2.75)*0.75)*10.764</f>
        <v>60.14385</v>
      </c>
      <c r="F183" s="26">
        <f>D183+E183</f>
        <v>340.76132999999999</v>
      </c>
      <c r="G183" s="26">
        <v>0</v>
      </c>
      <c r="H183" s="26">
        <v>515</v>
      </c>
      <c r="I183" s="61"/>
      <c r="K183" s="50">
        <f t="shared" si="17"/>
        <v>1.5113217218632173</v>
      </c>
      <c r="L183" s="69"/>
      <c r="M183" s="69"/>
      <c r="N183" s="61"/>
    </row>
    <row r="184" spans="1:20" s="50" customFormat="1" ht="15.75" customHeight="1" x14ac:dyDescent="0.3">
      <c r="A184" s="70">
        <f>A183+1</f>
        <v>4</v>
      </c>
      <c r="B184" s="71"/>
      <c r="C184" s="26" t="s">
        <v>165</v>
      </c>
      <c r="D184" s="26">
        <f>(27.35)*10.764</f>
        <v>294.3954</v>
      </c>
      <c r="E184" s="26">
        <f>((2.6+2.1+2.75)*0.75)*10.764</f>
        <v>60.14385</v>
      </c>
      <c r="F184" s="26">
        <f>D184+E184</f>
        <v>354.53924999999998</v>
      </c>
      <c r="G184" s="26">
        <v>0</v>
      </c>
      <c r="H184" s="26">
        <v>535</v>
      </c>
      <c r="I184" s="61"/>
      <c r="K184" s="50">
        <f t="shared" si="17"/>
        <v>1.5090007664877725</v>
      </c>
      <c r="L184" s="69"/>
      <c r="M184" s="69"/>
      <c r="N184" s="61"/>
      <c r="T184" s="29"/>
    </row>
    <row r="185" spans="1:20" s="50" customFormat="1" ht="15.75" customHeight="1" x14ac:dyDescent="0.3">
      <c r="A185" s="70">
        <f t="shared" ref="A185:A190" si="18">A184+1</f>
        <v>5</v>
      </c>
      <c r="B185" s="71"/>
      <c r="C185" s="26" t="s">
        <v>165</v>
      </c>
      <c r="D185" s="26">
        <f>(26.22)*10.764</f>
        <v>282.23208</v>
      </c>
      <c r="E185" s="26">
        <f>((2.6+2.1+2.75)*0.75)*10.764</f>
        <v>60.14385</v>
      </c>
      <c r="F185" s="26">
        <f t="shared" ref="F185:F190" si="19">D185+E185</f>
        <v>342.37592999999998</v>
      </c>
      <c r="G185" s="26">
        <v>0</v>
      </c>
      <c r="H185" s="26">
        <v>520</v>
      </c>
      <c r="I185" s="61"/>
      <c r="K185" s="50">
        <f t="shared" si="17"/>
        <v>1.5187983571158172</v>
      </c>
      <c r="L185" s="69"/>
      <c r="M185" s="69"/>
      <c r="N185" s="61"/>
      <c r="T185" s="29"/>
    </row>
    <row r="186" spans="1:20" s="50" customFormat="1" ht="15.75" customHeight="1" x14ac:dyDescent="0.3">
      <c r="A186" s="70">
        <f t="shared" si="18"/>
        <v>6</v>
      </c>
      <c r="B186" s="71"/>
      <c r="C186" s="26" t="s">
        <v>166</v>
      </c>
      <c r="D186" s="26">
        <f>(18.99)*10.764</f>
        <v>204.40835999999996</v>
      </c>
      <c r="E186" s="26">
        <f>((2.89+1.5)*0.75)*10.764</f>
        <v>35.440470000000005</v>
      </c>
      <c r="F186" s="26">
        <f t="shared" si="19"/>
        <v>239.84882999999996</v>
      </c>
      <c r="G186" s="26">
        <v>0</v>
      </c>
      <c r="H186" s="26">
        <v>365</v>
      </c>
      <c r="I186" s="61"/>
      <c r="K186" s="50">
        <f t="shared" si="17"/>
        <v>1.5217918719887025</v>
      </c>
      <c r="L186" s="69"/>
      <c r="M186" s="69"/>
      <c r="N186" s="61"/>
      <c r="T186" s="29"/>
    </row>
    <row r="187" spans="1:20" s="50" customFormat="1" ht="15.75" customHeight="1" x14ac:dyDescent="0.3">
      <c r="A187" s="70">
        <f t="shared" si="18"/>
        <v>7</v>
      </c>
      <c r="B187" s="71"/>
      <c r="C187" s="26" t="s">
        <v>166</v>
      </c>
      <c r="D187" s="26">
        <f>(16.61)*10.764</f>
        <v>178.79003999999998</v>
      </c>
      <c r="E187" s="26">
        <f>((2.45+1.2)*0.75)*10.764</f>
        <v>29.466450000000002</v>
      </c>
      <c r="F187" s="26">
        <f t="shared" si="19"/>
        <v>208.25648999999999</v>
      </c>
      <c r="G187" s="26">
        <v>0</v>
      </c>
      <c r="H187" s="26">
        <v>335</v>
      </c>
      <c r="I187" s="61"/>
      <c r="K187" s="50">
        <f t="shared" si="17"/>
        <v>1.6085933264312677</v>
      </c>
      <c r="L187" s="69"/>
      <c r="M187" s="69"/>
      <c r="N187" s="61"/>
      <c r="T187" s="29"/>
    </row>
    <row r="188" spans="1:20" s="50" customFormat="1" ht="15.75" customHeight="1" x14ac:dyDescent="0.3">
      <c r="A188" s="70">
        <f t="shared" si="18"/>
        <v>8</v>
      </c>
      <c r="B188" s="71"/>
      <c r="C188" s="26" t="s">
        <v>166</v>
      </c>
      <c r="D188" s="26">
        <f>(16.61)*10.764</f>
        <v>178.79003999999998</v>
      </c>
      <c r="E188" s="26">
        <f>((2.45+1.2)*0.75)*10.764</f>
        <v>29.466450000000002</v>
      </c>
      <c r="F188" s="26">
        <f t="shared" si="19"/>
        <v>208.25648999999999</v>
      </c>
      <c r="G188" s="26">
        <v>0</v>
      </c>
      <c r="H188" s="26">
        <v>335</v>
      </c>
      <c r="I188" s="61"/>
      <c r="K188" s="50">
        <f t="shared" si="17"/>
        <v>1.6085933264312677</v>
      </c>
      <c r="L188" s="69"/>
      <c r="M188" s="69"/>
      <c r="N188" s="61"/>
      <c r="T188" s="29"/>
    </row>
    <row r="189" spans="1:20" s="50" customFormat="1" ht="15.75" customHeight="1" x14ac:dyDescent="0.3">
      <c r="A189" s="70">
        <f t="shared" si="18"/>
        <v>9</v>
      </c>
      <c r="B189" s="71"/>
      <c r="C189" s="26" t="s">
        <v>166</v>
      </c>
      <c r="D189" s="26">
        <f>(19.7)*10.764</f>
        <v>212.05079999999998</v>
      </c>
      <c r="E189" s="26">
        <f>((1.8+3.65)*0.75)*10.764</f>
        <v>43.99785</v>
      </c>
      <c r="F189" s="26">
        <f t="shared" si="19"/>
        <v>256.04864999999995</v>
      </c>
      <c r="G189" s="26">
        <v>0</v>
      </c>
      <c r="H189" s="26">
        <v>390</v>
      </c>
      <c r="I189" s="61"/>
      <c r="K189" s="50">
        <f t="shared" si="17"/>
        <v>1.5231480423739787</v>
      </c>
      <c r="L189" s="69"/>
      <c r="M189" s="69"/>
      <c r="N189" s="61"/>
      <c r="T189" s="29"/>
    </row>
    <row r="190" spans="1:20" s="50" customFormat="1" ht="15.75" customHeight="1" x14ac:dyDescent="0.3">
      <c r="A190" s="70">
        <f t="shared" si="18"/>
        <v>10</v>
      </c>
      <c r="B190" s="71"/>
      <c r="C190" s="26" t="s">
        <v>165</v>
      </c>
      <c r="D190" s="26">
        <f>(26.96)*10.764</f>
        <v>290.19743999999997</v>
      </c>
      <c r="E190" s="26">
        <f>((2.75+2+2.75)*0.75)*10.764</f>
        <v>60.547499999999999</v>
      </c>
      <c r="F190" s="26">
        <f t="shared" si="19"/>
        <v>350.74493999999999</v>
      </c>
      <c r="G190" s="26">
        <v>0</v>
      </c>
      <c r="H190" s="26">
        <v>530</v>
      </c>
      <c r="I190" s="61"/>
      <c r="K190" s="50">
        <f t="shared" si="17"/>
        <v>1.5110695538473058</v>
      </c>
      <c r="L190" s="69"/>
      <c r="M190" s="69"/>
      <c r="N190" s="61"/>
      <c r="T190" s="29"/>
    </row>
    <row r="191" spans="1:20" s="50" customFormat="1" x14ac:dyDescent="0.3">
      <c r="A191" s="78" t="s">
        <v>189</v>
      </c>
      <c r="B191" s="78"/>
      <c r="C191" s="78"/>
      <c r="D191" s="78"/>
      <c r="E191" s="78"/>
      <c r="F191" s="78"/>
      <c r="G191" s="78"/>
      <c r="H191" s="78"/>
      <c r="K191" s="50" t="e">
        <f t="shared" si="17"/>
        <v>#DIV/0!</v>
      </c>
    </row>
    <row r="192" spans="1:20" s="50" customFormat="1" x14ac:dyDescent="0.3">
      <c r="A192" s="79" t="s">
        <v>188</v>
      </c>
      <c r="B192" s="79"/>
      <c r="C192" s="79"/>
      <c r="D192" s="79"/>
      <c r="E192" s="79"/>
      <c r="F192" s="79"/>
      <c r="G192" s="79"/>
      <c r="H192" s="79"/>
    </row>
    <row r="193" spans="1:20" s="50" customFormat="1" x14ac:dyDescent="0.3">
      <c r="A193" s="80" t="s">
        <v>195</v>
      </c>
      <c r="B193" s="81"/>
      <c r="C193" s="81"/>
      <c r="D193" s="81"/>
      <c r="E193" s="81"/>
      <c r="F193" s="81"/>
      <c r="G193" s="81"/>
      <c r="H193" s="82"/>
      <c r="J193" s="61"/>
    </row>
    <row r="194" spans="1:20" s="50" customFormat="1" ht="15.75" customHeight="1" x14ac:dyDescent="0.3">
      <c r="A194" s="70">
        <v>1</v>
      </c>
      <c r="B194" s="71"/>
      <c r="C194" s="26" t="s">
        <v>165</v>
      </c>
      <c r="D194" s="26">
        <f>(26.07)*10.764</f>
        <v>280.61748</v>
      </c>
      <c r="E194" s="26">
        <f>((2.6+2.1+2.75)*0.75)*10.764</f>
        <v>60.14385</v>
      </c>
      <c r="F194" s="26">
        <f t="shared" ref="F194:F199" si="20">D194+E194</f>
        <v>340.76132999999999</v>
      </c>
      <c r="G194" s="26">
        <v>0</v>
      </c>
      <c r="H194" s="26">
        <v>530</v>
      </c>
      <c r="I194" s="61"/>
      <c r="K194" s="50">
        <f>H194/F194</f>
        <v>1.5553408011407868</v>
      </c>
      <c r="L194" s="69"/>
      <c r="M194" s="69"/>
      <c r="N194" s="61"/>
    </row>
    <row r="195" spans="1:20" s="50" customFormat="1" ht="15.75" customHeight="1" x14ac:dyDescent="0.3">
      <c r="A195" s="70">
        <f>A194+1</f>
        <v>2</v>
      </c>
      <c r="B195" s="71"/>
      <c r="C195" s="26" t="s">
        <v>166</v>
      </c>
      <c r="D195" s="26">
        <f>(15.56)*10.764</f>
        <v>167.48784000000001</v>
      </c>
      <c r="E195" s="26">
        <f>((3.05+1.7)*0.75)*10.764</f>
        <v>38.34675</v>
      </c>
      <c r="F195" s="26">
        <f t="shared" si="20"/>
        <v>205.83458999999999</v>
      </c>
      <c r="G195" s="26">
        <v>0</v>
      </c>
      <c r="H195" s="26">
        <v>310</v>
      </c>
      <c r="I195" s="61"/>
      <c r="K195" s="50">
        <f t="shared" ref="K195:K200" si="21">H195/F195</f>
        <v>1.5060636795788309</v>
      </c>
      <c r="L195" s="69"/>
      <c r="M195" s="69"/>
      <c r="N195" s="61"/>
    </row>
    <row r="196" spans="1:20" s="50" customFormat="1" ht="15.75" customHeight="1" x14ac:dyDescent="0.3">
      <c r="A196" s="70">
        <f>A195+1</f>
        <v>3</v>
      </c>
      <c r="B196" s="71"/>
      <c r="C196" s="26" t="s">
        <v>165</v>
      </c>
      <c r="D196" s="26">
        <f>(29.92)*10.764</f>
        <v>322.05887999999999</v>
      </c>
      <c r="E196" s="26">
        <f>((2.6+2.15+2.75)*0.75)*10.764</f>
        <v>60.547499999999999</v>
      </c>
      <c r="F196" s="26">
        <f t="shared" si="20"/>
        <v>382.60638</v>
      </c>
      <c r="G196" s="26">
        <v>0</v>
      </c>
      <c r="H196" s="26">
        <v>545</v>
      </c>
      <c r="I196" s="61"/>
      <c r="K196" s="50">
        <f t="shared" si="21"/>
        <v>1.4244404392838406</v>
      </c>
      <c r="L196" s="69"/>
      <c r="M196" s="69"/>
      <c r="N196" s="61"/>
    </row>
    <row r="197" spans="1:20" s="50" customFormat="1" ht="15.75" customHeight="1" x14ac:dyDescent="0.3">
      <c r="A197" s="70">
        <f>A196+1</f>
        <v>4</v>
      </c>
      <c r="B197" s="71"/>
      <c r="C197" s="26" t="s">
        <v>166</v>
      </c>
      <c r="D197" s="26">
        <f>(16.36)*10.764</f>
        <v>176.09903999999997</v>
      </c>
      <c r="E197" s="26">
        <f>((2.45+1.3)*0.75)*10.764</f>
        <v>30.27375</v>
      </c>
      <c r="F197" s="26">
        <f t="shared" si="20"/>
        <v>206.37278999999998</v>
      </c>
      <c r="G197" s="26">
        <v>0</v>
      </c>
      <c r="H197" s="26">
        <v>310</v>
      </c>
      <c r="I197" s="61"/>
      <c r="K197" s="50">
        <f t="shared" si="21"/>
        <v>1.5021360131827457</v>
      </c>
      <c r="L197" s="69"/>
      <c r="M197" s="69"/>
      <c r="N197" s="61"/>
      <c r="T197" s="29"/>
    </row>
    <row r="198" spans="1:20" s="50" customFormat="1" ht="15.75" customHeight="1" x14ac:dyDescent="0.3">
      <c r="A198" s="70">
        <f t="shared" ref="A198:A199" si="22">A197+1</f>
        <v>5</v>
      </c>
      <c r="B198" s="71"/>
      <c r="C198" s="26" t="s">
        <v>166</v>
      </c>
      <c r="D198" s="26">
        <f>(16.36)*10.764</f>
        <v>176.09903999999997</v>
      </c>
      <c r="E198" s="26">
        <f>((2.45+1.3)*0.75)*10.764</f>
        <v>30.27375</v>
      </c>
      <c r="F198" s="26">
        <f t="shared" si="20"/>
        <v>206.37278999999998</v>
      </c>
      <c r="G198" s="26">
        <v>0</v>
      </c>
      <c r="H198" s="26">
        <v>310</v>
      </c>
      <c r="I198" s="61"/>
      <c r="K198" s="50">
        <f t="shared" si="21"/>
        <v>1.5021360131827457</v>
      </c>
      <c r="L198" s="69"/>
      <c r="M198" s="69"/>
      <c r="N198" s="61"/>
      <c r="T198" s="29"/>
    </row>
    <row r="199" spans="1:20" s="50" customFormat="1" ht="15.75" customHeight="1" x14ac:dyDescent="0.3">
      <c r="A199" s="70">
        <f t="shared" si="22"/>
        <v>6</v>
      </c>
      <c r="B199" s="71"/>
      <c r="C199" s="26" t="s">
        <v>166</v>
      </c>
      <c r="D199" s="26">
        <f>(16.36)*10.764</f>
        <v>176.09903999999997</v>
      </c>
      <c r="E199" s="26">
        <f>((2.45+1.3)*0.75)*10.764</f>
        <v>30.27375</v>
      </c>
      <c r="F199" s="26">
        <f t="shared" si="20"/>
        <v>206.37278999999998</v>
      </c>
      <c r="G199" s="26">
        <v>0</v>
      </c>
      <c r="H199" s="26">
        <v>310</v>
      </c>
      <c r="I199" s="61"/>
      <c r="K199" s="50">
        <f t="shared" si="21"/>
        <v>1.5021360131827457</v>
      </c>
      <c r="L199" s="69"/>
      <c r="M199" s="69"/>
      <c r="N199" s="61"/>
      <c r="T199" s="29"/>
    </row>
    <row r="200" spans="1:20" s="50" customFormat="1" x14ac:dyDescent="0.3">
      <c r="A200" s="79" t="s">
        <v>196</v>
      </c>
      <c r="B200" s="79"/>
      <c r="C200" s="79"/>
      <c r="D200" s="79"/>
      <c r="E200" s="79"/>
      <c r="F200" s="79"/>
      <c r="G200" s="79"/>
      <c r="H200" s="79"/>
      <c r="J200" s="61"/>
      <c r="K200" s="50" t="e">
        <f t="shared" si="21"/>
        <v>#DIV/0!</v>
      </c>
    </row>
    <row r="201" spans="1:20" s="50" customFormat="1" ht="15.75" customHeight="1" x14ac:dyDescent="0.3">
      <c r="A201" s="83">
        <v>1</v>
      </c>
      <c r="B201" s="83"/>
      <c r="C201" s="26" t="s">
        <v>165</v>
      </c>
      <c r="D201" s="26">
        <f>(26.07)*10.764</f>
        <v>280.61748</v>
      </c>
      <c r="E201" s="26">
        <f>((2.6+2.1+2.75)*0.75)*10.764</f>
        <v>60.14385</v>
      </c>
      <c r="F201" s="26">
        <f>D201+E201</f>
        <v>340.76132999999999</v>
      </c>
      <c r="G201" s="26">
        <v>0</v>
      </c>
      <c r="H201" s="26">
        <v>530</v>
      </c>
      <c r="I201" s="61"/>
      <c r="L201" s="69"/>
      <c r="M201" s="69"/>
      <c r="N201" s="61"/>
    </row>
    <row r="202" spans="1:20" s="50" customFormat="1" ht="15.75" customHeight="1" x14ac:dyDescent="0.3">
      <c r="A202" s="83">
        <f>A201+1</f>
        <v>2</v>
      </c>
      <c r="B202" s="83"/>
      <c r="C202" s="26" t="s">
        <v>166</v>
      </c>
      <c r="D202" s="26">
        <f>(15.56)*10.764</f>
        <v>167.48784000000001</v>
      </c>
      <c r="E202" s="26">
        <f>((3.05+1.7)*0.75)*10.764</f>
        <v>38.34675</v>
      </c>
      <c r="F202" s="26">
        <f>D202+E202</f>
        <v>205.83458999999999</v>
      </c>
      <c r="G202" s="26">
        <v>0</v>
      </c>
      <c r="H202" s="26">
        <v>310</v>
      </c>
      <c r="I202" s="61"/>
      <c r="L202" s="69"/>
      <c r="M202" s="69"/>
      <c r="N202" s="61"/>
    </row>
    <row r="203" spans="1:20" s="50" customFormat="1" ht="15.75" customHeight="1" x14ac:dyDescent="0.3">
      <c r="A203" s="83">
        <f>A202+1</f>
        <v>3</v>
      </c>
      <c r="B203" s="83"/>
      <c r="C203" s="26" t="s">
        <v>165</v>
      </c>
      <c r="D203" s="26">
        <f>(29.92)*10.764</f>
        <v>322.05887999999999</v>
      </c>
      <c r="E203" s="26">
        <f>((2.6+2.15+2.75)*0.75)*10.764</f>
        <v>60.547499999999999</v>
      </c>
      <c r="F203" s="26">
        <f>D203+E203</f>
        <v>382.60638</v>
      </c>
      <c r="G203" s="26">
        <v>0</v>
      </c>
      <c r="H203" s="26">
        <v>545</v>
      </c>
      <c r="I203" s="61"/>
      <c r="L203" s="69"/>
      <c r="M203" s="69"/>
      <c r="N203" s="61"/>
    </row>
    <row r="204" spans="1:20" s="50" customFormat="1" ht="15.75" customHeight="1" x14ac:dyDescent="0.3">
      <c r="A204" s="83">
        <f>A203+1</f>
        <v>4</v>
      </c>
      <c r="B204" s="83"/>
      <c r="C204" s="83" t="s">
        <v>248</v>
      </c>
      <c r="D204" s="83"/>
      <c r="E204" s="83"/>
      <c r="F204" s="83"/>
      <c r="G204" s="83"/>
      <c r="H204" s="83"/>
      <c r="I204" s="61"/>
      <c r="L204" s="69"/>
      <c r="M204" s="69"/>
      <c r="N204" s="61"/>
      <c r="T204" s="29"/>
    </row>
    <row r="205" spans="1:20" s="50" customFormat="1" ht="15.75" customHeight="1" x14ac:dyDescent="0.3">
      <c r="A205" s="83">
        <f t="shared" ref="A205:A206" si="23">A204+1</f>
        <v>5</v>
      </c>
      <c r="B205" s="83"/>
      <c r="C205" s="26" t="s">
        <v>166</v>
      </c>
      <c r="D205" s="26">
        <f>(16.36)*10.764</f>
        <v>176.09903999999997</v>
      </c>
      <c r="E205" s="26">
        <f>((2.45+1.3)*0.75)*10.764</f>
        <v>30.27375</v>
      </c>
      <c r="F205" s="26">
        <f>D205+E205</f>
        <v>206.37278999999998</v>
      </c>
      <c r="G205" s="26">
        <v>0</v>
      </c>
      <c r="H205" s="26">
        <v>310</v>
      </c>
      <c r="I205" s="61"/>
      <c r="L205" s="69"/>
      <c r="M205" s="69"/>
      <c r="N205" s="61"/>
      <c r="T205" s="29"/>
    </row>
    <row r="206" spans="1:20" s="50" customFormat="1" ht="15.75" customHeight="1" x14ac:dyDescent="0.3">
      <c r="A206" s="83">
        <f t="shared" si="23"/>
        <v>6</v>
      </c>
      <c r="B206" s="83"/>
      <c r="C206" s="26" t="s">
        <v>166</v>
      </c>
      <c r="D206" s="26">
        <f>(16.36)*10.764</f>
        <v>176.09903999999997</v>
      </c>
      <c r="E206" s="26">
        <f>((2.45+1.3)*0.75)*10.764</f>
        <v>30.27375</v>
      </c>
      <c r="F206" s="26">
        <f>D206+E206</f>
        <v>206.37278999999998</v>
      </c>
      <c r="G206" s="26">
        <v>0</v>
      </c>
      <c r="H206" s="26">
        <v>310</v>
      </c>
      <c r="I206" s="61"/>
      <c r="L206" s="69"/>
      <c r="M206" s="69"/>
      <c r="N206" s="61"/>
      <c r="T206" s="29"/>
    </row>
    <row r="207" spans="1:20" s="50" customFormat="1" x14ac:dyDescent="0.3">
      <c r="A207" s="78" t="s">
        <v>254</v>
      </c>
      <c r="B207" s="78"/>
      <c r="C207" s="78"/>
      <c r="D207" s="78"/>
      <c r="E207" s="78"/>
      <c r="F207" s="78"/>
      <c r="G207" s="78"/>
      <c r="H207" s="78"/>
      <c r="M207" s="26">
        <v>10.763999999999999</v>
      </c>
    </row>
    <row r="208" spans="1:20" s="50" customFormat="1" x14ac:dyDescent="0.3">
      <c r="A208" s="79" t="s">
        <v>255</v>
      </c>
      <c r="B208" s="79"/>
      <c r="C208" s="79"/>
      <c r="D208" s="79"/>
      <c r="E208" s="79"/>
      <c r="F208" s="79"/>
      <c r="G208" s="79"/>
      <c r="H208" s="79"/>
    </row>
    <row r="209" spans="1:20" s="50" customFormat="1" x14ac:dyDescent="0.3">
      <c r="A209" s="79" t="s">
        <v>201</v>
      </c>
      <c r="B209" s="79"/>
      <c r="C209" s="79"/>
      <c r="D209" s="79"/>
      <c r="E209" s="79"/>
      <c r="F209" s="79"/>
      <c r="G209" s="79"/>
      <c r="H209" s="79"/>
      <c r="I209" s="50">
        <v>5000</v>
      </c>
      <c r="J209" s="61"/>
    </row>
    <row r="210" spans="1:20" s="50" customFormat="1" ht="15.75" customHeight="1" x14ac:dyDescent="0.3">
      <c r="A210" s="70">
        <v>1</v>
      </c>
      <c r="B210" s="71"/>
      <c r="C210" s="26" t="s">
        <v>166</v>
      </c>
      <c r="D210" s="26">
        <f>(16.73)*10.764</f>
        <v>180.08171999999999</v>
      </c>
      <c r="E210" s="26">
        <f>(0.75*(2.75+1.8))*10.764</f>
        <v>36.732149999999997</v>
      </c>
      <c r="F210" s="26">
        <f>D210+E210</f>
        <v>216.81386999999998</v>
      </c>
      <c r="G210" s="26">
        <v>0</v>
      </c>
      <c r="H210" s="26">
        <v>335</v>
      </c>
      <c r="I210" s="61">
        <f>I$209*H210</f>
        <v>1675000</v>
      </c>
      <c r="J210" s="61">
        <f>2.75*3.35+1.8*2.1+2.1*1.1+0.45*1.25</f>
        <v>15.865</v>
      </c>
      <c r="K210" s="50">
        <v>335</v>
      </c>
      <c r="L210" s="69">
        <f>K210/F210</f>
        <v>1.5451041024266576</v>
      </c>
      <c r="M210" s="69"/>
      <c r="N210" s="61"/>
    </row>
    <row r="211" spans="1:20" s="50" customFormat="1" ht="15.75" customHeight="1" x14ac:dyDescent="0.3">
      <c r="A211" s="70">
        <f>A210+1</f>
        <v>2</v>
      </c>
      <c r="B211" s="71"/>
      <c r="C211" s="26" t="s">
        <v>166</v>
      </c>
      <c r="D211" s="26">
        <f>(16.73)*10.764</f>
        <v>180.08171999999999</v>
      </c>
      <c r="E211" s="26">
        <f>(0.75*(2.75+1.8))*10.764</f>
        <v>36.732149999999997</v>
      </c>
      <c r="F211" s="26">
        <f>D211+E211</f>
        <v>216.81386999999998</v>
      </c>
      <c r="G211" s="26">
        <v>0</v>
      </c>
      <c r="H211" s="26">
        <v>335</v>
      </c>
      <c r="I211" s="61">
        <f t="shared" ref="I211:I214" si="24">I$209*H211</f>
        <v>1675000</v>
      </c>
      <c r="J211" s="61">
        <f>I211+250000</f>
        <v>1925000</v>
      </c>
      <c r="K211" s="50">
        <v>335</v>
      </c>
      <c r="L211" s="69">
        <f t="shared" ref="L211:L214" si="25">K211/F211</f>
        <v>1.5451041024266576</v>
      </c>
      <c r="M211" s="69"/>
      <c r="N211" s="61"/>
    </row>
    <row r="212" spans="1:20" s="50" customFormat="1" ht="15.75" customHeight="1" x14ac:dyDescent="0.3">
      <c r="A212" s="70">
        <f>A211+1</f>
        <v>3</v>
      </c>
      <c r="B212" s="71"/>
      <c r="C212" s="26" t="s">
        <v>166</v>
      </c>
      <c r="D212" s="26">
        <f>(16.73)*10.764</f>
        <v>180.08171999999999</v>
      </c>
      <c r="E212" s="26">
        <f>(0.75*(2.75+1.8))*10.764</f>
        <v>36.732149999999997</v>
      </c>
      <c r="F212" s="26">
        <f>D212+E212</f>
        <v>216.81386999999998</v>
      </c>
      <c r="G212" s="26">
        <v>0</v>
      </c>
      <c r="H212" s="26">
        <v>335</v>
      </c>
      <c r="I212" s="61">
        <f t="shared" si="24"/>
        <v>1675000</v>
      </c>
      <c r="J212" s="61">
        <f t="shared" ref="J212:J214" si="26">I212+250000</f>
        <v>1925000</v>
      </c>
      <c r="K212" s="50">
        <v>335</v>
      </c>
      <c r="L212" s="69">
        <f t="shared" si="25"/>
        <v>1.5451041024266576</v>
      </c>
      <c r="M212" s="69"/>
      <c r="N212" s="61"/>
    </row>
    <row r="213" spans="1:20" s="50" customFormat="1" ht="15.75" customHeight="1" x14ac:dyDescent="0.3">
      <c r="A213" s="70">
        <f>A212+1</f>
        <v>4</v>
      </c>
      <c r="B213" s="71"/>
      <c r="C213" s="26" t="s">
        <v>165</v>
      </c>
      <c r="D213" s="26">
        <f>(27.81)*10.764</f>
        <v>299.34683999999999</v>
      </c>
      <c r="E213" s="26">
        <f>(0.75*(2.75+2.75+2.15))*10.764</f>
        <v>61.758450000000003</v>
      </c>
      <c r="F213" s="26">
        <f>D213+E213</f>
        <v>361.10528999999997</v>
      </c>
      <c r="G213" s="26">
        <v>0</v>
      </c>
      <c r="H213" s="26">
        <v>535</v>
      </c>
      <c r="I213" s="61">
        <f t="shared" si="24"/>
        <v>2675000</v>
      </c>
      <c r="J213" s="61">
        <f t="shared" si="26"/>
        <v>2925000</v>
      </c>
      <c r="K213" s="50">
        <v>550</v>
      </c>
      <c r="L213" s="69">
        <f t="shared" si="25"/>
        <v>1.5231014754727079</v>
      </c>
      <c r="M213" s="69"/>
      <c r="N213" s="61"/>
      <c r="T213" s="29"/>
    </row>
    <row r="214" spans="1:20" s="50" customFormat="1" ht="15.75" customHeight="1" x14ac:dyDescent="0.3">
      <c r="A214" s="70">
        <f t="shared" ref="A214" si="27">A213+1</f>
        <v>5</v>
      </c>
      <c r="B214" s="71"/>
      <c r="C214" s="26" t="s">
        <v>166</v>
      </c>
      <c r="D214" s="26">
        <f>(16.73)*10.764</f>
        <v>180.08171999999999</v>
      </c>
      <c r="E214" s="26">
        <f>(0.75*(2.75+1.8))*10.764</f>
        <v>36.732149999999997</v>
      </c>
      <c r="F214" s="26">
        <f t="shared" ref="F214" si="28">D214+E214</f>
        <v>216.81386999999998</v>
      </c>
      <c r="G214" s="26">
        <v>0</v>
      </c>
      <c r="H214" s="26">
        <v>335</v>
      </c>
      <c r="I214" s="61">
        <f t="shared" si="24"/>
        <v>1675000</v>
      </c>
      <c r="J214" s="61">
        <f t="shared" si="26"/>
        <v>1925000</v>
      </c>
      <c r="K214" s="50">
        <v>335</v>
      </c>
      <c r="L214" s="69">
        <f t="shared" si="25"/>
        <v>1.5451041024266576</v>
      </c>
      <c r="M214" s="69"/>
      <c r="N214" s="61"/>
      <c r="T214" s="29"/>
    </row>
    <row r="215" spans="1:20" s="50" customFormat="1" x14ac:dyDescent="0.3">
      <c r="A215" s="78" t="s">
        <v>256</v>
      </c>
      <c r="B215" s="78"/>
      <c r="C215" s="78"/>
      <c r="D215" s="78"/>
      <c r="E215" s="78"/>
      <c r="F215" s="78"/>
      <c r="G215" s="78"/>
      <c r="H215" s="78"/>
      <c r="M215" s="26"/>
    </row>
    <row r="216" spans="1:20" s="50" customFormat="1" x14ac:dyDescent="0.3">
      <c r="A216" s="79" t="s">
        <v>255</v>
      </c>
      <c r="B216" s="79"/>
      <c r="C216" s="79"/>
      <c r="D216" s="79"/>
      <c r="E216" s="79"/>
      <c r="F216" s="79"/>
      <c r="G216" s="79"/>
      <c r="H216" s="79"/>
    </row>
    <row r="217" spans="1:20" s="50" customFormat="1" x14ac:dyDescent="0.3">
      <c r="A217" s="80" t="s">
        <v>201</v>
      </c>
      <c r="B217" s="81"/>
      <c r="C217" s="81"/>
      <c r="D217" s="81"/>
      <c r="E217" s="81"/>
      <c r="F217" s="81"/>
      <c r="G217" s="81"/>
      <c r="H217" s="82"/>
      <c r="J217" s="61"/>
    </row>
    <row r="218" spans="1:20" s="50" customFormat="1" ht="15.75" customHeight="1" x14ac:dyDescent="0.3">
      <c r="A218" s="70">
        <v>1</v>
      </c>
      <c r="B218" s="71"/>
      <c r="C218" s="26" t="s">
        <v>166</v>
      </c>
      <c r="D218" s="26">
        <f>(17)*10.764</f>
        <v>182.988</v>
      </c>
      <c r="E218" s="26">
        <f>(0.75*(2.75+1.8))*10.764</f>
        <v>36.732149999999997</v>
      </c>
      <c r="F218" s="26">
        <f>D218+E218</f>
        <v>219.72014999999999</v>
      </c>
      <c r="G218" s="26">
        <v>0</v>
      </c>
      <c r="H218" s="26">
        <v>340</v>
      </c>
      <c r="I218" s="61"/>
      <c r="J218" s="61">
        <f>2.75*3.35+1.8*2.1+2.1*1.1+0.45*1.25</f>
        <v>15.865</v>
      </c>
      <c r="K218" s="50">
        <v>340</v>
      </c>
      <c r="L218" s="69">
        <f>K218/F218</f>
        <v>1.5474229377687938</v>
      </c>
      <c r="M218" s="69"/>
      <c r="N218" s="61"/>
    </row>
    <row r="219" spans="1:20" s="50" customFormat="1" ht="15.75" customHeight="1" x14ac:dyDescent="0.3">
      <c r="A219" s="70">
        <f>A218+1</f>
        <v>2</v>
      </c>
      <c r="B219" s="71"/>
      <c r="C219" s="26" t="s">
        <v>166</v>
      </c>
      <c r="D219" s="26">
        <f>(16.73)*10.764</f>
        <v>180.08171999999999</v>
      </c>
      <c r="E219" s="26">
        <f>(0.75*(2.75+1.8))*10.764</f>
        <v>36.732149999999997</v>
      </c>
      <c r="F219" s="26">
        <f>D219+E219</f>
        <v>216.81386999999998</v>
      </c>
      <c r="G219" s="26">
        <v>0</v>
      </c>
      <c r="H219" s="26">
        <v>335</v>
      </c>
      <c r="I219" s="61"/>
      <c r="K219" s="50">
        <v>335</v>
      </c>
      <c r="L219" s="69">
        <f t="shared" ref="L219:L222" si="29">K219/F219</f>
        <v>1.5451041024266576</v>
      </c>
      <c r="M219" s="69"/>
      <c r="N219" s="61"/>
    </row>
    <row r="220" spans="1:20" s="50" customFormat="1" ht="15.75" customHeight="1" x14ac:dyDescent="0.3">
      <c r="A220" s="70">
        <f>A219+1</f>
        <v>3</v>
      </c>
      <c r="B220" s="71"/>
      <c r="C220" s="26" t="s">
        <v>166</v>
      </c>
      <c r="D220" s="26">
        <f>(16.73)*10.764</f>
        <v>180.08171999999999</v>
      </c>
      <c r="E220" s="26">
        <f>(0.75*(2.75+1.8))*10.764</f>
        <v>36.732149999999997</v>
      </c>
      <c r="F220" s="26">
        <f>D220+E220</f>
        <v>216.81386999999998</v>
      </c>
      <c r="G220" s="26">
        <v>0</v>
      </c>
      <c r="H220" s="26">
        <v>335</v>
      </c>
      <c r="I220" s="61"/>
      <c r="K220" s="50">
        <v>335</v>
      </c>
      <c r="L220" s="69">
        <f t="shared" si="29"/>
        <v>1.5451041024266576</v>
      </c>
      <c r="M220" s="69"/>
      <c r="N220" s="61"/>
    </row>
    <row r="221" spans="1:20" s="50" customFormat="1" ht="15.75" customHeight="1" x14ac:dyDescent="0.3">
      <c r="A221" s="70">
        <f>A220+1</f>
        <v>4</v>
      </c>
      <c r="B221" s="71"/>
      <c r="C221" s="26" t="s">
        <v>165</v>
      </c>
      <c r="D221" s="26">
        <f>(28.77)*10.764</f>
        <v>309.68027999999998</v>
      </c>
      <c r="E221" s="26">
        <f>(0.75*(4+2.15+2.75))*10.764</f>
        <v>71.849699999999999</v>
      </c>
      <c r="F221" s="26">
        <f>D221+E221</f>
        <v>381.52997999999997</v>
      </c>
      <c r="G221" s="26">
        <v>0</v>
      </c>
      <c r="H221" s="26">
        <v>575</v>
      </c>
      <c r="I221" s="61"/>
      <c r="K221" s="50">
        <v>575</v>
      </c>
      <c r="L221" s="69">
        <f t="shared" si="29"/>
        <v>1.5070899539795013</v>
      </c>
      <c r="M221" s="69"/>
      <c r="N221" s="61"/>
      <c r="T221" s="29"/>
    </row>
    <row r="222" spans="1:20" s="47" customFormat="1" x14ac:dyDescent="0.3">
      <c r="A222" s="137" t="s">
        <v>73</v>
      </c>
      <c r="B222" s="137"/>
      <c r="C222" s="137"/>
      <c r="D222" s="137"/>
      <c r="E222" s="137"/>
      <c r="F222" s="137"/>
      <c r="G222" s="137"/>
      <c r="H222" s="137"/>
      <c r="L222" s="69" t="e">
        <f t="shared" si="29"/>
        <v>#DIV/0!</v>
      </c>
      <c r="M222" s="69"/>
    </row>
    <row r="223" spans="1:20" s="52" customFormat="1" ht="15.75" hidden="1" customHeight="1" x14ac:dyDescent="0.3">
      <c r="A223" s="167" t="s">
        <v>234</v>
      </c>
      <c r="B223" s="168"/>
      <c r="C223" s="168"/>
      <c r="D223" s="168"/>
      <c r="E223" s="168"/>
      <c r="F223" s="168"/>
      <c r="G223" s="168"/>
      <c r="H223" s="169"/>
    </row>
    <row r="224" spans="1:20" ht="36" customHeight="1" x14ac:dyDescent="0.3">
      <c r="A224" s="57">
        <v>1</v>
      </c>
      <c r="B224" s="92" t="s">
        <v>269</v>
      </c>
      <c r="C224" s="93"/>
      <c r="D224" s="93"/>
      <c r="E224" s="93"/>
      <c r="F224" s="93"/>
      <c r="G224" s="93"/>
      <c r="H224" s="94"/>
    </row>
    <row r="225" spans="1:8" x14ac:dyDescent="0.3">
      <c r="A225" s="57">
        <f>A224+1</f>
        <v>2</v>
      </c>
      <c r="B225" s="92" t="s">
        <v>226</v>
      </c>
      <c r="C225" s="93"/>
      <c r="D225" s="93"/>
      <c r="E225" s="93"/>
      <c r="F225" s="93"/>
      <c r="G225" s="93"/>
      <c r="H225" s="94"/>
    </row>
    <row r="226" spans="1:8" x14ac:dyDescent="0.3">
      <c r="A226" s="57">
        <f t="shared" ref="A226:A233" si="30">A225+1</f>
        <v>3</v>
      </c>
      <c r="B226" s="92" t="s">
        <v>227</v>
      </c>
      <c r="C226" s="93"/>
      <c r="D226" s="93"/>
      <c r="E226" s="93"/>
      <c r="F226" s="93"/>
      <c r="G226" s="93"/>
      <c r="H226" s="94"/>
    </row>
    <row r="227" spans="1:8" x14ac:dyDescent="0.3">
      <c r="A227" s="57">
        <f t="shared" si="30"/>
        <v>4</v>
      </c>
      <c r="B227" s="92" t="s">
        <v>263</v>
      </c>
      <c r="C227" s="93"/>
      <c r="D227" s="93"/>
      <c r="E227" s="93"/>
      <c r="F227" s="93"/>
      <c r="G227" s="93"/>
      <c r="H227" s="94"/>
    </row>
    <row r="228" spans="1:8" x14ac:dyDescent="0.3">
      <c r="A228" s="57">
        <f t="shared" si="30"/>
        <v>5</v>
      </c>
      <c r="B228" s="92" t="s">
        <v>228</v>
      </c>
      <c r="C228" s="93"/>
      <c r="D228" s="93"/>
      <c r="E228" s="93"/>
      <c r="F228" s="93"/>
      <c r="G228" s="93"/>
      <c r="H228" s="94"/>
    </row>
    <row r="229" spans="1:8" ht="33" hidden="1" customHeight="1" x14ac:dyDescent="0.3">
      <c r="A229" s="57">
        <f t="shared" si="30"/>
        <v>6</v>
      </c>
      <c r="B229" s="92" t="s">
        <v>229</v>
      </c>
      <c r="C229" s="93"/>
      <c r="D229" s="93"/>
      <c r="E229" s="93"/>
      <c r="F229" s="93"/>
      <c r="G229" s="93"/>
      <c r="H229" s="94"/>
    </row>
    <row r="230" spans="1:8" ht="35.25" customHeight="1" x14ac:dyDescent="0.3">
      <c r="A230" s="57">
        <v>6</v>
      </c>
      <c r="B230" s="92" t="s">
        <v>230</v>
      </c>
      <c r="C230" s="93"/>
      <c r="D230" s="93"/>
      <c r="E230" s="93"/>
      <c r="F230" s="93"/>
      <c r="G230" s="93"/>
      <c r="H230" s="94"/>
    </row>
    <row r="231" spans="1:8" x14ac:dyDescent="0.3">
      <c r="A231" s="57">
        <f t="shared" si="30"/>
        <v>7</v>
      </c>
      <c r="B231" s="92" t="s">
        <v>231</v>
      </c>
      <c r="C231" s="93"/>
      <c r="D231" s="93"/>
      <c r="E231" s="93"/>
      <c r="F231" s="93"/>
      <c r="G231" s="93"/>
      <c r="H231" s="94"/>
    </row>
    <row r="232" spans="1:8" ht="32.25" customHeight="1" x14ac:dyDescent="0.3">
      <c r="A232" s="57">
        <f t="shared" si="30"/>
        <v>8</v>
      </c>
      <c r="B232" s="92" t="s">
        <v>232</v>
      </c>
      <c r="C232" s="93"/>
      <c r="D232" s="93"/>
      <c r="E232" s="93"/>
      <c r="F232" s="93"/>
      <c r="G232" s="93"/>
      <c r="H232" s="94"/>
    </row>
    <row r="233" spans="1:8" x14ac:dyDescent="0.3">
      <c r="A233" s="57">
        <f t="shared" si="30"/>
        <v>9</v>
      </c>
      <c r="B233" s="92" t="s">
        <v>233</v>
      </c>
      <c r="C233" s="93"/>
      <c r="D233" s="93"/>
      <c r="E233" s="93"/>
      <c r="F233" s="93"/>
      <c r="G233" s="93"/>
      <c r="H233" s="94"/>
    </row>
    <row r="234" spans="1:8" x14ac:dyDescent="0.3">
      <c r="A234" s="57">
        <f t="shared" ref="A234" si="31">A233+1</f>
        <v>10</v>
      </c>
      <c r="B234" s="92" t="s">
        <v>235</v>
      </c>
      <c r="C234" s="93"/>
      <c r="D234" s="93"/>
      <c r="E234" s="93"/>
      <c r="F234" s="93"/>
      <c r="G234" s="93"/>
      <c r="H234" s="94"/>
    </row>
    <row r="235" spans="1:8" x14ac:dyDescent="0.3">
      <c r="A235" s="57">
        <f t="shared" ref="A235" si="32">A234+1</f>
        <v>11</v>
      </c>
      <c r="B235" s="92" t="s">
        <v>238</v>
      </c>
      <c r="C235" s="93"/>
      <c r="D235" s="93"/>
      <c r="E235" s="93"/>
      <c r="F235" s="93"/>
      <c r="G235" s="93"/>
      <c r="H235" s="94"/>
    </row>
    <row r="236" spans="1:8" x14ac:dyDescent="0.3">
      <c r="A236" s="57">
        <f t="shared" ref="A236" si="33">A235+1</f>
        <v>12</v>
      </c>
      <c r="B236" s="92" t="s">
        <v>259</v>
      </c>
      <c r="C236" s="93"/>
      <c r="D236" s="93"/>
      <c r="E236" s="93"/>
      <c r="F236" s="93"/>
      <c r="G236" s="93"/>
      <c r="H236" s="94"/>
    </row>
    <row r="237" spans="1:8" x14ac:dyDescent="0.3">
      <c r="A237" s="143" t="s">
        <v>64</v>
      </c>
      <c r="B237" s="143"/>
      <c r="C237" s="143"/>
      <c r="D237" s="143"/>
      <c r="E237" s="143"/>
      <c r="F237" s="143"/>
      <c r="G237" s="143"/>
      <c r="H237" s="143"/>
    </row>
    <row r="238" spans="1:8" x14ac:dyDescent="0.3">
      <c r="A238" s="95" t="s">
        <v>65</v>
      </c>
      <c r="B238" s="95"/>
      <c r="C238" s="95"/>
      <c r="D238" s="95"/>
      <c r="E238" s="95"/>
      <c r="F238" s="95"/>
      <c r="G238" s="95"/>
      <c r="H238" s="95"/>
    </row>
    <row r="239" spans="1:8" ht="15.75" customHeight="1" x14ac:dyDescent="0.3">
      <c r="A239" s="143" t="s">
        <v>66</v>
      </c>
      <c r="B239" s="143"/>
      <c r="C239" s="143"/>
      <c r="D239" s="143"/>
      <c r="E239" s="143"/>
      <c r="F239" s="143"/>
      <c r="G239" s="143"/>
      <c r="H239" s="143"/>
    </row>
    <row r="240" spans="1:8" x14ac:dyDescent="0.3">
      <c r="A240" s="95" t="s">
        <v>67</v>
      </c>
      <c r="B240" s="95"/>
      <c r="C240" s="95"/>
      <c r="D240" s="95"/>
      <c r="E240" s="95"/>
      <c r="F240" s="95"/>
      <c r="G240" s="95"/>
      <c r="H240" s="95"/>
    </row>
    <row r="241" spans="1:8" x14ac:dyDescent="0.3">
      <c r="A241" s="95" t="s">
        <v>68</v>
      </c>
      <c r="B241" s="95"/>
      <c r="C241" s="95"/>
      <c r="D241" s="95"/>
      <c r="E241" s="95"/>
      <c r="F241" s="95"/>
      <c r="G241" s="95"/>
      <c r="H241" s="95"/>
    </row>
    <row r="242" spans="1:8" x14ac:dyDescent="0.3">
      <c r="A242" s="95" t="s">
        <v>69</v>
      </c>
      <c r="B242" s="95"/>
      <c r="C242" s="95"/>
      <c r="D242" s="95"/>
      <c r="E242" s="95"/>
      <c r="F242" s="95"/>
      <c r="G242" s="95"/>
      <c r="H242" s="95"/>
    </row>
    <row r="243" spans="1:8" ht="18.75" customHeight="1" x14ac:dyDescent="0.3">
      <c r="A243" s="149" t="s">
        <v>70</v>
      </c>
      <c r="B243" s="149"/>
      <c r="C243" s="149"/>
      <c r="D243" s="149"/>
      <c r="E243" s="149"/>
      <c r="F243" s="149"/>
      <c r="G243" s="149"/>
      <c r="H243" s="149"/>
    </row>
    <row r="244" spans="1:8" x14ac:dyDescent="0.3">
      <c r="A244" s="164" t="s">
        <v>105</v>
      </c>
      <c r="B244" s="164"/>
      <c r="C244" s="164" t="s">
        <v>264</v>
      </c>
      <c r="D244" s="164"/>
      <c r="E244" s="164" t="s">
        <v>136</v>
      </c>
      <c r="F244" s="164"/>
      <c r="G244" s="164" t="s">
        <v>271</v>
      </c>
      <c r="H244" s="164"/>
    </row>
    <row r="245" spans="1:8" x14ac:dyDescent="0.3">
      <c r="A245" s="163" t="s">
        <v>107</v>
      </c>
      <c r="B245" s="163"/>
      <c r="C245" s="163"/>
      <c r="D245" s="163"/>
      <c r="E245" s="163"/>
      <c r="F245" s="163"/>
      <c r="G245" s="163"/>
      <c r="H245" s="163"/>
    </row>
    <row r="246" spans="1:8" x14ac:dyDescent="0.3">
      <c r="A246" s="163"/>
      <c r="B246" s="163"/>
      <c r="C246" s="163"/>
      <c r="D246" s="163"/>
      <c r="E246" s="163"/>
      <c r="F246" s="163"/>
      <c r="G246" s="163"/>
      <c r="H246" s="163"/>
    </row>
    <row r="247" spans="1:8" x14ac:dyDescent="0.3">
      <c r="A247" s="163"/>
      <c r="B247" s="163"/>
      <c r="C247" s="163"/>
      <c r="D247" s="163"/>
      <c r="E247" s="163"/>
      <c r="F247" s="163"/>
      <c r="G247" s="163"/>
      <c r="H247" s="163"/>
    </row>
    <row r="248" spans="1:8" x14ac:dyDescent="0.3">
      <c r="A248" s="163"/>
      <c r="B248" s="163"/>
      <c r="C248" s="163"/>
      <c r="D248" s="163"/>
      <c r="E248" s="163"/>
      <c r="F248" s="163"/>
      <c r="G248" s="163"/>
      <c r="H248" s="163"/>
    </row>
    <row r="249" spans="1:8" x14ac:dyDescent="0.3">
      <c r="A249" s="53" t="s">
        <v>71</v>
      </c>
      <c r="B249" s="54"/>
      <c r="C249" s="54"/>
      <c r="D249" s="53" t="str">
        <f>E8</f>
        <v>Munish Glorious</v>
      </c>
      <c r="F249" s="54"/>
      <c r="G249" s="54"/>
      <c r="H249" s="54"/>
    </row>
    <row r="250" spans="1:8" x14ac:dyDescent="0.3">
      <c r="A250" s="54"/>
      <c r="B250" s="54"/>
      <c r="C250" s="54"/>
      <c r="D250" s="54"/>
      <c r="E250" s="54"/>
      <c r="F250" s="54"/>
      <c r="G250" s="54"/>
      <c r="H250" s="54"/>
    </row>
    <row r="251" spans="1:8" x14ac:dyDescent="0.3">
      <c r="A251" s="54"/>
      <c r="B251" s="54"/>
      <c r="C251" s="54"/>
      <c r="D251" s="54"/>
      <c r="E251" s="54"/>
      <c r="F251" s="54"/>
      <c r="G251" s="54"/>
      <c r="H251" s="54"/>
    </row>
    <row r="252" spans="1:8" ht="15" customHeight="1" x14ac:dyDescent="0.3"/>
    <row r="292" spans="1:1" x14ac:dyDescent="0.3">
      <c r="A292" s="56" t="s">
        <v>72</v>
      </c>
    </row>
  </sheetData>
  <mergeCells count="434">
    <mergeCell ref="A104:B104"/>
    <mergeCell ref="E104:F113"/>
    <mergeCell ref="G104:H113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00:B100"/>
    <mergeCell ref="C100:H100"/>
    <mergeCell ref="A101:B101"/>
    <mergeCell ref="C101:D101"/>
    <mergeCell ref="A102:B102"/>
    <mergeCell ref="C102:H102"/>
    <mergeCell ref="A103:B103"/>
    <mergeCell ref="E103:F103"/>
    <mergeCell ref="G103:H103"/>
    <mergeCell ref="L222:M222"/>
    <mergeCell ref="A73:B74"/>
    <mergeCell ref="C73:D74"/>
    <mergeCell ref="E73:F74"/>
    <mergeCell ref="G73:H74"/>
    <mergeCell ref="A75:B75"/>
    <mergeCell ref="A76:B76"/>
    <mergeCell ref="A77:B77"/>
    <mergeCell ref="A122:E122"/>
    <mergeCell ref="F122:H122"/>
    <mergeCell ref="A116:E116"/>
    <mergeCell ref="F116:H116"/>
    <mergeCell ref="A120:E120"/>
    <mergeCell ref="F120:H120"/>
    <mergeCell ref="A121:E121"/>
    <mergeCell ref="F121:H121"/>
    <mergeCell ref="A117:E117"/>
    <mergeCell ref="F117:H117"/>
    <mergeCell ref="A118:E118"/>
    <mergeCell ref="A79:B79"/>
    <mergeCell ref="A80:B80"/>
    <mergeCell ref="E76:F85"/>
    <mergeCell ref="G76:H85"/>
    <mergeCell ref="A175:H175"/>
    <mergeCell ref="D59:H59"/>
    <mergeCell ref="D58:H58"/>
    <mergeCell ref="A67:C67"/>
    <mergeCell ref="D67:H67"/>
    <mergeCell ref="C72:H72"/>
    <mergeCell ref="D66:H66"/>
    <mergeCell ref="A65:C65"/>
    <mergeCell ref="D63:H63"/>
    <mergeCell ref="D65:H65"/>
    <mergeCell ref="D61:H61"/>
    <mergeCell ref="A66:C66"/>
    <mergeCell ref="A36:B36"/>
    <mergeCell ref="A48:B49"/>
    <mergeCell ref="G48:H48"/>
    <mergeCell ref="G46:H46"/>
    <mergeCell ref="G47:H47"/>
    <mergeCell ref="A47:B47"/>
    <mergeCell ref="C47:E47"/>
    <mergeCell ref="C48:E48"/>
    <mergeCell ref="A46:B46"/>
    <mergeCell ref="C46:E46"/>
    <mergeCell ref="A41:D41"/>
    <mergeCell ref="E41:H41"/>
    <mergeCell ref="E42:H42"/>
    <mergeCell ref="E43:H43"/>
    <mergeCell ref="E44:H44"/>
    <mergeCell ref="C49:H49"/>
    <mergeCell ref="A42:D42"/>
    <mergeCell ref="A43:D43"/>
    <mergeCell ref="C37:H37"/>
    <mergeCell ref="E40:H40"/>
    <mergeCell ref="A245:H248"/>
    <mergeCell ref="A244:B244"/>
    <mergeCell ref="E244:F244"/>
    <mergeCell ref="C244:D244"/>
    <mergeCell ref="G244:H244"/>
    <mergeCell ref="A125:H125"/>
    <mergeCell ref="A123:E123"/>
    <mergeCell ref="F123:H123"/>
    <mergeCell ref="A124:E124"/>
    <mergeCell ref="F124:H124"/>
    <mergeCell ref="A137:B137"/>
    <mergeCell ref="A139:H139"/>
    <mergeCell ref="A135:H135"/>
    <mergeCell ref="G137:H137"/>
    <mergeCell ref="A128:H128"/>
    <mergeCell ref="A239:H239"/>
    <mergeCell ref="A243:H243"/>
    <mergeCell ref="A223:H223"/>
    <mergeCell ref="A136:H136"/>
    <mergeCell ref="A145:B145"/>
    <mergeCell ref="A146:B146"/>
    <mergeCell ref="A126:B126"/>
    <mergeCell ref="A240:H240"/>
    <mergeCell ref="A170:H170"/>
    <mergeCell ref="G50:H50"/>
    <mergeCell ref="A50:B50"/>
    <mergeCell ref="C50:E50"/>
    <mergeCell ref="D60:H60"/>
    <mergeCell ref="A60:C60"/>
    <mergeCell ref="A70:B70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22:H22"/>
    <mergeCell ref="A17:B17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F33:H33"/>
    <mergeCell ref="F34:H34"/>
    <mergeCell ref="F30:H30"/>
    <mergeCell ref="A31:B31"/>
    <mergeCell ref="C31:E31"/>
    <mergeCell ref="A32:B32"/>
    <mergeCell ref="C32:E32"/>
    <mergeCell ref="A33:B33"/>
    <mergeCell ref="C33:E33"/>
    <mergeCell ref="C34:E34"/>
    <mergeCell ref="A30:B30"/>
    <mergeCell ref="C36:H36"/>
    <mergeCell ref="A37:B37"/>
    <mergeCell ref="C19:D19"/>
    <mergeCell ref="C17:D17"/>
    <mergeCell ref="E17:F17"/>
    <mergeCell ref="G17:H17"/>
    <mergeCell ref="G19:H19"/>
    <mergeCell ref="A20:D21"/>
    <mergeCell ref="E20:H21"/>
    <mergeCell ref="A15:B15"/>
    <mergeCell ref="A12:D12"/>
    <mergeCell ref="E12:H12"/>
    <mergeCell ref="A13:D13"/>
    <mergeCell ref="E13:H13"/>
    <mergeCell ref="A14:B14"/>
    <mergeCell ref="C14:H14"/>
    <mergeCell ref="C15:H15"/>
    <mergeCell ref="E19:F19"/>
    <mergeCell ref="A28:D28"/>
    <mergeCell ref="E28:H28"/>
    <mergeCell ref="A35:H35"/>
    <mergeCell ref="F119:H119"/>
    <mergeCell ref="A115:E115"/>
    <mergeCell ref="F115:H115"/>
    <mergeCell ref="A16:B16"/>
    <mergeCell ref="C16:D16"/>
    <mergeCell ref="E16:F16"/>
    <mergeCell ref="G16:H16"/>
    <mergeCell ref="A24:D24"/>
    <mergeCell ref="A25:D25"/>
    <mergeCell ref="E25:H25"/>
    <mergeCell ref="E24:H24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A22:D22"/>
    <mergeCell ref="A150:B150"/>
    <mergeCell ref="A44:D44"/>
    <mergeCell ref="A45:H45"/>
    <mergeCell ref="A57:H57"/>
    <mergeCell ref="A58:C58"/>
    <mergeCell ref="D126:E126"/>
    <mergeCell ref="F126:H126"/>
    <mergeCell ref="A127:B127"/>
    <mergeCell ref="D127:E127"/>
    <mergeCell ref="F127:H127"/>
    <mergeCell ref="G75:H75"/>
    <mergeCell ref="A114:H114"/>
    <mergeCell ref="A51:H51"/>
    <mergeCell ref="A52:B52"/>
    <mergeCell ref="C52:E52"/>
    <mergeCell ref="G52:H52"/>
    <mergeCell ref="A53:B53"/>
    <mergeCell ref="C53:E53"/>
    <mergeCell ref="G53:H53"/>
    <mergeCell ref="A54:B55"/>
    <mergeCell ref="C54:E54"/>
    <mergeCell ref="G54:H54"/>
    <mergeCell ref="C55:H55"/>
    <mergeCell ref="A56:B56"/>
    <mergeCell ref="A27:D27"/>
    <mergeCell ref="E27:H27"/>
    <mergeCell ref="A40:D40"/>
    <mergeCell ref="A241:H241"/>
    <mergeCell ref="A242:H242"/>
    <mergeCell ref="A140:H140"/>
    <mergeCell ref="A144:B144"/>
    <mergeCell ref="A141:B141"/>
    <mergeCell ref="A142:B142"/>
    <mergeCell ref="A143:B143"/>
    <mergeCell ref="A153:H153"/>
    <mergeCell ref="A154:B154"/>
    <mergeCell ref="G154:H159"/>
    <mergeCell ref="A155:B155"/>
    <mergeCell ref="A156:B156"/>
    <mergeCell ref="A157:B157"/>
    <mergeCell ref="A158:B158"/>
    <mergeCell ref="A159:B159"/>
    <mergeCell ref="G141:H150"/>
    <mergeCell ref="A148:B148"/>
    <mergeCell ref="A149:B149"/>
    <mergeCell ref="A237:H237"/>
    <mergeCell ref="A238:H238"/>
    <mergeCell ref="A151:H151"/>
    <mergeCell ref="A152:H152"/>
    <mergeCell ref="A147:B147"/>
    <mergeCell ref="A222:H222"/>
    <mergeCell ref="A164:B164"/>
    <mergeCell ref="A165:B165"/>
    <mergeCell ref="A166:B166"/>
    <mergeCell ref="C164:F164"/>
    <mergeCell ref="A84:B84"/>
    <mergeCell ref="A85:B85"/>
    <mergeCell ref="A87:B87"/>
    <mergeCell ref="C87:D87"/>
    <mergeCell ref="A88:B88"/>
    <mergeCell ref="C88:H88"/>
    <mergeCell ref="A138:H138"/>
    <mergeCell ref="F118:H118"/>
    <mergeCell ref="A119:E119"/>
    <mergeCell ref="A220:B220"/>
    <mergeCell ref="A167:H167"/>
    <mergeCell ref="A168:A169"/>
    <mergeCell ref="B168:B169"/>
    <mergeCell ref="C168:C169"/>
    <mergeCell ref="E168:E169"/>
    <mergeCell ref="F168:F169"/>
    <mergeCell ref="G168:G169"/>
    <mergeCell ref="C56:E56"/>
    <mergeCell ref="G56:H56"/>
    <mergeCell ref="I58:M59"/>
    <mergeCell ref="D62:H62"/>
    <mergeCell ref="A61:C62"/>
    <mergeCell ref="A86:B86"/>
    <mergeCell ref="C86:H86"/>
    <mergeCell ref="A69:C69"/>
    <mergeCell ref="D69:H69"/>
    <mergeCell ref="A68:C68"/>
    <mergeCell ref="D68:H68"/>
    <mergeCell ref="A64:C64"/>
    <mergeCell ref="D64:H64"/>
    <mergeCell ref="E75:F75"/>
    <mergeCell ref="A78:B78"/>
    <mergeCell ref="A81:B81"/>
    <mergeCell ref="A82:B82"/>
    <mergeCell ref="A83:B83"/>
    <mergeCell ref="C70:H70"/>
    <mergeCell ref="A71:B71"/>
    <mergeCell ref="C71:D71"/>
    <mergeCell ref="A72:B72"/>
    <mergeCell ref="A63:C63"/>
    <mergeCell ref="A59:C59"/>
    <mergeCell ref="B230:H230"/>
    <mergeCell ref="B231:H231"/>
    <mergeCell ref="B232:H232"/>
    <mergeCell ref="A89:B89"/>
    <mergeCell ref="E89:F89"/>
    <mergeCell ref="G89:H89"/>
    <mergeCell ref="A90:B90"/>
    <mergeCell ref="E90:F99"/>
    <mergeCell ref="G90:H99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60:H160"/>
    <mergeCell ref="A161:B161"/>
    <mergeCell ref="G161:H166"/>
    <mergeCell ref="A162:B162"/>
    <mergeCell ref="A163:B163"/>
    <mergeCell ref="D168:D169"/>
    <mergeCell ref="B233:H233"/>
    <mergeCell ref="B234:H234"/>
    <mergeCell ref="A10:D10"/>
    <mergeCell ref="E10:H10"/>
    <mergeCell ref="B235:H235"/>
    <mergeCell ref="B236:H236"/>
    <mergeCell ref="A198:B198"/>
    <mergeCell ref="A199:B199"/>
    <mergeCell ref="A201:B201"/>
    <mergeCell ref="A202:B202"/>
    <mergeCell ref="A203:B203"/>
    <mergeCell ref="A204:B204"/>
    <mergeCell ref="A205:B205"/>
    <mergeCell ref="A206:B206"/>
    <mergeCell ref="A208:H208"/>
    <mergeCell ref="A209:H209"/>
    <mergeCell ref="A211:B211"/>
    <mergeCell ref="A212:B212"/>
    <mergeCell ref="B224:H224"/>
    <mergeCell ref="B225:H225"/>
    <mergeCell ref="B226:H226"/>
    <mergeCell ref="B227:H227"/>
    <mergeCell ref="B228:H228"/>
    <mergeCell ref="B229:H229"/>
    <mergeCell ref="A171:B171"/>
    <mergeCell ref="A180:H180"/>
    <mergeCell ref="A181:B181"/>
    <mergeCell ref="L199:M199"/>
    <mergeCell ref="L201:M201"/>
    <mergeCell ref="L181:M181"/>
    <mergeCell ref="A182:B182"/>
    <mergeCell ref="L182:M182"/>
    <mergeCell ref="A183:B183"/>
    <mergeCell ref="L183:M183"/>
    <mergeCell ref="A184:B184"/>
    <mergeCell ref="L184:M184"/>
    <mergeCell ref="L185:M185"/>
    <mergeCell ref="L186:M186"/>
    <mergeCell ref="L187:M187"/>
    <mergeCell ref="L188:M188"/>
    <mergeCell ref="L189:M189"/>
    <mergeCell ref="L190:M190"/>
    <mergeCell ref="L194:M194"/>
    <mergeCell ref="L195:M195"/>
    <mergeCell ref="L196:M196"/>
    <mergeCell ref="L197:M197"/>
    <mergeCell ref="L198:M198"/>
    <mergeCell ref="L171:M171"/>
    <mergeCell ref="A172:B172"/>
    <mergeCell ref="L172:M172"/>
    <mergeCell ref="A173:B173"/>
    <mergeCell ref="L173:M173"/>
    <mergeCell ref="A174:B174"/>
    <mergeCell ref="L174:M174"/>
    <mergeCell ref="A176:A177"/>
    <mergeCell ref="B176:B177"/>
    <mergeCell ref="C176:C177"/>
    <mergeCell ref="D176:D177"/>
    <mergeCell ref="E176:E177"/>
    <mergeCell ref="F176:F177"/>
    <mergeCell ref="G176:G177"/>
    <mergeCell ref="A217:H217"/>
    <mergeCell ref="L218:M218"/>
    <mergeCell ref="L219:M219"/>
    <mergeCell ref="L203:M203"/>
    <mergeCell ref="A200:H200"/>
    <mergeCell ref="L204:M204"/>
    <mergeCell ref="L205:M205"/>
    <mergeCell ref="L206:M206"/>
    <mergeCell ref="C204:H204"/>
    <mergeCell ref="A207:H207"/>
    <mergeCell ref="A210:B210"/>
    <mergeCell ref="L210:M210"/>
    <mergeCell ref="A213:B213"/>
    <mergeCell ref="A214:B214"/>
    <mergeCell ref="A218:B218"/>
    <mergeCell ref="A219:B219"/>
    <mergeCell ref="L202:M202"/>
    <mergeCell ref="A132:B132"/>
    <mergeCell ref="C132:D132"/>
    <mergeCell ref="E132:F132"/>
    <mergeCell ref="L211:M211"/>
    <mergeCell ref="L212:M212"/>
    <mergeCell ref="L213:M213"/>
    <mergeCell ref="L214:M214"/>
    <mergeCell ref="A215:H215"/>
    <mergeCell ref="A216:H216"/>
    <mergeCell ref="A178:H178"/>
    <mergeCell ref="A179:H179"/>
    <mergeCell ref="A185:B185"/>
    <mergeCell ref="A186:B186"/>
    <mergeCell ref="A187:B187"/>
    <mergeCell ref="A188:B188"/>
    <mergeCell ref="A189:B189"/>
    <mergeCell ref="A190:B190"/>
    <mergeCell ref="A191:H191"/>
    <mergeCell ref="A192:H192"/>
    <mergeCell ref="A193:H193"/>
    <mergeCell ref="A194:B194"/>
    <mergeCell ref="A195:B195"/>
    <mergeCell ref="A196:B196"/>
    <mergeCell ref="A197:B197"/>
    <mergeCell ref="G132:H132"/>
    <mergeCell ref="A133:B133"/>
    <mergeCell ref="C133:D133"/>
    <mergeCell ref="E133:F133"/>
    <mergeCell ref="G133:H133"/>
    <mergeCell ref="L220:M220"/>
    <mergeCell ref="A221:B221"/>
    <mergeCell ref="L221:M221"/>
    <mergeCell ref="A129:B129"/>
    <mergeCell ref="C129:D129"/>
    <mergeCell ref="E129:F129"/>
    <mergeCell ref="G129:H129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4:B134"/>
    <mergeCell ref="C134:D134"/>
    <mergeCell ref="E134:F134"/>
    <mergeCell ref="G134:H134"/>
  </mergeCells>
  <dataValidations count="7">
    <dataValidation type="list" allowBlank="1" showInputMessage="1" showErrorMessage="1" sqref="D168:D169 D176:D177" xr:uid="{00000000-0002-0000-0000-000000000000}">
      <formula1>"Carpet area,RERA Carpet area"</formula1>
    </dataValidation>
    <dataValidation type="list" allowBlank="1" showInputMessage="1" showErrorMessage="1" sqref="H168 H176" xr:uid="{00000000-0002-0000-0000-000001000000}">
      <formula1>"Saleable area Loading :,Builder Saleable Area"</formula1>
    </dataValidation>
    <dataValidation type="list" allowBlank="1" showInputMessage="1" showErrorMessage="1" sqref="H169 H177" xr:uid="{00000000-0002-0000-0000-000002000000}">
      <formula1>".45,.50,.55,.60"</formula1>
    </dataValidation>
    <dataValidation type="list" allowBlank="1" showInputMessage="1" showErrorMessage="1" sqref="E176:E177" xr:uid="{00000000-0002-0000-0000-000003000000}">
      <formula1>"Fungible area,Balcony Area,Chajja Area,Cornice Area,AP Area,WS Area"</formula1>
    </dataValidation>
    <dataValidation type="list" allowBlank="1" showInputMessage="1" showErrorMessage="1" sqref="B176:B177" xr:uid="{00000000-0002-0000-0000-000004000000}">
      <formula1>"Flat No. (Sale Plan),Sale / Rehab,Sale / Mhada"</formula1>
    </dataValidation>
    <dataValidation type="list" allowBlank="1" showInputMessage="1" showErrorMessage="1" sqref="B168:B169" xr:uid="{00000000-0002-0000-0000-000005000000}">
      <formula1>"Shop No. (Sale Plan),Sale / Rehab,Sale / Mhada"</formula1>
    </dataValidation>
    <dataValidation type="list" allowBlank="1" showInputMessage="1" showErrorMessage="1" sqref="E168:E169" xr:uid="{00000000-0002-0000-0000-000006000000}">
      <formula1>"Attached Loft area,Attached Otla area,Attached Mezzanine area"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4" manualBreakCount="4">
    <brk id="69" max="16383" man="1"/>
    <brk id="113" max="16383" man="1"/>
    <brk id="248" max="16383" man="1"/>
    <brk id="29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6"/>
  <sheetViews>
    <sheetView workbookViewId="0">
      <selection activeCell="M197" sqref="M197"/>
    </sheetView>
  </sheetViews>
  <sheetFormatPr defaultRowHeight="14.4" x14ac:dyDescent="0.3"/>
  <cols>
    <col min="2" max="2" width="12.21875" customWidth="1"/>
  </cols>
  <sheetData>
    <row r="2" spans="1:12" x14ac:dyDescent="0.3">
      <c r="B2" s="1" t="s">
        <v>74</v>
      </c>
      <c r="C2" s="180"/>
      <c r="D2" s="180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75</v>
      </c>
      <c r="B4" s="3" t="s">
        <v>76</v>
      </c>
      <c r="C4" s="181" t="s">
        <v>77</v>
      </c>
      <c r="D4" s="181"/>
      <c r="E4" s="181"/>
      <c r="F4" s="4"/>
      <c r="G4" s="181" t="s">
        <v>78</v>
      </c>
      <c r="H4" s="181"/>
      <c r="I4" s="181"/>
      <c r="J4" s="181" t="s">
        <v>79</v>
      </c>
      <c r="K4" s="181"/>
      <c r="L4" s="181"/>
    </row>
    <row r="5" spans="1:12" x14ac:dyDescent="0.3">
      <c r="A5" s="1">
        <v>202</v>
      </c>
      <c r="B5" s="3"/>
      <c r="C5" s="3" t="s">
        <v>80</v>
      </c>
      <c r="D5" s="3" t="s">
        <v>81</v>
      </c>
      <c r="E5" s="3" t="s">
        <v>56</v>
      </c>
      <c r="F5" s="3"/>
      <c r="G5" s="3" t="s">
        <v>80</v>
      </c>
      <c r="H5" s="3" t="s">
        <v>81</v>
      </c>
      <c r="I5" s="3" t="s">
        <v>56</v>
      </c>
      <c r="J5" s="3" t="s">
        <v>80</v>
      </c>
      <c r="K5" s="3" t="s">
        <v>81</v>
      </c>
      <c r="L5" s="3" t="s">
        <v>56</v>
      </c>
    </row>
    <row r="6" spans="1:12" x14ac:dyDescent="0.3">
      <c r="B6" s="5" t="s">
        <v>82</v>
      </c>
      <c r="C6" s="5">
        <v>4.5</v>
      </c>
      <c r="D6" s="5">
        <v>2.9</v>
      </c>
      <c r="E6" s="5">
        <f>C6*D6</f>
        <v>13.049999999999999</v>
      </c>
      <c r="F6" s="5" t="s">
        <v>83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84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85</v>
      </c>
      <c r="C9" s="5">
        <v>1.88</v>
      </c>
      <c r="D9" s="5">
        <v>2.13</v>
      </c>
      <c r="E9" s="5">
        <f t="shared" si="0"/>
        <v>4.0043999999999995</v>
      </c>
      <c r="F9" s="5" t="s">
        <v>83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84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86</v>
      </c>
      <c r="C13" s="5"/>
      <c r="D13" s="5"/>
      <c r="E13" s="5">
        <f t="shared" si="0"/>
        <v>0</v>
      </c>
      <c r="F13" s="5" t="s">
        <v>83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84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87</v>
      </c>
      <c r="C17" s="5"/>
      <c r="D17" s="5"/>
      <c r="E17" s="5">
        <f t="shared" si="0"/>
        <v>0</v>
      </c>
      <c r="F17" s="5" t="s">
        <v>83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84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87</v>
      </c>
      <c r="C20" s="5"/>
      <c r="D20" s="5"/>
      <c r="E20" s="5">
        <f t="shared" si="0"/>
        <v>0</v>
      </c>
      <c r="F20" s="5" t="s">
        <v>83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84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88</v>
      </c>
      <c r="C23" s="5">
        <v>1.9</v>
      </c>
      <c r="D23" s="5">
        <v>1.07</v>
      </c>
      <c r="E23" s="5">
        <f t="shared" si="0"/>
        <v>2.0329999999999999</v>
      </c>
      <c r="F23" s="5" t="s">
        <v>89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90</v>
      </c>
      <c r="C24" s="5"/>
      <c r="D24" s="5"/>
      <c r="E24" s="5">
        <f t="shared" si="0"/>
        <v>0</v>
      </c>
      <c r="F24" s="5" t="s">
        <v>89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91</v>
      </c>
      <c r="C25" s="5"/>
      <c r="D25" s="5"/>
      <c r="E25" s="5">
        <f t="shared" si="0"/>
        <v>0</v>
      </c>
      <c r="F25" s="5" t="s">
        <v>89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92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93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94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95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57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zoomScale="115" zoomScaleNormal="115" workbookViewId="0">
      <selection activeCell="E5" sqref="E5"/>
    </sheetView>
  </sheetViews>
  <sheetFormatPr defaultColWidth="8.77734375" defaultRowHeight="14.4" x14ac:dyDescent="0.3"/>
  <cols>
    <col min="1" max="1" width="8.77734375" style="7"/>
    <col min="2" max="2" width="22.21875" style="7" customWidth="1"/>
    <col min="3" max="3" width="37" style="7" customWidth="1"/>
    <col min="4" max="5" width="11.44140625" style="7" customWidth="1"/>
    <col min="6" max="6" width="14" style="7" customWidth="1"/>
    <col min="7" max="7" width="20" style="7" customWidth="1"/>
    <col min="8" max="8" width="16.44140625" style="7" customWidth="1"/>
    <col min="9" max="16384" width="8.77734375" style="7"/>
  </cols>
  <sheetData>
    <row r="1" spans="1:9" ht="15" customHeight="1" x14ac:dyDescent="0.3"/>
    <row r="2" spans="1:9" ht="15" customHeight="1" x14ac:dyDescent="0.3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">
      <c r="A3" s="8"/>
      <c r="B3" s="182" t="s">
        <v>137</v>
      </c>
      <c r="C3" s="182"/>
      <c r="D3" s="182"/>
      <c r="E3" s="182"/>
      <c r="F3" s="182"/>
      <c r="G3" s="182"/>
      <c r="H3" s="182"/>
    </row>
    <row r="4" spans="1:9" x14ac:dyDescent="0.3">
      <c r="A4" s="8"/>
      <c r="B4" s="9" t="s">
        <v>138</v>
      </c>
      <c r="C4" s="9" t="s">
        <v>139</v>
      </c>
      <c r="D4" s="9" t="s">
        <v>75</v>
      </c>
      <c r="E4" s="9" t="s">
        <v>140</v>
      </c>
      <c r="F4" s="9" t="s">
        <v>146</v>
      </c>
      <c r="G4" s="9" t="s">
        <v>147</v>
      </c>
      <c r="H4" s="9" t="s">
        <v>141</v>
      </c>
    </row>
    <row r="5" spans="1:9" ht="15" customHeight="1" x14ac:dyDescent="0.3">
      <c r="A5" s="8"/>
      <c r="B5" s="20" t="s">
        <v>170</v>
      </c>
      <c r="C5" s="21" t="s">
        <v>171</v>
      </c>
      <c r="D5" s="20" t="s">
        <v>166</v>
      </c>
      <c r="E5" s="11"/>
      <c r="F5" s="13">
        <f>E5*1.6</f>
        <v>0</v>
      </c>
      <c r="G5" s="13" t="e">
        <f>H5/F5</f>
        <v>#DIV/0!</v>
      </c>
      <c r="H5" s="14">
        <v>55800000</v>
      </c>
    </row>
    <row r="6" spans="1:9" x14ac:dyDescent="0.3">
      <c r="A6" s="8"/>
      <c r="B6" s="11" t="s">
        <v>142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">
      <c r="A7" s="8"/>
      <c r="B7" s="11" t="s">
        <v>142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">
      <c r="A8" s="8"/>
      <c r="B8" s="11" t="s">
        <v>142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">
      <c r="A9" s="8"/>
      <c r="B9" s="11" t="s">
        <v>142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">
      <c r="A10" s="8"/>
      <c r="B10" s="11" t="s">
        <v>143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">
      <c r="A11" s="8"/>
      <c r="B11" s="11" t="s">
        <v>143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">
      <c r="A12" s="8"/>
      <c r="B12" s="16" t="s">
        <v>144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">
      <c r="B13" s="16" t="s">
        <v>145</v>
      </c>
      <c r="C13" s="11"/>
      <c r="D13" s="11"/>
      <c r="E13" s="11"/>
      <c r="F13" s="18"/>
      <c r="G13" s="16"/>
      <c r="H13" s="16"/>
      <c r="I13" s="1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2025-07-09T06:04:27Z</cp:lastPrinted>
  <dcterms:created xsi:type="dcterms:W3CDTF">2019-07-16T09:29:46Z</dcterms:created>
  <dcterms:modified xsi:type="dcterms:W3CDTF">2025-07-09T06:04:27Z</dcterms:modified>
</cp:coreProperties>
</file>