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VSJ Work\July 25\Axis\Dump\"/>
    </mc:Choice>
  </mc:AlternateContent>
  <xr:revisionPtr revIDLastSave="0" documentId="13_ncr:1_{A4CB2307-74B3-4800-8785-361E00585B0F}"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Note" sheetId="4" r:id="rId3"/>
    <sheet name="32nd Floor" sheetId="3" r:id="rId4"/>
    <sheet name="31st Floor" sheetId="5" r:id="rId5"/>
    <sheet name="30th Floor" sheetId="6" r:id="rId6"/>
    <sheet name="29th Floor" sheetId="7" r:id="rId7"/>
  </sheets>
  <definedNames>
    <definedName name="_xlnm.Print_Area" localSheetId="0">'Report (2)'!$A$1:$J$330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L34" i="7" l="1"/>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34" i="6"/>
  <c r="I34" i="6"/>
  <c r="E34" i="6"/>
  <c r="L33" i="6"/>
  <c r="I33" i="6"/>
  <c r="E33" i="6"/>
  <c r="L32" i="6"/>
  <c r="I32" i="6"/>
  <c r="E32" i="6"/>
  <c r="L31" i="6"/>
  <c r="I31" i="6"/>
  <c r="E31" i="6"/>
  <c r="L30" i="6"/>
  <c r="I30" i="6"/>
  <c r="E30" i="6"/>
  <c r="L29" i="6"/>
  <c r="I29" i="6"/>
  <c r="E29" i="6"/>
  <c r="L28" i="6"/>
  <c r="I28" i="6"/>
  <c r="E28" i="6"/>
  <c r="L27" i="6"/>
  <c r="I27" i="6"/>
  <c r="E27" i="6"/>
  <c r="L26" i="6"/>
  <c r="I26" i="6"/>
  <c r="E26" i="6"/>
  <c r="L25" i="6"/>
  <c r="I25" i="6"/>
  <c r="E25" i="6"/>
  <c r="L24" i="6"/>
  <c r="I24" i="6"/>
  <c r="E24" i="6"/>
  <c r="L23" i="6"/>
  <c r="I23" i="6"/>
  <c r="E23" i="6"/>
  <c r="L22" i="6"/>
  <c r="I22" i="6"/>
  <c r="E22" i="6"/>
  <c r="L21" i="6"/>
  <c r="I21" i="6"/>
  <c r="E21" i="6"/>
  <c r="L20" i="6"/>
  <c r="I20" i="6"/>
  <c r="E20" i="6"/>
  <c r="L19" i="6"/>
  <c r="I19" i="6"/>
  <c r="E19" i="6"/>
  <c r="L18" i="6"/>
  <c r="I18" i="6"/>
  <c r="E18" i="6"/>
  <c r="L17" i="6"/>
  <c r="I17" i="6"/>
  <c r="E17" i="6"/>
  <c r="L16" i="6"/>
  <c r="I16" i="6"/>
  <c r="E16" i="6"/>
  <c r="L15" i="6"/>
  <c r="I15" i="6"/>
  <c r="E15" i="6"/>
  <c r="L14" i="6"/>
  <c r="I14" i="6"/>
  <c r="E14" i="6"/>
  <c r="L13" i="6"/>
  <c r="I13" i="6"/>
  <c r="E13" i="6"/>
  <c r="L12" i="6"/>
  <c r="I12" i="6"/>
  <c r="E12" i="6"/>
  <c r="L11" i="6"/>
  <c r="I11" i="6"/>
  <c r="E11" i="6"/>
  <c r="L10" i="6"/>
  <c r="I10" i="6"/>
  <c r="E10" i="6"/>
  <c r="L9" i="6"/>
  <c r="I9" i="6"/>
  <c r="E9" i="6"/>
  <c r="L8" i="6"/>
  <c r="I8" i="6"/>
  <c r="E8" i="6"/>
  <c r="L7" i="6"/>
  <c r="I7" i="6"/>
  <c r="E7" i="6"/>
  <c r="L6" i="6"/>
  <c r="I6" i="6"/>
  <c r="E6" i="6"/>
  <c r="L34" i="5"/>
  <c r="I34" i="5"/>
  <c r="E34" i="5"/>
  <c r="L33" i="5"/>
  <c r="I33" i="5"/>
  <c r="E33" i="5"/>
  <c r="L32" i="5"/>
  <c r="I32" i="5"/>
  <c r="E32" i="5"/>
  <c r="L31" i="5"/>
  <c r="I31" i="5"/>
  <c r="E31" i="5"/>
  <c r="L30" i="5"/>
  <c r="I30" i="5"/>
  <c r="E30" i="5"/>
  <c r="L29" i="5"/>
  <c r="I29" i="5"/>
  <c r="E29" i="5"/>
  <c r="L28" i="5"/>
  <c r="I28" i="5"/>
  <c r="E28" i="5"/>
  <c r="L27" i="5"/>
  <c r="I27" i="5"/>
  <c r="E27" i="5"/>
  <c r="L26" i="5"/>
  <c r="I26" i="5"/>
  <c r="E26" i="5"/>
  <c r="L25" i="5"/>
  <c r="I25" i="5"/>
  <c r="E25" i="5"/>
  <c r="L24" i="5"/>
  <c r="I24" i="5"/>
  <c r="E24" i="5"/>
  <c r="L23" i="5"/>
  <c r="I23" i="5"/>
  <c r="E23" i="5"/>
  <c r="L22" i="5"/>
  <c r="I22" i="5"/>
  <c r="E22" i="5"/>
  <c r="L21" i="5"/>
  <c r="I21" i="5"/>
  <c r="E21" i="5"/>
  <c r="L20" i="5"/>
  <c r="I20" i="5"/>
  <c r="E20" i="5"/>
  <c r="L19" i="5"/>
  <c r="I19" i="5"/>
  <c r="E19" i="5"/>
  <c r="L18" i="5"/>
  <c r="I18" i="5"/>
  <c r="E18" i="5"/>
  <c r="L17" i="5"/>
  <c r="I17" i="5"/>
  <c r="E17" i="5"/>
  <c r="L16" i="5"/>
  <c r="I16" i="5"/>
  <c r="E16" i="5"/>
  <c r="L15" i="5"/>
  <c r="I15" i="5"/>
  <c r="E15" i="5"/>
  <c r="L14" i="5"/>
  <c r="I14" i="5"/>
  <c r="E14" i="5"/>
  <c r="L13" i="5"/>
  <c r="I13" i="5"/>
  <c r="E13" i="5"/>
  <c r="L12" i="5"/>
  <c r="I12" i="5"/>
  <c r="E12" i="5"/>
  <c r="L11" i="5"/>
  <c r="I11" i="5"/>
  <c r="E11" i="5"/>
  <c r="L10" i="5"/>
  <c r="I10" i="5"/>
  <c r="E10" i="5"/>
  <c r="L9" i="5"/>
  <c r="I9" i="5"/>
  <c r="E9" i="5"/>
  <c r="L8" i="5"/>
  <c r="I8" i="5"/>
  <c r="E8" i="5"/>
  <c r="L7" i="5"/>
  <c r="I7" i="5"/>
  <c r="E7" i="5"/>
  <c r="L6" i="5"/>
  <c r="I6" i="5"/>
  <c r="E6" i="5"/>
  <c r="L9" i="3"/>
  <c r="I9" i="3"/>
  <c r="E9" i="3"/>
  <c r="I35" i="7" l="1"/>
  <c r="H35" i="7" s="1"/>
  <c r="L35" i="7"/>
  <c r="K35" i="7" s="1"/>
  <c r="I35" i="6"/>
  <c r="H35" i="6" s="1"/>
  <c r="L35" i="5"/>
  <c r="K35" i="5" s="1"/>
  <c r="E35" i="6"/>
  <c r="D35" i="6" s="1"/>
  <c r="D37" i="6" s="1"/>
  <c r="L35" i="6"/>
  <c r="K35" i="6" s="1"/>
  <c r="I35" i="5"/>
  <c r="H35" i="5" s="1"/>
  <c r="E35" i="7"/>
  <c r="D35" i="7" s="1"/>
  <c r="D37" i="7" s="1"/>
  <c r="E35" i="5"/>
  <c r="D35" i="5"/>
  <c r="D37" i="5" s="1"/>
  <c r="D179" i="1" l="1"/>
  <c r="G179" i="1" s="1"/>
  <c r="D178" i="1"/>
  <c r="D182" i="1"/>
  <c r="G182" i="1" s="1"/>
  <c r="D181" i="1"/>
  <c r="G181" i="1" s="1"/>
  <c r="E37" i="7"/>
  <c r="D185" i="1"/>
  <c r="D184" i="1"/>
  <c r="E37" i="5"/>
  <c r="E37" i="6"/>
  <c r="F185" i="1"/>
  <c r="F184" i="1"/>
  <c r="H124" i="1"/>
  <c r="G184" i="1" l="1"/>
  <c r="G185" i="1"/>
  <c r="G178" i="1"/>
  <c r="H187" i="1"/>
  <c r="H184" i="1"/>
  <c r="H181" i="1"/>
  <c r="M178" i="1"/>
  <c r="N178" i="1" s="1"/>
  <c r="F3" i="1" l="1"/>
  <c r="D212" i="1"/>
  <c r="L92" i="1" l="1"/>
  <c r="L91" i="1"/>
  <c r="L90" i="1"/>
  <c r="L89" i="1"/>
  <c r="I82" i="1"/>
  <c r="L87" i="1" l="1"/>
  <c r="L88" i="1" s="1"/>
  <c r="L93" i="1" s="1"/>
  <c r="L94" i="1" s="1"/>
  <c r="C86" i="1" s="1"/>
  <c r="D93" i="1"/>
  <c r="D87" i="1"/>
  <c r="L86" i="1"/>
  <c r="C85" i="1" s="1"/>
  <c r="L85" i="1"/>
  <c r="D92" i="1"/>
  <c r="D91" i="1"/>
  <c r="D89" i="1"/>
  <c r="L84" i="1"/>
  <c r="D88" i="1"/>
  <c r="D90" i="1"/>
  <c r="D94" i="1"/>
  <c r="D147" i="1"/>
  <c r="F85" i="1" l="1"/>
  <c r="D86" i="1"/>
  <c r="H85" i="1"/>
  <c r="D85" i="1"/>
  <c r="L78" i="1"/>
  <c r="L77" i="1"/>
  <c r="L76" i="1"/>
  <c r="L75" i="1"/>
  <c r="K81" i="1" l="1"/>
  <c r="C83" i="1" s="1"/>
  <c r="D73" i="1"/>
  <c r="D80" i="1"/>
  <c r="D76" i="1"/>
  <c r="L72" i="1"/>
  <c r="C71" i="1" s="1"/>
  <c r="D71" i="1" s="1"/>
  <c r="L70" i="1"/>
  <c r="D78" i="1"/>
  <c r="D74" i="1"/>
  <c r="D79" i="1"/>
  <c r="D75" i="1"/>
  <c r="L71" i="1"/>
  <c r="L73" i="1"/>
  <c r="L74" i="1" s="1"/>
  <c r="L79" i="1" s="1"/>
  <c r="L80" i="1" s="1"/>
  <c r="C72" i="1" s="1"/>
  <c r="D77" i="1"/>
  <c r="M12" i="1"/>
  <c r="M13" i="1" s="1"/>
  <c r="M14" i="1" s="1"/>
  <c r="L12" i="1"/>
  <c r="L13" i="1" s="1"/>
  <c r="L14" i="1" s="1"/>
  <c r="F47" i="1"/>
  <c r="F48" i="1" s="1"/>
  <c r="C14" i="1"/>
  <c r="D197" i="1"/>
  <c r="G197" i="1" s="1"/>
  <c r="D196" i="1"/>
  <c r="G196" i="1" s="1"/>
  <c r="D195" i="1"/>
  <c r="G195" i="1" s="1"/>
  <c r="D194" i="1"/>
  <c r="H194" i="1"/>
  <c r="H178" i="1"/>
  <c r="F176" i="1"/>
  <c r="F175" i="1"/>
  <c r="M175" i="1" s="1"/>
  <c r="D176" i="1"/>
  <c r="H175" i="1"/>
  <c r="D175" i="1"/>
  <c r="D173" i="1"/>
  <c r="D172" i="1"/>
  <c r="M172" i="1" s="1"/>
  <c r="H172" i="1"/>
  <c r="D170" i="1"/>
  <c r="D169" i="1"/>
  <c r="F170" i="1"/>
  <c r="F169" i="1"/>
  <c r="H169" i="1"/>
  <c r="D167" i="1"/>
  <c r="D166" i="1"/>
  <c r="F167" i="1"/>
  <c r="H166" i="1"/>
  <c r="F166" i="1"/>
  <c r="F163" i="1"/>
  <c r="F162" i="1"/>
  <c r="D162" i="1"/>
  <c r="D163" i="1"/>
  <c r="H162" i="1"/>
  <c r="D160" i="1"/>
  <c r="D159" i="1"/>
  <c r="F160" i="1"/>
  <c r="F159" i="1"/>
  <c r="H159" i="1"/>
  <c r="F157" i="1"/>
  <c r="F156" i="1"/>
  <c r="D156" i="1"/>
  <c r="D157" i="1"/>
  <c r="H156" i="1"/>
  <c r="D153" i="1"/>
  <c r="D154" i="1"/>
  <c r="F154" i="1"/>
  <c r="H153" i="1"/>
  <c r="F153" i="1"/>
  <c r="F151" i="1"/>
  <c r="F150" i="1"/>
  <c r="D151" i="1"/>
  <c r="D150" i="1"/>
  <c r="H150" i="1"/>
  <c r="F148" i="1"/>
  <c r="F147" i="1"/>
  <c r="D148" i="1"/>
  <c r="H147" i="1"/>
  <c r="D140" i="1"/>
  <c r="G140" i="1" s="1"/>
  <c r="D135" i="1"/>
  <c r="G135" i="1" s="1"/>
  <c r="D136" i="1"/>
  <c r="G136" i="1" s="1"/>
  <c r="D137" i="1"/>
  <c r="G137" i="1" s="1"/>
  <c r="D138" i="1"/>
  <c r="G138" i="1" s="1"/>
  <c r="D134" i="1"/>
  <c r="G134" i="1" s="1"/>
  <c r="D133" i="1"/>
  <c r="G133" i="1" s="1"/>
  <c r="D132" i="1"/>
  <c r="G132" i="1" s="1"/>
  <c r="D131" i="1"/>
  <c r="G131" i="1" s="1"/>
  <c r="D130" i="1"/>
  <c r="G130" i="1" s="1"/>
  <c r="D129" i="1"/>
  <c r="G129" i="1" s="1"/>
  <c r="D128" i="1"/>
  <c r="G128" i="1" s="1"/>
  <c r="D127" i="1"/>
  <c r="G127" i="1" s="1"/>
  <c r="D126" i="1"/>
  <c r="G126" i="1" s="1"/>
  <c r="D125" i="1"/>
  <c r="G125" i="1" s="1"/>
  <c r="D124" i="1"/>
  <c r="G124" i="1" s="1"/>
  <c r="F41" i="1"/>
  <c r="G194" i="1" l="1"/>
  <c r="C116" i="1"/>
  <c r="M176" i="1"/>
  <c r="F71" i="1"/>
  <c r="K67" i="1" s="1"/>
  <c r="C69" i="1" s="1"/>
  <c r="D72" i="1"/>
  <c r="H71" i="1"/>
  <c r="G111" i="1"/>
  <c r="G110" i="1"/>
  <c r="G116" i="1"/>
  <c r="D116" i="1"/>
  <c r="G109" i="1"/>
  <c r="D109" i="1"/>
  <c r="C109" i="1"/>
  <c r="C111" i="1"/>
  <c r="D110" i="1"/>
  <c r="C110" i="1"/>
  <c r="D111" i="1"/>
  <c r="B7" i="2"/>
  <c r="G112" i="1" l="1"/>
  <c r="C112" i="1"/>
  <c r="D112" i="1"/>
  <c r="G15" i="2"/>
  <c r="G16" i="2" s="1"/>
  <c r="C15" i="2" s="1"/>
  <c r="H15" i="2"/>
  <c r="B16" i="2" s="1"/>
  <c r="D6" i="2"/>
  <c r="C5" i="2"/>
  <c r="B12" i="2" s="1"/>
  <c r="G106" i="1"/>
  <c r="D60" i="1"/>
  <c r="H53" i="1"/>
  <c r="C53" i="1"/>
  <c r="F42" i="1"/>
  <c r="F7" i="1"/>
  <c r="B15" i="2" l="1"/>
  <c r="B9" i="2"/>
  <c r="J16" i="2" s="1"/>
  <c r="C18" i="2" s="1"/>
  <c r="B11" i="2"/>
  <c r="L15" i="2" s="1"/>
  <c r="B20" i="2" s="1"/>
  <c r="D12" i="2"/>
  <c r="M16" i="2"/>
  <c r="C21" i="2" s="1"/>
  <c r="M15" i="2"/>
  <c r="B21" i="2" s="1"/>
  <c r="H16" i="2"/>
  <c r="C16" i="2" s="1"/>
  <c r="D7" i="2"/>
  <c r="B8" i="2"/>
  <c r="B10" i="2"/>
  <c r="L34" i="3"/>
  <c r="I34" i="3"/>
  <c r="E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8" i="3"/>
  <c r="I8" i="3"/>
  <c r="E8" i="3"/>
  <c r="L7" i="3"/>
  <c r="I7" i="3"/>
  <c r="E7" i="3"/>
  <c r="L6" i="3"/>
  <c r="I6" i="3"/>
  <c r="E6" i="3"/>
  <c r="D11" i="2" l="1"/>
  <c r="D9" i="2"/>
  <c r="J15" i="2"/>
  <c r="B18" i="2" s="1"/>
  <c r="L16" i="2"/>
  <c r="C20" i="2" s="1"/>
  <c r="K16" i="2"/>
  <c r="C19" i="2" s="1"/>
  <c r="D10" i="2"/>
  <c r="K15" i="2"/>
  <c r="B19" i="2" s="1"/>
  <c r="D8" i="2"/>
  <c r="I16" i="2"/>
  <c r="C17" i="2" s="1"/>
  <c r="I15" i="2"/>
  <c r="B17" i="2" s="1"/>
  <c r="L35" i="3"/>
  <c r="K35" i="3" s="1"/>
  <c r="E35" i="3"/>
  <c r="I35" i="3"/>
  <c r="H35" i="3" s="1"/>
  <c r="C22" i="2" l="1"/>
  <c r="B22" i="2"/>
  <c r="D35" i="3"/>
  <c r="D37" i="3" s="1"/>
  <c r="E37" i="3"/>
  <c r="D188" i="1" l="1"/>
  <c r="G188" i="1" s="1"/>
  <c r="D187" i="1"/>
  <c r="G187" i="1" l="1"/>
  <c r="G115" i="1" s="1"/>
  <c r="G117" i="1" s="1"/>
  <c r="G118" i="1" s="1"/>
  <c r="C115" i="1"/>
  <c r="C117" i="1" s="1"/>
  <c r="C118" i="1" s="1"/>
  <c r="D115" i="1"/>
  <c r="D117" i="1" s="1"/>
  <c r="D118" i="1" s="1"/>
</calcChain>
</file>

<file path=xl/sharedStrings.xml><?xml version="1.0" encoding="utf-8"?>
<sst xmlns="http://schemas.openxmlformats.org/spreadsheetml/2006/main" count="596" uniqueCount="310">
  <si>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</si>
  <si>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</si>
  <si>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</si>
  <si>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</si>
  <si>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</si>
  <si>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</si>
  <si>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</si>
  <si>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</si>
  <si>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</si>
  <si>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</si>
  <si>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</si>
  <si>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</si>
  <si>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</si>
  <si>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</si>
  <si>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</si>
  <si>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</si>
  <si>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</si>
  <si>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</si>
  <si>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</si>
  <si>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</si>
  <si>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</si>
  <si>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</si>
  <si>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</si>
  <si>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</si>
  <si>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</si>
  <si>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</si>
  <si>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</si>
  <si>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</si>
  <si>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</si>
  <si>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</si>
  <si>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</si>
  <si>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</si>
  <si>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</si>
  <si>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</si>
  <si>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</si>
  <si>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</si>
  <si>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</si>
  <si>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</si>
  <si>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</si>
  <si>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</si>
  <si>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</si>
  <si>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</si>
  <si>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</si>
  <si>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</si>
  <si>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</si>
  <si>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</si>
  <si>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</si>
  <si>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</si>
  <si>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</si>
  <si>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</si>
  <si>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</si>
  <si>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</si>
  <si>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</si>
  <si>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</si>
  <si>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</si>
  <si>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</si>
  <si>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</si>
  <si>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</si>
  <si>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</si>
  <si>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</si>
  <si>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</si>
  <si>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</si>
  <si>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</si>
  <si>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</si>
  <si>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</si>
  <si>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</si>
  <si>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</si>
  <si>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</si>
  <si>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</si>
  <si>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</si>
  <si>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</si>
  <si>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</si>
  <si>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</si>
  <si>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</si>
  <si>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</si>
  <si>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</si>
  <si>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</si>
  <si>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</si>
  <si>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</si>
  <si>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</si>
  <si>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</si>
  <si>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</si>
  <si>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</si>
  <si>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</si>
  <si>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</si>
  <si>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</si>
  <si>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</si>
  <si>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</si>
  <si>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</si>
  <si>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</si>
  <si>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</si>
  <si>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</si>
  <si>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</si>
  <si>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</si>
  <si>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</si>
  <si>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</si>
  <si>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</si>
  <si>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</si>
  <si>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</si>
  <si>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</si>
  <si>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</si>
  <si>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</si>
  <si>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</si>
  <si>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</si>
  <si>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</si>
  <si>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</si>
  <si>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</si>
  <si>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</si>
  <si>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</si>
  <si>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</si>
  <si>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</si>
  <si>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</si>
  <si>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</si>
  <si>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</si>
  <si>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</si>
  <si>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</si>
  <si>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</si>
  <si>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</si>
  <si>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</si>
  <si>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</si>
  <si>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</si>
  <si>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DB</t>
  </si>
  <si>
    <t>toilet2</t>
  </si>
  <si>
    <t>toilet3</t>
  </si>
  <si>
    <t>passage1</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</si>
  <si>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</si>
  <si>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</si>
  <si>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</si>
  <si>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</si>
  <si>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</si>
  <si>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</si>
  <si>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</si>
  <si>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</si>
  <si>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</si>
  <si>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</si>
  <si>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</si>
  <si>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</si>
  <si>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</si>
  <si>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</si>
  <si>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</si>
  <si>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</si>
  <si>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</si>
  <si>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</si>
  <si>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</si>
  <si>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</si>
  <si>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</si>
  <si>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</si>
  <si>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</si>
  <si>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</si>
  <si>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</si>
  <si>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</si>
  <si>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</si>
  <si>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</si>
  <si>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</si>
  <si>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</si>
  <si>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</si>
  <si>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</si>
  <si>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</si>
  <si>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</si>
  <si>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</si>
  <si>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</si>
  <si>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</si>
  <si>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</si>
  <si>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</si>
  <si>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</si>
  <si>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</si>
  <si>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</si>
  <si>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</si>
  <si>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</si>
  <si>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</si>
  <si>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</si>
  <si>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</si>
  <si>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</si>
  <si>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20/03/2020.</t>
  </si>
  <si>
    <t>Axis Sanpada</t>
  </si>
  <si>
    <t>M/s.Akshar Realtors</t>
  </si>
  <si>
    <t>One Akshar</t>
  </si>
  <si>
    <t>022-27889991</t>
  </si>
  <si>
    <t>Sector</t>
  </si>
  <si>
    <t>Plot No</t>
  </si>
  <si>
    <t>Sanpada</t>
  </si>
  <si>
    <t>Thane</t>
  </si>
  <si>
    <t>Palm Beach Road</t>
  </si>
  <si>
    <t>Jyeshta Nagarik Virangula Kendra</t>
  </si>
  <si>
    <t>Open Plot</t>
  </si>
  <si>
    <t>12/04/2019.</t>
  </si>
  <si>
    <t>2019/CNMMC14789/NRV/A-/1483</t>
  </si>
  <si>
    <t>21/04/2019.</t>
  </si>
  <si>
    <t>Building No.1</t>
  </si>
  <si>
    <t>Shop</t>
  </si>
  <si>
    <t>Office</t>
  </si>
  <si>
    <t>1RK</t>
  </si>
  <si>
    <t>Show Room</t>
  </si>
  <si>
    <t>1st Floor is For Commercial (Part Podium)</t>
  </si>
  <si>
    <t>2nd Floor is For Podium</t>
  </si>
  <si>
    <t>3rd &amp; 4th Floor is For Podium</t>
  </si>
  <si>
    <t>5th Floor is For Ammenities</t>
  </si>
  <si>
    <t>6th &amp; 12th Floor</t>
  </si>
  <si>
    <t>6BHK</t>
  </si>
  <si>
    <t>7th &amp; 13th Floor</t>
  </si>
  <si>
    <t>8th &amp; 14th Floor</t>
  </si>
  <si>
    <t>9th &amp; 15th Floor</t>
  </si>
  <si>
    <t>10th &amp; 16th Floor</t>
  </si>
  <si>
    <t>11th &amp; 17th Floor</t>
  </si>
  <si>
    <t>18th &amp; 24th Floor</t>
  </si>
  <si>
    <t>19th, 22nd, 25th &amp; 28th Floor</t>
  </si>
  <si>
    <t>20th, 23rd &amp; 26th Floor</t>
  </si>
  <si>
    <t>21st &amp; 27th Floor</t>
  </si>
  <si>
    <t>1st Floor</t>
  </si>
  <si>
    <t>Fire check Between 17th &amp; 18th Floor</t>
  </si>
  <si>
    <t>No. of Flats</t>
  </si>
  <si>
    <t>Pratiksha</t>
  </si>
  <si>
    <t>Material laying at Site: Bricks, Cement &amp; Steel etc.</t>
  </si>
  <si>
    <t>Wheather the construction is as per approved Building plan : Under Construction</t>
  </si>
  <si>
    <t>Building No.2 (EWS)</t>
  </si>
  <si>
    <t>Residential + Commercial</t>
  </si>
  <si>
    <t>Vashi</t>
  </si>
  <si>
    <t>Area Statement Details : Building No.2 (EWS)</t>
  </si>
  <si>
    <t>30000/-</t>
  </si>
  <si>
    <t>18000/-</t>
  </si>
  <si>
    <t xml:space="preserve">Recommended rate of the flat Per Sq. Ft. 
(on Saleable area) For Building No.1 </t>
  </si>
  <si>
    <t>Recommended rate of the flat Per Sq. Ft. 
(on Saleable area) For Building No.2 (EWS)</t>
  </si>
  <si>
    <t>Given Rate As per Market inquire &amp; ref Mis</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</si>
  <si>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</si>
  <si>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</si>
  <si>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</si>
  <si>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</si>
  <si>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</si>
  <si>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</si>
  <si>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</si>
  <si>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</si>
  <si>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</si>
  <si>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</si>
  <si>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</si>
  <si>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</si>
  <si>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</si>
  <si>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</si>
  <si>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</si>
  <si>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</si>
  <si>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</si>
  <si>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</si>
  <si>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</si>
  <si>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</si>
  <si>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</si>
  <si>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</si>
  <si>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</si>
  <si>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</si>
  <si>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10,00,000/-</t>
  </si>
  <si>
    <t>Floor Rise per sq.ft from 6th Floor</t>
  </si>
  <si>
    <t>100/-</t>
  </si>
  <si>
    <t>Recommended rate of the Shop &amp; Office Per Sq. Ft. 
(on Saleable area)</t>
  </si>
  <si>
    <t>Recommended rate of the Show Room  Per Sq. Ft. 
(on Saleable area)</t>
  </si>
  <si>
    <t>Society Formation Charges</t>
  </si>
  <si>
    <t>1,00,000/-</t>
  </si>
  <si>
    <t>Builder Saleable area</t>
  </si>
  <si>
    <t>35000/-</t>
  </si>
  <si>
    <t xml:space="preserve">Building No.1 &amp; Building No.2 (EWS)                                                                                                                                                                                                                                                                                                                                                                                                                  </t>
  </si>
  <si>
    <t xml:space="preserve">2019/CNMMC14789/NRV/A-/1483/2019
</t>
  </si>
  <si>
    <t>2.6Km from Vashi Railway Station</t>
  </si>
  <si>
    <t>2 Buildings</t>
  </si>
  <si>
    <t>As per RERA- 30/12/2026</t>
  </si>
  <si>
    <t xml:space="preserve">
</t>
  </si>
  <si>
    <t xml:space="preserve">PHOTOGRAPHS OF PROPERTY : </t>
  </si>
  <si>
    <t>Proposed no of Floors</t>
  </si>
  <si>
    <t>Location Link</t>
  </si>
  <si>
    <t>https://goo.gl/maps/Br7qyE4QWUcVGxrr9</t>
  </si>
  <si>
    <t>Valid Up to:  Building No.1(Main Building) = G + 1st to 29th Floor
                      Building No.2 (EWS) = G + 1st to 4th Floor</t>
  </si>
  <si>
    <t>Office No. 1031, Wing J, Akshar Business Park, Plot No. 03 Sector 25, Near APMC Market,
 Vashi, Navi Mumbai, Maharashtra 400703 TEL: 022-46090378/79/80                                                                      
 E mail : vsjcapf@gmail.com. Web site : www.vsjadon.com</t>
  </si>
  <si>
    <t>19.060135,73.0018841</t>
  </si>
  <si>
    <t>Grand Total</t>
  </si>
  <si>
    <t>4BHK</t>
  </si>
  <si>
    <t>31st Floor</t>
  </si>
  <si>
    <t>32nd Floor</t>
  </si>
  <si>
    <t>Approved Floor plan No.
(29th to 32nd Floor)</t>
  </si>
  <si>
    <t>Building No.1(Main Building) = G + 1st to 32nd Floor
Building No.2 (EWS) = G + 1st to 4th Floor</t>
  </si>
  <si>
    <t>Building No.1(Main Building) = G + 1st to 32nd Floor</t>
  </si>
  <si>
    <t>Ground Floor For Parking &amp; Commercial</t>
  </si>
  <si>
    <t>29th Floor</t>
  </si>
  <si>
    <t>Ground Floor For Parking</t>
  </si>
  <si>
    <t>1st To 4th Floor For Residential</t>
  </si>
  <si>
    <t>29th to 32nd floor loading 60%</t>
  </si>
  <si>
    <t>3201 &amp; 3202</t>
  </si>
  <si>
    <t>Bed4</t>
  </si>
  <si>
    <t>Bed3</t>
  </si>
  <si>
    <t>Service quarter</t>
  </si>
  <si>
    <t>Deck</t>
  </si>
  <si>
    <t>3101 &amp; 3102</t>
  </si>
  <si>
    <t>Balcony</t>
  </si>
  <si>
    <t>3001 &amp; 3002</t>
  </si>
  <si>
    <t>Bal</t>
  </si>
  <si>
    <t>30th Floor (Part Refuge Area @ Midlanding)</t>
  </si>
  <si>
    <t>2901 &amp; 2902</t>
  </si>
  <si>
    <t>NRV/A/19944</t>
  </si>
  <si>
    <t>NMMC/TPO/BP/19944/2023</t>
  </si>
  <si>
    <t>Valid For : Builtup Area = 24828.058sqm (Residential Unit = 73, Commercial Unit = 15 &amp; Showroom = 1 )</t>
  </si>
  <si>
    <t>22222 to 22250 for case 3202 (90% loading) by nilesh &amp; Ganesh Sir</t>
  </si>
  <si>
    <t>Sachin</t>
  </si>
  <si>
    <t xml:space="preserve">Flat No 3202 loading changed </t>
  </si>
  <si>
    <t>Area Statement Details :</t>
  </si>
  <si>
    <t>Mr. Akshay 9930185848</t>
  </si>
  <si>
    <t>Layout :</t>
  </si>
  <si>
    <t>Contact Details ( Name &amp; Conact No.)</t>
  </si>
  <si>
    <t>Site Person - Contact Details (Name &amp; Contact No.)</t>
  </si>
  <si>
    <t>Blg No.1 - Flats = 54, Shop = 05, 
Office = 10, Show Room = 01
Blg No.2 (EWS) Flats = 16</t>
  </si>
  <si>
    <t>P51700020810</t>
  </si>
  <si>
    <t>Building No.1(Main Building) = G + 1st to 32nd Floor
Building No.2 = G + 1st to 32nd Floor</t>
  </si>
  <si>
    <t>Building No.2 (EWS) = G + 1st to 32nd Floor</t>
  </si>
  <si>
    <t>Kunal Kadam</t>
  </si>
  <si>
    <t>Tushar Mohite</t>
  </si>
  <si>
    <t>1.Building No.1 - All work completed. Please provide OC.
   Building No.2 - Construction work is in the process at the time of visit.(Internal photo was not allowed).
2. We considered Saleable area of commercial &amp; 29th to 32nd Floor in Building No. 1 &amp; 
    Building no.2 as per our calculation.
    We considered Saleable area of Building no.1 Flats as per Builder area sheet.
3. We considered Carpet area as per Approved Plan.
4. We considered Gross carpet area = Net carpet + Enclose balcony + C.B Area + F.B Area.
5. We have considered rate by verifying it from market inquire.
6. Car parking is subjected to authentic documentation.
7. We mentioned area details of Building No.2 (EWS) in report because it is registered on RERA site.
8. Please provide revised approved Floor plan of Building No.1.
9. We have given construction percentage as per the proposed no of floors.
10. We have updated approved floor plan of 29th to 32nd floor in Building No. 1 &amp; CC (on 02/04/2024).
11. Recommended Rates / Other charges of the Property have been revised on 02/04/2024.
12. Construction work goes beyond approved plan and CC permission for Building No. 2. Please provide revised Approved plans &amp; CC .
8. On Site, we meet Mr.Premji Patel - 9820649838.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</si>
</sst>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38">
    <xf numFmtId="0" fontId="0" fillId="0" borderId="0" xfId="0"/>
    <xf numFmtId="1" fontId="8" fillId="0" borderId="4" xfId="1" applyNumberFormat="1" applyFont="1" applyBorder="1" applyAlignment="1">
      <alignment horizontal="center" vertical="top" wrapText="1"/>
    </xf>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1" fontId="3" fillId="0" borderId="4" xfId="1" applyNumberFormat="1" applyFont="1" applyBorder="1" applyAlignment="1">
      <alignment horizontal="center" vertical="top" wrapText="1"/>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2" borderId="4" xfId="0" applyFont="1" applyFill="1" applyBorder="1"/>
    <xf numFmtId="0" fontId="16" fillId="0" borderId="4" xfId="0" applyFont="1" applyBorder="1" applyAlignment="1">
      <alignment horizontal="center"/>
    </xf>
    <xf numFmtId="0" fontId="16" fillId="2"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0" fontId="15" fillId="0" borderId="0" xfId="0" applyFont="1"/>
    <xf numFmtId="0" fontId="7" fillId="0" borderId="0" xfId="1" applyFont="1" applyProtection="1">
      <protection hidden="1"/>
    </xf>
    <xf numFmtId="0" fontId="16" fillId="0" borderId="0" xfId="0" applyFont="1" applyProtection="1">
      <protection hidden="1"/>
    </xf>
    <xf numFmtId="1" fontId="6" fillId="0" borderId="4" xfId="1" applyNumberFormat="1" applyFont="1" applyBorder="1" applyAlignment="1">
      <alignment horizontal="center" vertical="center" wrapText="1"/>
    </xf>
    <xf numFmtId="0" fontId="6" fillId="0" borderId="4" xfId="1" applyFont="1" applyBorder="1" applyAlignment="1">
      <alignment horizontal="left" vertical="top"/>
    </xf>
    <xf numFmtId="0" fontId="6" fillId="0" borderId="4" xfId="1" applyFont="1" applyBorder="1" applyAlignment="1">
      <alignment horizontal="center" vertical="top"/>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0" xfId="1" applyFont="1"/>
    <xf numFmtId="0" fontId="6" fillId="0" borderId="4" xfId="1" applyFont="1" applyBorder="1" applyAlignment="1">
      <alignment vertical="top"/>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1" fontId="0" fillId="0" borderId="0" xfId="0" applyNumberFormat="1"/>
    <xf numFmtId="1" fontId="0" fillId="0" borderId="0" xfId="0" applyNumberFormat="1" applyAlignment="1">
      <alignment horizontal="right"/>
    </xf>
    <xf numFmtId="0" fontId="13" fillId="0" borderId="19" xfId="1" applyFont="1" applyBorder="1" applyAlignment="1" applyProtection="1">
      <alignment horizontal="center" wrapText="1"/>
      <protection locked="0"/>
    </xf>
    <xf numFmtId="0" fontId="6" fillId="0" borderId="0" xfId="2" applyFont="1"/>
    <xf numFmtId="0" fontId="7" fillId="0" borderId="0" xfId="0" applyFont="1" applyAlignment="1">
      <alignment horizontal="center" vertical="center"/>
    </xf>
    <xf numFmtId="0" fontId="10" fillId="0" borderId="4" xfId="0" applyFont="1" applyBorder="1" applyAlignment="1">
      <alignment horizontal="center" vertical="center"/>
    </xf>
    <xf numFmtId="1" fontId="7"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0" xfId="1" applyFont="1" applyAlignment="1">
      <alignment horizontal="center" vertical="center"/>
    </xf>
    <xf numFmtId="165" fontId="7" fillId="0" borderId="0" xfId="1" applyNumberFormat="1" applyFont="1" applyAlignment="1">
      <alignment horizontal="center" vertical="center"/>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1" fontId="10" fillId="0" borderId="13" xfId="0" applyNumberFormat="1" applyFont="1" applyBorder="1" applyAlignment="1">
      <alignment horizontal="center" vertical="center"/>
    </xf>
    <xf numFmtId="1" fontId="10" fillId="0" borderId="27" xfId="0" applyNumberFormat="1" applyFont="1" applyBorder="1" applyAlignment="1">
      <alignment horizontal="center" vertical="center"/>
    </xf>
    <xf numFmtId="1" fontId="7" fillId="0" borderId="0" xfId="1" applyNumberFormat="1" applyFont="1" applyAlignment="1">
      <alignment horizontal="center" vertical="center"/>
    </xf>
    <xf numFmtId="0" fontId="13" fillId="0" borderId="4" xfId="0" applyFont="1" applyBorder="1" applyAlignment="1">
      <alignment horizontal="center" vertical="center"/>
    </xf>
    <xf numFmtId="0" fontId="7" fillId="2" borderId="0" xfId="1" applyFont="1" applyFill="1"/>
    <xf numFmtId="14" fontId="16" fillId="0" borderId="0" xfId="0" applyNumberFormat="1" applyFont="1"/>
    <xf numFmtId="14" fontId="6" fillId="0" borderId="1" xfId="1" applyNumberFormat="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xf>
    <xf numFmtId="0" fontId="6" fillId="0" borderId="3" xfId="1" applyFont="1" applyBorder="1" applyAlignment="1">
      <alignment horizontal="left" vertical="top"/>
    </xf>
    <xf numFmtId="14" fontId="6" fillId="0" borderId="1" xfId="1" applyNumberFormat="1" applyFont="1" applyBorder="1" applyAlignment="1">
      <alignment horizontal="left" vertical="top"/>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8" fillId="0" borderId="1" xfId="1" applyNumberFormat="1" applyFont="1" applyBorder="1" applyAlignment="1">
      <alignment horizontal="center" vertical="top" wrapText="1"/>
    </xf>
    <xf numFmtId="1" fontId="8" fillId="0" borderId="2"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6" fillId="0" borderId="2" xfId="1" applyNumberFormat="1" applyFont="1" applyBorder="1" applyAlignment="1">
      <alignment horizontal="center" vertical="center" wrapText="1"/>
    </xf>
    <xf numFmtId="0" fontId="8" fillId="0" borderId="6" xfId="1" applyFont="1" applyBorder="1" applyAlignment="1">
      <alignment horizontal="center" vertical="top" wrapText="1"/>
    </xf>
    <xf numFmtId="164" fontId="13" fillId="0" borderId="1" xfId="1" applyNumberFormat="1" applyFont="1" applyBorder="1" applyAlignment="1">
      <alignment horizontal="left" vertical="top"/>
    </xf>
    <xf numFmtId="164" fontId="13" fillId="0" borderId="2" xfId="1" applyNumberFormat="1" applyFont="1" applyBorder="1" applyAlignment="1">
      <alignment horizontal="left" vertical="top"/>
    </xf>
    <xf numFmtId="164" fontId="13" fillId="0" borderId="3" xfId="1" applyNumberFormat="1" applyFont="1" applyBorder="1" applyAlignment="1">
      <alignment horizontal="left" vertical="top"/>
    </xf>
    <xf numFmtId="0" fontId="6" fillId="0" borderId="1" xfId="1" applyFont="1" applyBorder="1" applyAlignment="1">
      <alignment horizontal="left" vertical="top"/>
    </xf>
    <xf numFmtId="1" fontId="6" fillId="0" borderId="11"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12" xfId="1" applyNumberFormat="1" applyFont="1" applyBorder="1" applyAlignment="1">
      <alignment horizontal="center" vertical="center" wrapText="1"/>
    </xf>
    <xf numFmtId="165" fontId="13" fillId="0" borderId="1" xfId="1" applyNumberFormat="1" applyFont="1" applyBorder="1" applyAlignment="1">
      <alignment horizontal="left" vertical="top"/>
    </xf>
    <xf numFmtId="165" fontId="13" fillId="0" borderId="2" xfId="1" applyNumberFormat="1" applyFont="1" applyBorder="1" applyAlignment="1">
      <alignment horizontal="left" vertical="top"/>
    </xf>
    <xf numFmtId="165" fontId="13" fillId="0" borderId="3" xfId="1" applyNumberFormat="1" applyFont="1" applyBorder="1" applyAlignment="1">
      <alignment horizontal="left" vertical="top"/>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1" fontId="14" fillId="0" borderId="5"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1" fontId="14" fillId="0" borderId="7" xfId="0" applyNumberFormat="1" applyFont="1" applyBorder="1" applyAlignment="1">
      <alignment horizontal="center" vertical="top" wrapText="1"/>
    </xf>
    <xf numFmtId="1" fontId="8" fillId="0" borderId="5"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8" fillId="0" borderId="7" xfId="0" applyNumberFormat="1" applyFont="1" applyBorder="1" applyAlignment="1">
      <alignment horizontal="center"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25"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14" fillId="0" borderId="28" xfId="0" applyNumberFormat="1" applyFont="1" applyBorder="1" applyAlignment="1">
      <alignment horizontal="center" vertical="top" wrapText="1"/>
    </xf>
    <xf numFmtId="1" fontId="14" fillId="0" borderId="26" xfId="0" applyNumberFormat="1" applyFont="1" applyBorder="1" applyAlignment="1">
      <alignment horizontal="center" vertical="top" wrapText="1"/>
    </xf>
    <xf numFmtId="1" fontId="14" fillId="0" borderId="29" xfId="0" applyNumberFormat="1" applyFont="1" applyBorder="1" applyAlignment="1">
      <alignment horizontal="center" vertical="top" wrapText="1"/>
    </xf>
    <xf numFmtId="1" fontId="8" fillId="0" borderId="28" xfId="0" applyNumberFormat="1" applyFont="1" applyBorder="1" applyAlignment="1">
      <alignment horizontal="center" vertical="top" wrapText="1"/>
    </xf>
    <xf numFmtId="1" fontId="8" fillId="0" borderId="26" xfId="0" applyNumberFormat="1" applyFont="1" applyBorder="1" applyAlignment="1">
      <alignment horizontal="center" vertical="top" wrapText="1"/>
    </xf>
    <xf numFmtId="1" fontId="8" fillId="0" borderId="30"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3" xfId="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0" borderId="4" xfId="1" applyFont="1" applyBorder="1" applyAlignment="1">
      <alignment horizontal="left" vertical="top"/>
    </xf>
    <xf numFmtId="0" fontId="6" fillId="0" borderId="4" xfId="1" applyFont="1" applyBorder="1" applyAlignment="1">
      <alignment horizontal="center" vertical="top"/>
    </xf>
    <xf numFmtId="0" fontId="7" fillId="0" borderId="3" xfId="1" applyFont="1" applyBorder="1" applyAlignment="1">
      <alignment horizontal="left"/>
    </xf>
    <xf numFmtId="165" fontId="13" fillId="0" borderId="1" xfId="1" applyNumberFormat="1" applyFont="1" applyBorder="1" applyAlignment="1">
      <alignment horizontal="left" vertical="top" wrapText="1"/>
    </xf>
    <xf numFmtId="165" fontId="13" fillId="0" borderId="2" xfId="1" applyNumberFormat="1" applyFont="1" applyBorder="1" applyAlignment="1">
      <alignment horizontal="left" vertical="top" wrapText="1"/>
    </xf>
    <xf numFmtId="165" fontId="13" fillId="0" borderId="3" xfId="1" applyNumberFormat="1" applyFont="1" applyBorder="1" applyAlignment="1">
      <alignment horizontal="left" vertical="top" wrapText="1"/>
    </xf>
    <xf numFmtId="0" fontId="13" fillId="0" borderId="4"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9"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3" fillId="0" borderId="4" xfId="1" applyFont="1" applyBorder="1" applyAlignment="1">
      <alignment horizontal="left"/>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1" xfId="1" applyFont="1" applyBorder="1" applyAlignment="1">
      <alignment horizontal="left" vertical="top" wrapText="1"/>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19" fillId="0" borderId="1" xfId="5" applyBorder="1" applyAlignment="1">
      <alignment horizontal="lef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9" fontId="13" fillId="0" borderId="4" xfId="1" applyNumberFormat="1" applyFont="1" applyBorder="1" applyAlignment="1" applyProtection="1">
      <alignment horizontal="center" vertical="center" wrapText="1"/>
      <protection hidden="1"/>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17" xfId="1" applyFont="1" applyBorder="1" applyAlignment="1" applyProtection="1">
      <alignment horizontal="center" vertical="top"/>
      <protection locked="0"/>
    </xf>
    <xf numFmtId="0" fontId="14" fillId="0" borderId="16"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3" fillId="0" borderId="22"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9" fontId="13" fillId="0" borderId="19" xfId="1" applyNumberFormat="1" applyFont="1" applyBorder="1" applyAlignment="1" applyProtection="1">
      <alignment horizontal="center" vertical="center" wrapText="1"/>
      <protection hidden="1"/>
    </xf>
    <xf numFmtId="9" fontId="13" fillId="0" borderId="17" xfId="1" applyNumberFormat="1" applyFont="1" applyBorder="1" applyAlignment="1" applyProtection="1">
      <alignment horizontal="center" vertical="center" wrapText="1"/>
      <protection hidden="1"/>
    </xf>
    <xf numFmtId="9" fontId="13" fillId="0" borderId="24" xfId="1" applyNumberFormat="1" applyFont="1" applyBorder="1" applyAlignment="1" applyProtection="1">
      <alignment horizontal="center" vertical="center" wrapText="1"/>
      <protection hidden="1"/>
    </xf>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3" fillId="0" borderId="16"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8" xfId="1" applyFont="1" applyBorder="1" applyAlignment="1" applyProtection="1">
      <alignment horizontal="center" vertical="top"/>
      <protection locked="0"/>
    </xf>
    <xf numFmtId="0" fontId="13" fillId="0" borderId="23" xfId="1" applyFont="1" applyBorder="1" applyAlignment="1" applyProtection="1">
      <alignment horizontal="center" vertical="top"/>
      <protection locked="0"/>
    </xf>
    <xf numFmtId="0" fontId="14" fillId="0" borderId="14"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20"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3" fillId="0" borderId="4" xfId="1" applyFont="1" applyBorder="1" applyAlignment="1">
      <alignment horizontal="center" vertical="top" wrapText="1"/>
    </xf>
    <xf numFmtId="0" fontId="16" fillId="0" borderId="4" xfId="0" applyFont="1" applyBorder="1" applyAlignment="1">
      <alignment horizontal="center"/>
    </xf>
    <xf numFmtId="0" fontId="16" fillId="2"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2" borderId="4" xfId="0" applyFill="1" applyBorder="1" applyAlignment="1">
      <alignment horizontal="center" wrapText="1"/>
    </xf>
    <xf numFmtId="0" fontId="9" fillId="0" borderId="4" xfId="0" applyFont="1" applyBorder="1" applyAlignment="1">
      <alignment horizontal="center"/>
    </xf>
  </cellXfs>
  <cellStyles count="6">
    <cellStyle name="Excel Built-in Normal" xfId="2" xr:uid="{00000000-0005-0000-0000-000000000000}"/>
    <cellStyle name="Hyperlink" xfId="5" builtinId="8"/>
    <cellStyle name="Normal" xfId="0" builtinId="0"/>
    <cellStyle name="Normal 2" xfId="3" xr:uid="{00000000-0005-0000-0000-000003000000}"/>
    <cellStyle name="Normal 3" xfId="1" xr:uid="{00000000-0005-0000-0000-000004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555251</xdr:colOff>
      <xdr:row>311</xdr:row>
      <xdr:rowOff>52052</xdr:rowOff>
    </xdr:from>
    <xdr:to>
      <xdr:col>8</xdr:col>
      <xdr:colOff>62518</xdr:colOff>
      <xdr:row>327</xdr:row>
      <xdr:rowOff>64759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55251" y="57885611"/>
          <a:ext cx="5536032" cy="3240000"/>
        </a:xfrm>
        <a:prstGeom prst="rect">
          <a:avLst/>
        </a:prstGeom>
        <a:ln>
          <a:solidFill>
            <a:schemeClr val="tx1"/>
          </a:solidFill>
        </a:ln>
      </xdr:spPr>
    </xdr:pic>
    <xdr:clientData/>
  </xdr:twoCellAnchor>
  <xdr:twoCellAnchor editAs="oneCell">
    <xdr:from>
      <xdr:col>0</xdr:col>
      <xdr:colOff>577664</xdr:colOff>
      <xdr:row>294</xdr:row>
      <xdr:rowOff>100852</xdr:rowOff>
    </xdr:from>
    <xdr:to>
      <xdr:col>8</xdr:col>
      <xdr:colOff>92962</xdr:colOff>
      <xdr:row>310</xdr:row>
      <xdr:rowOff>113559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77664" y="54505411"/>
          <a:ext cx="5544063" cy="3240000"/>
        </a:xfrm>
        <a:prstGeom prst="rect">
          <a:avLst/>
        </a:prstGeom>
        <a:ln>
          <a:solidFill>
            <a:schemeClr val="tx1"/>
          </a:solidFill>
        </a:ln>
      </xdr:spPr>
    </xdr:pic>
    <xdr:clientData/>
  </xdr:twoCellAnchor>
  <xdr:twoCellAnchor editAs="oneCell">
    <xdr:from>
      <xdr:col>11</xdr:col>
      <xdr:colOff>515595</xdr:colOff>
      <xdr:row>40</xdr:row>
      <xdr:rowOff>181803</xdr:rowOff>
    </xdr:from>
    <xdr:to>
      <xdr:col>20</xdr:col>
      <xdr:colOff>52971</xdr:colOff>
      <xdr:row>57</xdr:row>
      <xdr:rowOff>379895</xdr:rowOff>
    </xdr:to>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659345" y="8773353"/>
          <a:ext cx="5166651" cy="2893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507423</xdr:colOff>
      <xdr:row>255</xdr:row>
      <xdr:rowOff>152400</xdr:rowOff>
    </xdr:from>
    <xdr:to>
      <xdr:col>7</xdr:col>
      <xdr:colOff>623446</xdr:colOff>
      <xdr:row>291</xdr:row>
      <xdr:rowOff>151500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269423" y="57264300"/>
          <a:ext cx="4421323" cy="7131420"/>
          <a:chOff x="1226993" y="59208266"/>
          <a:chExt cx="4289705" cy="7480554"/>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226993" y="59208266"/>
            <a:ext cx="4289705" cy="7480554"/>
          </a:xfrm>
          <a:prstGeom prst="rect">
            <a:avLst/>
          </a:prstGeom>
          <a:ln>
            <a:solidFill>
              <a:schemeClr val="tx1"/>
            </a:solidFill>
          </a:ln>
        </xdr:spPr>
      </xdr:pic>
      <xdr:sp macro="" textlink="">
        <xdr:nvSpPr>
          <xdr:cNvPr id="27" name="TextBox 26">
            <a:extLst>
              <a:ext uri="{FF2B5EF4-FFF2-40B4-BE49-F238E27FC236}">
                <a16:creationId xmlns:a16="http://schemas.microsoft.com/office/drawing/2014/main" id="{00000000-0008-0000-0000-00001B000000}"/>
              </a:ext>
            </a:extLst>
          </xdr:cNvPr>
          <xdr:cNvSpPr txBox="1"/>
        </xdr:nvSpPr>
        <xdr:spPr>
          <a:xfrm rot="16200000">
            <a:off x="2342740" y="63472259"/>
            <a:ext cx="955452"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B</a:t>
            </a:r>
            <a:endParaRPr lang="en-IN" sz="1400" b="1">
              <a:solidFill>
                <a:srgbClr val="FF0000"/>
              </a:solidFill>
            </a:endParaRP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rot="18816648">
            <a:off x="3264990" y="61690952"/>
            <a:ext cx="955452"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a:t>
            </a:r>
            <a:r>
              <a:rPr lang="en-IN" sz="1400" b="1" baseline="0">
                <a:solidFill>
                  <a:srgbClr val="FF0000"/>
                </a:solidFill>
              </a:rPr>
              <a:t> A</a:t>
            </a:r>
            <a:endParaRPr lang="en-IN" sz="1400" b="1">
              <a:solidFill>
                <a:srgbClr val="FF0000"/>
              </a:solidFill>
            </a:endParaRPr>
          </a:p>
        </xdr:txBody>
      </xdr:sp>
    </xdr:grpSp>
    <xdr:clientData/>
  </xdr:twoCellAnchor>
  <xdr:twoCellAnchor editAs="oneCell">
    <xdr:from>
      <xdr:col>11</xdr:col>
      <xdr:colOff>515471</xdr:colOff>
      <xdr:row>77</xdr:row>
      <xdr:rowOff>67235</xdr:rowOff>
    </xdr:from>
    <xdr:to>
      <xdr:col>20</xdr:col>
      <xdr:colOff>506165</xdr:colOff>
      <xdr:row>98</xdr:row>
      <xdr:rowOff>359057</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7653618" y="16831235"/>
          <a:ext cx="5582429" cy="4963218"/>
        </a:xfrm>
        <a:prstGeom prst="rect">
          <a:avLst/>
        </a:prstGeom>
      </xdr:spPr>
    </xdr:pic>
    <xdr:clientData/>
  </xdr:twoCellAnchor>
  <xdr:twoCellAnchor>
    <xdr:from>
      <xdr:col>11</xdr:col>
      <xdr:colOff>287655</xdr:colOff>
      <xdr:row>210</xdr:row>
      <xdr:rowOff>89535</xdr:rowOff>
    </xdr:from>
    <xdr:to>
      <xdr:col>19</xdr:col>
      <xdr:colOff>430455</xdr:colOff>
      <xdr:row>248</xdr:row>
      <xdr:rowOff>15689</xdr:rowOff>
    </xdr:to>
    <xdr:grpSp>
      <xdr:nvGrpSpPr>
        <xdr:cNvPr id="53" name="Group 52">
          <a:extLst>
            <a:ext uri="{FF2B5EF4-FFF2-40B4-BE49-F238E27FC236}">
              <a16:creationId xmlns:a16="http://schemas.microsoft.com/office/drawing/2014/main" id="{5E0126E1-A95E-497F-B382-E70339A52F78}"/>
            </a:ext>
          </a:extLst>
        </xdr:cNvPr>
        <xdr:cNvGrpSpPr/>
      </xdr:nvGrpSpPr>
      <xdr:grpSpPr>
        <a:xfrm>
          <a:off x="8936355" y="48293655"/>
          <a:ext cx="5293920" cy="7447094"/>
          <a:chOff x="792250" y="251012"/>
          <a:chExt cx="5151045" cy="7519484"/>
        </a:xfrm>
      </xdr:grpSpPr>
      <xdr:pic>
        <xdr:nvPicPr>
          <xdr:cNvPr id="54" name="Picture 53">
            <a:extLst>
              <a:ext uri="{FF2B5EF4-FFF2-40B4-BE49-F238E27FC236}">
                <a16:creationId xmlns:a16="http://schemas.microsoft.com/office/drawing/2014/main" id="{DD5682C5-5930-44A2-ABDE-83AD84B5C6D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65374" y="251012"/>
            <a:ext cx="2426625" cy="3240000"/>
          </a:xfrm>
          <a:prstGeom prst="rect">
            <a:avLst/>
          </a:prstGeom>
          <a:ln>
            <a:solidFill>
              <a:schemeClr val="tx1"/>
            </a:solidFill>
          </a:ln>
        </xdr:spPr>
      </xdr:pic>
      <xdr:pic>
        <xdr:nvPicPr>
          <xdr:cNvPr id="55" name="Picture 54">
            <a:extLst>
              <a:ext uri="{FF2B5EF4-FFF2-40B4-BE49-F238E27FC236}">
                <a16:creationId xmlns:a16="http://schemas.microsoft.com/office/drawing/2014/main" id="{AE80C961-7A25-4BE6-96DF-D4A84E138A0B}"/>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429000" y="251012"/>
            <a:ext cx="2426625" cy="3240000"/>
          </a:xfrm>
          <a:prstGeom prst="rect">
            <a:avLst/>
          </a:prstGeom>
          <a:ln>
            <a:solidFill>
              <a:schemeClr val="tx1"/>
            </a:solidFill>
          </a:ln>
        </xdr:spPr>
      </xdr:pic>
      <xdr:pic>
        <xdr:nvPicPr>
          <xdr:cNvPr id="56" name="Picture 55">
            <a:extLst>
              <a:ext uri="{FF2B5EF4-FFF2-40B4-BE49-F238E27FC236}">
                <a16:creationId xmlns:a16="http://schemas.microsoft.com/office/drawing/2014/main" id="{8E42E53B-BA3B-4F71-A8FA-2177741BCA0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92250" y="3650754"/>
            <a:ext cx="1617750" cy="2160000"/>
          </a:xfrm>
          <a:prstGeom prst="rect">
            <a:avLst/>
          </a:prstGeom>
          <a:ln>
            <a:solidFill>
              <a:schemeClr val="tx1"/>
            </a:solidFill>
          </a:ln>
        </xdr:spPr>
      </xdr:pic>
      <xdr:pic>
        <xdr:nvPicPr>
          <xdr:cNvPr id="57" name="Picture 56">
            <a:extLst>
              <a:ext uri="{FF2B5EF4-FFF2-40B4-BE49-F238E27FC236}">
                <a16:creationId xmlns:a16="http://schemas.microsoft.com/office/drawing/2014/main" id="{E44DB1E2-1B46-4E88-90B4-DEA8C05B91F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62149" y="5970496"/>
            <a:ext cx="1348125" cy="1800000"/>
          </a:xfrm>
          <a:prstGeom prst="rect">
            <a:avLst/>
          </a:prstGeom>
          <a:ln>
            <a:solidFill>
              <a:schemeClr val="tx1"/>
            </a:solidFill>
          </a:ln>
        </xdr:spPr>
      </xdr:pic>
      <xdr:pic>
        <xdr:nvPicPr>
          <xdr:cNvPr id="58" name="Picture 57">
            <a:extLst>
              <a:ext uri="{FF2B5EF4-FFF2-40B4-BE49-F238E27FC236}">
                <a16:creationId xmlns:a16="http://schemas.microsoft.com/office/drawing/2014/main" id="{E20495D1-6777-4609-8B8C-2E165C237D5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48207" y="3650754"/>
            <a:ext cx="1617750" cy="2160000"/>
          </a:xfrm>
          <a:prstGeom prst="rect">
            <a:avLst/>
          </a:prstGeom>
          <a:ln>
            <a:solidFill>
              <a:schemeClr val="tx1"/>
            </a:solidFill>
          </a:ln>
        </xdr:spPr>
      </xdr:pic>
      <xdr:pic>
        <xdr:nvPicPr>
          <xdr:cNvPr id="59" name="Picture 58">
            <a:extLst>
              <a:ext uri="{FF2B5EF4-FFF2-40B4-BE49-F238E27FC236}">
                <a16:creationId xmlns:a16="http://schemas.microsoft.com/office/drawing/2014/main" id="{09B281C5-799C-46A2-874C-362DE9E411F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304164" y="3650754"/>
            <a:ext cx="1617750" cy="2160000"/>
          </a:xfrm>
          <a:prstGeom prst="rect">
            <a:avLst/>
          </a:prstGeom>
          <a:ln>
            <a:solidFill>
              <a:schemeClr val="tx1"/>
            </a:solidFill>
          </a:ln>
        </xdr:spPr>
      </xdr:pic>
      <xdr:pic>
        <xdr:nvPicPr>
          <xdr:cNvPr id="60" name="Picture 59">
            <a:extLst>
              <a:ext uri="{FF2B5EF4-FFF2-40B4-BE49-F238E27FC236}">
                <a16:creationId xmlns:a16="http://schemas.microsoft.com/office/drawing/2014/main" id="{DFCA1405-3E92-42D7-9386-26034FBE489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716988" y="5970496"/>
            <a:ext cx="1348125" cy="1800000"/>
          </a:xfrm>
          <a:prstGeom prst="rect">
            <a:avLst/>
          </a:prstGeom>
          <a:ln>
            <a:solidFill>
              <a:schemeClr val="tx1"/>
            </a:solidFill>
          </a:ln>
        </xdr:spPr>
      </xdr:pic>
      <xdr:pic>
        <xdr:nvPicPr>
          <xdr:cNvPr id="61" name="Picture 60">
            <a:extLst>
              <a:ext uri="{FF2B5EF4-FFF2-40B4-BE49-F238E27FC236}">
                <a16:creationId xmlns:a16="http://schemas.microsoft.com/office/drawing/2014/main" id="{5A24A4CF-3E1C-412A-A1C1-5C9B6ECB2571}"/>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165957" y="5970496"/>
            <a:ext cx="1348125" cy="1800000"/>
          </a:xfrm>
          <a:prstGeom prst="rect">
            <a:avLst/>
          </a:prstGeom>
          <a:ln>
            <a:solidFill>
              <a:schemeClr val="tx1"/>
            </a:solidFill>
          </a:ln>
        </xdr:spPr>
      </xdr:pic>
      <xdr:sp macro="" textlink="">
        <xdr:nvSpPr>
          <xdr:cNvPr id="62" name="TextBox 33">
            <a:extLst>
              <a:ext uri="{FF2B5EF4-FFF2-40B4-BE49-F238E27FC236}">
                <a16:creationId xmlns:a16="http://schemas.microsoft.com/office/drawing/2014/main" id="{6A60C247-E903-463D-860D-8AE741A9C4AF}"/>
              </a:ext>
            </a:extLst>
          </xdr:cNvPr>
          <xdr:cNvSpPr txBox="1"/>
        </xdr:nvSpPr>
        <xdr:spPr>
          <a:xfrm>
            <a:off x="2030500" y="251012"/>
            <a:ext cx="116190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a:t>
            </a:r>
            <a:r>
              <a:rPr lang="en-US" b="1" baseline="0">
                <a:solidFill>
                  <a:srgbClr val="FF0000"/>
                </a:solidFill>
              </a:rPr>
              <a:t> No.</a:t>
            </a:r>
            <a:r>
              <a:rPr lang="en-US" b="1">
                <a:solidFill>
                  <a:srgbClr val="FF0000"/>
                </a:solidFill>
              </a:rPr>
              <a:t> 1</a:t>
            </a:r>
            <a:endParaRPr lang="en-IN" b="1">
              <a:solidFill>
                <a:srgbClr val="FF0000"/>
              </a:solidFill>
            </a:endParaRPr>
          </a:p>
        </xdr:txBody>
      </xdr:sp>
      <xdr:sp macro="" textlink="">
        <xdr:nvSpPr>
          <xdr:cNvPr id="63" name="TextBox 34">
            <a:extLst>
              <a:ext uri="{FF2B5EF4-FFF2-40B4-BE49-F238E27FC236}">
                <a16:creationId xmlns:a16="http://schemas.microsoft.com/office/drawing/2014/main" id="{27F79C2C-70E0-490B-86D0-CED905665CD7}"/>
              </a:ext>
            </a:extLst>
          </xdr:cNvPr>
          <xdr:cNvSpPr txBox="1"/>
        </xdr:nvSpPr>
        <xdr:spPr>
          <a:xfrm>
            <a:off x="4735600" y="951709"/>
            <a:ext cx="1207695"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2</a:t>
            </a:r>
            <a:endParaRPr lang="en-IN" b="1">
              <a:solidFill>
                <a:srgbClr val="FF0000"/>
              </a:solidFill>
            </a:endParaRPr>
          </a:p>
        </xdr:txBody>
      </xdr:sp>
    </xdr:grpSp>
    <xdr:clientData/>
  </xdr:twoCellAnchor>
  <xdr:twoCellAnchor>
    <xdr:from>
      <xdr:col>0</xdr:col>
      <xdr:colOff>548640</xdr:colOff>
      <xdr:row>213</xdr:row>
      <xdr:rowOff>15240</xdr:rowOff>
    </xdr:from>
    <xdr:to>
      <xdr:col>9</xdr:col>
      <xdr:colOff>51857</xdr:colOff>
      <xdr:row>249</xdr:row>
      <xdr:rowOff>148552</xdr:rowOff>
    </xdr:to>
    <xdr:grpSp>
      <xdr:nvGrpSpPr>
        <xdr:cNvPr id="5" name="Group 4">
          <a:extLst>
            <a:ext uri="{FF2B5EF4-FFF2-40B4-BE49-F238E27FC236}">
              <a16:creationId xmlns:a16="http://schemas.microsoft.com/office/drawing/2014/main" id="{6AF11C03-6ED6-B906-D843-AC4BF299C417}"/>
            </a:ext>
          </a:extLst>
        </xdr:cNvPr>
        <xdr:cNvGrpSpPr/>
      </xdr:nvGrpSpPr>
      <xdr:grpSpPr>
        <a:xfrm>
          <a:off x="548640" y="48813720"/>
          <a:ext cx="6056417" cy="7258012"/>
          <a:chOff x="207139" y="249326"/>
          <a:chExt cx="6056417" cy="7258012"/>
        </a:xfrm>
      </xdr:grpSpPr>
      <xdr:grpSp>
        <xdr:nvGrpSpPr>
          <xdr:cNvPr id="7" name="Group 6">
            <a:extLst>
              <a:ext uri="{FF2B5EF4-FFF2-40B4-BE49-F238E27FC236}">
                <a16:creationId xmlns:a16="http://schemas.microsoft.com/office/drawing/2014/main" id="{4A06AEC5-94DA-1B05-4192-A12C4FECC3F4}"/>
              </a:ext>
            </a:extLst>
          </xdr:cNvPr>
          <xdr:cNvGrpSpPr/>
        </xdr:nvGrpSpPr>
        <xdr:grpSpPr>
          <a:xfrm>
            <a:off x="1264708" y="5707338"/>
            <a:ext cx="3941279" cy="1800000"/>
            <a:chOff x="746576" y="5707338"/>
            <a:chExt cx="3941279" cy="1800000"/>
          </a:xfrm>
        </xdr:grpSpPr>
        <xdr:pic>
          <xdr:nvPicPr>
            <xdr:cNvPr id="20" name="Picture 19">
              <a:extLst>
                <a:ext uri="{FF2B5EF4-FFF2-40B4-BE49-F238E27FC236}">
                  <a16:creationId xmlns:a16="http://schemas.microsoft.com/office/drawing/2014/main" id="{1C85A8AC-10E0-72F5-B47B-901AFE03B99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46576" y="5707338"/>
              <a:ext cx="1348594"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7046584E-5BD2-C461-875C-4051B505CC4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90077" y="5707338"/>
              <a:ext cx="2397778" cy="18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B3C0995D-BC4A-9B07-0D02-C2495674F138}"/>
              </a:ext>
            </a:extLst>
          </xdr:cNvPr>
          <xdr:cNvGrpSpPr/>
        </xdr:nvGrpSpPr>
        <xdr:grpSpPr>
          <a:xfrm>
            <a:off x="207139" y="249326"/>
            <a:ext cx="6056417" cy="5249006"/>
            <a:chOff x="207139" y="249326"/>
            <a:chExt cx="6056417" cy="5249006"/>
          </a:xfrm>
        </xdr:grpSpPr>
        <xdr:pic>
          <xdr:nvPicPr>
            <xdr:cNvPr id="9" name="Picture 8">
              <a:extLst>
                <a:ext uri="{FF2B5EF4-FFF2-40B4-BE49-F238E27FC236}">
                  <a16:creationId xmlns:a16="http://schemas.microsoft.com/office/drawing/2014/main" id="{C14C0991-78A5-F8E0-CC49-159846EA8CF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90077" y="2978332"/>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CF5CB741-1760-7E7D-19BE-BF248362F7B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90077" y="249326"/>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A10C1537-7A31-19AB-164C-53B2BB9122F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75525" y="2978332"/>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EDDEBBF7-D876-F598-ECEA-27685EEA47B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09649" y="2978332"/>
              <a:ext cx="188803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E96E7752-66DC-A287-0C0E-8859DA6AAA3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373015" y="249326"/>
              <a:ext cx="1888031"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ADEAD17B-36C9-C914-2955-68E0E4892F6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07139" y="249326"/>
              <a:ext cx="1888031" cy="2520000"/>
            </a:xfrm>
            <a:prstGeom prst="rect">
              <a:avLst/>
            </a:prstGeom>
            <a:ln>
              <a:solidFill>
                <a:schemeClr val="tx1"/>
              </a:solidFill>
            </a:ln>
          </xdr:spPr>
        </xdr:pic>
        <xdr:sp macro="" textlink="">
          <xdr:nvSpPr>
            <xdr:cNvPr id="18" name="TextBox 20">
              <a:extLst>
                <a:ext uri="{FF2B5EF4-FFF2-40B4-BE49-F238E27FC236}">
                  <a16:creationId xmlns:a16="http://schemas.microsoft.com/office/drawing/2014/main" id="{DAF37296-CC88-3A75-99B9-907C895E0106}"/>
                </a:ext>
              </a:extLst>
            </xdr:cNvPr>
            <xdr:cNvSpPr txBox="1"/>
          </xdr:nvSpPr>
          <xdr:spPr>
            <a:xfrm>
              <a:off x="2439447" y="503715"/>
              <a:ext cx="82426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Building 1</a:t>
              </a:r>
            </a:p>
          </xdr:txBody>
        </xdr:sp>
        <xdr:sp macro="" textlink="">
          <xdr:nvSpPr>
            <xdr:cNvPr id="19" name="TextBox 22">
              <a:extLst>
                <a:ext uri="{FF2B5EF4-FFF2-40B4-BE49-F238E27FC236}">
                  <a16:creationId xmlns:a16="http://schemas.microsoft.com/office/drawing/2014/main" id="{C6447059-8783-CAF4-0CAD-20B7DED1E608}"/>
                </a:ext>
              </a:extLst>
            </xdr:cNvPr>
            <xdr:cNvSpPr txBox="1"/>
          </xdr:nvSpPr>
          <xdr:spPr>
            <a:xfrm>
              <a:off x="1323293" y="249326"/>
              <a:ext cx="82426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Building 1</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r7qyE4QWUcVGxrr9"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93"/>
  <sheetViews>
    <sheetView tabSelected="1" view="pageBreakPreview" topLeftCell="A74" zoomScaleNormal="100" zoomScaleSheetLayoutView="100" workbookViewId="0">
      <selection activeCell="K5" sqref="K5"/>
    </sheetView>
  </sheetViews>
  <sheetFormatPr defaultRowHeight="15.6" x14ac:dyDescent="0.3"/>
  <cols>
    <col min="1" max="1" width="11.109375" style="32" customWidth="1"/>
    <col min="2" max="2" width="12.33203125" style="32" customWidth="1"/>
    <col min="3" max="3" width="14.6640625" style="32" customWidth="1"/>
    <col min="4" max="4" width="7.33203125" style="32" customWidth="1"/>
    <col min="5" max="5" width="8.44140625" style="32" customWidth="1"/>
    <col min="6" max="6" width="9.88671875" style="32" customWidth="1"/>
    <col min="7" max="7" width="10.109375" style="32" customWidth="1"/>
    <col min="8" max="8" width="10.5546875" style="32" customWidth="1"/>
    <col min="9" max="9" width="11.109375" style="32" customWidth="1"/>
    <col min="10" max="10" width="8" style="32" customWidth="1"/>
    <col min="11" max="11" width="22.5546875" style="32" customWidth="1"/>
    <col min="12" max="12" width="11.33203125" style="32" bestFit="1" customWidth="1"/>
    <col min="13" max="256" width="9.109375" style="32"/>
    <col min="257" max="257" width="8.6640625" style="32" customWidth="1"/>
    <col min="258" max="258" width="9.88671875" style="32" customWidth="1"/>
    <col min="259" max="259" width="14.44140625" style="32" customWidth="1"/>
    <col min="260" max="260" width="7.33203125" style="32" customWidth="1"/>
    <col min="261" max="261" width="5.5546875" style="32" customWidth="1"/>
    <col min="262" max="262" width="9" style="32" customWidth="1"/>
    <col min="263" max="264" width="9.88671875" style="32" customWidth="1"/>
    <col min="265" max="265" width="11.109375" style="32" customWidth="1"/>
    <col min="266" max="266" width="2.88671875" style="32" customWidth="1"/>
    <col min="267" max="267" width="3.5546875" style="32" customWidth="1"/>
    <col min="268" max="512" width="9.109375" style="32"/>
    <col min="513" max="513" width="8.6640625" style="32" customWidth="1"/>
    <col min="514" max="514" width="9.88671875" style="32" customWidth="1"/>
    <col min="515" max="515" width="14.44140625" style="32" customWidth="1"/>
    <col min="516" max="516" width="7.33203125" style="32" customWidth="1"/>
    <col min="517" max="517" width="5.5546875" style="32" customWidth="1"/>
    <col min="518" max="518" width="9" style="32" customWidth="1"/>
    <col min="519" max="520" width="9.88671875" style="32" customWidth="1"/>
    <col min="521" max="521" width="11.109375" style="32" customWidth="1"/>
    <col min="522" max="522" width="2.88671875" style="32" customWidth="1"/>
    <col min="523" max="523" width="3.5546875" style="32" customWidth="1"/>
    <col min="524" max="768" width="9.109375" style="32"/>
    <col min="769" max="769" width="8.6640625" style="32" customWidth="1"/>
    <col min="770" max="770" width="9.88671875" style="32" customWidth="1"/>
    <col min="771" max="771" width="14.44140625" style="32" customWidth="1"/>
    <col min="772" max="772" width="7.33203125" style="32" customWidth="1"/>
    <col min="773" max="773" width="5.5546875" style="32" customWidth="1"/>
    <col min="774" max="774" width="9" style="32" customWidth="1"/>
    <col min="775" max="776" width="9.88671875" style="32" customWidth="1"/>
    <col min="777" max="777" width="11.109375" style="32" customWidth="1"/>
    <col min="778" max="778" width="2.88671875" style="32" customWidth="1"/>
    <col min="779" max="779" width="3.5546875" style="32" customWidth="1"/>
    <col min="780" max="1024" width="9.109375" style="32"/>
    <col min="1025" max="1025" width="8.6640625" style="32" customWidth="1"/>
    <col min="1026" max="1026" width="9.88671875" style="32" customWidth="1"/>
    <col min="1027" max="1027" width="14.44140625" style="32" customWidth="1"/>
    <col min="1028" max="1028" width="7.33203125" style="32" customWidth="1"/>
    <col min="1029" max="1029" width="5.5546875" style="32" customWidth="1"/>
    <col min="1030" max="1030" width="9" style="32" customWidth="1"/>
    <col min="1031" max="1032" width="9.88671875" style="32" customWidth="1"/>
    <col min="1033" max="1033" width="11.109375" style="32" customWidth="1"/>
    <col min="1034" max="1034" width="2.88671875" style="32" customWidth="1"/>
    <col min="1035" max="1035" width="3.5546875" style="32" customWidth="1"/>
    <col min="1036" max="1280" width="9.109375" style="32"/>
    <col min="1281" max="1281" width="8.6640625" style="32" customWidth="1"/>
    <col min="1282" max="1282" width="9.88671875" style="32" customWidth="1"/>
    <col min="1283" max="1283" width="14.44140625" style="32" customWidth="1"/>
    <col min="1284" max="1284" width="7.33203125" style="32" customWidth="1"/>
    <col min="1285" max="1285" width="5.5546875" style="32" customWidth="1"/>
    <col min="1286" max="1286" width="9" style="32" customWidth="1"/>
    <col min="1287" max="1288" width="9.88671875" style="32" customWidth="1"/>
    <col min="1289" max="1289" width="11.109375" style="32" customWidth="1"/>
    <col min="1290" max="1290" width="2.88671875" style="32" customWidth="1"/>
    <col min="1291" max="1291" width="3.5546875" style="32" customWidth="1"/>
    <col min="1292" max="1536" width="9.109375" style="32"/>
    <col min="1537" max="1537" width="8.6640625" style="32" customWidth="1"/>
    <col min="1538" max="1538" width="9.88671875" style="32" customWidth="1"/>
    <col min="1539" max="1539" width="14.44140625" style="32" customWidth="1"/>
    <col min="1540" max="1540" width="7.33203125" style="32" customWidth="1"/>
    <col min="1541" max="1541" width="5.5546875" style="32" customWidth="1"/>
    <col min="1542" max="1542" width="9" style="32" customWidth="1"/>
    <col min="1543" max="1544" width="9.88671875" style="32" customWidth="1"/>
    <col min="1545" max="1545" width="11.109375" style="32" customWidth="1"/>
    <col min="1546" max="1546" width="2.88671875" style="32" customWidth="1"/>
    <col min="1547" max="1547" width="3.5546875" style="32" customWidth="1"/>
    <col min="1548" max="1792" width="9.109375" style="32"/>
    <col min="1793" max="1793" width="8.6640625" style="32" customWidth="1"/>
    <col min="1794" max="1794" width="9.88671875" style="32" customWidth="1"/>
    <col min="1795" max="1795" width="14.44140625" style="32" customWidth="1"/>
    <col min="1796" max="1796" width="7.33203125" style="32" customWidth="1"/>
    <col min="1797" max="1797" width="5.5546875" style="32" customWidth="1"/>
    <col min="1798" max="1798" width="9" style="32" customWidth="1"/>
    <col min="1799" max="1800" width="9.88671875" style="32" customWidth="1"/>
    <col min="1801" max="1801" width="11.109375" style="32" customWidth="1"/>
    <col min="1802" max="1802" width="2.88671875" style="32" customWidth="1"/>
    <col min="1803" max="1803" width="3.5546875" style="32" customWidth="1"/>
    <col min="1804" max="2048" width="9.109375" style="32"/>
    <col min="2049" max="2049" width="8.6640625" style="32" customWidth="1"/>
    <col min="2050" max="2050" width="9.88671875" style="32" customWidth="1"/>
    <col min="2051" max="2051" width="14.44140625" style="32" customWidth="1"/>
    <col min="2052" max="2052" width="7.33203125" style="32" customWidth="1"/>
    <col min="2053" max="2053" width="5.5546875" style="32" customWidth="1"/>
    <col min="2054" max="2054" width="9" style="32" customWidth="1"/>
    <col min="2055" max="2056" width="9.88671875" style="32" customWidth="1"/>
    <col min="2057" max="2057" width="11.109375" style="32" customWidth="1"/>
    <col min="2058" max="2058" width="2.88671875" style="32" customWidth="1"/>
    <col min="2059" max="2059" width="3.5546875" style="32" customWidth="1"/>
    <col min="2060" max="2304" width="9.109375" style="32"/>
    <col min="2305" max="2305" width="8.6640625" style="32" customWidth="1"/>
    <col min="2306" max="2306" width="9.88671875" style="32" customWidth="1"/>
    <col min="2307" max="2307" width="14.44140625" style="32" customWidth="1"/>
    <col min="2308" max="2308" width="7.33203125" style="32" customWidth="1"/>
    <col min="2309" max="2309" width="5.5546875" style="32" customWidth="1"/>
    <col min="2310" max="2310" width="9" style="32" customWidth="1"/>
    <col min="2311" max="2312" width="9.88671875" style="32" customWidth="1"/>
    <col min="2313" max="2313" width="11.109375" style="32" customWidth="1"/>
    <col min="2314" max="2314" width="2.88671875" style="32" customWidth="1"/>
    <col min="2315" max="2315" width="3.5546875" style="32" customWidth="1"/>
    <col min="2316" max="2560" width="9.109375" style="32"/>
    <col min="2561" max="2561" width="8.6640625" style="32" customWidth="1"/>
    <col min="2562" max="2562" width="9.88671875" style="32" customWidth="1"/>
    <col min="2563" max="2563" width="14.44140625" style="32" customWidth="1"/>
    <col min="2564" max="2564" width="7.33203125" style="32" customWidth="1"/>
    <col min="2565" max="2565" width="5.5546875" style="32" customWidth="1"/>
    <col min="2566" max="2566" width="9" style="32" customWidth="1"/>
    <col min="2567" max="2568" width="9.88671875" style="32" customWidth="1"/>
    <col min="2569" max="2569" width="11.109375" style="32" customWidth="1"/>
    <col min="2570" max="2570" width="2.88671875" style="32" customWidth="1"/>
    <col min="2571" max="2571" width="3.5546875" style="32" customWidth="1"/>
    <col min="2572" max="2816" width="9.109375" style="32"/>
    <col min="2817" max="2817" width="8.6640625" style="32" customWidth="1"/>
    <col min="2818" max="2818" width="9.88671875" style="32" customWidth="1"/>
    <col min="2819" max="2819" width="14.44140625" style="32" customWidth="1"/>
    <col min="2820" max="2820" width="7.33203125" style="32" customWidth="1"/>
    <col min="2821" max="2821" width="5.5546875" style="32" customWidth="1"/>
    <col min="2822" max="2822" width="9" style="32" customWidth="1"/>
    <col min="2823" max="2824" width="9.88671875" style="32" customWidth="1"/>
    <col min="2825" max="2825" width="11.109375" style="32" customWidth="1"/>
    <col min="2826" max="2826" width="2.88671875" style="32" customWidth="1"/>
    <col min="2827" max="2827" width="3.5546875" style="32" customWidth="1"/>
    <col min="2828" max="3072" width="9.109375" style="32"/>
    <col min="3073" max="3073" width="8.6640625" style="32" customWidth="1"/>
    <col min="3074" max="3074" width="9.88671875" style="32" customWidth="1"/>
    <col min="3075" max="3075" width="14.44140625" style="32" customWidth="1"/>
    <col min="3076" max="3076" width="7.33203125" style="32" customWidth="1"/>
    <col min="3077" max="3077" width="5.5546875" style="32" customWidth="1"/>
    <col min="3078" max="3078" width="9" style="32" customWidth="1"/>
    <col min="3079" max="3080" width="9.88671875" style="32" customWidth="1"/>
    <col min="3081" max="3081" width="11.109375" style="32" customWidth="1"/>
    <col min="3082" max="3082" width="2.88671875" style="32" customWidth="1"/>
    <col min="3083" max="3083" width="3.5546875" style="32" customWidth="1"/>
    <col min="3084" max="3328" width="9.109375" style="32"/>
    <col min="3329" max="3329" width="8.6640625" style="32" customWidth="1"/>
    <col min="3330" max="3330" width="9.88671875" style="32" customWidth="1"/>
    <col min="3331" max="3331" width="14.44140625" style="32" customWidth="1"/>
    <col min="3332" max="3332" width="7.33203125" style="32" customWidth="1"/>
    <col min="3333" max="3333" width="5.5546875" style="32" customWidth="1"/>
    <col min="3334" max="3334" width="9" style="32" customWidth="1"/>
    <col min="3335" max="3336" width="9.88671875" style="32" customWidth="1"/>
    <col min="3337" max="3337" width="11.109375" style="32" customWidth="1"/>
    <col min="3338" max="3338" width="2.88671875" style="32" customWidth="1"/>
    <col min="3339" max="3339" width="3.5546875" style="32" customWidth="1"/>
    <col min="3340" max="3584" width="9.109375" style="32"/>
    <col min="3585" max="3585" width="8.6640625" style="32" customWidth="1"/>
    <col min="3586" max="3586" width="9.88671875" style="32" customWidth="1"/>
    <col min="3587" max="3587" width="14.44140625" style="32" customWidth="1"/>
    <col min="3588" max="3588" width="7.33203125" style="32" customWidth="1"/>
    <col min="3589" max="3589" width="5.5546875" style="32" customWidth="1"/>
    <col min="3590" max="3590" width="9" style="32" customWidth="1"/>
    <col min="3591" max="3592" width="9.88671875" style="32" customWidth="1"/>
    <col min="3593" max="3593" width="11.109375" style="32" customWidth="1"/>
    <col min="3594" max="3594" width="2.88671875" style="32" customWidth="1"/>
    <col min="3595" max="3595" width="3.5546875" style="32" customWidth="1"/>
    <col min="3596" max="3840" width="9.109375" style="32"/>
    <col min="3841" max="3841" width="8.6640625" style="32" customWidth="1"/>
    <col min="3842" max="3842" width="9.88671875" style="32" customWidth="1"/>
    <col min="3843" max="3843" width="14.44140625" style="32" customWidth="1"/>
    <col min="3844" max="3844" width="7.33203125" style="32" customWidth="1"/>
    <col min="3845" max="3845" width="5.5546875" style="32" customWidth="1"/>
    <col min="3846" max="3846" width="9" style="32" customWidth="1"/>
    <col min="3847" max="3848" width="9.88671875" style="32" customWidth="1"/>
    <col min="3849" max="3849" width="11.109375" style="32" customWidth="1"/>
    <col min="3850" max="3850" width="2.88671875" style="32" customWidth="1"/>
    <col min="3851" max="3851" width="3.5546875" style="32" customWidth="1"/>
    <col min="3852" max="4096" width="9.109375" style="32"/>
    <col min="4097" max="4097" width="8.6640625" style="32" customWidth="1"/>
    <col min="4098" max="4098" width="9.88671875" style="32" customWidth="1"/>
    <col min="4099" max="4099" width="14.44140625" style="32" customWidth="1"/>
    <col min="4100" max="4100" width="7.33203125" style="32" customWidth="1"/>
    <col min="4101" max="4101" width="5.5546875" style="32" customWidth="1"/>
    <col min="4102" max="4102" width="9" style="32" customWidth="1"/>
    <col min="4103" max="4104" width="9.88671875" style="32" customWidth="1"/>
    <col min="4105" max="4105" width="11.109375" style="32" customWidth="1"/>
    <col min="4106" max="4106" width="2.88671875" style="32" customWidth="1"/>
    <col min="4107" max="4107" width="3.5546875" style="32" customWidth="1"/>
    <col min="4108" max="4352" width="9.109375" style="32"/>
    <col min="4353" max="4353" width="8.6640625" style="32" customWidth="1"/>
    <col min="4354" max="4354" width="9.88671875" style="32" customWidth="1"/>
    <col min="4355" max="4355" width="14.44140625" style="32" customWidth="1"/>
    <col min="4356" max="4356" width="7.33203125" style="32" customWidth="1"/>
    <col min="4357" max="4357" width="5.5546875" style="32" customWidth="1"/>
    <col min="4358" max="4358" width="9" style="32" customWidth="1"/>
    <col min="4359" max="4360" width="9.88671875" style="32" customWidth="1"/>
    <col min="4361" max="4361" width="11.109375" style="32" customWidth="1"/>
    <col min="4362" max="4362" width="2.88671875" style="32" customWidth="1"/>
    <col min="4363" max="4363" width="3.5546875" style="32" customWidth="1"/>
    <col min="4364" max="4608" width="9.109375" style="32"/>
    <col min="4609" max="4609" width="8.6640625" style="32" customWidth="1"/>
    <col min="4610" max="4610" width="9.88671875" style="32" customWidth="1"/>
    <col min="4611" max="4611" width="14.44140625" style="32" customWidth="1"/>
    <col min="4612" max="4612" width="7.33203125" style="32" customWidth="1"/>
    <col min="4613" max="4613" width="5.5546875" style="32" customWidth="1"/>
    <col min="4614" max="4614" width="9" style="32" customWidth="1"/>
    <col min="4615" max="4616" width="9.88671875" style="32" customWidth="1"/>
    <col min="4617" max="4617" width="11.109375" style="32" customWidth="1"/>
    <col min="4618" max="4618" width="2.88671875" style="32" customWidth="1"/>
    <col min="4619" max="4619" width="3.5546875" style="32" customWidth="1"/>
    <col min="4620" max="4864" width="9.109375" style="32"/>
    <col min="4865" max="4865" width="8.6640625" style="32" customWidth="1"/>
    <col min="4866" max="4866" width="9.88671875" style="32" customWidth="1"/>
    <col min="4867" max="4867" width="14.44140625" style="32" customWidth="1"/>
    <col min="4868" max="4868" width="7.33203125" style="32" customWidth="1"/>
    <col min="4869" max="4869" width="5.5546875" style="32" customWidth="1"/>
    <col min="4870" max="4870" width="9" style="32" customWidth="1"/>
    <col min="4871" max="4872" width="9.88671875" style="32" customWidth="1"/>
    <col min="4873" max="4873" width="11.109375" style="32" customWidth="1"/>
    <col min="4874" max="4874" width="2.88671875" style="32" customWidth="1"/>
    <col min="4875" max="4875" width="3.5546875" style="32" customWidth="1"/>
    <col min="4876" max="5120" width="9.109375" style="32"/>
    <col min="5121" max="5121" width="8.6640625" style="32" customWidth="1"/>
    <col min="5122" max="5122" width="9.88671875" style="32" customWidth="1"/>
    <col min="5123" max="5123" width="14.44140625" style="32" customWidth="1"/>
    <col min="5124" max="5124" width="7.33203125" style="32" customWidth="1"/>
    <col min="5125" max="5125" width="5.5546875" style="32" customWidth="1"/>
    <col min="5126" max="5126" width="9" style="32" customWidth="1"/>
    <col min="5127" max="5128" width="9.88671875" style="32" customWidth="1"/>
    <col min="5129" max="5129" width="11.109375" style="32" customWidth="1"/>
    <col min="5130" max="5130" width="2.88671875" style="32" customWidth="1"/>
    <col min="5131" max="5131" width="3.5546875" style="32" customWidth="1"/>
    <col min="5132" max="5376" width="9.109375" style="32"/>
    <col min="5377" max="5377" width="8.6640625" style="32" customWidth="1"/>
    <col min="5378" max="5378" width="9.88671875" style="32" customWidth="1"/>
    <col min="5379" max="5379" width="14.44140625" style="32" customWidth="1"/>
    <col min="5380" max="5380" width="7.33203125" style="32" customWidth="1"/>
    <col min="5381" max="5381" width="5.5546875" style="32" customWidth="1"/>
    <col min="5382" max="5382" width="9" style="32" customWidth="1"/>
    <col min="5383" max="5384" width="9.88671875" style="32" customWidth="1"/>
    <col min="5385" max="5385" width="11.109375" style="32" customWidth="1"/>
    <col min="5386" max="5386" width="2.88671875" style="32" customWidth="1"/>
    <col min="5387" max="5387" width="3.5546875" style="32" customWidth="1"/>
    <col min="5388" max="5632" width="9.109375" style="32"/>
    <col min="5633" max="5633" width="8.6640625" style="32" customWidth="1"/>
    <col min="5634" max="5634" width="9.88671875" style="32" customWidth="1"/>
    <col min="5635" max="5635" width="14.44140625" style="32" customWidth="1"/>
    <col min="5636" max="5636" width="7.33203125" style="32" customWidth="1"/>
    <col min="5637" max="5637" width="5.5546875" style="32" customWidth="1"/>
    <col min="5638" max="5638" width="9" style="32" customWidth="1"/>
    <col min="5639" max="5640" width="9.88671875" style="32" customWidth="1"/>
    <col min="5641" max="5641" width="11.109375" style="32" customWidth="1"/>
    <col min="5642" max="5642" width="2.88671875" style="32" customWidth="1"/>
    <col min="5643" max="5643" width="3.5546875" style="32" customWidth="1"/>
    <col min="5644" max="5888" width="9.109375" style="32"/>
    <col min="5889" max="5889" width="8.6640625" style="32" customWidth="1"/>
    <col min="5890" max="5890" width="9.88671875" style="32" customWidth="1"/>
    <col min="5891" max="5891" width="14.44140625" style="32" customWidth="1"/>
    <col min="5892" max="5892" width="7.33203125" style="32" customWidth="1"/>
    <col min="5893" max="5893" width="5.5546875" style="32" customWidth="1"/>
    <col min="5894" max="5894" width="9" style="32" customWidth="1"/>
    <col min="5895" max="5896" width="9.88671875" style="32" customWidth="1"/>
    <col min="5897" max="5897" width="11.109375" style="32" customWidth="1"/>
    <col min="5898" max="5898" width="2.88671875" style="32" customWidth="1"/>
    <col min="5899" max="5899" width="3.5546875" style="32" customWidth="1"/>
    <col min="5900" max="6144" width="9.109375" style="32"/>
    <col min="6145" max="6145" width="8.6640625" style="32" customWidth="1"/>
    <col min="6146" max="6146" width="9.88671875" style="32" customWidth="1"/>
    <col min="6147" max="6147" width="14.44140625" style="32" customWidth="1"/>
    <col min="6148" max="6148" width="7.33203125" style="32" customWidth="1"/>
    <col min="6149" max="6149" width="5.5546875" style="32" customWidth="1"/>
    <col min="6150" max="6150" width="9" style="32" customWidth="1"/>
    <col min="6151" max="6152" width="9.88671875" style="32" customWidth="1"/>
    <col min="6153" max="6153" width="11.109375" style="32" customWidth="1"/>
    <col min="6154" max="6154" width="2.88671875" style="32" customWidth="1"/>
    <col min="6155" max="6155" width="3.5546875" style="32" customWidth="1"/>
    <col min="6156" max="6400" width="9.109375" style="32"/>
    <col min="6401" max="6401" width="8.6640625" style="32" customWidth="1"/>
    <col min="6402" max="6402" width="9.88671875" style="32" customWidth="1"/>
    <col min="6403" max="6403" width="14.44140625" style="32" customWidth="1"/>
    <col min="6404" max="6404" width="7.33203125" style="32" customWidth="1"/>
    <col min="6405" max="6405" width="5.5546875" style="32" customWidth="1"/>
    <col min="6406" max="6406" width="9" style="32" customWidth="1"/>
    <col min="6407" max="6408" width="9.88671875" style="32" customWidth="1"/>
    <col min="6409" max="6409" width="11.109375" style="32" customWidth="1"/>
    <col min="6410" max="6410" width="2.88671875" style="32" customWidth="1"/>
    <col min="6411" max="6411" width="3.5546875" style="32" customWidth="1"/>
    <col min="6412" max="6656" width="9.109375" style="32"/>
    <col min="6657" max="6657" width="8.6640625" style="32" customWidth="1"/>
    <col min="6658" max="6658" width="9.88671875" style="32" customWidth="1"/>
    <col min="6659" max="6659" width="14.44140625" style="32" customWidth="1"/>
    <col min="6660" max="6660" width="7.33203125" style="32" customWidth="1"/>
    <col min="6661" max="6661" width="5.5546875" style="32" customWidth="1"/>
    <col min="6662" max="6662" width="9" style="32" customWidth="1"/>
    <col min="6663" max="6664" width="9.88671875" style="32" customWidth="1"/>
    <col min="6665" max="6665" width="11.109375" style="32" customWidth="1"/>
    <col min="6666" max="6666" width="2.88671875" style="32" customWidth="1"/>
    <col min="6667" max="6667" width="3.5546875" style="32" customWidth="1"/>
    <col min="6668" max="6912" width="9.109375" style="32"/>
    <col min="6913" max="6913" width="8.6640625" style="32" customWidth="1"/>
    <col min="6914" max="6914" width="9.88671875" style="32" customWidth="1"/>
    <col min="6915" max="6915" width="14.44140625" style="32" customWidth="1"/>
    <col min="6916" max="6916" width="7.33203125" style="32" customWidth="1"/>
    <col min="6917" max="6917" width="5.5546875" style="32" customWidth="1"/>
    <col min="6918" max="6918" width="9" style="32" customWidth="1"/>
    <col min="6919" max="6920" width="9.88671875" style="32" customWidth="1"/>
    <col min="6921" max="6921" width="11.109375" style="32" customWidth="1"/>
    <col min="6922" max="6922" width="2.88671875" style="32" customWidth="1"/>
    <col min="6923" max="6923" width="3.5546875" style="32" customWidth="1"/>
    <col min="6924" max="7168" width="9.109375" style="32"/>
    <col min="7169" max="7169" width="8.6640625" style="32" customWidth="1"/>
    <col min="7170" max="7170" width="9.88671875" style="32" customWidth="1"/>
    <col min="7171" max="7171" width="14.44140625" style="32" customWidth="1"/>
    <col min="7172" max="7172" width="7.33203125" style="32" customWidth="1"/>
    <col min="7173" max="7173" width="5.5546875" style="32" customWidth="1"/>
    <col min="7174" max="7174" width="9" style="32" customWidth="1"/>
    <col min="7175" max="7176" width="9.88671875" style="32" customWidth="1"/>
    <col min="7177" max="7177" width="11.109375" style="32" customWidth="1"/>
    <col min="7178" max="7178" width="2.88671875" style="32" customWidth="1"/>
    <col min="7179" max="7179" width="3.5546875" style="32" customWidth="1"/>
    <col min="7180" max="7424" width="9.109375" style="32"/>
    <col min="7425" max="7425" width="8.6640625" style="32" customWidth="1"/>
    <col min="7426" max="7426" width="9.88671875" style="32" customWidth="1"/>
    <col min="7427" max="7427" width="14.44140625" style="32" customWidth="1"/>
    <col min="7428" max="7428" width="7.33203125" style="32" customWidth="1"/>
    <col min="7429" max="7429" width="5.5546875" style="32" customWidth="1"/>
    <col min="7430" max="7430" width="9" style="32" customWidth="1"/>
    <col min="7431" max="7432" width="9.88671875" style="32" customWidth="1"/>
    <col min="7433" max="7433" width="11.109375" style="32" customWidth="1"/>
    <col min="7434" max="7434" width="2.88671875" style="32" customWidth="1"/>
    <col min="7435" max="7435" width="3.5546875" style="32" customWidth="1"/>
    <col min="7436" max="7680" width="9.109375" style="32"/>
    <col min="7681" max="7681" width="8.6640625" style="32" customWidth="1"/>
    <col min="7682" max="7682" width="9.88671875" style="32" customWidth="1"/>
    <col min="7683" max="7683" width="14.44140625" style="32" customWidth="1"/>
    <col min="7684" max="7684" width="7.33203125" style="32" customWidth="1"/>
    <col min="7685" max="7685" width="5.5546875" style="32" customWidth="1"/>
    <col min="7686" max="7686" width="9" style="32" customWidth="1"/>
    <col min="7687" max="7688" width="9.88671875" style="32" customWidth="1"/>
    <col min="7689" max="7689" width="11.109375" style="32" customWidth="1"/>
    <col min="7690" max="7690" width="2.88671875" style="32" customWidth="1"/>
    <col min="7691" max="7691" width="3.5546875" style="32" customWidth="1"/>
    <col min="7692" max="7936" width="9.109375" style="32"/>
    <col min="7937" max="7937" width="8.6640625" style="32" customWidth="1"/>
    <col min="7938" max="7938" width="9.88671875" style="32" customWidth="1"/>
    <col min="7939" max="7939" width="14.44140625" style="32" customWidth="1"/>
    <col min="7940" max="7940" width="7.33203125" style="32" customWidth="1"/>
    <col min="7941" max="7941" width="5.5546875" style="32" customWidth="1"/>
    <col min="7942" max="7942" width="9" style="32" customWidth="1"/>
    <col min="7943" max="7944" width="9.88671875" style="32" customWidth="1"/>
    <col min="7945" max="7945" width="11.109375" style="32" customWidth="1"/>
    <col min="7946" max="7946" width="2.88671875" style="32" customWidth="1"/>
    <col min="7947" max="7947" width="3.5546875" style="32" customWidth="1"/>
    <col min="7948" max="8192" width="9.109375" style="32"/>
    <col min="8193" max="8193" width="8.6640625" style="32" customWidth="1"/>
    <col min="8194" max="8194" width="9.88671875" style="32" customWidth="1"/>
    <col min="8195" max="8195" width="14.44140625" style="32" customWidth="1"/>
    <col min="8196" max="8196" width="7.33203125" style="32" customWidth="1"/>
    <col min="8197" max="8197" width="5.5546875" style="32" customWidth="1"/>
    <col min="8198" max="8198" width="9" style="32" customWidth="1"/>
    <col min="8199" max="8200" width="9.88671875" style="32" customWidth="1"/>
    <col min="8201" max="8201" width="11.109375" style="32" customWidth="1"/>
    <col min="8202" max="8202" width="2.88671875" style="32" customWidth="1"/>
    <col min="8203" max="8203" width="3.5546875" style="32" customWidth="1"/>
    <col min="8204" max="8448" width="9.109375" style="32"/>
    <col min="8449" max="8449" width="8.6640625" style="32" customWidth="1"/>
    <col min="8450" max="8450" width="9.88671875" style="32" customWidth="1"/>
    <col min="8451" max="8451" width="14.44140625" style="32" customWidth="1"/>
    <col min="8452" max="8452" width="7.33203125" style="32" customWidth="1"/>
    <col min="8453" max="8453" width="5.5546875" style="32" customWidth="1"/>
    <col min="8454" max="8454" width="9" style="32" customWidth="1"/>
    <col min="8455" max="8456" width="9.88671875" style="32" customWidth="1"/>
    <col min="8457" max="8457" width="11.109375" style="32" customWidth="1"/>
    <col min="8458" max="8458" width="2.88671875" style="32" customWidth="1"/>
    <col min="8459" max="8459" width="3.5546875" style="32" customWidth="1"/>
    <col min="8460" max="8704" width="9.109375" style="32"/>
    <col min="8705" max="8705" width="8.6640625" style="32" customWidth="1"/>
    <col min="8706" max="8706" width="9.88671875" style="32" customWidth="1"/>
    <col min="8707" max="8707" width="14.44140625" style="32" customWidth="1"/>
    <col min="8708" max="8708" width="7.33203125" style="32" customWidth="1"/>
    <col min="8709" max="8709" width="5.5546875" style="32" customWidth="1"/>
    <col min="8710" max="8710" width="9" style="32" customWidth="1"/>
    <col min="8711" max="8712" width="9.88671875" style="32" customWidth="1"/>
    <col min="8713" max="8713" width="11.109375" style="32" customWidth="1"/>
    <col min="8714" max="8714" width="2.88671875" style="32" customWidth="1"/>
    <col min="8715" max="8715" width="3.5546875" style="32" customWidth="1"/>
    <col min="8716" max="8960" width="9.109375" style="32"/>
    <col min="8961" max="8961" width="8.6640625" style="32" customWidth="1"/>
    <col min="8962" max="8962" width="9.88671875" style="32" customWidth="1"/>
    <col min="8963" max="8963" width="14.44140625" style="32" customWidth="1"/>
    <col min="8964" max="8964" width="7.33203125" style="32" customWidth="1"/>
    <col min="8965" max="8965" width="5.5546875" style="32" customWidth="1"/>
    <col min="8966" max="8966" width="9" style="32" customWidth="1"/>
    <col min="8967" max="8968" width="9.88671875" style="32" customWidth="1"/>
    <col min="8969" max="8969" width="11.109375" style="32" customWidth="1"/>
    <col min="8970" max="8970" width="2.88671875" style="32" customWidth="1"/>
    <col min="8971" max="8971" width="3.5546875" style="32" customWidth="1"/>
    <col min="8972" max="9216" width="9.109375" style="32"/>
    <col min="9217" max="9217" width="8.6640625" style="32" customWidth="1"/>
    <col min="9218" max="9218" width="9.88671875" style="32" customWidth="1"/>
    <col min="9219" max="9219" width="14.44140625" style="32" customWidth="1"/>
    <col min="9220" max="9220" width="7.33203125" style="32" customWidth="1"/>
    <col min="9221" max="9221" width="5.5546875" style="32" customWidth="1"/>
    <col min="9222" max="9222" width="9" style="32" customWidth="1"/>
    <col min="9223" max="9224" width="9.88671875" style="32" customWidth="1"/>
    <col min="9225" max="9225" width="11.109375" style="32" customWidth="1"/>
    <col min="9226" max="9226" width="2.88671875" style="32" customWidth="1"/>
    <col min="9227" max="9227" width="3.5546875" style="32" customWidth="1"/>
    <col min="9228" max="9472" width="9.109375" style="32"/>
    <col min="9473" max="9473" width="8.6640625" style="32" customWidth="1"/>
    <col min="9474" max="9474" width="9.88671875" style="32" customWidth="1"/>
    <col min="9475" max="9475" width="14.44140625" style="32" customWidth="1"/>
    <col min="9476" max="9476" width="7.33203125" style="32" customWidth="1"/>
    <col min="9477" max="9477" width="5.5546875" style="32" customWidth="1"/>
    <col min="9478" max="9478" width="9" style="32" customWidth="1"/>
    <col min="9479" max="9480" width="9.88671875" style="32" customWidth="1"/>
    <col min="9481" max="9481" width="11.109375" style="32" customWidth="1"/>
    <col min="9482" max="9482" width="2.88671875" style="32" customWidth="1"/>
    <col min="9483" max="9483" width="3.5546875" style="32" customWidth="1"/>
    <col min="9484" max="9728" width="9.109375" style="32"/>
    <col min="9729" max="9729" width="8.6640625" style="32" customWidth="1"/>
    <col min="9730" max="9730" width="9.88671875" style="32" customWidth="1"/>
    <col min="9731" max="9731" width="14.44140625" style="32" customWidth="1"/>
    <col min="9732" max="9732" width="7.33203125" style="32" customWidth="1"/>
    <col min="9733" max="9733" width="5.5546875" style="32" customWidth="1"/>
    <col min="9734" max="9734" width="9" style="32" customWidth="1"/>
    <col min="9735" max="9736" width="9.88671875" style="32" customWidth="1"/>
    <col min="9737" max="9737" width="11.109375" style="32" customWidth="1"/>
    <col min="9738" max="9738" width="2.88671875" style="32" customWidth="1"/>
    <col min="9739" max="9739" width="3.5546875" style="32" customWidth="1"/>
    <col min="9740" max="9984" width="9.109375" style="32"/>
    <col min="9985" max="9985" width="8.6640625" style="32" customWidth="1"/>
    <col min="9986" max="9986" width="9.88671875" style="32" customWidth="1"/>
    <col min="9987" max="9987" width="14.44140625" style="32" customWidth="1"/>
    <col min="9988" max="9988" width="7.33203125" style="32" customWidth="1"/>
    <col min="9989" max="9989" width="5.5546875" style="32" customWidth="1"/>
    <col min="9990" max="9990" width="9" style="32" customWidth="1"/>
    <col min="9991" max="9992" width="9.88671875" style="32" customWidth="1"/>
    <col min="9993" max="9993" width="11.109375" style="32" customWidth="1"/>
    <col min="9994" max="9994" width="2.88671875" style="32" customWidth="1"/>
    <col min="9995" max="9995" width="3.5546875" style="32" customWidth="1"/>
    <col min="9996" max="10240" width="9.109375" style="32"/>
    <col min="10241" max="10241" width="8.6640625" style="32" customWidth="1"/>
    <col min="10242" max="10242" width="9.88671875" style="32" customWidth="1"/>
    <col min="10243" max="10243" width="14.44140625" style="32" customWidth="1"/>
    <col min="10244" max="10244" width="7.33203125" style="32" customWidth="1"/>
    <col min="10245" max="10245" width="5.5546875" style="32" customWidth="1"/>
    <col min="10246" max="10246" width="9" style="32" customWidth="1"/>
    <col min="10247" max="10248" width="9.88671875" style="32" customWidth="1"/>
    <col min="10249" max="10249" width="11.109375" style="32" customWidth="1"/>
    <col min="10250" max="10250" width="2.88671875" style="32" customWidth="1"/>
    <col min="10251" max="10251" width="3.5546875" style="32" customWidth="1"/>
    <col min="10252" max="10496" width="9.109375" style="32"/>
    <col min="10497" max="10497" width="8.6640625" style="32" customWidth="1"/>
    <col min="10498" max="10498" width="9.88671875" style="32" customWidth="1"/>
    <col min="10499" max="10499" width="14.44140625" style="32" customWidth="1"/>
    <col min="10500" max="10500" width="7.33203125" style="32" customWidth="1"/>
    <col min="10501" max="10501" width="5.5546875" style="32" customWidth="1"/>
    <col min="10502" max="10502" width="9" style="32" customWidth="1"/>
    <col min="10503" max="10504" width="9.88671875" style="32" customWidth="1"/>
    <col min="10505" max="10505" width="11.109375" style="32" customWidth="1"/>
    <col min="10506" max="10506" width="2.88671875" style="32" customWidth="1"/>
    <col min="10507" max="10507" width="3.5546875" style="32" customWidth="1"/>
    <col min="10508" max="10752" width="9.109375" style="32"/>
    <col min="10753" max="10753" width="8.6640625" style="32" customWidth="1"/>
    <col min="10754" max="10754" width="9.88671875" style="32" customWidth="1"/>
    <col min="10755" max="10755" width="14.44140625" style="32" customWidth="1"/>
    <col min="10756" max="10756" width="7.33203125" style="32" customWidth="1"/>
    <col min="10757" max="10757" width="5.5546875" style="32" customWidth="1"/>
    <col min="10758" max="10758" width="9" style="32" customWidth="1"/>
    <col min="10759" max="10760" width="9.88671875" style="32" customWidth="1"/>
    <col min="10761" max="10761" width="11.109375" style="32" customWidth="1"/>
    <col min="10762" max="10762" width="2.88671875" style="32" customWidth="1"/>
    <col min="10763" max="10763" width="3.5546875" style="32" customWidth="1"/>
    <col min="10764" max="11008" width="9.109375" style="32"/>
    <col min="11009" max="11009" width="8.6640625" style="32" customWidth="1"/>
    <col min="11010" max="11010" width="9.88671875" style="32" customWidth="1"/>
    <col min="11011" max="11011" width="14.44140625" style="32" customWidth="1"/>
    <col min="11012" max="11012" width="7.33203125" style="32" customWidth="1"/>
    <col min="11013" max="11013" width="5.5546875" style="32" customWidth="1"/>
    <col min="11014" max="11014" width="9" style="32" customWidth="1"/>
    <col min="11015" max="11016" width="9.88671875" style="32" customWidth="1"/>
    <col min="11017" max="11017" width="11.109375" style="32" customWidth="1"/>
    <col min="11018" max="11018" width="2.88671875" style="32" customWidth="1"/>
    <col min="11019" max="11019" width="3.5546875" style="32" customWidth="1"/>
    <col min="11020" max="11264" width="9.109375" style="32"/>
    <col min="11265" max="11265" width="8.6640625" style="32" customWidth="1"/>
    <col min="11266" max="11266" width="9.88671875" style="32" customWidth="1"/>
    <col min="11267" max="11267" width="14.44140625" style="32" customWidth="1"/>
    <col min="11268" max="11268" width="7.33203125" style="32" customWidth="1"/>
    <col min="11269" max="11269" width="5.5546875" style="32" customWidth="1"/>
    <col min="11270" max="11270" width="9" style="32" customWidth="1"/>
    <col min="11271" max="11272" width="9.88671875" style="32" customWidth="1"/>
    <col min="11273" max="11273" width="11.109375" style="32" customWidth="1"/>
    <col min="11274" max="11274" width="2.88671875" style="32" customWidth="1"/>
    <col min="11275" max="11275" width="3.5546875" style="32" customWidth="1"/>
    <col min="11276" max="11520" width="9.109375" style="32"/>
    <col min="11521" max="11521" width="8.6640625" style="32" customWidth="1"/>
    <col min="11522" max="11522" width="9.88671875" style="32" customWidth="1"/>
    <col min="11523" max="11523" width="14.44140625" style="32" customWidth="1"/>
    <col min="11524" max="11524" width="7.33203125" style="32" customWidth="1"/>
    <col min="11525" max="11525" width="5.5546875" style="32" customWidth="1"/>
    <col min="11526" max="11526" width="9" style="32" customWidth="1"/>
    <col min="11527" max="11528" width="9.88671875" style="32" customWidth="1"/>
    <col min="11529" max="11529" width="11.109375" style="32" customWidth="1"/>
    <col min="11530" max="11530" width="2.88671875" style="32" customWidth="1"/>
    <col min="11531" max="11531" width="3.5546875" style="32" customWidth="1"/>
    <col min="11532" max="11776" width="9.109375" style="32"/>
    <col min="11777" max="11777" width="8.6640625" style="32" customWidth="1"/>
    <col min="11778" max="11778" width="9.88671875" style="32" customWidth="1"/>
    <col min="11779" max="11779" width="14.44140625" style="32" customWidth="1"/>
    <col min="11780" max="11780" width="7.33203125" style="32" customWidth="1"/>
    <col min="11781" max="11781" width="5.5546875" style="32" customWidth="1"/>
    <col min="11782" max="11782" width="9" style="32" customWidth="1"/>
    <col min="11783" max="11784" width="9.88671875" style="32" customWidth="1"/>
    <col min="11785" max="11785" width="11.109375" style="32" customWidth="1"/>
    <col min="11786" max="11786" width="2.88671875" style="32" customWidth="1"/>
    <col min="11787" max="11787" width="3.5546875" style="32" customWidth="1"/>
    <col min="11788" max="12032" width="9.109375" style="32"/>
    <col min="12033" max="12033" width="8.6640625" style="32" customWidth="1"/>
    <col min="12034" max="12034" width="9.88671875" style="32" customWidth="1"/>
    <col min="12035" max="12035" width="14.44140625" style="32" customWidth="1"/>
    <col min="12036" max="12036" width="7.33203125" style="32" customWidth="1"/>
    <col min="12037" max="12037" width="5.5546875" style="32" customWidth="1"/>
    <col min="12038" max="12038" width="9" style="32" customWidth="1"/>
    <col min="12039" max="12040" width="9.88671875" style="32" customWidth="1"/>
    <col min="12041" max="12041" width="11.109375" style="32" customWidth="1"/>
    <col min="12042" max="12042" width="2.88671875" style="32" customWidth="1"/>
    <col min="12043" max="12043" width="3.5546875" style="32" customWidth="1"/>
    <col min="12044" max="12288" width="9.109375" style="32"/>
    <col min="12289" max="12289" width="8.6640625" style="32" customWidth="1"/>
    <col min="12290" max="12290" width="9.88671875" style="32" customWidth="1"/>
    <col min="12291" max="12291" width="14.44140625" style="32" customWidth="1"/>
    <col min="12292" max="12292" width="7.33203125" style="32" customWidth="1"/>
    <col min="12293" max="12293" width="5.5546875" style="32" customWidth="1"/>
    <col min="12294" max="12294" width="9" style="32" customWidth="1"/>
    <col min="12295" max="12296" width="9.88671875" style="32" customWidth="1"/>
    <col min="12297" max="12297" width="11.109375" style="32" customWidth="1"/>
    <col min="12298" max="12298" width="2.88671875" style="32" customWidth="1"/>
    <col min="12299" max="12299" width="3.5546875" style="32" customWidth="1"/>
    <col min="12300" max="12544" width="9.109375" style="32"/>
    <col min="12545" max="12545" width="8.6640625" style="32" customWidth="1"/>
    <col min="12546" max="12546" width="9.88671875" style="32" customWidth="1"/>
    <col min="12547" max="12547" width="14.44140625" style="32" customWidth="1"/>
    <col min="12548" max="12548" width="7.33203125" style="32" customWidth="1"/>
    <col min="12549" max="12549" width="5.5546875" style="32" customWidth="1"/>
    <col min="12550" max="12550" width="9" style="32" customWidth="1"/>
    <col min="12551" max="12552" width="9.88671875" style="32" customWidth="1"/>
    <col min="12553" max="12553" width="11.109375" style="32" customWidth="1"/>
    <col min="12554" max="12554" width="2.88671875" style="32" customWidth="1"/>
    <col min="12555" max="12555" width="3.5546875" style="32" customWidth="1"/>
    <col min="12556" max="12800" width="9.109375" style="32"/>
    <col min="12801" max="12801" width="8.6640625" style="32" customWidth="1"/>
    <col min="12802" max="12802" width="9.88671875" style="32" customWidth="1"/>
    <col min="12803" max="12803" width="14.44140625" style="32" customWidth="1"/>
    <col min="12804" max="12804" width="7.33203125" style="32" customWidth="1"/>
    <col min="12805" max="12805" width="5.5546875" style="32" customWidth="1"/>
    <col min="12806" max="12806" width="9" style="32" customWidth="1"/>
    <col min="12807" max="12808" width="9.88671875" style="32" customWidth="1"/>
    <col min="12809" max="12809" width="11.109375" style="32" customWidth="1"/>
    <col min="12810" max="12810" width="2.88671875" style="32" customWidth="1"/>
    <col min="12811" max="12811" width="3.5546875" style="32" customWidth="1"/>
    <col min="12812" max="13056" width="9.109375" style="32"/>
    <col min="13057" max="13057" width="8.6640625" style="32" customWidth="1"/>
    <col min="13058" max="13058" width="9.88671875" style="32" customWidth="1"/>
    <col min="13059" max="13059" width="14.44140625" style="32" customWidth="1"/>
    <col min="13060" max="13060" width="7.33203125" style="32" customWidth="1"/>
    <col min="13061" max="13061" width="5.5546875" style="32" customWidth="1"/>
    <col min="13062" max="13062" width="9" style="32" customWidth="1"/>
    <col min="13063" max="13064" width="9.88671875" style="32" customWidth="1"/>
    <col min="13065" max="13065" width="11.109375" style="32" customWidth="1"/>
    <col min="13066" max="13066" width="2.88671875" style="32" customWidth="1"/>
    <col min="13067" max="13067" width="3.5546875" style="32" customWidth="1"/>
    <col min="13068" max="13312" width="9.109375" style="32"/>
    <col min="13313" max="13313" width="8.6640625" style="32" customWidth="1"/>
    <col min="13314" max="13314" width="9.88671875" style="32" customWidth="1"/>
    <col min="13315" max="13315" width="14.44140625" style="32" customWidth="1"/>
    <col min="13316" max="13316" width="7.33203125" style="32" customWidth="1"/>
    <col min="13317" max="13317" width="5.5546875" style="32" customWidth="1"/>
    <col min="13318" max="13318" width="9" style="32" customWidth="1"/>
    <col min="13319" max="13320" width="9.88671875" style="32" customWidth="1"/>
    <col min="13321" max="13321" width="11.109375" style="32" customWidth="1"/>
    <col min="13322" max="13322" width="2.88671875" style="32" customWidth="1"/>
    <col min="13323" max="13323" width="3.5546875" style="32" customWidth="1"/>
    <col min="13324" max="13568" width="9.109375" style="32"/>
    <col min="13569" max="13569" width="8.6640625" style="32" customWidth="1"/>
    <col min="13570" max="13570" width="9.88671875" style="32" customWidth="1"/>
    <col min="13571" max="13571" width="14.44140625" style="32" customWidth="1"/>
    <col min="13572" max="13572" width="7.33203125" style="32" customWidth="1"/>
    <col min="13573" max="13573" width="5.5546875" style="32" customWidth="1"/>
    <col min="13574" max="13574" width="9" style="32" customWidth="1"/>
    <col min="13575" max="13576" width="9.88671875" style="32" customWidth="1"/>
    <col min="13577" max="13577" width="11.109375" style="32" customWidth="1"/>
    <col min="13578" max="13578" width="2.88671875" style="32" customWidth="1"/>
    <col min="13579" max="13579" width="3.5546875" style="32" customWidth="1"/>
    <col min="13580" max="13824" width="9.109375" style="32"/>
    <col min="13825" max="13825" width="8.6640625" style="32" customWidth="1"/>
    <col min="13826" max="13826" width="9.88671875" style="32" customWidth="1"/>
    <col min="13827" max="13827" width="14.44140625" style="32" customWidth="1"/>
    <col min="13828" max="13828" width="7.33203125" style="32" customWidth="1"/>
    <col min="13829" max="13829" width="5.5546875" style="32" customWidth="1"/>
    <col min="13830" max="13830" width="9" style="32" customWidth="1"/>
    <col min="13831" max="13832" width="9.88671875" style="32" customWidth="1"/>
    <col min="13833" max="13833" width="11.109375" style="32" customWidth="1"/>
    <col min="13834" max="13834" width="2.88671875" style="32" customWidth="1"/>
    <col min="13835" max="13835" width="3.5546875" style="32" customWidth="1"/>
    <col min="13836" max="14080" width="9.109375" style="32"/>
    <col min="14081" max="14081" width="8.6640625" style="32" customWidth="1"/>
    <col min="14082" max="14082" width="9.88671875" style="32" customWidth="1"/>
    <col min="14083" max="14083" width="14.44140625" style="32" customWidth="1"/>
    <col min="14084" max="14084" width="7.33203125" style="32" customWidth="1"/>
    <col min="14085" max="14085" width="5.5546875" style="32" customWidth="1"/>
    <col min="14086" max="14086" width="9" style="32" customWidth="1"/>
    <col min="14087" max="14088" width="9.88671875" style="32" customWidth="1"/>
    <col min="14089" max="14089" width="11.109375" style="32" customWidth="1"/>
    <col min="14090" max="14090" width="2.88671875" style="32" customWidth="1"/>
    <col min="14091" max="14091" width="3.5546875" style="32" customWidth="1"/>
    <col min="14092" max="14336" width="9.109375" style="32"/>
    <col min="14337" max="14337" width="8.6640625" style="32" customWidth="1"/>
    <col min="14338" max="14338" width="9.88671875" style="32" customWidth="1"/>
    <col min="14339" max="14339" width="14.44140625" style="32" customWidth="1"/>
    <col min="14340" max="14340" width="7.33203125" style="32" customWidth="1"/>
    <col min="14341" max="14341" width="5.5546875" style="32" customWidth="1"/>
    <col min="14342" max="14342" width="9" style="32" customWidth="1"/>
    <col min="14343" max="14344" width="9.88671875" style="32" customWidth="1"/>
    <col min="14345" max="14345" width="11.109375" style="32" customWidth="1"/>
    <col min="14346" max="14346" width="2.88671875" style="32" customWidth="1"/>
    <col min="14347" max="14347" width="3.5546875" style="32" customWidth="1"/>
    <col min="14348" max="14592" width="9.109375" style="32"/>
    <col min="14593" max="14593" width="8.6640625" style="32" customWidth="1"/>
    <col min="14594" max="14594" width="9.88671875" style="32" customWidth="1"/>
    <col min="14595" max="14595" width="14.44140625" style="32" customWidth="1"/>
    <col min="14596" max="14596" width="7.33203125" style="32" customWidth="1"/>
    <col min="14597" max="14597" width="5.5546875" style="32" customWidth="1"/>
    <col min="14598" max="14598" width="9" style="32" customWidth="1"/>
    <col min="14599" max="14600" width="9.88671875" style="32" customWidth="1"/>
    <col min="14601" max="14601" width="11.109375" style="32" customWidth="1"/>
    <col min="14602" max="14602" width="2.88671875" style="32" customWidth="1"/>
    <col min="14603" max="14603" width="3.5546875" style="32" customWidth="1"/>
    <col min="14604" max="14848" width="9.109375" style="32"/>
    <col min="14849" max="14849" width="8.6640625" style="32" customWidth="1"/>
    <col min="14850" max="14850" width="9.88671875" style="32" customWidth="1"/>
    <col min="14851" max="14851" width="14.44140625" style="32" customWidth="1"/>
    <col min="14852" max="14852" width="7.33203125" style="32" customWidth="1"/>
    <col min="14853" max="14853" width="5.5546875" style="32" customWidth="1"/>
    <col min="14854" max="14854" width="9" style="32" customWidth="1"/>
    <col min="14855" max="14856" width="9.88671875" style="32" customWidth="1"/>
    <col min="14857" max="14857" width="11.109375" style="32" customWidth="1"/>
    <col min="14858" max="14858" width="2.88671875" style="32" customWidth="1"/>
    <col min="14859" max="14859" width="3.5546875" style="32" customWidth="1"/>
    <col min="14860" max="15104" width="9.109375" style="32"/>
    <col min="15105" max="15105" width="8.6640625" style="32" customWidth="1"/>
    <col min="15106" max="15106" width="9.88671875" style="32" customWidth="1"/>
    <col min="15107" max="15107" width="14.44140625" style="32" customWidth="1"/>
    <col min="15108" max="15108" width="7.33203125" style="32" customWidth="1"/>
    <col min="15109" max="15109" width="5.5546875" style="32" customWidth="1"/>
    <col min="15110" max="15110" width="9" style="32" customWidth="1"/>
    <col min="15111" max="15112" width="9.88671875" style="32" customWidth="1"/>
    <col min="15113" max="15113" width="11.109375" style="32" customWidth="1"/>
    <col min="15114" max="15114" width="2.88671875" style="32" customWidth="1"/>
    <col min="15115" max="15115" width="3.5546875" style="32" customWidth="1"/>
    <col min="15116" max="15360" width="9.109375" style="32"/>
    <col min="15361" max="15361" width="8.6640625" style="32" customWidth="1"/>
    <col min="15362" max="15362" width="9.88671875" style="32" customWidth="1"/>
    <col min="15363" max="15363" width="14.44140625" style="32" customWidth="1"/>
    <col min="15364" max="15364" width="7.33203125" style="32" customWidth="1"/>
    <col min="15365" max="15365" width="5.5546875" style="32" customWidth="1"/>
    <col min="15366" max="15366" width="9" style="32" customWidth="1"/>
    <col min="15367" max="15368" width="9.88671875" style="32" customWidth="1"/>
    <col min="15369" max="15369" width="11.109375" style="32" customWidth="1"/>
    <col min="15370" max="15370" width="2.88671875" style="32" customWidth="1"/>
    <col min="15371" max="15371" width="3.5546875" style="32" customWidth="1"/>
    <col min="15372" max="15616" width="9.109375" style="32"/>
    <col min="15617" max="15617" width="8.6640625" style="32" customWidth="1"/>
    <col min="15618" max="15618" width="9.88671875" style="32" customWidth="1"/>
    <col min="15619" max="15619" width="14.44140625" style="32" customWidth="1"/>
    <col min="15620" max="15620" width="7.33203125" style="32" customWidth="1"/>
    <col min="15621" max="15621" width="5.5546875" style="32" customWidth="1"/>
    <col min="15622" max="15622" width="9" style="32" customWidth="1"/>
    <col min="15623" max="15624" width="9.88671875" style="32" customWidth="1"/>
    <col min="15625" max="15625" width="11.109375" style="32" customWidth="1"/>
    <col min="15626" max="15626" width="2.88671875" style="32" customWidth="1"/>
    <col min="15627" max="15627" width="3.5546875" style="32" customWidth="1"/>
    <col min="15628" max="15872" width="9.109375" style="32"/>
    <col min="15873" max="15873" width="8.6640625" style="32" customWidth="1"/>
    <col min="15874" max="15874" width="9.88671875" style="32" customWidth="1"/>
    <col min="15875" max="15875" width="14.44140625" style="32" customWidth="1"/>
    <col min="15876" max="15876" width="7.33203125" style="32" customWidth="1"/>
    <col min="15877" max="15877" width="5.5546875" style="32" customWidth="1"/>
    <col min="15878" max="15878" width="9" style="32" customWidth="1"/>
    <col min="15879" max="15880" width="9.88671875" style="32" customWidth="1"/>
    <col min="15881" max="15881" width="11.109375" style="32" customWidth="1"/>
    <col min="15882" max="15882" width="2.88671875" style="32" customWidth="1"/>
    <col min="15883" max="15883" width="3.5546875" style="32" customWidth="1"/>
    <col min="15884" max="16128" width="9.109375" style="32"/>
    <col min="16129" max="16129" width="8.6640625" style="32" customWidth="1"/>
    <col min="16130" max="16130" width="9.88671875" style="32" customWidth="1"/>
    <col min="16131" max="16131" width="14.44140625" style="32" customWidth="1"/>
    <col min="16132" max="16132" width="7.33203125" style="32" customWidth="1"/>
    <col min="16133" max="16133" width="5.5546875" style="32" customWidth="1"/>
    <col min="16134" max="16134" width="9" style="32" customWidth="1"/>
    <col min="16135" max="16136" width="9.88671875" style="32" customWidth="1"/>
    <col min="16137" max="16137" width="11.109375" style="32" customWidth="1"/>
    <col min="16138" max="16138" width="2.88671875" style="32" customWidth="1"/>
    <col min="16139" max="16139" width="3.5546875" style="32" customWidth="1"/>
    <col min="16140" max="16384" width="9.109375" style="32"/>
  </cols>
  <sheetData>
    <row r="1" spans="1:13" ht="46.5" customHeight="1" x14ac:dyDescent="0.3">
      <c r="A1" s="171" t="s">
        <v>267</v>
      </c>
      <c r="B1" s="172"/>
      <c r="C1" s="172"/>
      <c r="D1" s="172"/>
      <c r="E1" s="172"/>
      <c r="F1" s="172"/>
      <c r="G1" s="172"/>
      <c r="H1" s="172"/>
      <c r="I1" s="172"/>
      <c r="J1" s="173"/>
    </row>
    <row r="2" spans="1:13" ht="16.5" customHeight="1" x14ac:dyDescent="0.3">
      <c r="A2" s="121" t="s">
        <v>0</v>
      </c>
      <c r="B2" s="122"/>
      <c r="C2" s="122"/>
      <c r="D2" s="122"/>
      <c r="E2" s="122"/>
      <c r="F2" s="122"/>
      <c r="G2" s="122"/>
      <c r="H2" s="122"/>
      <c r="I2" s="122"/>
      <c r="J2" s="123"/>
    </row>
    <row r="3" spans="1:13" x14ac:dyDescent="0.3">
      <c r="A3" s="88" t="s">
        <v>1</v>
      </c>
      <c r="B3" s="66"/>
      <c r="C3" s="66"/>
      <c r="D3" s="66"/>
      <c r="E3" s="67"/>
      <c r="F3" s="68" t="str">
        <f ca="1">TEXT(TODAY(),"DD/MM/YYYY")</f>
        <v>09/07/2025</v>
      </c>
      <c r="G3" s="174"/>
      <c r="H3" s="174"/>
      <c r="I3" s="174"/>
      <c r="J3" s="175"/>
    </row>
    <row r="4" spans="1:13" ht="15" customHeight="1" x14ac:dyDescent="0.3">
      <c r="A4" s="88" t="s">
        <v>2</v>
      </c>
      <c r="B4" s="66"/>
      <c r="C4" s="66"/>
      <c r="D4" s="66"/>
      <c r="E4" s="67"/>
      <c r="F4" s="158" t="s">
        <v>174</v>
      </c>
      <c r="G4" s="159"/>
      <c r="H4" s="159"/>
      <c r="I4" s="159"/>
      <c r="J4" s="160"/>
    </row>
    <row r="5" spans="1:13" x14ac:dyDescent="0.3">
      <c r="A5" s="88" t="s">
        <v>3</v>
      </c>
      <c r="B5" s="66"/>
      <c r="C5" s="66"/>
      <c r="D5" s="66"/>
      <c r="E5" s="67"/>
      <c r="F5" s="68">
        <v>45847</v>
      </c>
      <c r="G5" s="174"/>
      <c r="H5" s="174"/>
      <c r="I5" s="174"/>
      <c r="J5" s="175"/>
    </row>
    <row r="6" spans="1:13" ht="16.5" customHeight="1" x14ac:dyDescent="0.3">
      <c r="A6" s="88" t="s">
        <v>4</v>
      </c>
      <c r="B6" s="66"/>
      <c r="C6" s="66"/>
      <c r="D6" s="66"/>
      <c r="E6" s="67"/>
      <c r="F6" s="65" t="s">
        <v>175</v>
      </c>
      <c r="G6" s="59"/>
      <c r="H6" s="59"/>
      <c r="I6" s="59"/>
      <c r="J6" s="60"/>
    </row>
    <row r="7" spans="1:13" ht="15" customHeight="1" x14ac:dyDescent="0.3">
      <c r="A7" s="88" t="s">
        <v>5</v>
      </c>
      <c r="B7" s="66"/>
      <c r="C7" s="66"/>
      <c r="D7" s="66"/>
      <c r="E7" s="67"/>
      <c r="F7" s="65" t="str">
        <f>F6</f>
        <v>M/s.Akshar Realtors</v>
      </c>
      <c r="G7" s="59"/>
      <c r="H7" s="59"/>
      <c r="I7" s="59"/>
      <c r="J7" s="60"/>
    </row>
    <row r="8" spans="1:13" x14ac:dyDescent="0.3">
      <c r="A8" s="88" t="s">
        <v>6</v>
      </c>
      <c r="B8" s="66"/>
      <c r="C8" s="66"/>
      <c r="D8" s="66"/>
      <c r="E8" s="67"/>
      <c r="F8" s="176" t="s">
        <v>176</v>
      </c>
      <c r="G8" s="149"/>
      <c r="H8" s="149"/>
      <c r="I8" s="149"/>
      <c r="J8" s="150"/>
    </row>
    <row r="9" spans="1:13" x14ac:dyDescent="0.3">
      <c r="A9" s="88" t="s">
        <v>301</v>
      </c>
      <c r="B9" s="66"/>
      <c r="C9" s="66"/>
      <c r="D9" s="66"/>
      <c r="E9" s="67"/>
      <c r="F9" s="88" t="s">
        <v>177</v>
      </c>
      <c r="G9" s="66"/>
      <c r="H9" s="66"/>
      <c r="I9" s="66"/>
      <c r="J9" s="67"/>
    </row>
    <row r="10" spans="1:13" x14ac:dyDescent="0.3">
      <c r="A10" s="88" t="s">
        <v>302</v>
      </c>
      <c r="B10" s="66"/>
      <c r="C10" s="66"/>
      <c r="D10" s="66"/>
      <c r="E10" s="67"/>
      <c r="F10" s="88" t="s">
        <v>299</v>
      </c>
      <c r="G10" s="66"/>
      <c r="H10" s="66"/>
      <c r="I10" s="66"/>
      <c r="J10" s="67"/>
    </row>
    <row r="11" spans="1:13" x14ac:dyDescent="0.3">
      <c r="A11" s="88" t="s">
        <v>7</v>
      </c>
      <c r="B11" s="66"/>
      <c r="C11" s="66"/>
      <c r="D11" s="66"/>
      <c r="E11" s="67"/>
      <c r="F11" s="144" t="s">
        <v>256</v>
      </c>
      <c r="G11" s="115"/>
      <c r="H11" s="115"/>
      <c r="I11" s="115"/>
      <c r="J11" s="147"/>
    </row>
    <row r="12" spans="1:13" ht="16.5" customHeight="1" x14ac:dyDescent="0.3">
      <c r="A12" s="88" t="s">
        <v>8</v>
      </c>
      <c r="B12" s="66"/>
      <c r="C12" s="66"/>
      <c r="D12" s="66"/>
      <c r="E12" s="67"/>
      <c r="F12" s="144" t="s">
        <v>9</v>
      </c>
      <c r="G12" s="145"/>
      <c r="H12" s="145"/>
      <c r="I12" s="145"/>
      <c r="J12" s="146"/>
      <c r="L12" s="32">
        <f>19.132*10.764</f>
        <v>205.936848</v>
      </c>
      <c r="M12" s="32">
        <f>78.993*10.764</f>
        <v>850.28065199999992</v>
      </c>
    </row>
    <row r="13" spans="1:13" x14ac:dyDescent="0.3">
      <c r="A13" s="88" t="s">
        <v>171</v>
      </c>
      <c r="B13" s="66"/>
      <c r="C13" s="66"/>
      <c r="D13" s="66"/>
      <c r="E13" s="67"/>
      <c r="F13" s="65" t="s">
        <v>304</v>
      </c>
      <c r="G13" s="66"/>
      <c r="H13" s="66"/>
      <c r="I13" s="66"/>
      <c r="J13" s="67"/>
      <c r="L13" s="32">
        <f>L12*1.5</f>
        <v>308.90527199999997</v>
      </c>
      <c r="M13" s="32">
        <f>M12*1.5</f>
        <v>1275.4209779999999</v>
      </c>
    </row>
    <row r="14" spans="1:13" x14ac:dyDescent="0.3">
      <c r="A14" s="161" t="s">
        <v>10</v>
      </c>
      <c r="B14" s="161"/>
      <c r="C14" s="65" t="str">
        <f>CONCATENATE((IF(OR(F8="",F8="NA"),"",F8)),", ",(IF(OR(A15="",A15="NA"),"",A15)),".",(IF(OR(C15="",C15="NA"),"",C15)),", ",(IF(OR(F15="",F15="NA"),"",F15)),".",(IF(OR(H15="",H15="NA"),"",H15)),", ",(IF(OR(C16="",C16="NA"),"",C16)),", ",(IF(OR(H16="",H16="NA"),"",H16)),", ",(IF(OR(C17="",C17="NA"),"",C17)),", ",(IF(OR(H17="",H17="NA"),"",H17)),".")</f>
        <v>One Akshar, Sector.13, Plot No.7, Palm Beach Road, Sanpada, Vashi, Thane.</v>
      </c>
      <c r="D14" s="59"/>
      <c r="E14" s="59"/>
      <c r="F14" s="59"/>
      <c r="G14" s="59"/>
      <c r="H14" s="59"/>
      <c r="I14" s="59"/>
      <c r="J14" s="60"/>
      <c r="L14" s="32">
        <f>7000000/L13</f>
        <v>22660.668607818388</v>
      </c>
      <c r="M14" s="32">
        <f>43000000/M13</f>
        <v>33714.358428876338</v>
      </c>
    </row>
    <row r="15" spans="1:13" ht="15.75" customHeight="1" x14ac:dyDescent="0.3">
      <c r="A15" s="65" t="s">
        <v>178</v>
      </c>
      <c r="B15" s="60"/>
      <c r="C15" s="144">
        <v>13</v>
      </c>
      <c r="D15" s="145"/>
      <c r="E15" s="145"/>
      <c r="F15" s="61" t="s">
        <v>179</v>
      </c>
      <c r="G15" s="62"/>
      <c r="H15" s="144">
        <v>7</v>
      </c>
      <c r="I15" s="145"/>
      <c r="J15" s="146"/>
    </row>
    <row r="16" spans="1:13" ht="15.75" customHeight="1" x14ac:dyDescent="0.3">
      <c r="A16" s="65" t="s">
        <v>11</v>
      </c>
      <c r="B16" s="60"/>
      <c r="C16" s="157" t="s">
        <v>182</v>
      </c>
      <c r="D16" s="157"/>
      <c r="E16" s="157"/>
      <c r="F16" s="61" t="s">
        <v>132</v>
      </c>
      <c r="G16" s="62"/>
      <c r="H16" s="144" t="s">
        <v>180</v>
      </c>
      <c r="I16" s="145"/>
      <c r="J16" s="146"/>
    </row>
    <row r="17" spans="1:10" x14ac:dyDescent="0.3">
      <c r="A17" s="151" t="s">
        <v>13</v>
      </c>
      <c r="B17" s="151"/>
      <c r="C17" s="157" t="s">
        <v>216</v>
      </c>
      <c r="D17" s="157"/>
      <c r="E17" s="157"/>
      <c r="F17" s="61" t="s">
        <v>12</v>
      </c>
      <c r="G17" s="62"/>
      <c r="H17" s="170" t="s">
        <v>181</v>
      </c>
      <c r="I17" s="170"/>
      <c r="J17" s="170"/>
    </row>
    <row r="18" spans="1:10" x14ac:dyDescent="0.3">
      <c r="A18" s="151" t="s">
        <v>133</v>
      </c>
      <c r="B18" s="151"/>
      <c r="C18" s="144" t="s">
        <v>181</v>
      </c>
      <c r="D18" s="145"/>
      <c r="E18" s="146"/>
      <c r="F18" s="61" t="s">
        <v>14</v>
      </c>
      <c r="G18" s="62"/>
      <c r="H18" s="144">
        <v>400705</v>
      </c>
      <c r="I18" s="145"/>
      <c r="J18" s="146"/>
    </row>
    <row r="19" spans="1:10" ht="32.25" customHeight="1" x14ac:dyDescent="0.3">
      <c r="A19" s="151" t="s">
        <v>15</v>
      </c>
      <c r="B19" s="151"/>
      <c r="C19" s="161" t="s">
        <v>183</v>
      </c>
      <c r="D19" s="161"/>
      <c r="E19" s="161"/>
      <c r="F19" s="161" t="s">
        <v>16</v>
      </c>
      <c r="G19" s="161"/>
      <c r="H19" s="145" t="s">
        <v>258</v>
      </c>
      <c r="I19" s="145"/>
      <c r="J19" s="146"/>
    </row>
    <row r="20" spans="1:10" ht="15" customHeight="1" x14ac:dyDescent="0.3">
      <c r="A20" s="61" t="s">
        <v>145</v>
      </c>
      <c r="B20" s="162"/>
      <c r="C20" s="162"/>
      <c r="D20" s="162"/>
      <c r="E20" s="62"/>
      <c r="F20" s="164" t="s">
        <v>17</v>
      </c>
      <c r="G20" s="165"/>
      <c r="H20" s="165"/>
      <c r="I20" s="165"/>
      <c r="J20" s="166"/>
    </row>
    <row r="21" spans="1:10" ht="18.75" customHeight="1" x14ac:dyDescent="0.3">
      <c r="A21" s="63"/>
      <c r="B21" s="163"/>
      <c r="C21" s="163"/>
      <c r="D21" s="163"/>
      <c r="E21" s="64"/>
      <c r="F21" s="167"/>
      <c r="G21" s="168"/>
      <c r="H21" s="168"/>
      <c r="I21" s="168"/>
      <c r="J21" s="169"/>
    </row>
    <row r="22" spans="1:10" ht="15" customHeight="1" x14ac:dyDescent="0.3">
      <c r="A22" s="61" t="s">
        <v>18</v>
      </c>
      <c r="B22" s="162"/>
      <c r="C22" s="162"/>
      <c r="D22" s="162"/>
      <c r="E22" s="62"/>
      <c r="F22" s="61" t="s">
        <v>19</v>
      </c>
      <c r="G22" s="162"/>
      <c r="H22" s="162"/>
      <c r="I22" s="162"/>
      <c r="J22" s="62"/>
    </row>
    <row r="23" spans="1:10" x14ac:dyDescent="0.3">
      <c r="A23" s="63"/>
      <c r="B23" s="163"/>
      <c r="C23" s="163"/>
      <c r="D23" s="163"/>
      <c r="E23" s="64"/>
      <c r="F23" s="63"/>
      <c r="G23" s="163"/>
      <c r="H23" s="163"/>
      <c r="I23" s="163"/>
      <c r="J23" s="64"/>
    </row>
    <row r="24" spans="1:10" ht="15" customHeight="1" x14ac:dyDescent="0.3">
      <c r="A24" s="88" t="s">
        <v>20</v>
      </c>
      <c r="B24" s="66"/>
      <c r="C24" s="66"/>
      <c r="D24" s="66"/>
      <c r="E24" s="67"/>
      <c r="F24" s="158" t="s">
        <v>21</v>
      </c>
      <c r="G24" s="159"/>
      <c r="H24" s="159"/>
      <c r="I24" s="159"/>
      <c r="J24" s="160"/>
    </row>
    <row r="25" spans="1:10" x14ac:dyDescent="0.3">
      <c r="A25" s="88" t="s">
        <v>22</v>
      </c>
      <c r="B25" s="66"/>
      <c r="C25" s="66"/>
      <c r="D25" s="66"/>
      <c r="E25" s="67"/>
      <c r="F25" s="158" t="s">
        <v>23</v>
      </c>
      <c r="G25" s="159"/>
      <c r="H25" s="159"/>
      <c r="I25" s="159"/>
      <c r="J25" s="160"/>
    </row>
    <row r="26" spans="1:10" ht="15" customHeight="1" x14ac:dyDescent="0.3">
      <c r="A26" s="88" t="s">
        <v>24</v>
      </c>
      <c r="B26" s="66"/>
      <c r="C26" s="66"/>
      <c r="D26" s="66"/>
      <c r="E26" s="67"/>
      <c r="F26" s="158" t="s">
        <v>25</v>
      </c>
      <c r="G26" s="159"/>
      <c r="H26" s="159"/>
      <c r="I26" s="159"/>
      <c r="J26" s="160"/>
    </row>
    <row r="27" spans="1:10" x14ac:dyDescent="0.3">
      <c r="A27" s="88" t="s">
        <v>26</v>
      </c>
      <c r="B27" s="66"/>
      <c r="C27" s="66"/>
      <c r="D27" s="66"/>
      <c r="E27" s="67"/>
      <c r="F27" s="158" t="s">
        <v>27</v>
      </c>
      <c r="G27" s="159"/>
      <c r="H27" s="159"/>
      <c r="I27" s="159"/>
      <c r="J27" s="160"/>
    </row>
    <row r="28" spans="1:10" x14ac:dyDescent="0.3">
      <c r="A28" s="185" t="s">
        <v>28</v>
      </c>
      <c r="B28" s="186"/>
      <c r="C28" s="185" t="s">
        <v>29</v>
      </c>
      <c r="D28" s="186"/>
      <c r="E28" s="185" t="s">
        <v>30</v>
      </c>
      <c r="F28" s="186"/>
      <c r="G28" s="185" t="s">
        <v>32</v>
      </c>
      <c r="H28" s="186"/>
      <c r="I28" s="185" t="s">
        <v>31</v>
      </c>
      <c r="J28" s="186"/>
    </row>
    <row r="29" spans="1:10" x14ac:dyDescent="0.3">
      <c r="A29" s="177" t="s">
        <v>33</v>
      </c>
      <c r="B29" s="178"/>
      <c r="C29" s="177" t="s">
        <v>34</v>
      </c>
      <c r="D29" s="178"/>
      <c r="E29" s="177" t="s">
        <v>34</v>
      </c>
      <c r="F29" s="178"/>
      <c r="G29" s="177" t="s">
        <v>34</v>
      </c>
      <c r="H29" s="178"/>
      <c r="I29" s="177" t="s">
        <v>34</v>
      </c>
      <c r="J29" s="178"/>
    </row>
    <row r="30" spans="1:10" x14ac:dyDescent="0.3">
      <c r="A30" s="177" t="s">
        <v>35</v>
      </c>
      <c r="B30" s="178"/>
      <c r="C30" s="182" t="s">
        <v>184</v>
      </c>
      <c r="D30" s="183"/>
      <c r="E30" s="182" t="s">
        <v>11</v>
      </c>
      <c r="F30" s="183"/>
      <c r="G30" s="182" t="s">
        <v>184</v>
      </c>
      <c r="H30" s="183"/>
      <c r="I30" s="182" t="s">
        <v>11</v>
      </c>
      <c r="J30" s="183"/>
    </row>
    <row r="31" spans="1:10" x14ac:dyDescent="0.3">
      <c r="A31" s="88" t="s">
        <v>36</v>
      </c>
      <c r="B31" s="66"/>
      <c r="C31" s="66"/>
      <c r="D31" s="66"/>
      <c r="E31" s="66"/>
      <c r="F31" s="66"/>
      <c r="G31" s="66"/>
      <c r="H31" s="66"/>
      <c r="I31" s="66"/>
      <c r="J31" s="67"/>
    </row>
    <row r="32" spans="1:10" x14ac:dyDescent="0.3">
      <c r="A32" s="88" t="s">
        <v>37</v>
      </c>
      <c r="B32" s="66"/>
      <c r="C32" s="66"/>
      <c r="D32" s="66"/>
      <c r="E32" s="66"/>
      <c r="F32" s="66"/>
      <c r="G32" s="66"/>
      <c r="H32" s="66"/>
      <c r="I32" s="66"/>
      <c r="J32" s="67"/>
    </row>
    <row r="33" spans="1:10" x14ac:dyDescent="0.3">
      <c r="A33" s="148" t="s">
        <v>38</v>
      </c>
      <c r="B33" s="150"/>
      <c r="C33" s="88" t="s">
        <v>268</v>
      </c>
      <c r="D33" s="66"/>
      <c r="E33" s="66"/>
      <c r="F33" s="66"/>
      <c r="G33" s="66"/>
      <c r="H33" s="66"/>
      <c r="I33" s="66"/>
      <c r="J33" s="67"/>
    </row>
    <row r="34" spans="1:10" x14ac:dyDescent="0.3">
      <c r="A34" s="148" t="s">
        <v>264</v>
      </c>
      <c r="B34" s="150"/>
      <c r="C34" s="184" t="s">
        <v>265</v>
      </c>
      <c r="D34" s="66"/>
      <c r="E34" s="66"/>
      <c r="F34" s="66"/>
      <c r="G34" s="66"/>
      <c r="H34" s="66"/>
      <c r="I34" s="66"/>
      <c r="J34" s="67"/>
    </row>
    <row r="35" spans="1:10" x14ac:dyDescent="0.3">
      <c r="A35" s="148" t="s">
        <v>39</v>
      </c>
      <c r="B35" s="149"/>
      <c r="C35" s="149"/>
      <c r="D35" s="149"/>
      <c r="E35" s="149"/>
      <c r="F35" s="149"/>
      <c r="G35" s="149"/>
      <c r="H35" s="149"/>
      <c r="I35" s="149"/>
      <c r="J35" s="150"/>
    </row>
    <row r="36" spans="1:10" ht="15" customHeight="1" x14ac:dyDescent="0.3">
      <c r="A36" s="65" t="s">
        <v>40</v>
      </c>
      <c r="B36" s="59"/>
      <c r="C36" s="59"/>
      <c r="D36" s="59"/>
      <c r="E36" s="60"/>
      <c r="F36" s="179" t="s">
        <v>215</v>
      </c>
      <c r="G36" s="180"/>
      <c r="H36" s="180"/>
      <c r="I36" s="180"/>
      <c r="J36" s="181"/>
    </row>
    <row r="37" spans="1:10" ht="15" customHeight="1" x14ac:dyDescent="0.3">
      <c r="A37" s="63" t="s">
        <v>41</v>
      </c>
      <c r="B37" s="163"/>
      <c r="C37" s="163"/>
      <c r="D37" s="163"/>
      <c r="E37" s="163"/>
      <c r="F37" s="65" t="s">
        <v>42</v>
      </c>
      <c r="G37" s="59"/>
      <c r="H37" s="59"/>
      <c r="I37" s="59"/>
      <c r="J37" s="60"/>
    </row>
    <row r="38" spans="1:10" x14ac:dyDescent="0.3">
      <c r="A38" s="148" t="s">
        <v>298</v>
      </c>
      <c r="B38" s="149"/>
      <c r="C38" s="149"/>
      <c r="D38" s="149"/>
      <c r="E38" s="149"/>
      <c r="F38" s="149"/>
      <c r="G38" s="149"/>
      <c r="H38" s="149"/>
      <c r="I38" s="149"/>
      <c r="J38" s="150"/>
    </row>
    <row r="39" spans="1:10" x14ac:dyDescent="0.3">
      <c r="A39" s="88" t="s">
        <v>43</v>
      </c>
      <c r="B39" s="66"/>
      <c r="C39" s="66"/>
      <c r="D39" s="66"/>
      <c r="E39" s="67"/>
      <c r="F39" s="154">
        <v>4902.41</v>
      </c>
      <c r="G39" s="155"/>
      <c r="H39" s="155"/>
      <c r="I39" s="155"/>
      <c r="J39" s="156"/>
    </row>
    <row r="40" spans="1:10" x14ac:dyDescent="0.3">
      <c r="A40" s="88" t="s">
        <v>44</v>
      </c>
      <c r="B40" s="66"/>
      <c r="C40" s="66"/>
      <c r="D40" s="66"/>
      <c r="E40" s="67"/>
      <c r="F40" s="85">
        <v>3.5</v>
      </c>
      <c r="G40" s="86"/>
      <c r="H40" s="86"/>
      <c r="I40" s="86"/>
      <c r="J40" s="87"/>
    </row>
    <row r="41" spans="1:10" x14ac:dyDescent="0.3">
      <c r="A41" s="88" t="s">
        <v>45</v>
      </c>
      <c r="B41" s="66"/>
      <c r="C41" s="66"/>
      <c r="D41" s="66"/>
      <c r="E41" s="67"/>
      <c r="F41" s="85">
        <f>F43/F39-F40</f>
        <v>1.5644597249108099</v>
      </c>
      <c r="G41" s="86"/>
      <c r="H41" s="86"/>
      <c r="I41" s="86"/>
      <c r="J41" s="87"/>
    </row>
    <row r="42" spans="1:10" x14ac:dyDescent="0.3">
      <c r="A42" s="88" t="s">
        <v>46</v>
      </c>
      <c r="B42" s="66"/>
      <c r="C42" s="66"/>
      <c r="D42" s="66"/>
      <c r="E42" s="67"/>
      <c r="F42" s="85">
        <f>F40+F41</f>
        <v>5.0644597249108099</v>
      </c>
      <c r="G42" s="86"/>
      <c r="H42" s="86"/>
      <c r="I42" s="86"/>
      <c r="J42" s="87"/>
    </row>
    <row r="43" spans="1:10" x14ac:dyDescent="0.3">
      <c r="A43" s="88" t="s">
        <v>47</v>
      </c>
      <c r="B43" s="66"/>
      <c r="C43" s="66"/>
      <c r="D43" s="66"/>
      <c r="E43" s="67"/>
      <c r="F43" s="92">
        <v>24828.058000000001</v>
      </c>
      <c r="G43" s="93"/>
      <c r="H43" s="93"/>
      <c r="I43" s="93"/>
      <c r="J43" s="94"/>
    </row>
    <row r="44" spans="1:10" hidden="1" x14ac:dyDescent="0.3">
      <c r="A44" s="148" t="s">
        <v>217</v>
      </c>
      <c r="B44" s="149"/>
      <c r="C44" s="149"/>
      <c r="D44" s="149"/>
      <c r="E44" s="149"/>
      <c r="F44" s="149"/>
      <c r="G44" s="149"/>
      <c r="H44" s="149"/>
      <c r="I44" s="149"/>
      <c r="J44" s="150"/>
    </row>
    <row r="45" spans="1:10" hidden="1" x14ac:dyDescent="0.3">
      <c r="A45" s="88" t="s">
        <v>43</v>
      </c>
      <c r="B45" s="66"/>
      <c r="C45" s="66"/>
      <c r="D45" s="66"/>
      <c r="E45" s="67"/>
      <c r="F45" s="154">
        <v>4902.41</v>
      </c>
      <c r="G45" s="155"/>
      <c r="H45" s="155"/>
      <c r="I45" s="155"/>
      <c r="J45" s="156"/>
    </row>
    <row r="46" spans="1:10" hidden="1" x14ac:dyDescent="0.3">
      <c r="A46" s="88" t="s">
        <v>44</v>
      </c>
      <c r="B46" s="66"/>
      <c r="C46" s="66"/>
      <c r="D46" s="66"/>
      <c r="E46" s="67"/>
      <c r="F46" s="85">
        <v>0.3</v>
      </c>
      <c r="G46" s="86"/>
      <c r="H46" s="86"/>
      <c r="I46" s="86"/>
      <c r="J46" s="87"/>
    </row>
    <row r="47" spans="1:10" hidden="1" x14ac:dyDescent="0.3">
      <c r="A47" s="88" t="s">
        <v>45</v>
      </c>
      <c r="B47" s="66"/>
      <c r="C47" s="66"/>
      <c r="D47" s="66"/>
      <c r="E47" s="67"/>
      <c r="F47" s="85">
        <f>F49/F45-F46</f>
        <v>0</v>
      </c>
      <c r="G47" s="86"/>
      <c r="H47" s="86"/>
      <c r="I47" s="86"/>
      <c r="J47" s="87"/>
    </row>
    <row r="48" spans="1:10" hidden="1" x14ac:dyDescent="0.3">
      <c r="A48" s="88" t="s">
        <v>46</v>
      </c>
      <c r="B48" s="66"/>
      <c r="C48" s="66"/>
      <c r="D48" s="66"/>
      <c r="E48" s="67"/>
      <c r="F48" s="85">
        <f>F46+F47</f>
        <v>0.3</v>
      </c>
      <c r="G48" s="86"/>
      <c r="H48" s="86"/>
      <c r="I48" s="86"/>
      <c r="J48" s="87"/>
    </row>
    <row r="49" spans="1:10" hidden="1" x14ac:dyDescent="0.3">
      <c r="A49" s="88" t="s">
        <v>47</v>
      </c>
      <c r="B49" s="66"/>
      <c r="C49" s="66"/>
      <c r="D49" s="66"/>
      <c r="E49" s="67"/>
      <c r="F49" s="92">
        <v>1470.723</v>
      </c>
      <c r="G49" s="93"/>
      <c r="H49" s="93"/>
      <c r="I49" s="93"/>
      <c r="J49" s="94"/>
    </row>
    <row r="50" spans="1:10" x14ac:dyDescent="0.3">
      <c r="A50" s="88" t="s">
        <v>48</v>
      </c>
      <c r="B50" s="66"/>
      <c r="C50" s="66"/>
      <c r="D50" s="66"/>
      <c r="E50" s="67"/>
      <c r="F50" s="114" t="s">
        <v>259</v>
      </c>
      <c r="G50" s="115"/>
      <c r="H50" s="115"/>
      <c r="I50" s="115"/>
      <c r="J50" s="147"/>
    </row>
    <row r="51" spans="1:10" x14ac:dyDescent="0.3">
      <c r="A51" s="148" t="s">
        <v>49</v>
      </c>
      <c r="B51" s="149"/>
      <c r="C51" s="149"/>
      <c r="D51" s="149"/>
      <c r="E51" s="149"/>
      <c r="F51" s="149"/>
      <c r="G51" s="149"/>
      <c r="H51" s="149"/>
      <c r="I51" s="149"/>
      <c r="J51" s="150"/>
    </row>
    <row r="52" spans="1:10" x14ac:dyDescent="0.3">
      <c r="A52" s="65" t="s">
        <v>50</v>
      </c>
      <c r="B52" s="60"/>
      <c r="C52" s="65" t="s">
        <v>186</v>
      </c>
      <c r="D52" s="59"/>
      <c r="E52" s="59"/>
      <c r="F52" s="60"/>
      <c r="G52" s="27" t="s">
        <v>51</v>
      </c>
      <c r="H52" s="65" t="s">
        <v>185</v>
      </c>
      <c r="I52" s="59"/>
      <c r="J52" s="60"/>
    </row>
    <row r="53" spans="1:10" x14ac:dyDescent="0.3">
      <c r="A53" s="65" t="s">
        <v>52</v>
      </c>
      <c r="B53" s="60"/>
      <c r="C53" s="65" t="str">
        <f>C52</f>
        <v>2019/CNMMC14789/NRV/A-/1483</v>
      </c>
      <c r="D53" s="59"/>
      <c r="E53" s="59"/>
      <c r="F53" s="60"/>
      <c r="G53" s="27" t="s">
        <v>51</v>
      </c>
      <c r="H53" s="65" t="str">
        <f>H52</f>
        <v>12/04/2019.</v>
      </c>
      <c r="I53" s="59"/>
      <c r="J53" s="60"/>
    </row>
    <row r="54" spans="1:10" ht="35.25" customHeight="1" x14ac:dyDescent="0.3">
      <c r="A54" s="65" t="s">
        <v>273</v>
      </c>
      <c r="B54" s="60"/>
      <c r="C54" s="65" t="s">
        <v>292</v>
      </c>
      <c r="D54" s="59"/>
      <c r="E54" s="59"/>
      <c r="F54" s="60"/>
      <c r="G54" s="27" t="s">
        <v>51</v>
      </c>
      <c r="H54" s="58">
        <v>45240</v>
      </c>
      <c r="I54" s="59"/>
      <c r="J54" s="60"/>
    </row>
    <row r="55" spans="1:10" x14ac:dyDescent="0.3">
      <c r="A55" s="61" t="s">
        <v>53</v>
      </c>
      <c r="B55" s="62"/>
      <c r="C55" s="65" t="s">
        <v>257</v>
      </c>
      <c r="D55" s="66"/>
      <c r="E55" s="66"/>
      <c r="F55" s="67"/>
      <c r="G55" s="33" t="s">
        <v>51</v>
      </c>
      <c r="H55" s="88" t="s">
        <v>187</v>
      </c>
      <c r="I55" s="66"/>
      <c r="J55" s="67"/>
    </row>
    <row r="56" spans="1:10" ht="35.25" customHeight="1" x14ac:dyDescent="0.3">
      <c r="A56" s="63"/>
      <c r="B56" s="64"/>
      <c r="C56" s="65" t="s">
        <v>266</v>
      </c>
      <c r="D56" s="59"/>
      <c r="E56" s="59"/>
      <c r="F56" s="59"/>
      <c r="G56" s="59"/>
      <c r="H56" s="59"/>
      <c r="I56" s="59"/>
      <c r="J56" s="60"/>
    </row>
    <row r="57" spans="1:10" x14ac:dyDescent="0.3">
      <c r="A57" s="61" t="s">
        <v>53</v>
      </c>
      <c r="B57" s="62"/>
      <c r="C57" s="65" t="s">
        <v>293</v>
      </c>
      <c r="D57" s="66"/>
      <c r="E57" s="66"/>
      <c r="F57" s="67"/>
      <c r="G57" s="33" t="s">
        <v>51</v>
      </c>
      <c r="H57" s="68">
        <v>45240</v>
      </c>
      <c r="I57" s="66"/>
      <c r="J57" s="67"/>
    </row>
    <row r="58" spans="1:10" ht="35.25" customHeight="1" x14ac:dyDescent="0.3">
      <c r="A58" s="63"/>
      <c r="B58" s="64"/>
      <c r="C58" s="65" t="s">
        <v>294</v>
      </c>
      <c r="D58" s="59"/>
      <c r="E58" s="59"/>
      <c r="F58" s="59"/>
      <c r="G58" s="59"/>
      <c r="H58" s="59"/>
      <c r="I58" s="59"/>
      <c r="J58" s="60"/>
    </row>
    <row r="59" spans="1:10" ht="15" customHeight="1" x14ac:dyDescent="0.3">
      <c r="A59" s="65" t="s">
        <v>54</v>
      </c>
      <c r="B59" s="60"/>
      <c r="C59" s="65" t="s">
        <v>142</v>
      </c>
      <c r="D59" s="66"/>
      <c r="E59" s="66"/>
      <c r="F59" s="67" t="s">
        <v>55</v>
      </c>
      <c r="G59" s="27" t="s">
        <v>51</v>
      </c>
      <c r="H59" s="65" t="s">
        <v>34</v>
      </c>
      <c r="I59" s="59" t="s">
        <v>34</v>
      </c>
      <c r="J59" s="60"/>
    </row>
    <row r="60" spans="1:10" x14ac:dyDescent="0.3">
      <c r="A60" s="151" t="s">
        <v>56</v>
      </c>
      <c r="B60" s="151"/>
      <c r="C60" s="151"/>
      <c r="D60" s="152" t="str">
        <f>H55</f>
        <v>21/04/2019.</v>
      </c>
      <c r="E60" s="152"/>
      <c r="F60" s="88" t="s">
        <v>57</v>
      </c>
      <c r="G60" s="153"/>
      <c r="H60" s="114" t="s">
        <v>260</v>
      </c>
      <c r="I60" s="115"/>
      <c r="J60" s="147"/>
    </row>
    <row r="61" spans="1:10" x14ac:dyDescent="0.3">
      <c r="A61" s="213" t="s">
        <v>58</v>
      </c>
      <c r="B61" s="214"/>
      <c r="C61" s="214"/>
      <c r="D61" s="214"/>
      <c r="E61" s="214"/>
      <c r="F61" s="214"/>
      <c r="G61" s="214"/>
      <c r="H61" s="214"/>
      <c r="I61" s="214"/>
      <c r="J61" s="215"/>
    </row>
    <row r="62" spans="1:10" ht="51" customHeight="1" x14ac:dyDescent="0.3">
      <c r="A62" s="161" t="s">
        <v>59</v>
      </c>
      <c r="B62" s="161"/>
      <c r="C62" s="28">
        <f>7721.295+1470.723</f>
        <v>9192.018</v>
      </c>
      <c r="D62" s="231" t="s">
        <v>60</v>
      </c>
      <c r="E62" s="231"/>
      <c r="F62" s="231"/>
      <c r="G62" s="144" t="s">
        <v>303</v>
      </c>
      <c r="H62" s="145"/>
      <c r="I62" s="145"/>
      <c r="J62" s="146"/>
    </row>
    <row r="63" spans="1:10" ht="33" customHeight="1" x14ac:dyDescent="0.3">
      <c r="A63" s="114" t="s">
        <v>61</v>
      </c>
      <c r="B63" s="115"/>
      <c r="C63" s="144" t="s">
        <v>274</v>
      </c>
      <c r="D63" s="145"/>
      <c r="E63" s="145"/>
      <c r="F63" s="145"/>
      <c r="G63" s="145"/>
      <c r="H63" s="145"/>
      <c r="I63" s="145"/>
      <c r="J63" s="146"/>
    </row>
    <row r="64" spans="1:10" ht="33" customHeight="1" x14ac:dyDescent="0.3">
      <c r="A64" s="114" t="s">
        <v>263</v>
      </c>
      <c r="B64" s="115"/>
      <c r="C64" s="144" t="s">
        <v>305</v>
      </c>
      <c r="D64" s="145"/>
      <c r="E64" s="145"/>
      <c r="F64" s="145"/>
      <c r="G64" s="145"/>
      <c r="H64" s="145"/>
      <c r="I64" s="145"/>
      <c r="J64" s="146"/>
    </row>
    <row r="65" spans="1:12" ht="15.75" customHeight="1" x14ac:dyDescent="0.3">
      <c r="A65" s="88" t="s">
        <v>62</v>
      </c>
      <c r="B65" s="66"/>
      <c r="C65" s="66"/>
      <c r="D65" s="65" t="s">
        <v>63</v>
      </c>
      <c r="E65" s="59"/>
      <c r="F65" s="59"/>
      <c r="G65" s="59"/>
      <c r="H65" s="59"/>
      <c r="I65" s="59"/>
      <c r="J65" s="60"/>
    </row>
    <row r="66" spans="1:12" ht="16.2" thickBot="1" x14ac:dyDescent="0.35">
      <c r="A66" s="114" t="s">
        <v>212</v>
      </c>
      <c r="B66" s="115"/>
      <c r="C66" s="115"/>
      <c r="D66" s="115"/>
      <c r="E66" s="115"/>
      <c r="F66" s="115"/>
      <c r="G66" s="115"/>
      <c r="H66" s="115"/>
      <c r="I66" s="115"/>
      <c r="J66" s="147"/>
    </row>
    <row r="67" spans="1:12" customFormat="1" ht="15.75" customHeight="1" x14ac:dyDescent="0.3">
      <c r="A67" s="220" t="s">
        <v>223</v>
      </c>
      <c r="B67" s="221"/>
      <c r="C67" s="222" t="s">
        <v>275</v>
      </c>
      <c r="D67" s="222"/>
      <c r="E67" s="222"/>
      <c r="F67" s="222"/>
      <c r="G67" s="222"/>
      <c r="H67" s="222"/>
      <c r="I67" s="222"/>
      <c r="J67" s="223"/>
      <c r="K67" s="24" t="str">
        <f>(IF(F71&gt;99%,"All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All work completed. Please provide OC.</v>
      </c>
      <c r="L67" s="24"/>
    </row>
    <row r="68" spans="1:12" customFormat="1" x14ac:dyDescent="0.3">
      <c r="A68" s="29" t="s">
        <v>128</v>
      </c>
      <c r="B68" s="30">
        <v>0</v>
      </c>
      <c r="C68" s="31" t="s">
        <v>130</v>
      </c>
      <c r="D68" s="31">
        <v>1</v>
      </c>
      <c r="E68" s="190" t="s">
        <v>129</v>
      </c>
      <c r="F68" s="190"/>
      <c r="G68" s="31">
        <v>0</v>
      </c>
      <c r="H68" s="30" t="s">
        <v>224</v>
      </c>
      <c r="I68" s="190">
        <v>32</v>
      </c>
      <c r="J68" s="191"/>
      <c r="K68" s="24"/>
      <c r="L68" s="24"/>
    </row>
    <row r="69" spans="1:12" customFormat="1" x14ac:dyDescent="0.3">
      <c r="A69" s="192" t="s">
        <v>225</v>
      </c>
      <c r="B69" s="193"/>
      <c r="C69" s="194" t="str">
        <f>K67</f>
        <v>All work completed. Please provide OC.</v>
      </c>
      <c r="D69" s="194"/>
      <c r="E69" s="194"/>
      <c r="F69" s="194"/>
      <c r="G69" s="194"/>
      <c r="H69" s="194"/>
      <c r="I69" s="194"/>
      <c r="J69" s="195"/>
      <c r="K69" s="24" t="s">
        <v>226</v>
      </c>
      <c r="L69" s="24"/>
    </row>
    <row r="70" spans="1:12" customFormat="1" ht="15.75" customHeight="1" x14ac:dyDescent="0.3">
      <c r="A70" s="196" t="s">
        <v>64</v>
      </c>
      <c r="B70" s="197"/>
      <c r="C70" s="34" t="s">
        <v>227</v>
      </c>
      <c r="D70" s="198" t="s">
        <v>228</v>
      </c>
      <c r="E70" s="198"/>
      <c r="F70" s="198" t="s">
        <v>229</v>
      </c>
      <c r="G70" s="198"/>
      <c r="H70" s="198" t="s">
        <v>230</v>
      </c>
      <c r="I70" s="198"/>
      <c r="J70" s="199"/>
      <c r="K70" s="25" t="s">
        <v>231</v>
      </c>
      <c r="L70" s="32">
        <f>I68*25%</f>
        <v>8</v>
      </c>
    </row>
    <row r="71" spans="1:12" customFormat="1" ht="15.75" customHeight="1" x14ac:dyDescent="0.3">
      <c r="A71" s="188" t="s">
        <v>232</v>
      </c>
      <c r="B71" s="189"/>
      <c r="C71" s="35">
        <f>L72</f>
        <v>32</v>
      </c>
      <c r="D71" s="187">
        <f>((100/I68)*C71)/100</f>
        <v>1</v>
      </c>
      <c r="E71" s="187"/>
      <c r="F71" s="187">
        <f>(((C72/I68*10)+(40/(D68+G68+I68)*C73)+(7.5/(I68)*C74)+(7.5/(I68)*C75)+(10/I68*C76)+(10/I68*C77)+(5/I68*C78)+(5/I68*C79)+(5/I68*C80))/100)</f>
        <v>1</v>
      </c>
      <c r="G71" s="187"/>
      <c r="H71" s="187">
        <f>((((C71/I68)*20)+((C72/I68)*25)+(30/(I68+G68+D68)*C73)+(5/I68*C74)+(5/I68*C75)+(5/I68*C76)+(5/I68*C77)+(0/I68*C78)+(0/I68*C79)+(5/I68*C80))/100)</f>
        <v>1</v>
      </c>
      <c r="I71" s="187"/>
      <c r="J71" s="201"/>
      <c r="K71" s="25" t="s">
        <v>136</v>
      </c>
      <c r="L71" s="25">
        <f>I68*50%</f>
        <v>16</v>
      </c>
    </row>
    <row r="72" spans="1:12" customFormat="1" x14ac:dyDescent="0.3">
      <c r="A72" s="188" t="s">
        <v>65</v>
      </c>
      <c r="B72" s="189"/>
      <c r="C72" s="36">
        <f>L80</f>
        <v>32</v>
      </c>
      <c r="D72" s="187">
        <f>((100/I68)*C72)/100</f>
        <v>1</v>
      </c>
      <c r="E72" s="187"/>
      <c r="F72" s="187"/>
      <c r="G72" s="187"/>
      <c r="H72" s="187"/>
      <c r="I72" s="187"/>
      <c r="J72" s="201"/>
      <c r="K72" s="25" t="s">
        <v>137</v>
      </c>
      <c r="L72" s="25">
        <f>I68</f>
        <v>32</v>
      </c>
    </row>
    <row r="73" spans="1:12" customFormat="1" ht="15.75" customHeight="1" x14ac:dyDescent="0.3">
      <c r="A73" s="216" t="s">
        <v>233</v>
      </c>
      <c r="B73" s="217"/>
      <c r="C73" s="36">
        <v>33</v>
      </c>
      <c r="D73" s="187">
        <f>((100/(D68+G68+I68))*C73)/100</f>
        <v>1</v>
      </c>
      <c r="E73" s="187"/>
      <c r="F73" s="187"/>
      <c r="G73" s="187"/>
      <c r="H73" s="187"/>
      <c r="I73" s="187"/>
      <c r="J73" s="201"/>
      <c r="K73" s="25" t="s">
        <v>138</v>
      </c>
      <c r="L73" s="37">
        <f>(IF(B68&gt;1,(I68/(B68+2)),I68/4))</f>
        <v>8</v>
      </c>
    </row>
    <row r="74" spans="1:12" customFormat="1" ht="15.75" customHeight="1" x14ac:dyDescent="0.3">
      <c r="A74" s="188" t="s">
        <v>234</v>
      </c>
      <c r="B74" s="189" t="s">
        <v>235</v>
      </c>
      <c r="C74" s="36">
        <v>32</v>
      </c>
      <c r="D74" s="187">
        <f>((100/I68)*C74)/100</f>
        <v>1</v>
      </c>
      <c r="E74" s="187"/>
      <c r="F74" s="187"/>
      <c r="G74" s="187"/>
      <c r="H74" s="187"/>
      <c r="I74" s="187"/>
      <c r="J74" s="201"/>
      <c r="K74" s="25" t="s">
        <v>139</v>
      </c>
      <c r="L74" s="37">
        <f>(IF(B68&gt;1,(I68/(B68+2)+L73),I68/4+L73))</f>
        <v>16</v>
      </c>
    </row>
    <row r="75" spans="1:12" customFormat="1" ht="15.75" customHeight="1" x14ac:dyDescent="0.3">
      <c r="A75" s="188" t="s">
        <v>236</v>
      </c>
      <c r="B75" s="189" t="s">
        <v>235</v>
      </c>
      <c r="C75" s="36">
        <v>32</v>
      </c>
      <c r="D75" s="187">
        <f>((100/I68)*C75)/100</f>
        <v>1</v>
      </c>
      <c r="E75" s="187"/>
      <c r="F75" s="187"/>
      <c r="G75" s="187"/>
      <c r="H75" s="187"/>
      <c r="I75" s="187"/>
      <c r="J75" s="201"/>
      <c r="K75" s="25" t="s">
        <v>237</v>
      </c>
      <c r="L75" s="37">
        <f>(IF(B68&gt;1,(I68/(B68+2)+L74),0))</f>
        <v>0</v>
      </c>
    </row>
    <row r="76" spans="1:12" customFormat="1" ht="15.75" customHeight="1" x14ac:dyDescent="0.3">
      <c r="A76" s="188" t="s">
        <v>238</v>
      </c>
      <c r="B76" s="189" t="s">
        <v>239</v>
      </c>
      <c r="C76" s="36">
        <v>32</v>
      </c>
      <c r="D76" s="187">
        <f>((100/(I68))*C76)/100</f>
        <v>1</v>
      </c>
      <c r="E76" s="187"/>
      <c r="F76" s="187"/>
      <c r="G76" s="187"/>
      <c r="H76" s="187"/>
      <c r="I76" s="187"/>
      <c r="J76" s="201"/>
      <c r="K76" s="25" t="s">
        <v>240</v>
      </c>
      <c r="L76" s="37">
        <f>(IF(B68&gt;2,(I68/(B68+2)+L75),0))</f>
        <v>0</v>
      </c>
    </row>
    <row r="77" spans="1:12" customFormat="1" ht="15.75" customHeight="1" x14ac:dyDescent="0.3">
      <c r="A77" s="188" t="s">
        <v>241</v>
      </c>
      <c r="B77" s="189" t="s">
        <v>241</v>
      </c>
      <c r="C77" s="35">
        <v>32</v>
      </c>
      <c r="D77" s="187">
        <f>((100/I68)*C77)/100</f>
        <v>1</v>
      </c>
      <c r="E77" s="187"/>
      <c r="F77" s="187"/>
      <c r="G77" s="187"/>
      <c r="H77" s="187"/>
      <c r="I77" s="187"/>
      <c r="J77" s="201"/>
      <c r="K77" s="25" t="s">
        <v>242</v>
      </c>
      <c r="L77" s="38">
        <f>(IF(B68&gt;3,(I68/(B68+2)+L76),0))</f>
        <v>0</v>
      </c>
    </row>
    <row r="78" spans="1:12" customFormat="1" ht="15.75" customHeight="1" x14ac:dyDescent="0.3">
      <c r="A78" s="188" t="s">
        <v>243</v>
      </c>
      <c r="B78" s="189"/>
      <c r="C78" s="35">
        <v>32</v>
      </c>
      <c r="D78" s="187">
        <f>((100/I68)*C78)/100</f>
        <v>1</v>
      </c>
      <c r="E78" s="187"/>
      <c r="F78" s="187"/>
      <c r="G78" s="187"/>
      <c r="H78" s="187"/>
      <c r="I78" s="187"/>
      <c r="J78" s="201"/>
      <c r="K78" s="25" t="s">
        <v>244</v>
      </c>
      <c r="L78" s="37">
        <f>(IF(B68&gt;4,(I68/(B68+2)+L77),0))</f>
        <v>0</v>
      </c>
    </row>
    <row r="79" spans="1:12" customFormat="1" ht="15.75" customHeight="1" x14ac:dyDescent="0.3">
      <c r="A79" s="216" t="s">
        <v>245</v>
      </c>
      <c r="B79" s="217" t="s">
        <v>245</v>
      </c>
      <c r="C79" s="35">
        <v>32</v>
      </c>
      <c r="D79" s="187">
        <f>((100/(I68))*C79)/100</f>
        <v>1</v>
      </c>
      <c r="E79" s="187"/>
      <c r="F79" s="187"/>
      <c r="G79" s="187"/>
      <c r="H79" s="187"/>
      <c r="I79" s="187"/>
      <c r="J79" s="201"/>
      <c r="K79" s="25" t="s">
        <v>140</v>
      </c>
      <c r="L79" s="37">
        <f>(IF(B68=1,(I68/(B68+3)+L74),IF(B68=0,(I68/4+L74),IF(B68&gt;1,0))))</f>
        <v>24</v>
      </c>
    </row>
    <row r="80" spans="1:12" customFormat="1" ht="16.5" customHeight="1" thickBot="1" x14ac:dyDescent="0.35">
      <c r="A80" s="218" t="s">
        <v>246</v>
      </c>
      <c r="B80" s="219"/>
      <c r="C80" s="39">
        <v>32</v>
      </c>
      <c r="D80" s="200">
        <f>((100/(I68))*C80)/100</f>
        <v>1</v>
      </c>
      <c r="E80" s="200"/>
      <c r="F80" s="200"/>
      <c r="G80" s="200"/>
      <c r="H80" s="200"/>
      <c r="I80" s="200"/>
      <c r="J80" s="202"/>
      <c r="K80" s="25" t="s">
        <v>141</v>
      </c>
      <c r="L80" s="37">
        <f>(IF(B68&gt;1.5,(I68/(B68+2)+L74+MAX(0,L75-L74)+MAX(0,L76-L75)+MAX(0,L77-L76)+MAX(0,L78-L77)+MAX(0,L79-L78)),IF(B68=1,(I68/(B68+3)+L79),IF(B68=0,I68/4+L79))))</f>
        <v>32</v>
      </c>
    </row>
    <row r="81" spans="1:12" customFormat="1" ht="15.75" customHeight="1" x14ac:dyDescent="0.3">
      <c r="A81" s="229" t="s">
        <v>223</v>
      </c>
      <c r="B81" s="230"/>
      <c r="C81" s="222" t="s">
        <v>306</v>
      </c>
      <c r="D81" s="222"/>
      <c r="E81" s="222"/>
      <c r="F81" s="222"/>
      <c r="G81" s="222"/>
      <c r="H81" s="222"/>
      <c r="I81" s="222"/>
      <c r="J81" s="223"/>
      <c r="K81" s="24"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Slab, Brickwork upto 31 Floor, Internal Plaster upto 28 Floor, External Plaster upto 28 Floor, Flooring upto 15 Floor Completed</v>
      </c>
      <c r="L81" s="24"/>
    </row>
    <row r="82" spans="1:12" customFormat="1" x14ac:dyDescent="0.3">
      <c r="A82" s="29" t="s">
        <v>128</v>
      </c>
      <c r="B82" s="30">
        <v>0</v>
      </c>
      <c r="C82" s="31" t="s">
        <v>130</v>
      </c>
      <c r="D82" s="31">
        <v>1</v>
      </c>
      <c r="E82" s="190" t="s">
        <v>129</v>
      </c>
      <c r="F82" s="190"/>
      <c r="G82" s="31">
        <v>0</v>
      </c>
      <c r="H82" s="30" t="s">
        <v>224</v>
      </c>
      <c r="I82" s="190">
        <f ca="1">--TRIM(RIGHT(SUBSTITUTE(LEFT(C81,_xlfn.AGGREGATE(16,6,FIND({0,1,2,3,4,5,6,7,8,9},C81,ROW(INDIRECT("1:"&amp;LEN(C81)))),1))," ",REPT(" ",LEN(C81))),LEN(C81)))</f>
        <v>32</v>
      </c>
      <c r="J82" s="191"/>
      <c r="K82" s="24"/>
      <c r="L82" s="24"/>
    </row>
    <row r="83" spans="1:12" customFormat="1" ht="48" customHeight="1" x14ac:dyDescent="0.3">
      <c r="A83" s="192" t="s">
        <v>225</v>
      </c>
      <c r="B83" s="193"/>
      <c r="C83" s="194" t="str">
        <f ca="1">K81</f>
        <v>Excavation work Completed. Plinth work completed, RCC Slab, Brickwork upto 31 Floor, Internal Plaster upto 28 Floor, External Plaster upto 28 Floor, Flooring upto 15 Floor Completed</v>
      </c>
      <c r="D83" s="194"/>
      <c r="E83" s="194"/>
      <c r="F83" s="194"/>
      <c r="G83" s="194"/>
      <c r="H83" s="194"/>
      <c r="I83" s="194"/>
      <c r="J83" s="195"/>
      <c r="K83" s="24" t="s">
        <v>226</v>
      </c>
      <c r="L83" s="24"/>
    </row>
    <row r="84" spans="1:12" customFormat="1" ht="15.75" customHeight="1" x14ac:dyDescent="0.3">
      <c r="A84" s="196" t="s">
        <v>64</v>
      </c>
      <c r="B84" s="197"/>
      <c r="C84" s="34" t="s">
        <v>227</v>
      </c>
      <c r="D84" s="198" t="s">
        <v>228</v>
      </c>
      <c r="E84" s="198"/>
      <c r="F84" s="198" t="s">
        <v>229</v>
      </c>
      <c r="G84" s="198"/>
      <c r="H84" s="198" t="s">
        <v>230</v>
      </c>
      <c r="I84" s="198"/>
      <c r="J84" s="199"/>
      <c r="K84" s="25" t="s">
        <v>231</v>
      </c>
      <c r="L84" s="32">
        <f ca="1">I82*25%</f>
        <v>8</v>
      </c>
    </row>
    <row r="85" spans="1:12" customFormat="1" ht="15.75" customHeight="1" x14ac:dyDescent="0.3">
      <c r="A85" s="188" t="s">
        <v>232</v>
      </c>
      <c r="B85" s="189"/>
      <c r="C85" s="35">
        <f ca="1">L86</f>
        <v>32</v>
      </c>
      <c r="D85" s="187">
        <f ca="1">((100/I82)*C85)/100</f>
        <v>1</v>
      </c>
      <c r="E85" s="187"/>
      <c r="F85" s="187">
        <f ca="1">(((C86/I82*10)+(40/(D82+G82+I82)*C87)+(7.5/(I82)*C88)+(7.5/(I82)*C89)+(10/I82*C90)+(10/I82*C91)+(5/I82*C92)+(5/I82*C93)+(5/I82*C94))/100)</f>
        <v>0.77265625000000004</v>
      </c>
      <c r="G85" s="187"/>
      <c r="H85" s="187">
        <f ca="1">((((C85/I82)*20)+((C86/I82)*25)+(30/(I82+G82+D82)*C87)+(5/I82*C88)+(5/I82*C89)+(5/I82*C90)+(5/I82*C91)+(0/I82*C92)+(0/I82*C93)+(5/I82*C94))/100)</f>
        <v>0.90937500000000004</v>
      </c>
      <c r="I85" s="187"/>
      <c r="J85" s="201"/>
      <c r="K85" s="25" t="s">
        <v>136</v>
      </c>
      <c r="L85" s="25">
        <f ca="1">I82*50%</f>
        <v>16</v>
      </c>
    </row>
    <row r="86" spans="1:12" customFormat="1" x14ac:dyDescent="0.3">
      <c r="A86" s="188" t="s">
        <v>65</v>
      </c>
      <c r="B86" s="189"/>
      <c r="C86" s="36">
        <f ca="1">L94</f>
        <v>32</v>
      </c>
      <c r="D86" s="187">
        <f ca="1">((100/I82)*C86)/100</f>
        <v>1</v>
      </c>
      <c r="E86" s="187"/>
      <c r="F86" s="187"/>
      <c r="G86" s="187"/>
      <c r="H86" s="187"/>
      <c r="I86" s="187"/>
      <c r="J86" s="201"/>
      <c r="K86" s="25" t="s">
        <v>137</v>
      </c>
      <c r="L86" s="25">
        <f ca="1">I82</f>
        <v>32</v>
      </c>
    </row>
    <row r="87" spans="1:12" customFormat="1" ht="15.75" customHeight="1" x14ac:dyDescent="0.3">
      <c r="A87" s="188" t="s">
        <v>233</v>
      </c>
      <c r="B87" s="189"/>
      <c r="C87" s="36">
        <v>33</v>
      </c>
      <c r="D87" s="187">
        <f ca="1">((100/(D82+G82+I82))*C87)/100</f>
        <v>1</v>
      </c>
      <c r="E87" s="187"/>
      <c r="F87" s="187"/>
      <c r="G87" s="187"/>
      <c r="H87" s="187"/>
      <c r="I87" s="187"/>
      <c r="J87" s="201"/>
      <c r="K87" s="25" t="s">
        <v>138</v>
      </c>
      <c r="L87" s="37">
        <f ca="1">(IF(B82&gt;1,(I82/(B82+2)),I82/4))</f>
        <v>8</v>
      </c>
    </row>
    <row r="88" spans="1:12" customFormat="1" ht="15.75" customHeight="1" x14ac:dyDescent="0.3">
      <c r="A88" s="188" t="s">
        <v>234</v>
      </c>
      <c r="B88" s="189" t="s">
        <v>235</v>
      </c>
      <c r="C88" s="36">
        <v>31</v>
      </c>
      <c r="D88" s="187">
        <f ca="1">((100/I82)*C88)/100</f>
        <v>0.96875</v>
      </c>
      <c r="E88" s="187"/>
      <c r="F88" s="187"/>
      <c r="G88" s="187"/>
      <c r="H88" s="187"/>
      <c r="I88" s="187"/>
      <c r="J88" s="201"/>
      <c r="K88" s="25" t="s">
        <v>139</v>
      </c>
      <c r="L88" s="37">
        <f ca="1">(IF(B82&gt;1,(I82/(B82+2)+L87),I82/4+L87))</f>
        <v>16</v>
      </c>
    </row>
    <row r="89" spans="1:12" customFormat="1" ht="15.75" customHeight="1" x14ac:dyDescent="0.3">
      <c r="A89" s="188" t="s">
        <v>236</v>
      </c>
      <c r="B89" s="189" t="s">
        <v>235</v>
      </c>
      <c r="C89" s="36">
        <v>28</v>
      </c>
      <c r="D89" s="187">
        <f ca="1">((100/I82)*C89)/100</f>
        <v>0.875</v>
      </c>
      <c r="E89" s="187"/>
      <c r="F89" s="187"/>
      <c r="G89" s="187"/>
      <c r="H89" s="187"/>
      <c r="I89" s="187"/>
      <c r="J89" s="201"/>
      <c r="K89" s="25" t="s">
        <v>237</v>
      </c>
      <c r="L89" s="37">
        <f>(IF(B82&gt;1,(I82/(B82+2)+L88),0))</f>
        <v>0</v>
      </c>
    </row>
    <row r="90" spans="1:12" customFormat="1" ht="15.75" customHeight="1" x14ac:dyDescent="0.3">
      <c r="A90" s="188" t="s">
        <v>238</v>
      </c>
      <c r="B90" s="189" t="s">
        <v>239</v>
      </c>
      <c r="C90" s="35">
        <v>28</v>
      </c>
      <c r="D90" s="187">
        <f ca="1">((100/(I82))*C90)/100</f>
        <v>0.875</v>
      </c>
      <c r="E90" s="187"/>
      <c r="F90" s="187"/>
      <c r="G90" s="187"/>
      <c r="H90" s="187"/>
      <c r="I90" s="187"/>
      <c r="J90" s="201"/>
      <c r="K90" s="25" t="s">
        <v>240</v>
      </c>
      <c r="L90" s="37">
        <f>(IF(B82&gt;2,(I82/(B82+2)+L89),0))</f>
        <v>0</v>
      </c>
    </row>
    <row r="91" spans="1:12" customFormat="1" ht="15.75" customHeight="1" x14ac:dyDescent="0.3">
      <c r="A91" s="188" t="s">
        <v>241</v>
      </c>
      <c r="B91" s="189" t="s">
        <v>241</v>
      </c>
      <c r="C91" s="35">
        <v>15</v>
      </c>
      <c r="D91" s="187">
        <f ca="1">((100/I82)*C91)/100</f>
        <v>0.46875</v>
      </c>
      <c r="E91" s="187"/>
      <c r="F91" s="187"/>
      <c r="G91" s="187"/>
      <c r="H91" s="187"/>
      <c r="I91" s="187"/>
      <c r="J91" s="201"/>
      <c r="K91" s="25" t="s">
        <v>242</v>
      </c>
      <c r="L91" s="38">
        <f>(IF(B82&gt;3,(I82/(B82+2)+L90),0))</f>
        <v>0</v>
      </c>
    </row>
    <row r="92" spans="1:12" customFormat="1" ht="15.75" customHeight="1" x14ac:dyDescent="0.3">
      <c r="A92" s="188" t="s">
        <v>243</v>
      </c>
      <c r="B92" s="189"/>
      <c r="C92" s="35">
        <v>0</v>
      </c>
      <c r="D92" s="187">
        <f ca="1">((100/I82)*C92)/100</f>
        <v>0</v>
      </c>
      <c r="E92" s="187"/>
      <c r="F92" s="187"/>
      <c r="G92" s="187"/>
      <c r="H92" s="187"/>
      <c r="I92" s="187"/>
      <c r="J92" s="201"/>
      <c r="K92" s="25" t="s">
        <v>244</v>
      </c>
      <c r="L92" s="37">
        <f>(IF(B82&gt;4,(I82/(B82+2)+L91),0))</f>
        <v>0</v>
      </c>
    </row>
    <row r="93" spans="1:12" customFormat="1" ht="15.75" customHeight="1" x14ac:dyDescent="0.3">
      <c r="A93" s="216" t="s">
        <v>245</v>
      </c>
      <c r="B93" s="217" t="s">
        <v>245</v>
      </c>
      <c r="C93" s="35">
        <v>0</v>
      </c>
      <c r="D93" s="187">
        <f ca="1">((100/(I82))*C93)/100</f>
        <v>0</v>
      </c>
      <c r="E93" s="187"/>
      <c r="F93" s="187"/>
      <c r="G93" s="187"/>
      <c r="H93" s="187"/>
      <c r="I93" s="187"/>
      <c r="J93" s="201"/>
      <c r="K93" s="25" t="s">
        <v>140</v>
      </c>
      <c r="L93" s="37">
        <f ca="1">(IF(B82=1,(I82/(B82+3)+L88),IF(B82=0,(I82/4+L88),IF(B82&gt;1,0))))</f>
        <v>24</v>
      </c>
    </row>
    <row r="94" spans="1:12" customFormat="1" ht="16.5" customHeight="1" thickBot="1" x14ac:dyDescent="0.35">
      <c r="A94" s="218" t="s">
        <v>246</v>
      </c>
      <c r="B94" s="219"/>
      <c r="C94" s="39">
        <v>0</v>
      </c>
      <c r="D94" s="200">
        <f ca="1">((100/(I82))*C94)/100</f>
        <v>0</v>
      </c>
      <c r="E94" s="200"/>
      <c r="F94" s="200"/>
      <c r="G94" s="200"/>
      <c r="H94" s="200"/>
      <c r="I94" s="200"/>
      <c r="J94" s="202"/>
      <c r="K94" s="25" t="s">
        <v>141</v>
      </c>
      <c r="L94" s="37">
        <f ca="1">(IF(B82&gt;1.5,(I82/(B82+2)+L88+MAX(0,L89-L88)+MAX(0,L90-L89)+MAX(0,L91-L90)+MAX(0,L92-L91)+MAX(0,L93-L92)),IF(B82=1,(I82/(B82+3)+L93),IF(B82=0,I82/4+L93))))</f>
        <v>32</v>
      </c>
    </row>
    <row r="95" spans="1:12" x14ac:dyDescent="0.3">
      <c r="A95" s="114" t="s">
        <v>213</v>
      </c>
      <c r="B95" s="115"/>
      <c r="C95" s="115"/>
      <c r="D95" s="115"/>
      <c r="E95" s="115"/>
      <c r="F95" s="115"/>
      <c r="G95" s="115"/>
      <c r="H95" s="115"/>
      <c r="I95" s="115"/>
      <c r="J95" s="147"/>
    </row>
    <row r="96" spans="1:12" x14ac:dyDescent="0.3">
      <c r="A96" s="88" t="s">
        <v>70</v>
      </c>
      <c r="B96" s="66"/>
      <c r="C96" s="66"/>
      <c r="D96" s="66"/>
      <c r="E96" s="66"/>
      <c r="F96" s="66"/>
      <c r="G96" s="66"/>
      <c r="H96" s="66"/>
      <c r="I96" s="66"/>
      <c r="J96" s="67"/>
    </row>
    <row r="97" spans="1:18" ht="15" customHeight="1" x14ac:dyDescent="0.3">
      <c r="A97" s="224" t="s">
        <v>134</v>
      </c>
      <c r="B97" s="225"/>
      <c r="C97" s="226" t="s">
        <v>135</v>
      </c>
      <c r="D97" s="227"/>
      <c r="E97" s="227"/>
      <c r="F97" s="227"/>
      <c r="G97" s="227"/>
      <c r="H97" s="227"/>
      <c r="I97" s="227"/>
      <c r="J97" s="228"/>
    </row>
    <row r="98" spans="1:18" x14ac:dyDescent="0.3">
      <c r="A98" s="148" t="s">
        <v>71</v>
      </c>
      <c r="B98" s="149"/>
      <c r="C98" s="149"/>
      <c r="D98" s="149"/>
      <c r="E98" s="149"/>
      <c r="F98" s="149"/>
      <c r="G98" s="149"/>
      <c r="H98" s="149"/>
      <c r="I98" s="149"/>
      <c r="J98" s="150"/>
    </row>
    <row r="99" spans="1:18" ht="32.25" customHeight="1" x14ac:dyDescent="0.3">
      <c r="A99" s="65" t="s">
        <v>220</v>
      </c>
      <c r="B99" s="66"/>
      <c r="C99" s="66"/>
      <c r="D99" s="66"/>
      <c r="E99" s="66"/>
      <c r="F99" s="67"/>
      <c r="G99" s="148">
        <v>22250</v>
      </c>
      <c r="H99" s="149"/>
      <c r="I99" s="149"/>
      <c r="J99" s="150"/>
      <c r="L99" s="56" t="s">
        <v>295</v>
      </c>
      <c r="M99" s="56"/>
      <c r="N99" s="56"/>
      <c r="O99" s="56"/>
      <c r="P99" s="56"/>
      <c r="Q99" s="56"/>
      <c r="R99" s="56"/>
    </row>
    <row r="100" spans="1:18" ht="32.25" customHeight="1" x14ac:dyDescent="0.3">
      <c r="A100" s="65" t="s">
        <v>221</v>
      </c>
      <c r="B100" s="66"/>
      <c r="C100" s="66"/>
      <c r="D100" s="66"/>
      <c r="E100" s="66"/>
      <c r="F100" s="67"/>
      <c r="G100" s="88" t="s">
        <v>219</v>
      </c>
      <c r="H100" s="66"/>
      <c r="I100" s="66"/>
      <c r="J100" s="67"/>
    </row>
    <row r="101" spans="1:18" ht="30.75" customHeight="1" x14ac:dyDescent="0.3">
      <c r="A101" s="144" t="s">
        <v>250</v>
      </c>
      <c r="B101" s="145"/>
      <c r="C101" s="145"/>
      <c r="D101" s="145"/>
      <c r="E101" s="145"/>
      <c r="F101" s="146"/>
      <c r="G101" s="114" t="s">
        <v>255</v>
      </c>
      <c r="H101" s="115"/>
      <c r="I101" s="115"/>
      <c r="J101" s="147"/>
    </row>
    <row r="102" spans="1:18" ht="31.5" customHeight="1" x14ac:dyDescent="0.3">
      <c r="A102" s="144" t="s">
        <v>251</v>
      </c>
      <c r="B102" s="145"/>
      <c r="C102" s="145"/>
      <c r="D102" s="145"/>
      <c r="E102" s="145"/>
      <c r="F102" s="146"/>
      <c r="G102" s="114" t="s">
        <v>218</v>
      </c>
      <c r="H102" s="115"/>
      <c r="I102" s="115"/>
      <c r="J102" s="147"/>
    </row>
    <row r="103" spans="1:18" x14ac:dyDescent="0.3">
      <c r="A103" s="88" t="s">
        <v>248</v>
      </c>
      <c r="B103" s="66"/>
      <c r="C103" s="66"/>
      <c r="D103" s="66"/>
      <c r="E103" s="66"/>
      <c r="F103" s="67"/>
      <c r="G103" s="65" t="s">
        <v>249</v>
      </c>
      <c r="H103" s="59"/>
      <c r="I103" s="59"/>
      <c r="J103" s="60"/>
    </row>
    <row r="104" spans="1:18" x14ac:dyDescent="0.3">
      <c r="A104" s="88" t="s">
        <v>252</v>
      </c>
      <c r="B104" s="66"/>
      <c r="C104" s="66"/>
      <c r="D104" s="66"/>
      <c r="E104" s="66"/>
      <c r="F104" s="67"/>
      <c r="G104" s="65" t="s">
        <v>253</v>
      </c>
      <c r="H104" s="59"/>
      <c r="I104" s="59"/>
      <c r="J104" s="60"/>
    </row>
    <row r="105" spans="1:18" x14ac:dyDescent="0.3">
      <c r="A105" s="88" t="s">
        <v>72</v>
      </c>
      <c r="B105" s="66"/>
      <c r="C105" s="66"/>
      <c r="D105" s="66"/>
      <c r="E105" s="66"/>
      <c r="F105" s="67"/>
      <c r="G105" s="65" t="s">
        <v>247</v>
      </c>
      <c r="H105" s="59"/>
      <c r="I105" s="59"/>
      <c r="J105" s="60"/>
    </row>
    <row r="106" spans="1:18" s="40" customFormat="1" ht="14.4" customHeight="1" x14ac:dyDescent="0.3">
      <c r="A106" s="148" t="s">
        <v>73</v>
      </c>
      <c r="B106" s="149"/>
      <c r="C106" s="149"/>
      <c r="D106" s="149"/>
      <c r="E106" s="149"/>
      <c r="F106" s="150"/>
      <c r="G106" s="88">
        <f>G99*0.8</f>
        <v>17800</v>
      </c>
      <c r="H106" s="66"/>
      <c r="I106" s="66"/>
      <c r="J106" s="67"/>
    </row>
    <row r="107" spans="1:18" s="41" customFormat="1" ht="15.75" customHeight="1" x14ac:dyDescent="0.3">
      <c r="A107" s="138" t="s">
        <v>143</v>
      </c>
      <c r="B107" s="139"/>
      <c r="C107" s="139"/>
      <c r="D107" s="139"/>
      <c r="E107" s="139"/>
      <c r="F107" s="139"/>
      <c r="G107" s="139"/>
      <c r="H107" s="139"/>
      <c r="I107" s="139"/>
      <c r="J107" s="140"/>
    </row>
    <row r="108" spans="1:18" s="41" customFormat="1" ht="15.75" customHeight="1" x14ac:dyDescent="0.3">
      <c r="A108" s="124" t="s">
        <v>74</v>
      </c>
      <c r="B108" s="125"/>
      <c r="C108" s="42" t="s">
        <v>168</v>
      </c>
      <c r="D108" s="126" t="s">
        <v>75</v>
      </c>
      <c r="E108" s="127"/>
      <c r="F108" s="128"/>
      <c r="G108" s="124" t="s">
        <v>76</v>
      </c>
      <c r="H108" s="129"/>
      <c r="I108" s="129"/>
      <c r="J108" s="125"/>
    </row>
    <row r="109" spans="1:18" s="41" customFormat="1" x14ac:dyDescent="0.3">
      <c r="A109" s="106" t="s">
        <v>189</v>
      </c>
      <c r="B109" s="107"/>
      <c r="C109" s="43">
        <f>COUNT(D124:E128)</f>
        <v>5</v>
      </c>
      <c r="D109" s="108">
        <f>SUM(D124:E128)</f>
        <v>2122.5639239999996</v>
      </c>
      <c r="E109" s="109"/>
      <c r="F109" s="110"/>
      <c r="G109" s="111">
        <f>SUM(G124:G128)</f>
        <v>3502.2304745999995</v>
      </c>
      <c r="H109" s="112"/>
      <c r="I109" s="112"/>
      <c r="J109" s="113"/>
    </row>
    <row r="110" spans="1:18" s="41" customFormat="1" x14ac:dyDescent="0.3">
      <c r="A110" s="106" t="s">
        <v>190</v>
      </c>
      <c r="B110" s="107"/>
      <c r="C110" s="43">
        <f>COUNT(D129:E138)</f>
        <v>10</v>
      </c>
      <c r="D110" s="108">
        <f>SUM(D129:E138)</f>
        <v>4207.1309279999996</v>
      </c>
      <c r="E110" s="109"/>
      <c r="F110" s="110"/>
      <c r="G110" s="111">
        <f>SUM(G129:G138)</f>
        <v>6941.7660311999998</v>
      </c>
      <c r="H110" s="112"/>
      <c r="I110" s="112"/>
      <c r="J110" s="113"/>
    </row>
    <row r="111" spans="1:18" s="41" customFormat="1" x14ac:dyDescent="0.3">
      <c r="A111" s="106" t="s">
        <v>192</v>
      </c>
      <c r="B111" s="107"/>
      <c r="C111" s="43">
        <f>COUNT(D140)</f>
        <v>1</v>
      </c>
      <c r="D111" s="108">
        <f>SUM(D140)</f>
        <v>2286.1444320000001</v>
      </c>
      <c r="E111" s="109"/>
      <c r="F111" s="110"/>
      <c r="G111" s="111">
        <f>SUM(G140)</f>
        <v>3772.1383127999998</v>
      </c>
      <c r="H111" s="112"/>
      <c r="I111" s="112"/>
      <c r="J111" s="113"/>
    </row>
    <row r="112" spans="1:18" s="41" customFormat="1" x14ac:dyDescent="0.3">
      <c r="A112" s="138" t="s">
        <v>78</v>
      </c>
      <c r="B112" s="139"/>
      <c r="C112" s="44">
        <f>SUM(C109:C111)</f>
        <v>16</v>
      </c>
      <c r="D112" s="141">
        <f>SUM(D109:F111)</f>
        <v>8615.8392839999979</v>
      </c>
      <c r="E112" s="142"/>
      <c r="F112" s="143"/>
      <c r="G112" s="124">
        <f>SUM(G109:J111)</f>
        <v>14216.1348186</v>
      </c>
      <c r="H112" s="129"/>
      <c r="I112" s="129"/>
      <c r="J112" s="125"/>
    </row>
    <row r="113" spans="1:10" s="41" customFormat="1" x14ac:dyDescent="0.3">
      <c r="A113" s="138" t="s">
        <v>127</v>
      </c>
      <c r="B113" s="139"/>
      <c r="C113" s="139"/>
      <c r="D113" s="139"/>
      <c r="E113" s="139"/>
      <c r="F113" s="139"/>
      <c r="G113" s="139"/>
      <c r="H113" s="139"/>
      <c r="I113" s="139"/>
      <c r="J113" s="140"/>
    </row>
    <row r="114" spans="1:10" s="41" customFormat="1" x14ac:dyDescent="0.3">
      <c r="A114" s="124" t="s">
        <v>74</v>
      </c>
      <c r="B114" s="125"/>
      <c r="C114" s="42" t="s">
        <v>210</v>
      </c>
      <c r="D114" s="126" t="s">
        <v>75</v>
      </c>
      <c r="E114" s="127"/>
      <c r="F114" s="128"/>
      <c r="G114" s="124" t="s">
        <v>76</v>
      </c>
      <c r="H114" s="129"/>
      <c r="I114" s="129"/>
      <c r="J114" s="125"/>
    </row>
    <row r="115" spans="1:10" s="41" customFormat="1" x14ac:dyDescent="0.3">
      <c r="A115" s="106" t="s">
        <v>188</v>
      </c>
      <c r="B115" s="107"/>
      <c r="C115" s="55">
        <f>COUNT(D147:E148)*2+COUNT(D150:E151)*2+COUNT(D153:E154)*2+COUNT(D156:E157)*2+COUNT(D159:E160)*2+COUNT(D162:E163)*2+COUNT(D166:E167)*2+COUNT(D169:E170)*4+COUNT(D172:E173)*3+COUNT(D175:E176)*2+COUNT(D178:E179)+COUNT(D181:E182)+COUNT(D184:E185)+COUNT(D187:E188)</f>
        <v>54</v>
      </c>
      <c r="D115" s="108">
        <f>SUM(D147:E148)*2+SUM(D150:E151)*2+SUM(D153:E154)*2+SUM(D156:E157)*2+SUM(D159:E160)*2+SUM(D162:E163)*2+SUM(D166:E167)*2+SUM(D169:E170)*4+SUM(D172:E173)*3+SUM(D175:E176)*2+SUM(D178:E179)+SUM(D181:E182)+SUM(D184:E185)+SUM(D187:E188)</f>
        <v>94499.610191999993</v>
      </c>
      <c r="E115" s="109"/>
      <c r="F115" s="110"/>
      <c r="G115" s="111">
        <f>SUM(G147:G148)*2+SUM(G150:G151)*2+SUM(G153:G154)*2+SUM(G156:G157)*2+SUM(G159:G160)*2+SUM(G162:G163)*2+SUM(G166:G167)*2+SUM(G169:G170)*4+SUM(G172:G173)*3+SUM(G175:G176)*2+SUM(G178:G179)+SUM(G181:G182)+SUM(G184:G185)+SUM(G187:G188)</f>
        <v>223162.492279</v>
      </c>
      <c r="H115" s="112"/>
      <c r="I115" s="112"/>
      <c r="J115" s="113"/>
    </row>
    <row r="116" spans="1:10" s="41" customFormat="1" x14ac:dyDescent="0.3">
      <c r="A116" s="106" t="s">
        <v>214</v>
      </c>
      <c r="B116" s="107"/>
      <c r="C116" s="45">
        <f>COUNT(D194:E197)*4</f>
        <v>16</v>
      </c>
      <c r="D116" s="108">
        <f>SUM(D194:E197)*4</f>
        <v>6255.3479040000002</v>
      </c>
      <c r="E116" s="109"/>
      <c r="F116" s="110"/>
      <c r="G116" s="111">
        <f>SUM(G194:G197)*4</f>
        <v>9070.2544607999989</v>
      </c>
      <c r="H116" s="112"/>
      <c r="I116" s="112"/>
      <c r="J116" s="113"/>
    </row>
    <row r="117" spans="1:10" s="41" customFormat="1" ht="16.2" thickBot="1" x14ac:dyDescent="0.35">
      <c r="A117" s="95" t="s">
        <v>78</v>
      </c>
      <c r="B117" s="96"/>
      <c r="C117" s="52">
        <f>SUM(C115:C116)</f>
        <v>70</v>
      </c>
      <c r="D117" s="97">
        <f>SUM(D115:D116)</f>
        <v>100754.95809599999</v>
      </c>
      <c r="E117" s="98"/>
      <c r="F117" s="99"/>
      <c r="G117" s="100">
        <f>SUM(G115:G116)</f>
        <v>232232.7467398</v>
      </c>
      <c r="H117" s="101"/>
      <c r="I117" s="101"/>
      <c r="J117" s="102"/>
    </row>
    <row r="118" spans="1:10" s="41" customFormat="1" ht="16.2" thickBot="1" x14ac:dyDescent="0.35">
      <c r="A118" s="130" t="s">
        <v>269</v>
      </c>
      <c r="B118" s="131"/>
      <c r="C118" s="53">
        <f>C112+C117</f>
        <v>86</v>
      </c>
      <c r="D118" s="132">
        <f>D112+D117</f>
        <v>109370.79737999999</v>
      </c>
      <c r="E118" s="133"/>
      <c r="F118" s="134"/>
      <c r="G118" s="135">
        <f>G112+G117</f>
        <v>246448.8815584</v>
      </c>
      <c r="H118" s="136"/>
      <c r="I118" s="136"/>
      <c r="J118" s="137"/>
    </row>
    <row r="119" spans="1:10" s="40" customFormat="1" x14ac:dyDescent="0.3">
      <c r="A119" s="118" t="s">
        <v>79</v>
      </c>
      <c r="B119" s="119"/>
      <c r="C119" s="119"/>
      <c r="D119" s="119"/>
      <c r="E119" s="119"/>
      <c r="F119" s="119"/>
      <c r="G119" s="119"/>
      <c r="H119" s="119"/>
      <c r="I119" s="119"/>
      <c r="J119" s="120"/>
    </row>
    <row r="120" spans="1:10" x14ac:dyDescent="0.3">
      <c r="A120" s="121" t="s">
        <v>80</v>
      </c>
      <c r="B120" s="122"/>
      <c r="C120" s="122"/>
      <c r="D120" s="122"/>
      <c r="E120" s="122"/>
      <c r="F120" s="122"/>
      <c r="G120" s="122"/>
      <c r="H120" s="122"/>
      <c r="I120" s="122"/>
      <c r="J120" s="123"/>
    </row>
    <row r="121" spans="1:10" ht="41.4" x14ac:dyDescent="0.3">
      <c r="A121" s="80" t="s">
        <v>144</v>
      </c>
      <c r="B121" s="82"/>
      <c r="C121" s="1" t="s">
        <v>81</v>
      </c>
      <c r="D121" s="80" t="s">
        <v>82</v>
      </c>
      <c r="E121" s="82"/>
      <c r="F121" s="7" t="s">
        <v>83</v>
      </c>
      <c r="G121" s="1" t="s">
        <v>84</v>
      </c>
      <c r="H121" s="80" t="s">
        <v>85</v>
      </c>
      <c r="I121" s="81"/>
      <c r="J121" s="82"/>
    </row>
    <row r="122" spans="1:10" s="46" customFormat="1" x14ac:dyDescent="0.3">
      <c r="A122" s="71" t="s">
        <v>188</v>
      </c>
      <c r="B122" s="72"/>
      <c r="C122" s="72"/>
      <c r="D122" s="72"/>
      <c r="E122" s="72"/>
      <c r="F122" s="72"/>
      <c r="G122" s="72"/>
      <c r="H122" s="72"/>
      <c r="I122" s="72"/>
      <c r="J122" s="73"/>
    </row>
    <row r="123" spans="1:10" s="46" customFormat="1" x14ac:dyDescent="0.3">
      <c r="A123" s="71" t="s">
        <v>276</v>
      </c>
      <c r="B123" s="72"/>
      <c r="C123" s="72"/>
      <c r="D123" s="72"/>
      <c r="E123" s="72"/>
      <c r="F123" s="72"/>
      <c r="G123" s="72"/>
      <c r="H123" s="72"/>
      <c r="I123" s="72"/>
      <c r="J123" s="73"/>
    </row>
    <row r="124" spans="1:10" s="46" customFormat="1" ht="15.75" customHeight="1" x14ac:dyDescent="0.3">
      <c r="A124" s="69">
        <v>1</v>
      </c>
      <c r="B124" s="70"/>
      <c r="C124" s="26" t="s">
        <v>189</v>
      </c>
      <c r="D124" s="69">
        <f>46.217*10.764</f>
        <v>497.47978799999993</v>
      </c>
      <c r="E124" s="70"/>
      <c r="F124" s="26">
        <v>0</v>
      </c>
      <c r="G124" s="26">
        <f>D124*1.65+F124</f>
        <v>820.84165019999989</v>
      </c>
      <c r="H124" s="78" t="str">
        <f>A123</f>
        <v>Ground Floor For Parking &amp; Commercial</v>
      </c>
      <c r="I124" s="74"/>
      <c r="J124" s="75"/>
    </row>
    <row r="125" spans="1:10" s="46" customFormat="1" x14ac:dyDescent="0.3">
      <c r="A125" s="69">
        <v>2</v>
      </c>
      <c r="B125" s="70"/>
      <c r="C125" s="26" t="s">
        <v>189</v>
      </c>
      <c r="D125" s="69">
        <f>41.025*10.764</f>
        <v>441.59309999999994</v>
      </c>
      <c r="E125" s="70"/>
      <c r="F125" s="26">
        <v>0</v>
      </c>
      <c r="G125" s="26">
        <f t="shared" ref="G125:G138" si="0">D125*1.65+F125</f>
        <v>728.62861499999985</v>
      </c>
      <c r="H125" s="89"/>
      <c r="I125" s="90"/>
      <c r="J125" s="91"/>
    </row>
    <row r="126" spans="1:10" s="46" customFormat="1" x14ac:dyDescent="0.3">
      <c r="A126" s="69">
        <v>3</v>
      </c>
      <c r="B126" s="70"/>
      <c r="C126" s="26" t="s">
        <v>189</v>
      </c>
      <c r="D126" s="69">
        <f>41.819*10.764</f>
        <v>450.13971600000002</v>
      </c>
      <c r="E126" s="70"/>
      <c r="F126" s="26">
        <v>0</v>
      </c>
      <c r="G126" s="26">
        <f t="shared" si="0"/>
        <v>742.73053140000002</v>
      </c>
      <c r="H126" s="89"/>
      <c r="I126" s="90"/>
      <c r="J126" s="91"/>
    </row>
    <row r="127" spans="1:10" s="46" customFormat="1" ht="15.75" customHeight="1" x14ac:dyDescent="0.3">
      <c r="A127" s="69">
        <v>4</v>
      </c>
      <c r="B127" s="70"/>
      <c r="C127" s="26" t="s">
        <v>189</v>
      </c>
      <c r="D127" s="69">
        <f>34.613*10.764</f>
        <v>372.57433199999997</v>
      </c>
      <c r="E127" s="70"/>
      <c r="F127" s="26">
        <v>0</v>
      </c>
      <c r="G127" s="26">
        <f t="shared" si="0"/>
        <v>614.74764779999987</v>
      </c>
      <c r="H127" s="89"/>
      <c r="I127" s="90"/>
      <c r="J127" s="91"/>
    </row>
    <row r="128" spans="1:10" s="46" customFormat="1" ht="15.75" customHeight="1" x14ac:dyDescent="0.3">
      <c r="A128" s="69">
        <v>5</v>
      </c>
      <c r="B128" s="70"/>
      <c r="C128" s="26" t="s">
        <v>189</v>
      </c>
      <c r="D128" s="69">
        <f>33.517*10.764</f>
        <v>360.77698800000002</v>
      </c>
      <c r="E128" s="70"/>
      <c r="F128" s="26">
        <v>0</v>
      </c>
      <c r="G128" s="26">
        <f t="shared" si="0"/>
        <v>595.28203020000001</v>
      </c>
      <c r="H128" s="89"/>
      <c r="I128" s="90"/>
      <c r="J128" s="91"/>
    </row>
    <row r="129" spans="1:10" s="46" customFormat="1" ht="15.75" customHeight="1" x14ac:dyDescent="0.3">
      <c r="A129" s="69">
        <v>1</v>
      </c>
      <c r="B129" s="70"/>
      <c r="C129" s="26" t="s">
        <v>190</v>
      </c>
      <c r="D129" s="69">
        <f>43.087*10.764</f>
        <v>463.78846800000002</v>
      </c>
      <c r="E129" s="70"/>
      <c r="F129" s="26">
        <v>0</v>
      </c>
      <c r="G129" s="26">
        <f t="shared" si="0"/>
        <v>765.25097219999998</v>
      </c>
      <c r="H129" s="89"/>
      <c r="I129" s="90"/>
      <c r="J129" s="91"/>
    </row>
    <row r="130" spans="1:10" s="46" customFormat="1" x14ac:dyDescent="0.3">
      <c r="A130" s="69">
        <v>2</v>
      </c>
      <c r="B130" s="70"/>
      <c r="C130" s="26" t="s">
        <v>190</v>
      </c>
      <c r="D130" s="69">
        <f>31.853*10.764</f>
        <v>342.86569199999997</v>
      </c>
      <c r="E130" s="70"/>
      <c r="F130" s="26">
        <v>0</v>
      </c>
      <c r="G130" s="26">
        <f t="shared" si="0"/>
        <v>565.72839179999994</v>
      </c>
      <c r="H130" s="89"/>
      <c r="I130" s="90"/>
      <c r="J130" s="91"/>
    </row>
    <row r="131" spans="1:10" s="46" customFormat="1" x14ac:dyDescent="0.3">
      <c r="A131" s="69">
        <v>3</v>
      </c>
      <c r="B131" s="70"/>
      <c r="C131" s="26" t="s">
        <v>190</v>
      </c>
      <c r="D131" s="69">
        <f>31.853*10.764</f>
        <v>342.86569199999997</v>
      </c>
      <c r="E131" s="70"/>
      <c r="F131" s="26">
        <v>0</v>
      </c>
      <c r="G131" s="26">
        <f t="shared" si="0"/>
        <v>565.72839179999994</v>
      </c>
      <c r="H131" s="89"/>
      <c r="I131" s="90"/>
      <c r="J131" s="91"/>
    </row>
    <row r="132" spans="1:10" s="46" customFormat="1" x14ac:dyDescent="0.3">
      <c r="A132" s="69">
        <v>4</v>
      </c>
      <c r="B132" s="70"/>
      <c r="C132" s="26" t="s">
        <v>190</v>
      </c>
      <c r="D132" s="69">
        <f>39.952*10.764</f>
        <v>430.04332799999997</v>
      </c>
      <c r="E132" s="70"/>
      <c r="F132" s="26">
        <v>0</v>
      </c>
      <c r="G132" s="26">
        <f t="shared" si="0"/>
        <v>709.57149119999997</v>
      </c>
      <c r="H132" s="89"/>
      <c r="I132" s="90"/>
      <c r="J132" s="91"/>
    </row>
    <row r="133" spans="1:10" s="46" customFormat="1" x14ac:dyDescent="0.3">
      <c r="A133" s="69">
        <v>5</v>
      </c>
      <c r="B133" s="70"/>
      <c r="C133" s="26" t="s">
        <v>190</v>
      </c>
      <c r="D133" s="69">
        <f>39.937*10.764</f>
        <v>429.88186799999994</v>
      </c>
      <c r="E133" s="70"/>
      <c r="F133" s="26">
        <v>0</v>
      </c>
      <c r="G133" s="26">
        <f t="shared" si="0"/>
        <v>709.3050821999999</v>
      </c>
      <c r="H133" s="89"/>
      <c r="I133" s="90"/>
      <c r="J133" s="91"/>
    </row>
    <row r="134" spans="1:10" s="46" customFormat="1" x14ac:dyDescent="0.3">
      <c r="A134" s="69">
        <v>6</v>
      </c>
      <c r="B134" s="70"/>
      <c r="C134" s="26" t="s">
        <v>190</v>
      </c>
      <c r="D134" s="69">
        <f>39.937*10.764</f>
        <v>429.88186799999994</v>
      </c>
      <c r="E134" s="70"/>
      <c r="F134" s="26">
        <v>0</v>
      </c>
      <c r="G134" s="26">
        <f t="shared" si="0"/>
        <v>709.3050821999999</v>
      </c>
      <c r="H134" s="89"/>
      <c r="I134" s="90"/>
      <c r="J134" s="91"/>
    </row>
    <row r="135" spans="1:10" s="46" customFormat="1" x14ac:dyDescent="0.3">
      <c r="A135" s="69">
        <v>7</v>
      </c>
      <c r="B135" s="70"/>
      <c r="C135" s="26" t="s">
        <v>190</v>
      </c>
      <c r="D135" s="69">
        <f>39.952*10.764</f>
        <v>430.04332799999997</v>
      </c>
      <c r="E135" s="70"/>
      <c r="F135" s="26">
        <v>0</v>
      </c>
      <c r="G135" s="26">
        <f t="shared" si="0"/>
        <v>709.57149119999997</v>
      </c>
      <c r="H135" s="89"/>
      <c r="I135" s="90"/>
      <c r="J135" s="91"/>
    </row>
    <row r="136" spans="1:10" s="46" customFormat="1" x14ac:dyDescent="0.3">
      <c r="A136" s="69">
        <v>8</v>
      </c>
      <c r="B136" s="70"/>
      <c r="C136" s="26" t="s">
        <v>190</v>
      </c>
      <c r="D136" s="69">
        <f>35.962*10.764</f>
        <v>387.09496799999999</v>
      </c>
      <c r="E136" s="70"/>
      <c r="F136" s="26">
        <v>0</v>
      </c>
      <c r="G136" s="26">
        <f t="shared" si="0"/>
        <v>638.70669720000001</v>
      </c>
      <c r="H136" s="89"/>
      <c r="I136" s="90"/>
      <c r="J136" s="91"/>
    </row>
    <row r="137" spans="1:10" s="46" customFormat="1" x14ac:dyDescent="0.3">
      <c r="A137" s="69">
        <v>9</v>
      </c>
      <c r="B137" s="70"/>
      <c r="C137" s="26" t="s">
        <v>190</v>
      </c>
      <c r="D137" s="69">
        <f>47.167*10.764</f>
        <v>507.70558799999998</v>
      </c>
      <c r="E137" s="70"/>
      <c r="F137" s="26">
        <v>0</v>
      </c>
      <c r="G137" s="26">
        <f t="shared" si="0"/>
        <v>837.71422019999989</v>
      </c>
      <c r="H137" s="89"/>
      <c r="I137" s="90"/>
      <c r="J137" s="91"/>
    </row>
    <row r="138" spans="1:10" s="46" customFormat="1" x14ac:dyDescent="0.3">
      <c r="A138" s="69">
        <v>10</v>
      </c>
      <c r="B138" s="70"/>
      <c r="C138" s="26" t="s">
        <v>190</v>
      </c>
      <c r="D138" s="69">
        <f>41.152*10.764</f>
        <v>442.960128</v>
      </c>
      <c r="E138" s="70"/>
      <c r="F138" s="26">
        <v>0</v>
      </c>
      <c r="G138" s="26">
        <f t="shared" si="0"/>
        <v>730.88421119999998</v>
      </c>
      <c r="H138" s="79"/>
      <c r="I138" s="76"/>
      <c r="J138" s="77"/>
    </row>
    <row r="139" spans="1:10" s="46" customFormat="1" x14ac:dyDescent="0.3">
      <c r="A139" s="71" t="s">
        <v>193</v>
      </c>
      <c r="B139" s="72"/>
      <c r="C139" s="72"/>
      <c r="D139" s="72"/>
      <c r="E139" s="72"/>
      <c r="F139" s="72"/>
      <c r="G139" s="72"/>
      <c r="H139" s="72"/>
      <c r="I139" s="72"/>
      <c r="J139" s="73"/>
    </row>
    <row r="140" spans="1:10" s="46" customFormat="1" x14ac:dyDescent="0.3">
      <c r="A140" s="69">
        <v>1</v>
      </c>
      <c r="B140" s="70"/>
      <c r="C140" s="26" t="s">
        <v>192</v>
      </c>
      <c r="D140" s="69">
        <f>212.388*10.764</f>
        <v>2286.1444320000001</v>
      </c>
      <c r="E140" s="70"/>
      <c r="F140" s="26">
        <v>0</v>
      </c>
      <c r="G140" s="26">
        <f>D140*1.65+F140</f>
        <v>3772.1383127999998</v>
      </c>
      <c r="H140" s="69" t="s">
        <v>208</v>
      </c>
      <c r="I140" s="83"/>
      <c r="J140" s="70"/>
    </row>
    <row r="141" spans="1:10" s="46" customFormat="1" x14ac:dyDescent="0.3">
      <c r="A141" s="69"/>
      <c r="B141" s="83"/>
      <c r="C141" s="83"/>
      <c r="D141" s="83"/>
      <c r="E141" s="83"/>
      <c r="F141" s="83"/>
      <c r="G141" s="83"/>
      <c r="H141" s="83"/>
      <c r="I141" s="83"/>
      <c r="J141" s="70"/>
    </row>
    <row r="142" spans="1:10" ht="46.8" x14ac:dyDescent="0.3">
      <c r="A142" s="80" t="s">
        <v>144</v>
      </c>
      <c r="B142" s="82"/>
      <c r="C142" s="1" t="s">
        <v>81</v>
      </c>
      <c r="D142" s="80" t="s">
        <v>82</v>
      </c>
      <c r="E142" s="82"/>
      <c r="F142" s="7" t="s">
        <v>83</v>
      </c>
      <c r="G142" s="1" t="s">
        <v>254</v>
      </c>
      <c r="H142" s="80" t="s">
        <v>85</v>
      </c>
      <c r="I142" s="81"/>
      <c r="J142" s="82"/>
    </row>
    <row r="143" spans="1:10" s="46" customFormat="1" x14ac:dyDescent="0.3">
      <c r="A143" s="71" t="s">
        <v>194</v>
      </c>
      <c r="B143" s="72"/>
      <c r="C143" s="72"/>
      <c r="D143" s="72"/>
      <c r="E143" s="72"/>
      <c r="F143" s="72"/>
      <c r="G143" s="72"/>
      <c r="H143" s="72"/>
      <c r="I143" s="72"/>
      <c r="J143" s="73"/>
    </row>
    <row r="144" spans="1:10" s="46" customFormat="1" x14ac:dyDescent="0.3">
      <c r="A144" s="71" t="s">
        <v>195</v>
      </c>
      <c r="B144" s="72"/>
      <c r="C144" s="72"/>
      <c r="D144" s="72"/>
      <c r="E144" s="72"/>
      <c r="F144" s="72"/>
      <c r="G144" s="72"/>
      <c r="H144" s="72"/>
      <c r="I144" s="72"/>
      <c r="J144" s="73"/>
    </row>
    <row r="145" spans="1:10" s="46" customFormat="1" x14ac:dyDescent="0.3">
      <c r="A145" s="71" t="s">
        <v>196</v>
      </c>
      <c r="B145" s="72"/>
      <c r="C145" s="72"/>
      <c r="D145" s="72"/>
      <c r="E145" s="72"/>
      <c r="F145" s="72"/>
      <c r="G145" s="72"/>
      <c r="H145" s="72"/>
      <c r="I145" s="72"/>
      <c r="J145" s="73"/>
    </row>
    <row r="146" spans="1:10" s="46" customFormat="1" x14ac:dyDescent="0.3">
      <c r="A146" s="71" t="s">
        <v>197</v>
      </c>
      <c r="B146" s="72"/>
      <c r="C146" s="72"/>
      <c r="D146" s="72"/>
      <c r="E146" s="72"/>
      <c r="F146" s="72"/>
      <c r="G146" s="72"/>
      <c r="H146" s="72"/>
      <c r="I146" s="72"/>
      <c r="J146" s="73"/>
    </row>
    <row r="147" spans="1:10" s="46" customFormat="1" ht="15.75" customHeight="1" x14ac:dyDescent="0.3">
      <c r="A147" s="69">
        <v>1</v>
      </c>
      <c r="B147" s="70"/>
      <c r="C147" s="26" t="s">
        <v>198</v>
      </c>
      <c r="D147" s="69">
        <f>(140.329+4.4*0.6+4.35*0.6)*10.764</f>
        <v>1567.012356</v>
      </c>
      <c r="E147" s="70"/>
      <c r="F147" s="26">
        <f>4.425*10.764</f>
        <v>47.630699999999997</v>
      </c>
      <c r="G147" s="26">
        <v>3800</v>
      </c>
      <c r="H147" s="78" t="str">
        <f>A146</f>
        <v>6th &amp; 12th Floor</v>
      </c>
      <c r="I147" s="74"/>
      <c r="J147" s="75"/>
    </row>
    <row r="148" spans="1:10" s="46" customFormat="1" x14ac:dyDescent="0.3">
      <c r="A148" s="69">
        <v>2</v>
      </c>
      <c r="B148" s="70"/>
      <c r="C148" s="26" t="s">
        <v>198</v>
      </c>
      <c r="D148" s="69">
        <f>(140.329+4.4*0.6+4.35*0.6)*10.764</f>
        <v>1567.012356</v>
      </c>
      <c r="E148" s="70"/>
      <c r="F148" s="26">
        <f>4.425*10.764</f>
        <v>47.630699999999997</v>
      </c>
      <c r="G148" s="26">
        <v>3800</v>
      </c>
      <c r="H148" s="79"/>
      <c r="I148" s="76"/>
      <c r="J148" s="77"/>
    </row>
    <row r="149" spans="1:10" s="46" customFormat="1" x14ac:dyDescent="0.3">
      <c r="A149" s="71" t="s">
        <v>199</v>
      </c>
      <c r="B149" s="72"/>
      <c r="C149" s="72"/>
      <c r="D149" s="72"/>
      <c r="E149" s="72"/>
      <c r="F149" s="72"/>
      <c r="G149" s="72"/>
      <c r="H149" s="72"/>
      <c r="I149" s="72"/>
      <c r="J149" s="73"/>
    </row>
    <row r="150" spans="1:10" s="46" customFormat="1" ht="15.75" customHeight="1" x14ac:dyDescent="0.3">
      <c r="A150" s="69">
        <v>1</v>
      </c>
      <c r="B150" s="70"/>
      <c r="C150" s="26" t="s">
        <v>198</v>
      </c>
      <c r="D150" s="69">
        <f>(123.53+4.1*0.6+2.85*0.6)*10.764</f>
        <v>1374.5627999999997</v>
      </c>
      <c r="E150" s="70"/>
      <c r="F150" s="26">
        <f>(8.872+6.037+4.62+3.45)*10.764</f>
        <v>247.34595599999997</v>
      </c>
      <c r="G150" s="26">
        <v>3700</v>
      </c>
      <c r="H150" s="78" t="str">
        <f>A149</f>
        <v>7th &amp; 13th Floor</v>
      </c>
      <c r="I150" s="74"/>
      <c r="J150" s="75"/>
    </row>
    <row r="151" spans="1:10" s="46" customFormat="1" x14ac:dyDescent="0.3">
      <c r="A151" s="69">
        <v>2</v>
      </c>
      <c r="B151" s="70"/>
      <c r="C151" s="26" t="s">
        <v>198</v>
      </c>
      <c r="D151" s="69">
        <f>(123.53+4.1*0.6+2.85*0.6)*10.764</f>
        <v>1374.5627999999997</v>
      </c>
      <c r="E151" s="70"/>
      <c r="F151" s="26">
        <f>(8.872+6.037+4.62+3.45)*10.764</f>
        <v>247.34595599999997</v>
      </c>
      <c r="G151" s="26">
        <v>3700</v>
      </c>
      <c r="H151" s="79"/>
      <c r="I151" s="76"/>
      <c r="J151" s="77"/>
    </row>
    <row r="152" spans="1:10" s="46" customFormat="1" x14ac:dyDescent="0.3">
      <c r="A152" s="71" t="s">
        <v>200</v>
      </c>
      <c r="B152" s="72"/>
      <c r="C152" s="72"/>
      <c r="D152" s="72"/>
      <c r="E152" s="72"/>
      <c r="F152" s="72"/>
      <c r="G152" s="72"/>
      <c r="H152" s="72"/>
      <c r="I152" s="72"/>
      <c r="J152" s="73"/>
    </row>
    <row r="153" spans="1:10" s="46" customFormat="1" ht="15.75" customHeight="1" x14ac:dyDescent="0.3">
      <c r="A153" s="69">
        <v>1</v>
      </c>
      <c r="B153" s="70"/>
      <c r="C153" s="26" t="s">
        <v>198</v>
      </c>
      <c r="D153" s="69">
        <f>(120.58+4.4*0.6+4.35*0.6)*10.764</f>
        <v>1354.4341199999999</v>
      </c>
      <c r="E153" s="70"/>
      <c r="F153" s="26">
        <f>4.425*10.764</f>
        <v>47.630699999999997</v>
      </c>
      <c r="G153" s="26">
        <v>3450</v>
      </c>
      <c r="H153" s="78" t="str">
        <f>A152</f>
        <v>8th &amp; 14th Floor</v>
      </c>
      <c r="I153" s="74"/>
      <c r="J153" s="75"/>
    </row>
    <row r="154" spans="1:10" s="46" customFormat="1" x14ac:dyDescent="0.3">
      <c r="A154" s="69">
        <v>2</v>
      </c>
      <c r="B154" s="70"/>
      <c r="C154" s="26" t="s">
        <v>198</v>
      </c>
      <c r="D154" s="69">
        <f>(120.58+4.4*0.6+4.35*0.6)*10.764</f>
        <v>1354.4341199999999</v>
      </c>
      <c r="E154" s="70"/>
      <c r="F154" s="26">
        <f>4.425*10.764</f>
        <v>47.630699999999997</v>
      </c>
      <c r="G154" s="26">
        <v>3450</v>
      </c>
      <c r="H154" s="79"/>
      <c r="I154" s="76"/>
      <c r="J154" s="77"/>
    </row>
    <row r="155" spans="1:10" s="46" customFormat="1" x14ac:dyDescent="0.3">
      <c r="A155" s="71" t="s">
        <v>201</v>
      </c>
      <c r="B155" s="72"/>
      <c r="C155" s="72"/>
      <c r="D155" s="72"/>
      <c r="E155" s="72"/>
      <c r="F155" s="72"/>
      <c r="G155" s="72"/>
      <c r="H155" s="72"/>
      <c r="I155" s="72"/>
      <c r="J155" s="73"/>
    </row>
    <row r="156" spans="1:10" s="46" customFormat="1" ht="15.75" customHeight="1" x14ac:dyDescent="0.3">
      <c r="A156" s="69">
        <v>1</v>
      </c>
      <c r="B156" s="70"/>
      <c r="C156" s="26" t="s">
        <v>198</v>
      </c>
      <c r="D156" s="69">
        <f>(140.329+4.4*0.6+4.35*0.6)*10.764</f>
        <v>1567.012356</v>
      </c>
      <c r="E156" s="70"/>
      <c r="F156" s="26">
        <f>3.45*10.764</f>
        <v>37.135799999999996</v>
      </c>
      <c r="G156" s="26">
        <v>3800</v>
      </c>
      <c r="H156" s="78" t="str">
        <f>A155</f>
        <v>9th &amp; 15th Floor</v>
      </c>
      <c r="I156" s="74"/>
      <c r="J156" s="75"/>
    </row>
    <row r="157" spans="1:10" s="46" customFormat="1" x14ac:dyDescent="0.3">
      <c r="A157" s="69">
        <v>2</v>
      </c>
      <c r="B157" s="70"/>
      <c r="C157" s="26" t="s">
        <v>198</v>
      </c>
      <c r="D157" s="69">
        <f>(140.329+4.4*0.6+4.35*0.6)*10.764</f>
        <v>1567.012356</v>
      </c>
      <c r="E157" s="70"/>
      <c r="F157" s="26">
        <f>3.45*10.764</f>
        <v>37.135799999999996</v>
      </c>
      <c r="G157" s="26">
        <v>3800</v>
      </c>
      <c r="H157" s="79"/>
      <c r="I157" s="76"/>
      <c r="J157" s="77"/>
    </row>
    <row r="158" spans="1:10" s="46" customFormat="1" x14ac:dyDescent="0.3">
      <c r="A158" s="71" t="s">
        <v>202</v>
      </c>
      <c r="B158" s="72"/>
      <c r="C158" s="72"/>
      <c r="D158" s="72"/>
      <c r="E158" s="72"/>
      <c r="F158" s="72"/>
      <c r="G158" s="72"/>
      <c r="H158" s="72"/>
      <c r="I158" s="72"/>
      <c r="J158" s="73"/>
    </row>
    <row r="159" spans="1:10" s="46" customFormat="1" ht="15.75" customHeight="1" x14ac:dyDescent="0.3">
      <c r="A159" s="69">
        <v>1</v>
      </c>
      <c r="B159" s="70"/>
      <c r="C159" s="26" t="s">
        <v>198</v>
      </c>
      <c r="D159" s="69">
        <f>(123.53+4.1*0.6+2.2*0.6)*10.764</f>
        <v>1370.3648399999997</v>
      </c>
      <c r="E159" s="70"/>
      <c r="F159" s="26">
        <f>(4.425+6.037+8.872+4.62)*10.764</f>
        <v>257.84085599999997</v>
      </c>
      <c r="G159" s="26">
        <v>3700</v>
      </c>
      <c r="H159" s="78" t="str">
        <f>A158</f>
        <v>10th &amp; 16th Floor</v>
      </c>
      <c r="I159" s="74"/>
      <c r="J159" s="75"/>
    </row>
    <row r="160" spans="1:10" s="46" customFormat="1" x14ac:dyDescent="0.3">
      <c r="A160" s="69">
        <v>2</v>
      </c>
      <c r="B160" s="70"/>
      <c r="C160" s="26" t="s">
        <v>198</v>
      </c>
      <c r="D160" s="69">
        <f>(123.53+4.1*0.6+2.2*0.6)*10.764</f>
        <v>1370.3648399999997</v>
      </c>
      <c r="E160" s="70"/>
      <c r="F160" s="26">
        <f>(4.425+6.037+8.872+4.62)*10.764</f>
        <v>257.84085599999997</v>
      </c>
      <c r="G160" s="26">
        <v>3700</v>
      </c>
      <c r="H160" s="79"/>
      <c r="I160" s="76"/>
      <c r="J160" s="77"/>
    </row>
    <row r="161" spans="1:13" s="46" customFormat="1" x14ac:dyDescent="0.3">
      <c r="A161" s="71" t="s">
        <v>203</v>
      </c>
      <c r="B161" s="72"/>
      <c r="C161" s="72"/>
      <c r="D161" s="72"/>
      <c r="E161" s="72"/>
      <c r="F161" s="72"/>
      <c r="G161" s="72"/>
      <c r="H161" s="72"/>
      <c r="I161" s="72"/>
      <c r="J161" s="73"/>
    </row>
    <row r="162" spans="1:13" s="46" customFormat="1" ht="15.75" customHeight="1" x14ac:dyDescent="0.3">
      <c r="A162" s="69">
        <v>1</v>
      </c>
      <c r="B162" s="70"/>
      <c r="C162" s="26" t="s">
        <v>198</v>
      </c>
      <c r="D162" s="69">
        <f>(120.58+4.4*0.6+4.35*0.6)*10.764</f>
        <v>1354.4341199999999</v>
      </c>
      <c r="E162" s="70"/>
      <c r="F162" s="26">
        <f>3.45*10.764</f>
        <v>37.135799999999996</v>
      </c>
      <c r="G162" s="26">
        <v>3450</v>
      </c>
      <c r="H162" s="78" t="str">
        <f>A161</f>
        <v>11th &amp; 17th Floor</v>
      </c>
      <c r="I162" s="74"/>
      <c r="J162" s="75"/>
    </row>
    <row r="163" spans="1:13" s="46" customFormat="1" x14ac:dyDescent="0.3">
      <c r="A163" s="69">
        <v>2</v>
      </c>
      <c r="B163" s="70"/>
      <c r="C163" s="26" t="s">
        <v>198</v>
      </c>
      <c r="D163" s="69">
        <f>(120.58+4.4*0.6+4.35*0.6)*10.764</f>
        <v>1354.4341199999999</v>
      </c>
      <c r="E163" s="70"/>
      <c r="F163" s="26">
        <f>3.45*10.764</f>
        <v>37.135799999999996</v>
      </c>
      <c r="G163" s="26">
        <v>3450</v>
      </c>
      <c r="H163" s="79"/>
      <c r="I163" s="76"/>
      <c r="J163" s="77"/>
    </row>
    <row r="164" spans="1:13" s="46" customFormat="1" x14ac:dyDescent="0.3">
      <c r="A164" s="71" t="s">
        <v>209</v>
      </c>
      <c r="B164" s="72"/>
      <c r="C164" s="72"/>
      <c r="D164" s="72"/>
      <c r="E164" s="72"/>
      <c r="F164" s="72"/>
      <c r="G164" s="72"/>
      <c r="H164" s="72"/>
      <c r="I164" s="72"/>
      <c r="J164" s="73"/>
    </row>
    <row r="165" spans="1:13" s="46" customFormat="1" x14ac:dyDescent="0.3">
      <c r="A165" s="71" t="s">
        <v>204</v>
      </c>
      <c r="B165" s="72"/>
      <c r="C165" s="72"/>
      <c r="D165" s="72"/>
      <c r="E165" s="72"/>
      <c r="F165" s="72"/>
      <c r="G165" s="72"/>
      <c r="H165" s="72"/>
      <c r="I165" s="72"/>
      <c r="J165" s="73"/>
    </row>
    <row r="166" spans="1:13" s="46" customFormat="1" ht="15.75" customHeight="1" x14ac:dyDescent="0.3">
      <c r="A166" s="69">
        <v>1</v>
      </c>
      <c r="B166" s="70"/>
      <c r="C166" s="26" t="s">
        <v>198</v>
      </c>
      <c r="D166" s="69">
        <f>(184.38+4.4*0.6+4.5*0.6)*10.764</f>
        <v>2042.1460799999995</v>
      </c>
      <c r="E166" s="70"/>
      <c r="F166" s="26">
        <f>3.45*10.764</f>
        <v>37.135799999999996</v>
      </c>
      <c r="G166" s="26">
        <v>4930</v>
      </c>
      <c r="H166" s="78" t="str">
        <f>A165</f>
        <v>18th &amp; 24th Floor</v>
      </c>
      <c r="I166" s="74"/>
      <c r="J166" s="75"/>
      <c r="L166" s="47"/>
    </row>
    <row r="167" spans="1:13" s="46" customFormat="1" x14ac:dyDescent="0.3">
      <c r="A167" s="69">
        <v>2</v>
      </c>
      <c r="B167" s="70"/>
      <c r="C167" s="26" t="s">
        <v>198</v>
      </c>
      <c r="D167" s="69">
        <f>(184.38+4.4*0.6+4.5*0.6)*10.764</f>
        <v>2042.1460799999995</v>
      </c>
      <c r="E167" s="70"/>
      <c r="F167" s="26">
        <f>3.45*10.764</f>
        <v>37.135799999999996</v>
      </c>
      <c r="G167" s="26">
        <v>4930</v>
      </c>
      <c r="H167" s="79"/>
      <c r="I167" s="76"/>
      <c r="J167" s="77"/>
    </row>
    <row r="168" spans="1:13" s="46" customFormat="1" x14ac:dyDescent="0.3">
      <c r="A168" s="71" t="s">
        <v>205</v>
      </c>
      <c r="B168" s="72"/>
      <c r="C168" s="72"/>
      <c r="D168" s="72"/>
      <c r="E168" s="72"/>
      <c r="F168" s="72"/>
      <c r="G168" s="72"/>
      <c r="H168" s="72"/>
      <c r="I168" s="72"/>
      <c r="J168" s="73"/>
    </row>
    <row r="169" spans="1:13" s="46" customFormat="1" ht="15.75" customHeight="1" x14ac:dyDescent="0.3">
      <c r="A169" s="69">
        <v>1</v>
      </c>
      <c r="B169" s="70"/>
      <c r="C169" s="26" t="s">
        <v>198</v>
      </c>
      <c r="D169" s="69">
        <f>(154.184)*10.764</f>
        <v>1659.6365759999999</v>
      </c>
      <c r="E169" s="70"/>
      <c r="F169" s="26">
        <f>(12.675+8.624+6.8+3.187+4.312)*10.764</f>
        <v>383.17687199999995</v>
      </c>
      <c r="G169" s="26">
        <v>4765</v>
      </c>
      <c r="H169" s="78" t="str">
        <f>A168</f>
        <v>19th, 22nd, 25th &amp; 28th Floor</v>
      </c>
      <c r="I169" s="74"/>
      <c r="J169" s="75"/>
    </row>
    <row r="170" spans="1:13" s="46" customFormat="1" x14ac:dyDescent="0.3">
      <c r="A170" s="69">
        <v>2</v>
      </c>
      <c r="B170" s="70"/>
      <c r="C170" s="26" t="s">
        <v>198</v>
      </c>
      <c r="D170" s="69">
        <f>(154.184)*10.764</f>
        <v>1659.6365759999999</v>
      </c>
      <c r="E170" s="70"/>
      <c r="F170" s="26">
        <f>(12.675+8.624+6.8+3.187+4.312)*10.764</f>
        <v>383.17687199999995</v>
      </c>
      <c r="G170" s="26">
        <v>4765</v>
      </c>
      <c r="H170" s="79"/>
      <c r="I170" s="76"/>
      <c r="J170" s="77"/>
    </row>
    <row r="171" spans="1:13" s="46" customFormat="1" x14ac:dyDescent="0.3">
      <c r="A171" s="71" t="s">
        <v>206</v>
      </c>
      <c r="B171" s="72"/>
      <c r="C171" s="72"/>
      <c r="D171" s="72"/>
      <c r="E171" s="72"/>
      <c r="F171" s="72"/>
      <c r="G171" s="72"/>
      <c r="H171" s="72"/>
      <c r="I171" s="72"/>
      <c r="J171" s="73"/>
    </row>
    <row r="172" spans="1:13" s="46" customFormat="1" ht="15.75" customHeight="1" x14ac:dyDescent="0.3">
      <c r="A172" s="69">
        <v>1</v>
      </c>
      <c r="B172" s="70"/>
      <c r="C172" s="26" t="s">
        <v>198</v>
      </c>
      <c r="D172" s="69">
        <f>(154.184+4.4*0.6+4.35*0.6)*10.764</f>
        <v>1716.1475759999998</v>
      </c>
      <c r="E172" s="70"/>
      <c r="F172" s="26">
        <v>0</v>
      </c>
      <c r="G172" s="26">
        <v>4100</v>
      </c>
      <c r="H172" s="78" t="str">
        <f>A171</f>
        <v>20th, 23rd &amp; 26th Floor</v>
      </c>
      <c r="I172" s="74"/>
      <c r="J172" s="75"/>
      <c r="L172" s="47"/>
      <c r="M172" s="46">
        <f>G172/D172</f>
        <v>2.3890719290914877</v>
      </c>
    </row>
    <row r="173" spans="1:13" s="46" customFormat="1" x14ac:dyDescent="0.3">
      <c r="A173" s="69">
        <v>2</v>
      </c>
      <c r="B173" s="70"/>
      <c r="C173" s="26" t="s">
        <v>198</v>
      </c>
      <c r="D173" s="69">
        <f>(154.184+4.4*0.6+4.35*0.6)*10.764</f>
        <v>1716.1475759999998</v>
      </c>
      <c r="E173" s="70"/>
      <c r="F173" s="26">
        <v>0</v>
      </c>
      <c r="G173" s="26">
        <v>4100</v>
      </c>
      <c r="H173" s="79"/>
      <c r="I173" s="76"/>
      <c r="J173" s="77"/>
    </row>
    <row r="174" spans="1:13" s="46" customFormat="1" x14ac:dyDescent="0.3">
      <c r="A174" s="71" t="s">
        <v>207</v>
      </c>
      <c r="B174" s="72"/>
      <c r="C174" s="72"/>
      <c r="D174" s="72"/>
      <c r="E174" s="72"/>
      <c r="F174" s="72"/>
      <c r="G174" s="72"/>
      <c r="H174" s="72"/>
      <c r="I174" s="72"/>
      <c r="J174" s="73"/>
    </row>
    <row r="175" spans="1:13" s="46" customFormat="1" ht="15.75" customHeight="1" x14ac:dyDescent="0.3">
      <c r="A175" s="69">
        <v>1</v>
      </c>
      <c r="B175" s="70"/>
      <c r="C175" s="26" t="s">
        <v>198</v>
      </c>
      <c r="D175" s="69">
        <f>(184.38+4.4*0.6+4.5*0.6)*10.764</f>
        <v>2042.1460799999995</v>
      </c>
      <c r="E175" s="70"/>
      <c r="F175" s="26">
        <f>4.425*10.764</f>
        <v>47.630699999999997</v>
      </c>
      <c r="G175" s="26">
        <v>4930</v>
      </c>
      <c r="H175" s="78" t="str">
        <f>A174</f>
        <v>21st &amp; 27th Floor</v>
      </c>
      <c r="I175" s="74"/>
      <c r="J175" s="75"/>
      <c r="M175" s="54">
        <f>G175-F175</f>
        <v>4882.3693000000003</v>
      </c>
    </row>
    <row r="176" spans="1:13" s="46" customFormat="1" x14ac:dyDescent="0.3">
      <c r="A176" s="69">
        <v>2</v>
      </c>
      <c r="B176" s="70"/>
      <c r="C176" s="26" t="s">
        <v>198</v>
      </c>
      <c r="D176" s="69">
        <f>(184.38+4.4*0.6+4.5*0.6)*10.764</f>
        <v>2042.1460799999995</v>
      </c>
      <c r="E176" s="70"/>
      <c r="F176" s="26">
        <f>4.425*10.764</f>
        <v>47.630699999999997</v>
      </c>
      <c r="G176" s="26">
        <v>4930</v>
      </c>
      <c r="H176" s="79"/>
      <c r="I176" s="76"/>
      <c r="J176" s="77"/>
      <c r="M176" s="46">
        <f>M175/D175</f>
        <v>2.3908031593900478</v>
      </c>
    </row>
    <row r="177" spans="1:14" s="46" customFormat="1" x14ac:dyDescent="0.3">
      <c r="A177" s="71" t="s">
        <v>277</v>
      </c>
      <c r="B177" s="72"/>
      <c r="C177" s="72"/>
      <c r="D177" s="72"/>
      <c r="E177" s="72"/>
      <c r="F177" s="72"/>
      <c r="G177" s="72"/>
      <c r="H177" s="72"/>
      <c r="I177" s="72"/>
      <c r="J177" s="73"/>
    </row>
    <row r="178" spans="1:14" s="46" customFormat="1" x14ac:dyDescent="0.3">
      <c r="A178" s="69">
        <v>1</v>
      </c>
      <c r="B178" s="70"/>
      <c r="C178" s="26" t="s">
        <v>270</v>
      </c>
      <c r="D178" s="69">
        <f>'29th Floor'!D37</f>
        <v>2542.1607899999995</v>
      </c>
      <c r="E178" s="70"/>
      <c r="F178" s="26">
        <v>0</v>
      </c>
      <c r="G178" s="26">
        <f>D178*1.6+F178/4</f>
        <v>4067.4572639999992</v>
      </c>
      <c r="H178" s="74" t="str">
        <f>A177</f>
        <v>29th Floor</v>
      </c>
      <c r="I178" s="74"/>
      <c r="J178" s="75"/>
      <c r="M178" s="46">
        <f>2.15*1.75+6.35*1.2+3.75*2.35+3.2*1.3+2.5*0.75+2.5*1.95+1.2*2.05+5.45*4.025+1.5*1.8+3.95*3.95+1.65*1.5+1.5*3.05+4.25*5.85+1.2*1.2+3.95*4.55+1.5*3.05+4.45*1.2+5.45*5.85+1.65*3.05+4.25*4.55+2.4*3.35</f>
        <v>199.33624999999998</v>
      </c>
      <c r="N178" s="46">
        <f>(M178+8.325+16.162)*10.764</f>
        <v>2409.2334629999996</v>
      </c>
    </row>
    <row r="179" spans="1:14" s="46" customFormat="1" x14ac:dyDescent="0.3">
      <c r="A179" s="69">
        <v>2</v>
      </c>
      <c r="B179" s="70"/>
      <c r="C179" s="26" t="s">
        <v>270</v>
      </c>
      <c r="D179" s="69">
        <f>'29th Floor'!D37</f>
        <v>2542.1607899999995</v>
      </c>
      <c r="E179" s="70"/>
      <c r="F179" s="26">
        <v>0</v>
      </c>
      <c r="G179" s="26">
        <f>D179*1.6+F179/4</f>
        <v>4067.4572639999992</v>
      </c>
      <c r="H179" s="76"/>
      <c r="I179" s="76"/>
      <c r="J179" s="77"/>
    </row>
    <row r="180" spans="1:14" s="46" customFormat="1" x14ac:dyDescent="0.3">
      <c r="A180" s="71" t="s">
        <v>290</v>
      </c>
      <c r="B180" s="72"/>
      <c r="C180" s="72"/>
      <c r="D180" s="72"/>
      <c r="E180" s="72"/>
      <c r="F180" s="72"/>
      <c r="G180" s="72"/>
      <c r="H180" s="72"/>
      <c r="I180" s="72"/>
      <c r="J180" s="73"/>
    </row>
    <row r="181" spans="1:14" s="46" customFormat="1" x14ac:dyDescent="0.3">
      <c r="A181" s="69">
        <v>1</v>
      </c>
      <c r="B181" s="70"/>
      <c r="C181" s="26" t="s">
        <v>270</v>
      </c>
      <c r="D181" s="69">
        <f>'30th Floor'!D37</f>
        <v>2570.0126399999995</v>
      </c>
      <c r="E181" s="70"/>
      <c r="F181" s="26">
        <v>0</v>
      </c>
      <c r="G181" s="26">
        <f t="shared" ref="G181:G182" si="1">D181*1.6+F181/4</f>
        <v>4112.020223999999</v>
      </c>
      <c r="H181" s="74" t="str">
        <f>A180</f>
        <v>30th Floor (Part Refuge Area @ Midlanding)</v>
      </c>
      <c r="I181" s="74"/>
      <c r="J181" s="75"/>
      <c r="M181" s="46" t="s">
        <v>280</v>
      </c>
    </row>
    <row r="182" spans="1:14" s="46" customFormat="1" x14ac:dyDescent="0.3">
      <c r="A182" s="69">
        <v>2</v>
      </c>
      <c r="B182" s="70"/>
      <c r="C182" s="26" t="s">
        <v>270</v>
      </c>
      <c r="D182" s="69">
        <f>'30th Floor'!D37</f>
        <v>2570.0126399999995</v>
      </c>
      <c r="E182" s="70"/>
      <c r="F182" s="26">
        <v>0</v>
      </c>
      <c r="G182" s="26">
        <f t="shared" si="1"/>
        <v>4112.020223999999</v>
      </c>
      <c r="H182" s="76"/>
      <c r="I182" s="76"/>
      <c r="J182" s="77"/>
    </row>
    <row r="183" spans="1:14" s="46" customFormat="1" x14ac:dyDescent="0.3">
      <c r="A183" s="71" t="s">
        <v>271</v>
      </c>
      <c r="B183" s="72"/>
      <c r="C183" s="72"/>
      <c r="D183" s="72"/>
      <c r="E183" s="72"/>
      <c r="F183" s="72"/>
      <c r="G183" s="72"/>
      <c r="H183" s="72"/>
      <c r="I183" s="72"/>
      <c r="J183" s="73"/>
    </row>
    <row r="184" spans="1:14" s="46" customFormat="1" x14ac:dyDescent="0.3">
      <c r="A184" s="69">
        <v>1</v>
      </c>
      <c r="B184" s="70"/>
      <c r="C184" s="26" t="s">
        <v>270</v>
      </c>
      <c r="D184" s="69">
        <f>'31st Floor'!D37</f>
        <v>2464.2563399999995</v>
      </c>
      <c r="E184" s="70"/>
      <c r="F184" s="26">
        <f>'31st Floor'!K35</f>
        <v>520.70849999999996</v>
      </c>
      <c r="G184" s="26">
        <f t="shared" ref="G184:G185" si="2">D184*1.6+F184/4</f>
        <v>4072.9872689999993</v>
      </c>
      <c r="H184" s="74" t="str">
        <f>A183</f>
        <v>31st Floor</v>
      </c>
      <c r="I184" s="74"/>
      <c r="J184" s="75"/>
    </row>
    <row r="185" spans="1:14" s="46" customFormat="1" x14ac:dyDescent="0.3">
      <c r="A185" s="69">
        <v>2</v>
      </c>
      <c r="B185" s="70"/>
      <c r="C185" s="26" t="s">
        <v>270</v>
      </c>
      <c r="D185" s="69">
        <f>'31st Floor'!D37</f>
        <v>2464.2563399999995</v>
      </c>
      <c r="E185" s="70"/>
      <c r="F185" s="26">
        <f>'31st Floor'!K35</f>
        <v>520.70849999999996</v>
      </c>
      <c r="G185" s="26">
        <f t="shared" si="2"/>
        <v>4072.9872689999993</v>
      </c>
      <c r="H185" s="76"/>
      <c r="I185" s="76"/>
      <c r="J185" s="77"/>
    </row>
    <row r="186" spans="1:14" s="46" customFormat="1" x14ac:dyDescent="0.3">
      <c r="A186" s="71" t="s">
        <v>272</v>
      </c>
      <c r="B186" s="72"/>
      <c r="C186" s="72"/>
      <c r="D186" s="72"/>
      <c r="E186" s="72"/>
      <c r="F186" s="72"/>
      <c r="G186" s="72"/>
      <c r="H186" s="72"/>
      <c r="I186" s="72"/>
      <c r="J186" s="73"/>
    </row>
    <row r="187" spans="1:14" s="46" customFormat="1" x14ac:dyDescent="0.3">
      <c r="A187" s="69">
        <v>1</v>
      </c>
      <c r="B187" s="70"/>
      <c r="C187" s="26" t="s">
        <v>270</v>
      </c>
      <c r="D187" s="69">
        <f>'32nd Floor'!D37</f>
        <v>2542.1607899999995</v>
      </c>
      <c r="E187" s="70"/>
      <c r="F187" s="26">
        <v>0</v>
      </c>
      <c r="G187" s="26">
        <f t="shared" ref="G187" si="3">D187*1.6+F187/4</f>
        <v>4067.4572639999992</v>
      </c>
      <c r="H187" s="74" t="str">
        <f>A186</f>
        <v>32nd Floor</v>
      </c>
      <c r="I187" s="74"/>
      <c r="J187" s="75"/>
    </row>
    <row r="188" spans="1:14" s="46" customFormat="1" x14ac:dyDescent="0.3">
      <c r="A188" s="69">
        <v>2</v>
      </c>
      <c r="B188" s="70"/>
      <c r="C188" s="26" t="s">
        <v>270</v>
      </c>
      <c r="D188" s="69">
        <f>'32nd Floor'!D37</f>
        <v>2542.1607899999995</v>
      </c>
      <c r="E188" s="70"/>
      <c r="F188" s="26">
        <v>0</v>
      </c>
      <c r="G188" s="26">
        <f>D188*1.9+F188/4</f>
        <v>4830.1055009999991</v>
      </c>
      <c r="H188" s="76"/>
      <c r="I188" s="76"/>
      <c r="J188" s="77"/>
    </row>
    <row r="189" spans="1:14" s="46" customFormat="1" x14ac:dyDescent="0.3">
      <c r="A189" s="69"/>
      <c r="B189" s="83"/>
      <c r="C189" s="83"/>
      <c r="D189" s="83"/>
      <c r="E189" s="83"/>
      <c r="F189" s="83"/>
      <c r="G189" s="83"/>
      <c r="H189" s="83"/>
      <c r="I189" s="83"/>
      <c r="J189" s="70"/>
    </row>
    <row r="190" spans="1:14" ht="41.4" x14ac:dyDescent="0.3">
      <c r="A190" s="80" t="s">
        <v>144</v>
      </c>
      <c r="B190" s="82"/>
      <c r="C190" s="1" t="s">
        <v>81</v>
      </c>
      <c r="D190" s="80" t="s">
        <v>82</v>
      </c>
      <c r="E190" s="82"/>
      <c r="F190" s="7" t="s">
        <v>83</v>
      </c>
      <c r="G190" s="1" t="s">
        <v>84</v>
      </c>
      <c r="H190" s="80" t="s">
        <v>85</v>
      </c>
      <c r="I190" s="81"/>
      <c r="J190" s="82"/>
    </row>
    <row r="191" spans="1:14" s="46" customFormat="1" x14ac:dyDescent="0.3">
      <c r="A191" s="71" t="s">
        <v>214</v>
      </c>
      <c r="B191" s="72"/>
      <c r="C191" s="72"/>
      <c r="D191" s="72"/>
      <c r="E191" s="72"/>
      <c r="F191" s="72"/>
      <c r="G191" s="72"/>
      <c r="H191" s="72"/>
      <c r="I191" s="72"/>
      <c r="J191" s="73"/>
    </row>
    <row r="192" spans="1:14" s="46" customFormat="1" x14ac:dyDescent="0.3">
      <c r="A192" s="71" t="s">
        <v>278</v>
      </c>
      <c r="B192" s="72"/>
      <c r="C192" s="72"/>
      <c r="D192" s="72"/>
      <c r="E192" s="72"/>
      <c r="F192" s="72"/>
      <c r="G192" s="72"/>
      <c r="H192" s="72"/>
      <c r="I192" s="72"/>
      <c r="J192" s="73"/>
    </row>
    <row r="193" spans="1:10" s="46" customFormat="1" x14ac:dyDescent="0.3">
      <c r="A193" s="71" t="s">
        <v>279</v>
      </c>
      <c r="B193" s="72"/>
      <c r="C193" s="72"/>
      <c r="D193" s="72"/>
      <c r="E193" s="72"/>
      <c r="F193" s="72"/>
      <c r="G193" s="72"/>
      <c r="H193" s="72"/>
      <c r="I193" s="72"/>
      <c r="J193" s="73"/>
    </row>
    <row r="194" spans="1:10" s="46" customFormat="1" ht="15.75" customHeight="1" x14ac:dyDescent="0.3">
      <c r="A194" s="69">
        <v>1</v>
      </c>
      <c r="B194" s="70"/>
      <c r="C194" s="26" t="s">
        <v>191</v>
      </c>
      <c r="D194" s="69">
        <f>37.972*10.764</f>
        <v>408.73060799999996</v>
      </c>
      <c r="E194" s="70"/>
      <c r="F194" s="26">
        <v>0</v>
      </c>
      <c r="G194" s="26">
        <f>D194*1.45+F194/2</f>
        <v>592.65938159999996</v>
      </c>
      <c r="H194" s="78" t="str">
        <f>A193</f>
        <v>1st To 4th Floor For Residential</v>
      </c>
      <c r="I194" s="74"/>
      <c r="J194" s="75"/>
    </row>
    <row r="195" spans="1:10" s="46" customFormat="1" x14ac:dyDescent="0.3">
      <c r="A195" s="69">
        <v>2</v>
      </c>
      <c r="B195" s="70"/>
      <c r="C195" s="26" t="s">
        <v>191</v>
      </c>
      <c r="D195" s="69">
        <f>34.67*10.764</f>
        <v>373.18788000000001</v>
      </c>
      <c r="E195" s="70"/>
      <c r="F195" s="26">
        <v>0</v>
      </c>
      <c r="G195" s="26">
        <f t="shared" ref="G195:G197" si="4">D195*1.45+F195/2</f>
        <v>541.12242600000002</v>
      </c>
      <c r="H195" s="89"/>
      <c r="I195" s="90"/>
      <c r="J195" s="91"/>
    </row>
    <row r="196" spans="1:10" s="46" customFormat="1" x14ac:dyDescent="0.3">
      <c r="A196" s="69">
        <v>3</v>
      </c>
      <c r="B196" s="70"/>
      <c r="C196" s="26" t="s">
        <v>191</v>
      </c>
      <c r="D196" s="69">
        <f>34.67*10.764</f>
        <v>373.18788000000001</v>
      </c>
      <c r="E196" s="70"/>
      <c r="F196" s="26">
        <v>0</v>
      </c>
      <c r="G196" s="26">
        <f t="shared" si="4"/>
        <v>541.12242600000002</v>
      </c>
      <c r="H196" s="89"/>
      <c r="I196" s="90"/>
      <c r="J196" s="91"/>
    </row>
    <row r="197" spans="1:10" s="46" customFormat="1" x14ac:dyDescent="0.3">
      <c r="A197" s="69">
        <v>4</v>
      </c>
      <c r="B197" s="70"/>
      <c r="C197" s="26" t="s">
        <v>191</v>
      </c>
      <c r="D197" s="69">
        <f>37.972*10.764</f>
        <v>408.73060799999996</v>
      </c>
      <c r="E197" s="70"/>
      <c r="F197" s="26">
        <v>0</v>
      </c>
      <c r="G197" s="26">
        <f t="shared" si="4"/>
        <v>592.65938159999996</v>
      </c>
      <c r="H197" s="79"/>
      <c r="I197" s="76"/>
      <c r="J197" s="77"/>
    </row>
    <row r="198" spans="1:10" s="41" customFormat="1" x14ac:dyDescent="0.3">
      <c r="A198" s="116" t="s">
        <v>94</v>
      </c>
      <c r="B198" s="116"/>
      <c r="C198" s="116"/>
      <c r="D198" s="116"/>
      <c r="E198" s="116"/>
      <c r="F198" s="116"/>
      <c r="G198" s="116"/>
      <c r="H198" s="116"/>
      <c r="I198" s="116"/>
      <c r="J198" s="116"/>
    </row>
    <row r="199" spans="1:10" s="48" customFormat="1" ht="256.5" customHeight="1" x14ac:dyDescent="0.3">
      <c r="A199" s="117" t="s">
        <v>309</v>
      </c>
      <c r="B199" s="117"/>
      <c r="C199" s="117"/>
      <c r="D199" s="117"/>
      <c r="E199" s="117"/>
      <c r="F199" s="117"/>
      <c r="G199" s="117"/>
      <c r="H199" s="117"/>
      <c r="I199" s="117"/>
      <c r="J199" s="117"/>
    </row>
    <row r="200" spans="1:10" x14ac:dyDescent="0.3">
      <c r="A200" s="103" t="s">
        <v>86</v>
      </c>
      <c r="B200" s="104"/>
      <c r="C200" s="104"/>
      <c r="D200" s="104"/>
      <c r="E200" s="104"/>
      <c r="F200" s="104"/>
      <c r="G200" s="104"/>
      <c r="H200" s="104"/>
      <c r="I200" s="104"/>
      <c r="J200" s="105"/>
    </row>
    <row r="201" spans="1:10" x14ac:dyDescent="0.3">
      <c r="A201" s="88" t="s">
        <v>87</v>
      </c>
      <c r="B201" s="66"/>
      <c r="C201" s="66"/>
      <c r="D201" s="66"/>
      <c r="E201" s="66"/>
      <c r="F201" s="66"/>
      <c r="G201" s="66"/>
      <c r="H201" s="66"/>
      <c r="I201" s="66"/>
      <c r="J201" s="67"/>
    </row>
    <row r="202" spans="1:10" ht="15.75" customHeight="1" x14ac:dyDescent="0.3">
      <c r="A202" s="103" t="s">
        <v>88</v>
      </c>
      <c r="B202" s="104"/>
      <c r="C202" s="104"/>
      <c r="D202" s="104"/>
      <c r="E202" s="104"/>
      <c r="F202" s="104"/>
      <c r="G202" s="104"/>
      <c r="H202" s="104"/>
      <c r="I202" s="104"/>
      <c r="J202" s="105"/>
    </row>
    <row r="203" spans="1:10" x14ac:dyDescent="0.3">
      <c r="A203" s="88" t="s">
        <v>89</v>
      </c>
      <c r="B203" s="66"/>
      <c r="C203" s="66"/>
      <c r="D203" s="66"/>
      <c r="E203" s="66"/>
      <c r="F203" s="66"/>
      <c r="G203" s="66"/>
      <c r="H203" s="66"/>
      <c r="I203" s="66"/>
      <c r="J203" s="67"/>
    </row>
    <row r="204" spans="1:10" x14ac:dyDescent="0.3">
      <c r="A204" s="88" t="s">
        <v>90</v>
      </c>
      <c r="B204" s="66"/>
      <c r="C204" s="66"/>
      <c r="D204" s="66"/>
      <c r="E204" s="66"/>
      <c r="F204" s="66"/>
      <c r="G204" s="66"/>
      <c r="H204" s="66"/>
      <c r="I204" s="66"/>
      <c r="J204" s="67"/>
    </row>
    <row r="205" spans="1:10" x14ac:dyDescent="0.3">
      <c r="A205" s="88" t="s">
        <v>91</v>
      </c>
      <c r="B205" s="66"/>
      <c r="C205" s="66"/>
      <c r="D205" s="66"/>
      <c r="E205" s="66"/>
      <c r="F205" s="66"/>
      <c r="G205" s="66"/>
      <c r="H205" s="66"/>
      <c r="I205" s="66"/>
      <c r="J205" s="67"/>
    </row>
    <row r="206" spans="1:10" ht="35.25" customHeight="1" x14ac:dyDescent="0.3">
      <c r="A206" s="65" t="s">
        <v>92</v>
      </c>
      <c r="B206" s="59"/>
      <c r="C206" s="59"/>
      <c r="D206" s="59"/>
      <c r="E206" s="59"/>
      <c r="F206" s="59"/>
      <c r="G206" s="59"/>
      <c r="H206" s="59"/>
      <c r="I206" s="59"/>
      <c r="J206" s="60"/>
    </row>
    <row r="207" spans="1:10" x14ac:dyDescent="0.3">
      <c r="A207" s="211" t="s">
        <v>166</v>
      </c>
      <c r="B207" s="211"/>
      <c r="C207" s="212" t="s">
        <v>308</v>
      </c>
      <c r="D207" s="212"/>
      <c r="E207" s="212" t="s">
        <v>167</v>
      </c>
      <c r="F207" s="212"/>
      <c r="G207" s="212"/>
      <c r="H207" s="212" t="s">
        <v>307</v>
      </c>
      <c r="I207" s="212"/>
      <c r="J207" s="212"/>
    </row>
    <row r="208" spans="1:10" x14ac:dyDescent="0.3">
      <c r="A208" s="203" t="s">
        <v>169</v>
      </c>
      <c r="B208" s="84"/>
      <c r="C208" s="84"/>
      <c r="D208" s="84"/>
      <c r="E208" s="84"/>
      <c r="F208" s="84"/>
      <c r="G208" s="84"/>
      <c r="H208" s="84"/>
      <c r="I208" s="84"/>
      <c r="J208" s="204"/>
    </row>
    <row r="209" spans="1:10" x14ac:dyDescent="0.3">
      <c r="A209" s="205"/>
      <c r="B209" s="206"/>
      <c r="C209" s="206"/>
      <c r="D209" s="206"/>
      <c r="E209" s="206"/>
      <c r="F209" s="206"/>
      <c r="G209" s="206"/>
      <c r="H209" s="206"/>
      <c r="I209" s="206"/>
      <c r="J209" s="207"/>
    </row>
    <row r="210" spans="1:10" x14ac:dyDescent="0.3">
      <c r="A210" s="205"/>
      <c r="B210" s="206"/>
      <c r="C210" s="206"/>
      <c r="D210" s="206"/>
      <c r="E210" s="206"/>
      <c r="F210" s="206"/>
      <c r="G210" s="206"/>
      <c r="H210" s="206"/>
      <c r="I210" s="206"/>
      <c r="J210" s="207"/>
    </row>
    <row r="211" spans="1:10" x14ac:dyDescent="0.3">
      <c r="A211" s="208"/>
      <c r="B211" s="209"/>
      <c r="C211" s="209"/>
      <c r="D211" s="209"/>
      <c r="E211" s="209"/>
      <c r="F211" s="209"/>
      <c r="G211" s="209"/>
      <c r="H211" s="209"/>
      <c r="I211" s="209"/>
      <c r="J211" s="210"/>
    </row>
    <row r="212" spans="1:10" ht="15" customHeight="1" x14ac:dyDescent="0.3">
      <c r="A212" s="49" t="s">
        <v>262</v>
      </c>
      <c r="B212" s="50"/>
      <c r="C212" s="50"/>
      <c r="D212" s="84" t="str">
        <f>F8</f>
        <v>One Akshar</v>
      </c>
      <c r="E212" s="84"/>
      <c r="F212" s="50"/>
      <c r="G212" s="50"/>
      <c r="H212" s="50"/>
      <c r="I212" s="50"/>
      <c r="J212" s="50"/>
    </row>
    <row r="213" spans="1:10" ht="16.5" customHeight="1" x14ac:dyDescent="0.3">
      <c r="A213" s="50" t="s">
        <v>261</v>
      </c>
      <c r="B213" s="50"/>
      <c r="C213" s="50"/>
      <c r="D213" s="49"/>
      <c r="G213" s="50"/>
      <c r="H213" s="50"/>
      <c r="I213" s="50"/>
      <c r="J213" s="50"/>
    </row>
    <row r="214" spans="1:10" x14ac:dyDescent="0.3">
      <c r="A214" s="50"/>
      <c r="B214" s="50"/>
      <c r="C214" s="50"/>
      <c r="D214" s="50"/>
      <c r="E214" s="50"/>
      <c r="F214" s="50"/>
      <c r="G214" s="50"/>
      <c r="H214" s="50"/>
      <c r="I214" s="50"/>
      <c r="J214" s="50"/>
    </row>
    <row r="215" spans="1:10" x14ac:dyDescent="0.3">
      <c r="A215" s="50"/>
      <c r="B215" s="50"/>
      <c r="C215" s="50"/>
      <c r="D215" s="50"/>
      <c r="E215" s="50"/>
      <c r="F215" s="50"/>
      <c r="G215" s="50"/>
      <c r="H215" s="50"/>
      <c r="I215" s="50"/>
      <c r="J215" s="50"/>
    </row>
    <row r="216" spans="1:10" ht="15" customHeight="1" x14ac:dyDescent="0.3"/>
    <row r="255" spans="1:1" x14ac:dyDescent="0.3">
      <c r="A255" s="51" t="s">
        <v>300</v>
      </c>
    </row>
    <row r="293" spans="1:1" x14ac:dyDescent="0.3">
      <c r="A293" s="51" t="s">
        <v>93</v>
      </c>
    </row>
  </sheetData>
  <mergeCells count="426">
    <mergeCell ref="A93:B93"/>
    <mergeCell ref="D93:E93"/>
    <mergeCell ref="A94:B94"/>
    <mergeCell ref="D94:E94"/>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G62:J62"/>
    <mergeCell ref="A55:B56"/>
    <mergeCell ref="C56:J56"/>
    <mergeCell ref="A81:B81"/>
    <mergeCell ref="C81:J81"/>
    <mergeCell ref="E82:F82"/>
    <mergeCell ref="I82:J82"/>
    <mergeCell ref="A73:B73"/>
    <mergeCell ref="D73:E73"/>
    <mergeCell ref="A74:B74"/>
    <mergeCell ref="D74:E74"/>
    <mergeCell ref="A75:B75"/>
    <mergeCell ref="A62:B62"/>
    <mergeCell ref="D62:F62"/>
    <mergeCell ref="A78:B78"/>
    <mergeCell ref="H55:J55"/>
    <mergeCell ref="A64:B64"/>
    <mergeCell ref="C64:J64"/>
    <mergeCell ref="H59:J59"/>
    <mergeCell ref="A59:B59"/>
    <mergeCell ref="A208:J211"/>
    <mergeCell ref="A207:B207"/>
    <mergeCell ref="E207:G207"/>
    <mergeCell ref="C207:D207"/>
    <mergeCell ref="H207:J207"/>
    <mergeCell ref="A61:J61"/>
    <mergeCell ref="A66:J66"/>
    <mergeCell ref="D78:E78"/>
    <mergeCell ref="A79:B79"/>
    <mergeCell ref="D79:E79"/>
    <mergeCell ref="A80:B80"/>
    <mergeCell ref="D80:E80"/>
    <mergeCell ref="A67:B67"/>
    <mergeCell ref="C67:J67"/>
    <mergeCell ref="E68:F68"/>
    <mergeCell ref="A101:F101"/>
    <mergeCell ref="G101:J101"/>
    <mergeCell ref="A98:J98"/>
    <mergeCell ref="A99:F99"/>
    <mergeCell ref="G99:J99"/>
    <mergeCell ref="A96:J96"/>
    <mergeCell ref="A97:B97"/>
    <mergeCell ref="C97:J97"/>
    <mergeCell ref="A95:J95"/>
    <mergeCell ref="A28:B28"/>
    <mergeCell ref="C28:D28"/>
    <mergeCell ref="E28:F28"/>
    <mergeCell ref="G28:H28"/>
    <mergeCell ref="I28:J28"/>
    <mergeCell ref="D75:E75"/>
    <mergeCell ref="A76:B76"/>
    <mergeCell ref="D76:E76"/>
    <mergeCell ref="A77:B77"/>
    <mergeCell ref="D77:E77"/>
    <mergeCell ref="C63:J63"/>
    <mergeCell ref="I68:J68"/>
    <mergeCell ref="A69:B69"/>
    <mergeCell ref="C69:J69"/>
    <mergeCell ref="A70:B70"/>
    <mergeCell ref="D70:E70"/>
    <mergeCell ref="F70:G70"/>
    <mergeCell ref="H70:J70"/>
    <mergeCell ref="A71:B71"/>
    <mergeCell ref="D71:E71"/>
    <mergeCell ref="F71:G80"/>
    <mergeCell ref="H71:J80"/>
    <mergeCell ref="A72:B72"/>
    <mergeCell ref="D72:E72"/>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A35:J35"/>
    <mergeCell ref="A37:E37"/>
    <mergeCell ref="F37:J37"/>
    <mergeCell ref="A38:J38"/>
    <mergeCell ref="C33:J33"/>
    <mergeCell ref="A34:B34"/>
    <mergeCell ref="C34:J34"/>
    <mergeCell ref="A1:J1"/>
    <mergeCell ref="A2:J2"/>
    <mergeCell ref="A3:E3"/>
    <mergeCell ref="F3:J3"/>
    <mergeCell ref="A4:E4"/>
    <mergeCell ref="A8:E8"/>
    <mergeCell ref="F8:J8"/>
    <mergeCell ref="A10:E10"/>
    <mergeCell ref="F10:J10"/>
    <mergeCell ref="F4:J4"/>
    <mergeCell ref="A5:E5"/>
    <mergeCell ref="F5:J5"/>
    <mergeCell ref="A6:E6"/>
    <mergeCell ref="F6:J6"/>
    <mergeCell ref="A7:E7"/>
    <mergeCell ref="F7:J7"/>
    <mergeCell ref="A9:E9"/>
    <mergeCell ref="F9:J9"/>
    <mergeCell ref="H19:J19"/>
    <mergeCell ref="A20:E21"/>
    <mergeCell ref="F20:J21"/>
    <mergeCell ref="A22:E23"/>
    <mergeCell ref="F22:J23"/>
    <mergeCell ref="A11:E11"/>
    <mergeCell ref="F11:J11"/>
    <mergeCell ref="A17:B17"/>
    <mergeCell ref="C17:E17"/>
    <mergeCell ref="F17:G17"/>
    <mergeCell ref="H17:J17"/>
    <mergeCell ref="A15:B15"/>
    <mergeCell ref="C15:E15"/>
    <mergeCell ref="A12:E12"/>
    <mergeCell ref="F12:J12"/>
    <mergeCell ref="A13:E13"/>
    <mergeCell ref="F13:J13"/>
    <mergeCell ref="A14:B14"/>
    <mergeCell ref="C14:J14"/>
    <mergeCell ref="F15:G15"/>
    <mergeCell ref="H15:J15"/>
    <mergeCell ref="F41:J41"/>
    <mergeCell ref="A42:E42"/>
    <mergeCell ref="F42:J42"/>
    <mergeCell ref="A43:E43"/>
    <mergeCell ref="F43:J43"/>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C59:F59"/>
    <mergeCell ref="A60:C60"/>
    <mergeCell ref="D60:E60"/>
    <mergeCell ref="F60:G60"/>
    <mergeCell ref="H60:J60"/>
    <mergeCell ref="A39:E39"/>
    <mergeCell ref="F39:J39"/>
    <mergeCell ref="H52:J52"/>
    <mergeCell ref="H53:J53"/>
    <mergeCell ref="A53:B53"/>
    <mergeCell ref="C53:F53"/>
    <mergeCell ref="C55:F55"/>
    <mergeCell ref="A50:E50"/>
    <mergeCell ref="F50:J50"/>
    <mergeCell ref="A51:J51"/>
    <mergeCell ref="A44:J44"/>
    <mergeCell ref="A45:E45"/>
    <mergeCell ref="F45:J45"/>
    <mergeCell ref="A46:E46"/>
    <mergeCell ref="F46:J46"/>
    <mergeCell ref="A47:E47"/>
    <mergeCell ref="A52:B52"/>
    <mergeCell ref="C52:F52"/>
    <mergeCell ref="A41:E41"/>
    <mergeCell ref="A113:J113"/>
    <mergeCell ref="A111:B111"/>
    <mergeCell ref="D111:F111"/>
    <mergeCell ref="G111:J111"/>
    <mergeCell ref="A112:B112"/>
    <mergeCell ref="D112:F112"/>
    <mergeCell ref="G112:J112"/>
    <mergeCell ref="A102:F102"/>
    <mergeCell ref="G102:J102"/>
    <mergeCell ref="A107:J107"/>
    <mergeCell ref="A105:F105"/>
    <mergeCell ref="G105:J105"/>
    <mergeCell ref="A106:F106"/>
    <mergeCell ref="G106:J106"/>
    <mergeCell ref="A108:B108"/>
    <mergeCell ref="D108:F108"/>
    <mergeCell ref="G108:J108"/>
    <mergeCell ref="A109:B109"/>
    <mergeCell ref="D109:F109"/>
    <mergeCell ref="G109:J109"/>
    <mergeCell ref="A103:F103"/>
    <mergeCell ref="G103:J103"/>
    <mergeCell ref="A115:B115"/>
    <mergeCell ref="A114:B114"/>
    <mergeCell ref="D114:F114"/>
    <mergeCell ref="G114:J114"/>
    <mergeCell ref="D115:F115"/>
    <mergeCell ref="G115:J115"/>
    <mergeCell ref="A118:B118"/>
    <mergeCell ref="D118:F118"/>
    <mergeCell ref="G118:J118"/>
    <mergeCell ref="D129:E129"/>
    <mergeCell ref="A128:B128"/>
    <mergeCell ref="A123:J123"/>
    <mergeCell ref="A119:J119"/>
    <mergeCell ref="A120:J120"/>
    <mergeCell ref="A124:B124"/>
    <mergeCell ref="D124:E124"/>
    <mergeCell ref="H121:J121"/>
    <mergeCell ref="A116:B116"/>
    <mergeCell ref="A121:B121"/>
    <mergeCell ref="D121:E121"/>
    <mergeCell ref="A122:J122"/>
    <mergeCell ref="D116:F116"/>
    <mergeCell ref="G116:J116"/>
    <mergeCell ref="A206:J206"/>
    <mergeCell ref="A110:B110"/>
    <mergeCell ref="D110:F110"/>
    <mergeCell ref="G110:J110"/>
    <mergeCell ref="A63:B63"/>
    <mergeCell ref="A65:C65"/>
    <mergeCell ref="D65:J65"/>
    <mergeCell ref="A198:J198"/>
    <mergeCell ref="A199:J199"/>
    <mergeCell ref="A200:J200"/>
    <mergeCell ref="A201:J201"/>
    <mergeCell ref="A136:B136"/>
    <mergeCell ref="D136:E136"/>
    <mergeCell ref="A137:B137"/>
    <mergeCell ref="D137:E137"/>
    <mergeCell ref="A134:B134"/>
    <mergeCell ref="A132:B132"/>
    <mergeCell ref="A195:B195"/>
    <mergeCell ref="D195:E195"/>
    <mergeCell ref="A196:B196"/>
    <mergeCell ref="D196:E196"/>
    <mergeCell ref="A197:B197"/>
    <mergeCell ref="A149:J149"/>
    <mergeCell ref="A150:B150"/>
    <mergeCell ref="A205:J205"/>
    <mergeCell ref="A177:J177"/>
    <mergeCell ref="A178:B178"/>
    <mergeCell ref="A179:B179"/>
    <mergeCell ref="A191:J191"/>
    <mergeCell ref="A192:J192"/>
    <mergeCell ref="A193:J193"/>
    <mergeCell ref="A202:J202"/>
    <mergeCell ref="A203:J203"/>
    <mergeCell ref="D197:E197"/>
    <mergeCell ref="D178:E178"/>
    <mergeCell ref="H187:J188"/>
    <mergeCell ref="A188:B188"/>
    <mergeCell ref="D188:E188"/>
    <mergeCell ref="A183:J183"/>
    <mergeCell ref="A184:B184"/>
    <mergeCell ref="D184:E184"/>
    <mergeCell ref="H184:J185"/>
    <mergeCell ref="A204:J204"/>
    <mergeCell ref="D187:E187"/>
    <mergeCell ref="A174:J174"/>
    <mergeCell ref="A175:B175"/>
    <mergeCell ref="D175:E175"/>
    <mergeCell ref="A176:B176"/>
    <mergeCell ref="D176:E176"/>
    <mergeCell ref="A158:J158"/>
    <mergeCell ref="A159:B159"/>
    <mergeCell ref="D159:E159"/>
    <mergeCell ref="A172:B172"/>
    <mergeCell ref="D172:E172"/>
    <mergeCell ref="H147:J148"/>
    <mergeCell ref="H150:J151"/>
    <mergeCell ref="H124:J138"/>
    <mergeCell ref="H140:J140"/>
    <mergeCell ref="A147:B147"/>
    <mergeCell ref="A173:B173"/>
    <mergeCell ref="D173:E173"/>
    <mergeCell ref="A189:J189"/>
    <mergeCell ref="A190:B190"/>
    <mergeCell ref="D190:E190"/>
    <mergeCell ref="H190:J190"/>
    <mergeCell ref="A142:B142"/>
    <mergeCell ref="D142:E142"/>
    <mergeCell ref="A157:B157"/>
    <mergeCell ref="D157:E157"/>
    <mergeCell ref="D128:E128"/>
    <mergeCell ref="D132:E132"/>
    <mergeCell ref="A133:B133"/>
    <mergeCell ref="A126:B126"/>
    <mergeCell ref="D126:E126"/>
    <mergeCell ref="A127:B127"/>
    <mergeCell ref="D127:E127"/>
    <mergeCell ref="A125:B125"/>
    <mergeCell ref="D125:E125"/>
    <mergeCell ref="A49:E49"/>
    <mergeCell ref="F49:J49"/>
    <mergeCell ref="A100:F100"/>
    <mergeCell ref="G100:J100"/>
    <mergeCell ref="A117:B117"/>
    <mergeCell ref="D117:F117"/>
    <mergeCell ref="G117:J117"/>
    <mergeCell ref="D147:E147"/>
    <mergeCell ref="A148:B148"/>
    <mergeCell ref="D148:E148"/>
    <mergeCell ref="A140:B140"/>
    <mergeCell ref="D140:E140"/>
    <mergeCell ref="A143:J143"/>
    <mergeCell ref="A144:J144"/>
    <mergeCell ref="A145:J145"/>
    <mergeCell ref="A146:J146"/>
    <mergeCell ref="D133:E133"/>
    <mergeCell ref="A130:B130"/>
    <mergeCell ref="D130:E130"/>
    <mergeCell ref="A131:B131"/>
    <mergeCell ref="D131:E131"/>
    <mergeCell ref="A129:B129"/>
    <mergeCell ref="A54:B54"/>
    <mergeCell ref="C54:F54"/>
    <mergeCell ref="F47:J47"/>
    <mergeCell ref="A48:E48"/>
    <mergeCell ref="F48:J48"/>
    <mergeCell ref="A104:F104"/>
    <mergeCell ref="G104:J104"/>
    <mergeCell ref="H194:J197"/>
    <mergeCell ref="H178:J179"/>
    <mergeCell ref="H175:J176"/>
    <mergeCell ref="H172:J173"/>
    <mergeCell ref="H169:J170"/>
    <mergeCell ref="H166:J167"/>
    <mergeCell ref="H162:J163"/>
    <mergeCell ref="H159:J160"/>
    <mergeCell ref="H156:J157"/>
    <mergeCell ref="A165:J165"/>
    <mergeCell ref="A166:B166"/>
    <mergeCell ref="D166:E166"/>
    <mergeCell ref="A167:B167"/>
    <mergeCell ref="D167:E167"/>
    <mergeCell ref="A164:J164"/>
    <mergeCell ref="A156:B156"/>
    <mergeCell ref="D156:E156"/>
    <mergeCell ref="A185:B185"/>
    <mergeCell ref="D185:E185"/>
    <mergeCell ref="D212:E212"/>
    <mergeCell ref="A152:J152"/>
    <mergeCell ref="A153:B153"/>
    <mergeCell ref="D153:E153"/>
    <mergeCell ref="A154:B154"/>
    <mergeCell ref="D154:E154"/>
    <mergeCell ref="A155:J155"/>
    <mergeCell ref="A161:J161"/>
    <mergeCell ref="A162:B162"/>
    <mergeCell ref="D162:E162"/>
    <mergeCell ref="A163:B163"/>
    <mergeCell ref="D163:E163"/>
    <mergeCell ref="A160:B160"/>
    <mergeCell ref="D160:E160"/>
    <mergeCell ref="A194:B194"/>
    <mergeCell ref="D194:E194"/>
    <mergeCell ref="A168:J168"/>
    <mergeCell ref="A169:B169"/>
    <mergeCell ref="D169:E169"/>
    <mergeCell ref="A170:B170"/>
    <mergeCell ref="D170:E170"/>
    <mergeCell ref="A171:J171"/>
    <mergeCell ref="A186:J186"/>
    <mergeCell ref="A187:B187"/>
    <mergeCell ref="H54:J54"/>
    <mergeCell ref="A57:B58"/>
    <mergeCell ref="C57:F57"/>
    <mergeCell ref="H57:J57"/>
    <mergeCell ref="C58:J58"/>
    <mergeCell ref="D179:E179"/>
    <mergeCell ref="A180:J180"/>
    <mergeCell ref="A181:B181"/>
    <mergeCell ref="D181:E181"/>
    <mergeCell ref="H181:J182"/>
    <mergeCell ref="A182:B182"/>
    <mergeCell ref="D182:E182"/>
    <mergeCell ref="A138:B138"/>
    <mergeCell ref="D138:E138"/>
    <mergeCell ref="A139:J139"/>
    <mergeCell ref="H153:J154"/>
    <mergeCell ref="A151:B151"/>
    <mergeCell ref="D151:E151"/>
    <mergeCell ref="D150:E150"/>
    <mergeCell ref="D134:E134"/>
    <mergeCell ref="A135:B135"/>
    <mergeCell ref="D135:E135"/>
    <mergeCell ref="H142:J142"/>
    <mergeCell ref="A141:J141"/>
  </mergeCells>
  <hyperlinks>
    <hyperlink ref="C34" r:id="rId1" xr:uid="{00000000-0004-0000-0000-000000000000}"/>
  </hyperlinks>
  <pageMargins left="0.39370078740157483" right="0.39370078740157483" top="0.78740157480314965" bottom="0.78740157480314965" header="0.19685039370078741" footer="0.19685039370078741"/>
  <pageSetup paperSize="2" scale="94" fitToHeight="0" orientation="portrait" r:id="rId2"/>
  <headerFooter>
    <oddHeader>&amp;C&amp;G</oddHeader>
    <oddFooter>&amp;L&amp;"Times New Roman,Bold"&amp;12Ref No: &amp;F&amp;C&amp;G&amp;R&amp;"Times New Roman,Bold"&amp;12&amp;P</oddFooter>
  </headerFooter>
  <rowBreaks count="5" manualBreakCount="5">
    <brk id="80" max="16383" man="1"/>
    <brk id="197" max="9" man="1"/>
    <brk id="211" max="16383" man="1"/>
    <brk id="254" max="9" man="1"/>
    <brk id="29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topLeftCell="A4" workbookViewId="0">
      <selection activeCell="C8" sqref="C8"/>
    </sheetView>
  </sheetViews>
  <sheetFormatPr defaultRowHeight="13.8" x14ac:dyDescent="0.25"/>
  <cols>
    <col min="1" max="1" width="20.5546875" style="8" customWidth="1"/>
    <col min="2" max="2" width="11.6640625" style="8" customWidth="1"/>
    <col min="3" max="4" width="9.109375" style="8"/>
    <col min="5" max="5" width="10.109375" style="8" customWidth="1"/>
    <col min="6" max="6" width="10.6640625" style="8" customWidth="1"/>
    <col min="7" max="7" width="9.109375" style="8"/>
    <col min="8" max="8" width="10.44140625" style="8" customWidth="1"/>
    <col min="9" max="9" width="15.44140625" style="8" customWidth="1"/>
    <col min="10" max="258" width="9.109375" style="8"/>
    <col min="259" max="259" width="11.6640625" style="8" customWidth="1"/>
    <col min="260" max="260" width="9.109375" style="8"/>
    <col min="261" max="261" width="14.6640625" style="8" customWidth="1"/>
    <col min="262" max="262" width="10.6640625" style="8" customWidth="1"/>
    <col min="263" max="514" width="9.109375" style="8"/>
    <col min="515" max="515" width="11.6640625" style="8" customWidth="1"/>
    <col min="516" max="516" width="9.109375" style="8"/>
    <col min="517" max="517" width="14.6640625" style="8" customWidth="1"/>
    <col min="518" max="518" width="10.6640625" style="8" customWidth="1"/>
    <col min="519" max="770" width="9.109375" style="8"/>
    <col min="771" max="771" width="11.6640625" style="8" customWidth="1"/>
    <col min="772" max="772" width="9.109375" style="8"/>
    <col min="773" max="773" width="14.6640625" style="8" customWidth="1"/>
    <col min="774" max="774" width="10.6640625" style="8" customWidth="1"/>
    <col min="775" max="1026" width="9.109375" style="8"/>
    <col min="1027" max="1027" width="11.6640625" style="8" customWidth="1"/>
    <col min="1028" max="1028" width="9.109375" style="8"/>
    <col min="1029" max="1029" width="14.6640625" style="8" customWidth="1"/>
    <col min="1030" max="1030" width="10.6640625" style="8" customWidth="1"/>
    <col min="1031" max="1282" width="9.109375" style="8"/>
    <col min="1283" max="1283" width="11.6640625" style="8" customWidth="1"/>
    <col min="1284" max="1284" width="9.109375" style="8"/>
    <col min="1285" max="1285" width="14.6640625" style="8" customWidth="1"/>
    <col min="1286" max="1286" width="10.6640625" style="8" customWidth="1"/>
    <col min="1287" max="1538" width="9.109375" style="8"/>
    <col min="1539" max="1539" width="11.6640625" style="8" customWidth="1"/>
    <col min="1540" max="1540" width="9.109375" style="8"/>
    <col min="1541" max="1541" width="14.6640625" style="8" customWidth="1"/>
    <col min="1542" max="1542" width="10.6640625" style="8" customWidth="1"/>
    <col min="1543" max="1794" width="9.109375" style="8"/>
    <col min="1795" max="1795" width="11.6640625" style="8" customWidth="1"/>
    <col min="1796" max="1796" width="9.109375" style="8"/>
    <col min="1797" max="1797" width="14.6640625" style="8" customWidth="1"/>
    <col min="1798" max="1798" width="10.6640625" style="8" customWidth="1"/>
    <col min="1799" max="2050" width="9.109375" style="8"/>
    <col min="2051" max="2051" width="11.6640625" style="8" customWidth="1"/>
    <col min="2052" max="2052" width="9.109375" style="8"/>
    <col min="2053" max="2053" width="14.6640625" style="8" customWidth="1"/>
    <col min="2054" max="2054" width="10.6640625" style="8" customWidth="1"/>
    <col min="2055" max="2306" width="9.109375" style="8"/>
    <col min="2307" max="2307" width="11.6640625" style="8" customWidth="1"/>
    <col min="2308" max="2308" width="9.109375" style="8"/>
    <col min="2309" max="2309" width="14.6640625" style="8" customWidth="1"/>
    <col min="2310" max="2310" width="10.6640625" style="8" customWidth="1"/>
    <col min="2311" max="2562" width="9.109375" style="8"/>
    <col min="2563" max="2563" width="11.6640625" style="8" customWidth="1"/>
    <col min="2564" max="2564" width="9.109375" style="8"/>
    <col min="2565" max="2565" width="14.6640625" style="8" customWidth="1"/>
    <col min="2566" max="2566" width="10.6640625" style="8" customWidth="1"/>
    <col min="2567" max="2818" width="9.109375" style="8"/>
    <col min="2819" max="2819" width="11.6640625" style="8" customWidth="1"/>
    <col min="2820" max="2820" width="9.109375" style="8"/>
    <col min="2821" max="2821" width="14.6640625" style="8" customWidth="1"/>
    <col min="2822" max="2822" width="10.6640625" style="8" customWidth="1"/>
    <col min="2823" max="3074" width="9.109375" style="8"/>
    <col min="3075" max="3075" width="11.6640625" style="8" customWidth="1"/>
    <col min="3076" max="3076" width="9.109375" style="8"/>
    <col min="3077" max="3077" width="14.6640625" style="8" customWidth="1"/>
    <col min="3078" max="3078" width="10.6640625" style="8" customWidth="1"/>
    <col min="3079" max="3330" width="9.109375" style="8"/>
    <col min="3331" max="3331" width="11.6640625" style="8" customWidth="1"/>
    <col min="3332" max="3332" width="9.109375" style="8"/>
    <col min="3333" max="3333" width="14.6640625" style="8" customWidth="1"/>
    <col min="3334" max="3334" width="10.6640625" style="8" customWidth="1"/>
    <col min="3335" max="3586" width="9.109375" style="8"/>
    <col min="3587" max="3587" width="11.6640625" style="8" customWidth="1"/>
    <col min="3588" max="3588" width="9.109375" style="8"/>
    <col min="3589" max="3589" width="14.6640625" style="8" customWidth="1"/>
    <col min="3590" max="3590" width="10.6640625" style="8" customWidth="1"/>
    <col min="3591" max="3842" width="9.109375" style="8"/>
    <col min="3843" max="3843" width="11.6640625" style="8" customWidth="1"/>
    <col min="3844" max="3844" width="9.109375" style="8"/>
    <col min="3845" max="3845" width="14.6640625" style="8" customWidth="1"/>
    <col min="3846" max="3846" width="10.6640625" style="8" customWidth="1"/>
    <col min="3847" max="4098" width="9.109375" style="8"/>
    <col min="4099" max="4099" width="11.6640625" style="8" customWidth="1"/>
    <col min="4100" max="4100" width="9.109375" style="8"/>
    <col min="4101" max="4101" width="14.6640625" style="8" customWidth="1"/>
    <col min="4102" max="4102" width="10.6640625" style="8" customWidth="1"/>
    <col min="4103" max="4354" width="9.109375" style="8"/>
    <col min="4355" max="4355" width="11.6640625" style="8" customWidth="1"/>
    <col min="4356" max="4356" width="9.109375" style="8"/>
    <col min="4357" max="4357" width="14.6640625" style="8" customWidth="1"/>
    <col min="4358" max="4358" width="10.6640625" style="8" customWidth="1"/>
    <col min="4359" max="4610" width="9.109375" style="8"/>
    <col min="4611" max="4611" width="11.6640625" style="8" customWidth="1"/>
    <col min="4612" max="4612" width="9.109375" style="8"/>
    <col min="4613" max="4613" width="14.6640625" style="8" customWidth="1"/>
    <col min="4614" max="4614" width="10.6640625" style="8" customWidth="1"/>
    <col min="4615" max="4866" width="9.109375" style="8"/>
    <col min="4867" max="4867" width="11.6640625" style="8" customWidth="1"/>
    <col min="4868" max="4868" width="9.109375" style="8"/>
    <col min="4869" max="4869" width="14.6640625" style="8" customWidth="1"/>
    <col min="4870" max="4870" width="10.6640625" style="8" customWidth="1"/>
    <col min="4871" max="5122" width="9.109375" style="8"/>
    <col min="5123" max="5123" width="11.6640625" style="8" customWidth="1"/>
    <col min="5124" max="5124" width="9.109375" style="8"/>
    <col min="5125" max="5125" width="14.6640625" style="8" customWidth="1"/>
    <col min="5126" max="5126" width="10.6640625" style="8" customWidth="1"/>
    <col min="5127" max="5378" width="9.109375" style="8"/>
    <col min="5379" max="5379" width="11.6640625" style="8" customWidth="1"/>
    <col min="5380" max="5380" width="9.109375" style="8"/>
    <col min="5381" max="5381" width="14.6640625" style="8" customWidth="1"/>
    <col min="5382" max="5382" width="10.6640625" style="8" customWidth="1"/>
    <col min="5383" max="5634" width="9.109375" style="8"/>
    <col min="5635" max="5635" width="11.6640625" style="8" customWidth="1"/>
    <col min="5636" max="5636" width="9.109375" style="8"/>
    <col min="5637" max="5637" width="14.6640625" style="8" customWidth="1"/>
    <col min="5638" max="5638" width="10.6640625" style="8" customWidth="1"/>
    <col min="5639" max="5890" width="9.109375" style="8"/>
    <col min="5891" max="5891" width="11.6640625" style="8" customWidth="1"/>
    <col min="5892" max="5892" width="9.109375" style="8"/>
    <col min="5893" max="5893" width="14.6640625" style="8" customWidth="1"/>
    <col min="5894" max="5894" width="10.6640625" style="8" customWidth="1"/>
    <col min="5895" max="6146" width="9.109375" style="8"/>
    <col min="6147" max="6147" width="11.6640625" style="8" customWidth="1"/>
    <col min="6148" max="6148" width="9.109375" style="8"/>
    <col min="6149" max="6149" width="14.6640625" style="8" customWidth="1"/>
    <col min="6150" max="6150" width="10.6640625" style="8" customWidth="1"/>
    <col min="6151" max="6402" width="9.109375" style="8"/>
    <col min="6403" max="6403" width="11.6640625" style="8" customWidth="1"/>
    <col min="6404" max="6404" width="9.109375" style="8"/>
    <col min="6405" max="6405" width="14.6640625" style="8" customWidth="1"/>
    <col min="6406" max="6406" width="10.6640625" style="8" customWidth="1"/>
    <col min="6407" max="6658" width="9.109375" style="8"/>
    <col min="6659" max="6659" width="11.6640625" style="8" customWidth="1"/>
    <col min="6660" max="6660" width="9.109375" style="8"/>
    <col min="6661" max="6661" width="14.6640625" style="8" customWidth="1"/>
    <col min="6662" max="6662" width="10.6640625" style="8" customWidth="1"/>
    <col min="6663" max="6914" width="9.109375" style="8"/>
    <col min="6915" max="6915" width="11.6640625" style="8" customWidth="1"/>
    <col min="6916" max="6916" width="9.109375" style="8"/>
    <col min="6917" max="6917" width="14.6640625" style="8" customWidth="1"/>
    <col min="6918" max="6918" width="10.6640625" style="8" customWidth="1"/>
    <col min="6919" max="7170" width="9.109375" style="8"/>
    <col min="7171" max="7171" width="11.6640625" style="8" customWidth="1"/>
    <col min="7172" max="7172" width="9.109375" style="8"/>
    <col min="7173" max="7173" width="14.6640625" style="8" customWidth="1"/>
    <col min="7174" max="7174" width="10.6640625" style="8" customWidth="1"/>
    <col min="7175" max="7426" width="9.109375" style="8"/>
    <col min="7427" max="7427" width="11.6640625" style="8" customWidth="1"/>
    <col min="7428" max="7428" width="9.109375" style="8"/>
    <col min="7429" max="7429" width="14.6640625" style="8" customWidth="1"/>
    <col min="7430" max="7430" width="10.6640625" style="8" customWidth="1"/>
    <col min="7431" max="7682" width="9.109375" style="8"/>
    <col min="7683" max="7683" width="11.6640625" style="8" customWidth="1"/>
    <col min="7684" max="7684" width="9.109375" style="8"/>
    <col min="7685" max="7685" width="14.6640625" style="8" customWidth="1"/>
    <col min="7686" max="7686" width="10.6640625" style="8" customWidth="1"/>
    <col min="7687" max="7938" width="9.109375" style="8"/>
    <col min="7939" max="7939" width="11.6640625" style="8" customWidth="1"/>
    <col min="7940" max="7940" width="9.109375" style="8"/>
    <col min="7941" max="7941" width="14.6640625" style="8" customWidth="1"/>
    <col min="7942" max="7942" width="10.6640625" style="8" customWidth="1"/>
    <col min="7943" max="8194" width="9.109375" style="8"/>
    <col min="8195" max="8195" width="11.6640625" style="8" customWidth="1"/>
    <col min="8196" max="8196" width="9.109375" style="8"/>
    <col min="8197" max="8197" width="14.6640625" style="8" customWidth="1"/>
    <col min="8198" max="8198" width="10.6640625" style="8" customWidth="1"/>
    <col min="8199" max="8450" width="9.109375" style="8"/>
    <col min="8451" max="8451" width="11.6640625" style="8" customWidth="1"/>
    <col min="8452" max="8452" width="9.109375" style="8"/>
    <col min="8453" max="8453" width="14.6640625" style="8" customWidth="1"/>
    <col min="8454" max="8454" width="10.6640625" style="8" customWidth="1"/>
    <col min="8455" max="8706" width="9.109375" style="8"/>
    <col min="8707" max="8707" width="11.6640625" style="8" customWidth="1"/>
    <col min="8708" max="8708" width="9.109375" style="8"/>
    <col min="8709" max="8709" width="14.6640625" style="8" customWidth="1"/>
    <col min="8710" max="8710" width="10.6640625" style="8" customWidth="1"/>
    <col min="8711" max="8962" width="9.109375" style="8"/>
    <col min="8963" max="8963" width="11.6640625" style="8" customWidth="1"/>
    <col min="8964" max="8964" width="9.109375" style="8"/>
    <col min="8965" max="8965" width="14.6640625" style="8" customWidth="1"/>
    <col min="8966" max="8966" width="10.6640625" style="8" customWidth="1"/>
    <col min="8967" max="9218" width="9.109375" style="8"/>
    <col min="9219" max="9219" width="11.6640625" style="8" customWidth="1"/>
    <col min="9220" max="9220" width="9.109375" style="8"/>
    <col min="9221" max="9221" width="14.6640625" style="8" customWidth="1"/>
    <col min="9222" max="9222" width="10.6640625" style="8" customWidth="1"/>
    <col min="9223" max="9474" width="9.109375" style="8"/>
    <col min="9475" max="9475" width="11.6640625" style="8" customWidth="1"/>
    <col min="9476" max="9476" width="9.109375" style="8"/>
    <col min="9477" max="9477" width="14.6640625" style="8" customWidth="1"/>
    <col min="9478" max="9478" width="10.6640625" style="8" customWidth="1"/>
    <col min="9479" max="9730" width="9.109375" style="8"/>
    <col min="9731" max="9731" width="11.6640625" style="8" customWidth="1"/>
    <col min="9732" max="9732" width="9.109375" style="8"/>
    <col min="9733" max="9733" width="14.6640625" style="8" customWidth="1"/>
    <col min="9734" max="9734" width="10.6640625" style="8" customWidth="1"/>
    <col min="9735" max="9986" width="9.109375" style="8"/>
    <col min="9987" max="9987" width="11.6640625" style="8" customWidth="1"/>
    <col min="9988" max="9988" width="9.109375" style="8"/>
    <col min="9989" max="9989" width="14.6640625" style="8" customWidth="1"/>
    <col min="9990" max="9990" width="10.6640625" style="8" customWidth="1"/>
    <col min="9991" max="10242" width="9.109375" style="8"/>
    <col min="10243" max="10243" width="11.6640625" style="8" customWidth="1"/>
    <col min="10244" max="10244" width="9.109375" style="8"/>
    <col min="10245" max="10245" width="14.6640625" style="8" customWidth="1"/>
    <col min="10246" max="10246" width="10.6640625" style="8" customWidth="1"/>
    <col min="10247" max="10498" width="9.109375" style="8"/>
    <col min="10499" max="10499" width="11.6640625" style="8" customWidth="1"/>
    <col min="10500" max="10500" width="9.109375" style="8"/>
    <col min="10501" max="10501" width="14.6640625" style="8" customWidth="1"/>
    <col min="10502" max="10502" width="10.6640625" style="8" customWidth="1"/>
    <col min="10503" max="10754" width="9.109375" style="8"/>
    <col min="10755" max="10755" width="11.6640625" style="8" customWidth="1"/>
    <col min="10756" max="10756" width="9.109375" style="8"/>
    <col min="10757" max="10757" width="14.6640625" style="8" customWidth="1"/>
    <col min="10758" max="10758" width="10.6640625" style="8" customWidth="1"/>
    <col min="10759" max="11010" width="9.109375" style="8"/>
    <col min="11011" max="11011" width="11.6640625" style="8" customWidth="1"/>
    <col min="11012" max="11012" width="9.109375" style="8"/>
    <col min="11013" max="11013" width="14.6640625" style="8" customWidth="1"/>
    <col min="11014" max="11014" width="10.6640625" style="8" customWidth="1"/>
    <col min="11015" max="11266" width="9.109375" style="8"/>
    <col min="11267" max="11267" width="11.6640625" style="8" customWidth="1"/>
    <col min="11268" max="11268" width="9.109375" style="8"/>
    <col min="11269" max="11269" width="14.6640625" style="8" customWidth="1"/>
    <col min="11270" max="11270" width="10.6640625" style="8" customWidth="1"/>
    <col min="11271" max="11522" width="9.109375" style="8"/>
    <col min="11523" max="11523" width="11.6640625" style="8" customWidth="1"/>
    <col min="11524" max="11524" width="9.109375" style="8"/>
    <col min="11525" max="11525" width="14.6640625" style="8" customWidth="1"/>
    <col min="11526" max="11526" width="10.6640625" style="8" customWidth="1"/>
    <col min="11527" max="11778" width="9.109375" style="8"/>
    <col min="11779" max="11779" width="11.6640625" style="8" customWidth="1"/>
    <col min="11780" max="11780" width="9.109375" style="8"/>
    <col min="11781" max="11781" width="14.6640625" style="8" customWidth="1"/>
    <col min="11782" max="11782" width="10.6640625" style="8" customWidth="1"/>
    <col min="11783" max="12034" width="9.109375" style="8"/>
    <col min="12035" max="12035" width="11.6640625" style="8" customWidth="1"/>
    <col min="12036" max="12036" width="9.109375" style="8"/>
    <col min="12037" max="12037" width="14.6640625" style="8" customWidth="1"/>
    <col min="12038" max="12038" width="10.6640625" style="8" customWidth="1"/>
    <col min="12039" max="12290" width="9.109375" style="8"/>
    <col min="12291" max="12291" width="11.6640625" style="8" customWidth="1"/>
    <col min="12292" max="12292" width="9.109375" style="8"/>
    <col min="12293" max="12293" width="14.6640625" style="8" customWidth="1"/>
    <col min="12294" max="12294" width="10.6640625" style="8" customWidth="1"/>
    <col min="12295" max="12546" width="9.109375" style="8"/>
    <col min="12547" max="12547" width="11.6640625" style="8" customWidth="1"/>
    <col min="12548" max="12548" width="9.109375" style="8"/>
    <col min="12549" max="12549" width="14.6640625" style="8" customWidth="1"/>
    <col min="12550" max="12550" width="10.6640625" style="8" customWidth="1"/>
    <col min="12551" max="12802" width="9.109375" style="8"/>
    <col min="12803" max="12803" width="11.6640625" style="8" customWidth="1"/>
    <col min="12804" max="12804" width="9.109375" style="8"/>
    <col min="12805" max="12805" width="14.6640625" style="8" customWidth="1"/>
    <col min="12806" max="12806" width="10.6640625" style="8" customWidth="1"/>
    <col min="12807" max="13058" width="9.109375" style="8"/>
    <col min="13059" max="13059" width="11.6640625" style="8" customWidth="1"/>
    <col min="13060" max="13060" width="9.109375" style="8"/>
    <col min="13061" max="13061" width="14.6640625" style="8" customWidth="1"/>
    <col min="13062" max="13062" width="10.6640625" style="8" customWidth="1"/>
    <col min="13063" max="13314" width="9.109375" style="8"/>
    <col min="13315" max="13315" width="11.6640625" style="8" customWidth="1"/>
    <col min="13316" max="13316" width="9.109375" style="8"/>
    <col min="13317" max="13317" width="14.6640625" style="8" customWidth="1"/>
    <col min="13318" max="13318" width="10.6640625" style="8" customWidth="1"/>
    <col min="13319" max="13570" width="9.109375" style="8"/>
    <col min="13571" max="13571" width="11.6640625" style="8" customWidth="1"/>
    <col min="13572" max="13572" width="9.109375" style="8"/>
    <col min="13573" max="13573" width="14.6640625" style="8" customWidth="1"/>
    <col min="13574" max="13574" width="10.6640625" style="8" customWidth="1"/>
    <col min="13575" max="13826" width="9.109375" style="8"/>
    <col min="13827" max="13827" width="11.6640625" style="8" customWidth="1"/>
    <col min="13828" max="13828" width="9.109375" style="8"/>
    <col min="13829" max="13829" width="14.6640625" style="8" customWidth="1"/>
    <col min="13830" max="13830" width="10.6640625" style="8" customWidth="1"/>
    <col min="13831" max="14082" width="9.109375" style="8"/>
    <col min="14083" max="14083" width="11.6640625" style="8" customWidth="1"/>
    <col min="14084" max="14084" width="9.109375" style="8"/>
    <col min="14085" max="14085" width="14.6640625" style="8" customWidth="1"/>
    <col min="14086" max="14086" width="10.6640625" style="8" customWidth="1"/>
    <col min="14087" max="14338" width="9.109375" style="8"/>
    <col min="14339" max="14339" width="11.6640625" style="8" customWidth="1"/>
    <col min="14340" max="14340" width="9.109375" style="8"/>
    <col min="14341" max="14341" width="14.6640625" style="8" customWidth="1"/>
    <col min="14342" max="14342" width="10.6640625" style="8" customWidth="1"/>
    <col min="14343" max="14594" width="9.109375" style="8"/>
    <col min="14595" max="14595" width="11.6640625" style="8" customWidth="1"/>
    <col min="14596" max="14596" width="9.109375" style="8"/>
    <col min="14597" max="14597" width="14.6640625" style="8" customWidth="1"/>
    <col min="14598" max="14598" width="10.6640625" style="8" customWidth="1"/>
    <col min="14599" max="14850" width="9.109375" style="8"/>
    <col min="14851" max="14851" width="11.6640625" style="8" customWidth="1"/>
    <col min="14852" max="14852" width="9.109375" style="8"/>
    <col min="14853" max="14853" width="14.6640625" style="8" customWidth="1"/>
    <col min="14854" max="14854" width="10.6640625" style="8" customWidth="1"/>
    <col min="14855" max="15106" width="9.109375" style="8"/>
    <col min="15107" max="15107" width="11.6640625" style="8" customWidth="1"/>
    <col min="15108" max="15108" width="9.109375" style="8"/>
    <col min="15109" max="15109" width="14.6640625" style="8" customWidth="1"/>
    <col min="15110" max="15110" width="10.6640625" style="8" customWidth="1"/>
    <col min="15111" max="15362" width="9.109375" style="8"/>
    <col min="15363" max="15363" width="11.6640625" style="8" customWidth="1"/>
    <col min="15364" max="15364" width="9.109375" style="8"/>
    <col min="15365" max="15365" width="14.6640625" style="8" customWidth="1"/>
    <col min="15366" max="15366" width="10.6640625" style="8" customWidth="1"/>
    <col min="15367" max="15618" width="9.109375" style="8"/>
    <col min="15619" max="15619" width="11.6640625" style="8" customWidth="1"/>
    <col min="15620" max="15620" width="9.109375" style="8"/>
    <col min="15621" max="15621" width="14.6640625" style="8" customWidth="1"/>
    <col min="15622" max="15622" width="10.6640625" style="8" customWidth="1"/>
    <col min="15623" max="15874" width="9.109375" style="8"/>
    <col min="15875" max="15875" width="11.6640625" style="8" customWidth="1"/>
    <col min="15876" max="15876" width="9.109375" style="8"/>
    <col min="15877" max="15877" width="14.6640625" style="8" customWidth="1"/>
    <col min="15878" max="15878" width="10.6640625" style="8" customWidth="1"/>
    <col min="15879" max="16130" width="9.109375" style="8"/>
    <col min="16131" max="16131" width="11.6640625" style="8" customWidth="1"/>
    <col min="16132" max="16132" width="9.109375" style="8"/>
    <col min="16133" max="16133" width="14.6640625" style="8" customWidth="1"/>
    <col min="16134" max="16134" width="10.6640625" style="8" customWidth="1"/>
    <col min="16135" max="16384" width="9.109375" style="8"/>
  </cols>
  <sheetData>
    <row r="2" spans="1:13" x14ac:dyDescent="0.25">
      <c r="A2" s="9" t="s">
        <v>128</v>
      </c>
      <c r="B2" s="9" t="s">
        <v>129</v>
      </c>
      <c r="C2" s="9" t="s">
        <v>130</v>
      </c>
      <c r="D2" s="232" t="s">
        <v>131</v>
      </c>
      <c r="E2" s="232"/>
    </row>
    <row r="3" spans="1:13" x14ac:dyDescent="0.25">
      <c r="A3" s="12">
        <v>0</v>
      </c>
      <c r="B3" s="12">
        <v>0</v>
      </c>
      <c r="C3" s="12">
        <v>1</v>
      </c>
      <c r="D3" s="233">
        <v>29</v>
      </c>
      <c r="E3" s="233"/>
    </row>
    <row r="5" spans="1:13" hidden="1" x14ac:dyDescent="0.25">
      <c r="A5" s="8" t="s">
        <v>95</v>
      </c>
      <c r="B5" s="10" t="s">
        <v>146</v>
      </c>
      <c r="C5" s="10">
        <f>D3</f>
        <v>29</v>
      </c>
      <c r="D5" s="11"/>
    </row>
    <row r="6" spans="1:13" x14ac:dyDescent="0.25">
      <c r="A6" s="8" t="s">
        <v>96</v>
      </c>
      <c r="B6" s="13">
        <v>10</v>
      </c>
      <c r="C6" s="14">
        <v>10</v>
      </c>
      <c r="D6" s="15">
        <f>((100/B6)*C6)/100</f>
        <v>1</v>
      </c>
    </row>
    <row r="7" spans="1:13" x14ac:dyDescent="0.25">
      <c r="A7" s="8" t="s">
        <v>97</v>
      </c>
      <c r="B7" s="13">
        <f>A3+B3+C3+D3</f>
        <v>30</v>
      </c>
      <c r="C7" s="14">
        <v>4</v>
      </c>
      <c r="D7" s="15">
        <f t="shared" ref="D7:D12" si="0">((100/B7)*C7)/100</f>
        <v>0.13333333333333333</v>
      </c>
      <c r="F7" s="235" t="s">
        <v>147</v>
      </c>
      <c r="G7" s="235"/>
      <c r="H7" s="16" t="s">
        <v>148</v>
      </c>
      <c r="J7" s="22"/>
    </row>
    <row r="8" spans="1:13" x14ac:dyDescent="0.25">
      <c r="A8" s="8" t="s">
        <v>102</v>
      </c>
      <c r="B8" s="13">
        <f>C5</f>
        <v>29</v>
      </c>
      <c r="C8" s="14">
        <v>0</v>
      </c>
      <c r="D8" s="15">
        <f t="shared" si="0"/>
        <v>0</v>
      </c>
      <c r="F8" s="234" t="s">
        <v>149</v>
      </c>
      <c r="G8" s="234"/>
      <c r="H8" s="13" t="s">
        <v>150</v>
      </c>
    </row>
    <row r="9" spans="1:13" x14ac:dyDescent="0.25">
      <c r="A9" s="8" t="s">
        <v>104</v>
      </c>
      <c r="B9" s="13">
        <f>C5</f>
        <v>29</v>
      </c>
      <c r="C9" s="14">
        <v>0</v>
      </c>
      <c r="D9" s="15">
        <f t="shared" si="0"/>
        <v>0</v>
      </c>
      <c r="F9" s="234" t="s">
        <v>151</v>
      </c>
      <c r="G9" s="234"/>
      <c r="H9" s="13" t="s">
        <v>152</v>
      </c>
    </row>
    <row r="10" spans="1:13" x14ac:dyDescent="0.25">
      <c r="A10" s="8" t="s">
        <v>68</v>
      </c>
      <c r="B10" s="13">
        <f>C5</f>
        <v>29</v>
      </c>
      <c r="C10" s="14">
        <v>0</v>
      </c>
      <c r="D10" s="15">
        <f t="shared" si="0"/>
        <v>0</v>
      </c>
      <c r="F10" s="234" t="s">
        <v>153</v>
      </c>
      <c r="G10" s="234"/>
      <c r="H10" s="13" t="s">
        <v>154</v>
      </c>
    </row>
    <row r="11" spans="1:13" x14ac:dyDescent="0.25">
      <c r="A11" s="17" t="s">
        <v>100</v>
      </c>
      <c r="B11" s="13">
        <f>C5</f>
        <v>29</v>
      </c>
      <c r="C11" s="14">
        <v>0</v>
      </c>
      <c r="D11" s="15">
        <f t="shared" si="0"/>
        <v>0</v>
      </c>
      <c r="F11" s="234" t="s">
        <v>155</v>
      </c>
      <c r="G11" s="234"/>
      <c r="H11" s="13" t="s">
        <v>156</v>
      </c>
    </row>
    <row r="12" spans="1:13" x14ac:dyDescent="0.25">
      <c r="A12" s="8" t="s">
        <v>69</v>
      </c>
      <c r="B12" s="13">
        <f>C5</f>
        <v>29</v>
      </c>
      <c r="C12" s="14">
        <v>0</v>
      </c>
      <c r="D12" s="15">
        <f t="shared" si="0"/>
        <v>0</v>
      </c>
      <c r="F12" s="234" t="s">
        <v>157</v>
      </c>
      <c r="G12" s="234"/>
      <c r="H12" s="13" t="s">
        <v>158</v>
      </c>
    </row>
    <row r="13" spans="1:13" x14ac:dyDescent="0.25">
      <c r="F13" s="234" t="s">
        <v>159</v>
      </c>
      <c r="G13" s="234"/>
      <c r="H13" s="13" t="s">
        <v>160</v>
      </c>
    </row>
    <row r="14" spans="1:13" hidden="1" x14ac:dyDescent="0.25">
      <c r="A14" s="9"/>
      <c r="B14" s="9" t="s">
        <v>101</v>
      </c>
      <c r="C14" s="9" t="s">
        <v>105</v>
      </c>
      <c r="G14" s="9" t="s">
        <v>96</v>
      </c>
      <c r="H14" s="9" t="s">
        <v>98</v>
      </c>
      <c r="I14" s="9" t="s">
        <v>99</v>
      </c>
      <c r="J14" s="9" t="s">
        <v>67</v>
      </c>
      <c r="K14" s="9" t="s">
        <v>68</v>
      </c>
      <c r="L14" s="9" t="s">
        <v>100</v>
      </c>
      <c r="M14" s="9" t="s">
        <v>69</v>
      </c>
    </row>
    <row r="15" spans="1:13" hidden="1" x14ac:dyDescent="0.25">
      <c r="A15" s="9" t="s">
        <v>65</v>
      </c>
      <c r="B15" s="9">
        <f>G15</f>
        <v>10</v>
      </c>
      <c r="C15" s="9">
        <f>G16</f>
        <v>30</v>
      </c>
      <c r="E15" s="232" t="s">
        <v>101</v>
      </c>
      <c r="F15" s="232"/>
      <c r="G15" s="18">
        <f>C6</f>
        <v>10</v>
      </c>
      <c r="H15" s="18">
        <f>40/B7*C7</f>
        <v>5.333333333333333</v>
      </c>
      <c r="I15" s="18">
        <f>15/B8*C8</f>
        <v>0</v>
      </c>
      <c r="J15" s="18">
        <f>10/B9*C9</f>
        <v>0</v>
      </c>
      <c r="K15" s="18">
        <f>10/B10*C10</f>
        <v>0</v>
      </c>
      <c r="L15" s="18">
        <f>5/B11*C11</f>
        <v>0</v>
      </c>
      <c r="M15" s="18">
        <f>5/B12*C12</f>
        <v>0</v>
      </c>
    </row>
    <row r="16" spans="1:13" hidden="1" x14ac:dyDescent="0.25">
      <c r="A16" s="9" t="s">
        <v>66</v>
      </c>
      <c r="B16" s="9">
        <f>H15</f>
        <v>5.333333333333333</v>
      </c>
      <c r="C16" s="9">
        <f>H16</f>
        <v>4</v>
      </c>
      <c r="E16" s="232" t="s">
        <v>103</v>
      </c>
      <c r="F16" s="232"/>
      <c r="G16" s="9">
        <f>G15+20</f>
        <v>30</v>
      </c>
      <c r="H16" s="9">
        <f>30/B7*C7</f>
        <v>4</v>
      </c>
      <c r="I16" s="9">
        <f>15/B8*C8</f>
        <v>0</v>
      </c>
      <c r="J16" s="9">
        <f>10/B9*C9</f>
        <v>0</v>
      </c>
      <c r="K16" s="9">
        <f>5/B10*C10</f>
        <v>0</v>
      </c>
      <c r="L16" s="9">
        <f>5/B11*C11</f>
        <v>0</v>
      </c>
      <c r="M16" s="9">
        <f>5/B12*C12</f>
        <v>0</v>
      </c>
    </row>
    <row r="17" spans="1:8" hidden="1" x14ac:dyDescent="0.25">
      <c r="A17" s="9" t="s">
        <v>99</v>
      </c>
      <c r="B17" s="9">
        <f>I15</f>
        <v>0</v>
      </c>
      <c r="C17" s="9">
        <f>I16</f>
        <v>0</v>
      </c>
    </row>
    <row r="18" spans="1:8" hidden="1" x14ac:dyDescent="0.25">
      <c r="A18" s="9" t="s">
        <v>67</v>
      </c>
      <c r="B18" s="9">
        <f>J15</f>
        <v>0</v>
      </c>
      <c r="C18" s="9">
        <f>J16</f>
        <v>0</v>
      </c>
    </row>
    <row r="19" spans="1:8" hidden="1" x14ac:dyDescent="0.25">
      <c r="A19" s="9" t="s">
        <v>68</v>
      </c>
      <c r="B19" s="9">
        <f>K15</f>
        <v>0</v>
      </c>
      <c r="C19" s="9">
        <f>K16</f>
        <v>0</v>
      </c>
    </row>
    <row r="20" spans="1:8" hidden="1" x14ac:dyDescent="0.25">
      <c r="A20" s="19" t="s">
        <v>100</v>
      </c>
      <c r="B20" s="9">
        <f>L15</f>
        <v>0</v>
      </c>
      <c r="C20" s="9">
        <f>L16</f>
        <v>0</v>
      </c>
    </row>
    <row r="21" spans="1:8" hidden="1" x14ac:dyDescent="0.25">
      <c r="A21" s="9" t="s">
        <v>69</v>
      </c>
      <c r="B21" s="9">
        <f>M15</f>
        <v>0</v>
      </c>
      <c r="C21" s="9">
        <f>M16</f>
        <v>0</v>
      </c>
    </row>
    <row r="22" spans="1:8" x14ac:dyDescent="0.25">
      <c r="A22" s="9" t="s">
        <v>106</v>
      </c>
      <c r="B22" s="20">
        <f>(B15+B16+B17+B18+B19+B20+B21)/100</f>
        <v>0.15333333333333332</v>
      </c>
      <c r="C22" s="20">
        <f>(C15+C16+C17+C18+C19+C20+C21)/100</f>
        <v>0.34</v>
      </c>
      <c r="F22" s="234" t="s">
        <v>161</v>
      </c>
      <c r="G22" s="234"/>
      <c r="H22" s="13" t="s">
        <v>152</v>
      </c>
    </row>
    <row r="23" spans="1:8" x14ac:dyDescent="0.25">
      <c r="F23" s="234" t="s">
        <v>162</v>
      </c>
      <c r="G23" s="234"/>
      <c r="H23" s="13" t="s">
        <v>163</v>
      </c>
    </row>
    <row r="24" spans="1:8" x14ac:dyDescent="0.25">
      <c r="A24" s="8" t="s">
        <v>136</v>
      </c>
      <c r="B24" s="21">
        <v>0.01</v>
      </c>
      <c r="C24" s="21">
        <v>0.02</v>
      </c>
      <c r="F24" s="234" t="s">
        <v>164</v>
      </c>
      <c r="G24" s="234"/>
      <c r="H24" s="13" t="s">
        <v>165</v>
      </c>
    </row>
    <row r="25" spans="1:8" x14ac:dyDescent="0.25">
      <c r="A25" s="8" t="s">
        <v>137</v>
      </c>
      <c r="B25" s="21">
        <v>0.01</v>
      </c>
      <c r="C25" s="21">
        <v>0.03</v>
      </c>
    </row>
    <row r="26" spans="1:8" x14ac:dyDescent="0.25">
      <c r="A26" s="8" t="s">
        <v>138</v>
      </c>
      <c r="B26" s="21">
        <v>0.03</v>
      </c>
      <c r="C26" s="21">
        <v>0.08</v>
      </c>
    </row>
    <row r="27" spans="1:8" x14ac:dyDescent="0.25">
      <c r="A27" s="8" t="s">
        <v>139</v>
      </c>
      <c r="B27" s="21">
        <v>0.05</v>
      </c>
      <c r="C27" s="21">
        <v>0.15</v>
      </c>
    </row>
    <row r="28" spans="1:8" x14ac:dyDescent="0.25">
      <c r="A28" s="8" t="s">
        <v>140</v>
      </c>
      <c r="B28" s="21">
        <v>7.0000000000000007E-2</v>
      </c>
      <c r="C28" s="21">
        <v>0.2</v>
      </c>
    </row>
    <row r="29" spans="1:8" x14ac:dyDescent="0.25">
      <c r="A29" s="8" t="s">
        <v>141</v>
      </c>
      <c r="B29" s="21">
        <v>0.1</v>
      </c>
      <c r="C29" s="21">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C6" sqref="C6"/>
    </sheetView>
  </sheetViews>
  <sheetFormatPr defaultColWidth="9.109375" defaultRowHeight="13.8" x14ac:dyDescent="0.25"/>
  <cols>
    <col min="1" max="1" width="10.109375" style="8" customWidth="1"/>
    <col min="2" max="2" width="14" style="8" customWidth="1"/>
    <col min="3" max="16384" width="9.109375" style="8"/>
  </cols>
  <sheetData>
    <row r="1" spans="1:3" x14ac:dyDescent="0.25">
      <c r="A1" s="23" t="s">
        <v>170</v>
      </c>
      <c r="B1" s="23" t="s">
        <v>172</v>
      </c>
      <c r="C1" s="23" t="s">
        <v>81</v>
      </c>
    </row>
    <row r="3" spans="1:3" x14ac:dyDescent="0.25">
      <c r="A3" s="8" t="s">
        <v>173</v>
      </c>
      <c r="B3" s="8" t="s">
        <v>211</v>
      </c>
      <c r="C3" s="8" t="s">
        <v>222</v>
      </c>
    </row>
    <row r="5" spans="1:3" x14ac:dyDescent="0.25">
      <c r="A5" s="57">
        <v>45384</v>
      </c>
      <c r="B5" s="8" t="s">
        <v>296</v>
      </c>
      <c r="C5" s="8" t="s">
        <v>297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7"/>
  <sheetViews>
    <sheetView workbookViewId="0">
      <selection sqref="A1:XFD1048576"/>
    </sheetView>
  </sheetViews>
  <sheetFormatPr defaultRowHeight="14.4" x14ac:dyDescent="0.3"/>
  <cols>
    <col min="2" max="2" width="12.33203125" customWidth="1"/>
  </cols>
  <sheetData>
    <row r="2" spans="1:12" x14ac:dyDescent="0.3">
      <c r="B2" s="2" t="s">
        <v>107</v>
      </c>
      <c r="C2" s="236" t="s">
        <v>281</v>
      </c>
      <c r="D2" s="236"/>
    </row>
    <row r="3" spans="1:12" x14ac:dyDescent="0.3">
      <c r="D3" s="3"/>
      <c r="E3" s="3"/>
      <c r="F3" s="3"/>
      <c r="G3" s="3"/>
      <c r="H3" s="3"/>
      <c r="I3" s="3"/>
    </row>
    <row r="4" spans="1:12" x14ac:dyDescent="0.3">
      <c r="A4" s="2" t="s">
        <v>108</v>
      </c>
      <c r="B4" s="4" t="s">
        <v>109</v>
      </c>
      <c r="C4" s="237" t="s">
        <v>110</v>
      </c>
      <c r="D4" s="237"/>
      <c r="E4" s="237"/>
      <c r="F4" s="5"/>
      <c r="G4" s="237" t="s">
        <v>111</v>
      </c>
      <c r="H4" s="237"/>
      <c r="I4" s="237"/>
      <c r="J4" s="237" t="s">
        <v>112</v>
      </c>
      <c r="K4" s="237"/>
      <c r="L4" s="237"/>
    </row>
    <row r="5" spans="1:12" x14ac:dyDescent="0.3">
      <c r="A5" s="2">
        <v>1</v>
      </c>
      <c r="B5" s="4"/>
      <c r="C5" s="4" t="s">
        <v>113</v>
      </c>
      <c r="D5" s="4" t="s">
        <v>114</v>
      </c>
      <c r="E5" s="4" t="s">
        <v>77</v>
      </c>
      <c r="F5" s="4"/>
      <c r="G5" s="4" t="s">
        <v>113</v>
      </c>
      <c r="H5" s="4" t="s">
        <v>114</v>
      </c>
      <c r="I5" s="4" t="s">
        <v>77</v>
      </c>
      <c r="J5" s="4" t="s">
        <v>113</v>
      </c>
      <c r="K5" s="4" t="s">
        <v>114</v>
      </c>
      <c r="L5" s="4" t="s">
        <v>77</v>
      </c>
    </row>
    <row r="6" spans="1:12" x14ac:dyDescent="0.3">
      <c r="B6" s="6" t="s">
        <v>115</v>
      </c>
      <c r="C6" s="6">
        <v>2.15</v>
      </c>
      <c r="D6" s="6">
        <v>1.75</v>
      </c>
      <c r="E6" s="6">
        <f>C6*D6</f>
        <v>3.7624999999999997</v>
      </c>
      <c r="F6" s="6" t="s">
        <v>285</v>
      </c>
      <c r="G6" s="6">
        <v>11.1</v>
      </c>
      <c r="H6" s="6">
        <v>0.75</v>
      </c>
      <c r="I6" s="6">
        <f>G6*H6</f>
        <v>8.3249999999999993</v>
      </c>
      <c r="J6" s="6"/>
      <c r="K6" s="6"/>
      <c r="L6" s="6">
        <f>J6*K6</f>
        <v>0</v>
      </c>
    </row>
    <row r="7" spans="1:12" x14ac:dyDescent="0.3">
      <c r="B7" s="6"/>
      <c r="C7" s="6">
        <v>2.35</v>
      </c>
      <c r="D7" s="6">
        <v>3.65</v>
      </c>
      <c r="E7" s="6">
        <f t="shared" ref="E7:E34" si="0">C7*D7</f>
        <v>8.5775000000000006</v>
      </c>
      <c r="F7" s="6" t="s">
        <v>285</v>
      </c>
      <c r="G7" s="6">
        <v>21.55</v>
      </c>
      <c r="H7" s="6">
        <v>0.75</v>
      </c>
      <c r="I7" s="6">
        <f t="shared" ref="I7:I30" si="1">G7*H7</f>
        <v>16.162500000000001</v>
      </c>
      <c r="J7" s="6"/>
      <c r="K7" s="6"/>
      <c r="L7" s="6">
        <f t="shared" ref="L7:L30" si="2">J7*K7</f>
        <v>0</v>
      </c>
    </row>
    <row r="8" spans="1:12" x14ac:dyDescent="0.3">
      <c r="B8" s="6"/>
      <c r="C8" s="6">
        <v>6.35</v>
      </c>
      <c r="D8" s="6">
        <v>1.2</v>
      </c>
      <c r="E8" s="6">
        <f t="shared" si="0"/>
        <v>7.6199999999999992</v>
      </c>
      <c r="F8" s="6"/>
      <c r="G8" s="6"/>
      <c r="H8" s="6"/>
      <c r="I8" s="6">
        <f t="shared" si="1"/>
        <v>0</v>
      </c>
      <c r="J8" s="6"/>
      <c r="K8" s="6"/>
      <c r="L8" s="6">
        <f t="shared" si="2"/>
        <v>0</v>
      </c>
    </row>
    <row r="9" spans="1:12" x14ac:dyDescent="0.3">
      <c r="B9" s="6"/>
      <c r="C9" s="6">
        <v>5.45</v>
      </c>
      <c r="D9" s="6">
        <v>5.85</v>
      </c>
      <c r="E9" s="6">
        <f t="shared" ref="E9" si="3">C9*D9</f>
        <v>31.8825</v>
      </c>
      <c r="F9" s="6" t="s">
        <v>116</v>
      </c>
      <c r="G9" s="6"/>
      <c r="H9" s="6"/>
      <c r="I9" s="6">
        <f t="shared" ref="I9" si="4">G9*H9</f>
        <v>0</v>
      </c>
      <c r="J9" s="6"/>
      <c r="K9" s="6"/>
      <c r="L9" s="6">
        <f t="shared" ref="L9" si="5">J9*K9</f>
        <v>0</v>
      </c>
    </row>
    <row r="10" spans="1:12" x14ac:dyDescent="0.3">
      <c r="B10" s="6" t="s">
        <v>118</v>
      </c>
      <c r="C10" s="6">
        <v>5.45</v>
      </c>
      <c r="D10" s="6">
        <v>4.05</v>
      </c>
      <c r="E10" s="6">
        <f t="shared" si="0"/>
        <v>22.072499999999998</v>
      </c>
      <c r="F10" s="6" t="s">
        <v>116</v>
      </c>
      <c r="G10" s="6"/>
      <c r="H10" s="6"/>
      <c r="I10" s="6">
        <f t="shared" si="1"/>
        <v>0</v>
      </c>
      <c r="J10" s="6"/>
      <c r="K10" s="6"/>
      <c r="L10" s="6">
        <f t="shared" si="2"/>
        <v>0</v>
      </c>
    </row>
    <row r="11" spans="1:12" x14ac:dyDescent="0.3">
      <c r="B11" s="6"/>
      <c r="C11" s="6">
        <v>3.75</v>
      </c>
      <c r="D11" s="6">
        <v>2.35</v>
      </c>
      <c r="E11" s="6">
        <f t="shared" si="0"/>
        <v>8.8125</v>
      </c>
      <c r="F11" s="6" t="s">
        <v>117</v>
      </c>
      <c r="G11" s="6"/>
      <c r="H11" s="6"/>
      <c r="I11" s="6">
        <f t="shared" si="1"/>
        <v>0</v>
      </c>
      <c r="J11" s="6"/>
      <c r="K11" s="6"/>
      <c r="L11" s="6">
        <f t="shared" si="2"/>
        <v>0</v>
      </c>
    </row>
    <row r="12" spans="1:12" x14ac:dyDescent="0.3">
      <c r="B12" s="6"/>
      <c r="C12" s="6">
        <v>3.2</v>
      </c>
      <c r="D12" s="6">
        <v>1.3</v>
      </c>
      <c r="E12" s="6">
        <f t="shared" si="0"/>
        <v>4.16</v>
      </c>
      <c r="F12" s="6"/>
      <c r="G12" s="6"/>
      <c r="H12" s="6"/>
      <c r="I12" s="6">
        <f t="shared" si="1"/>
        <v>0</v>
      </c>
      <c r="J12" s="6"/>
      <c r="K12" s="6"/>
      <c r="L12" s="6">
        <f t="shared" si="2"/>
        <v>0</v>
      </c>
    </row>
    <row r="13" spans="1:12" x14ac:dyDescent="0.3">
      <c r="B13" s="6"/>
      <c r="C13" s="6">
        <v>2.6</v>
      </c>
      <c r="D13" s="6">
        <v>0.75</v>
      </c>
      <c r="E13" s="6">
        <f t="shared" si="0"/>
        <v>1.9500000000000002</v>
      </c>
      <c r="F13" s="6"/>
      <c r="G13" s="6"/>
      <c r="H13" s="6"/>
      <c r="I13" s="6">
        <f t="shared" si="1"/>
        <v>0</v>
      </c>
      <c r="J13" s="6"/>
      <c r="K13" s="6"/>
      <c r="L13" s="6">
        <f t="shared" si="2"/>
        <v>0</v>
      </c>
    </row>
    <row r="14" spans="1:12" x14ac:dyDescent="0.3">
      <c r="B14" s="6" t="s">
        <v>119</v>
      </c>
      <c r="C14" s="6">
        <v>4.25</v>
      </c>
      <c r="D14" s="6">
        <v>4.6500000000000004</v>
      </c>
      <c r="E14" s="6">
        <f t="shared" si="0"/>
        <v>19.762500000000003</v>
      </c>
      <c r="F14" s="6" t="s">
        <v>116</v>
      </c>
      <c r="G14" s="6"/>
      <c r="H14" s="6"/>
      <c r="I14" s="6">
        <f t="shared" si="1"/>
        <v>0</v>
      </c>
      <c r="J14" s="6"/>
      <c r="K14" s="6"/>
      <c r="L14" s="6">
        <f t="shared" si="2"/>
        <v>0</v>
      </c>
    </row>
    <row r="15" spans="1:12" x14ac:dyDescent="0.3">
      <c r="B15" s="6"/>
      <c r="C15" s="6">
        <v>2.4</v>
      </c>
      <c r="D15" s="6">
        <v>3.35</v>
      </c>
      <c r="E15" s="6">
        <f t="shared" si="0"/>
        <v>8.0399999999999991</v>
      </c>
      <c r="F15" s="6" t="s">
        <v>117</v>
      </c>
      <c r="G15" s="6"/>
      <c r="H15" s="6"/>
      <c r="I15" s="6">
        <f t="shared" si="1"/>
        <v>0</v>
      </c>
      <c r="J15" s="6"/>
      <c r="K15" s="6"/>
      <c r="L15" s="6">
        <f t="shared" si="2"/>
        <v>0</v>
      </c>
    </row>
    <row r="16" spans="1:12" x14ac:dyDescent="0.3">
      <c r="B16" s="6"/>
      <c r="C16" s="6">
        <v>1.65</v>
      </c>
      <c r="D16" s="6">
        <v>3.05</v>
      </c>
      <c r="E16" s="6">
        <f t="shared" si="0"/>
        <v>5.0324999999999998</v>
      </c>
      <c r="F16" s="6"/>
      <c r="G16" s="6"/>
      <c r="H16" s="6"/>
      <c r="I16" s="6">
        <f t="shared" si="1"/>
        <v>0</v>
      </c>
      <c r="J16" s="6"/>
      <c r="K16" s="6"/>
      <c r="L16" s="6">
        <f t="shared" si="2"/>
        <v>0</v>
      </c>
    </row>
    <row r="17" spans="2:12" x14ac:dyDescent="0.3">
      <c r="B17" s="6"/>
      <c r="C17" s="6"/>
      <c r="D17" s="6"/>
      <c r="E17" s="6">
        <f t="shared" si="0"/>
        <v>0</v>
      </c>
      <c r="F17" s="6"/>
      <c r="G17" s="6"/>
      <c r="H17" s="6"/>
      <c r="I17" s="6">
        <f t="shared" si="1"/>
        <v>0</v>
      </c>
      <c r="J17" s="6"/>
      <c r="K17" s="6"/>
      <c r="L17" s="6">
        <f t="shared" si="2"/>
        <v>0</v>
      </c>
    </row>
    <row r="18" spans="2:12" x14ac:dyDescent="0.3">
      <c r="B18" s="6" t="s">
        <v>120</v>
      </c>
      <c r="C18" s="6">
        <v>3.95</v>
      </c>
      <c r="D18" s="6">
        <v>4.55</v>
      </c>
      <c r="E18" s="6">
        <f t="shared" si="0"/>
        <v>17.9725</v>
      </c>
      <c r="F18" s="6" t="s">
        <v>116</v>
      </c>
      <c r="G18" s="6"/>
      <c r="H18" s="6"/>
      <c r="I18" s="6">
        <f t="shared" si="1"/>
        <v>0</v>
      </c>
      <c r="J18" s="6"/>
      <c r="K18" s="6"/>
      <c r="L18" s="6">
        <f t="shared" si="2"/>
        <v>0</v>
      </c>
    </row>
    <row r="19" spans="2:12" x14ac:dyDescent="0.3">
      <c r="B19" s="6"/>
      <c r="C19" s="6">
        <v>1.5</v>
      </c>
      <c r="D19" s="6">
        <v>3.05</v>
      </c>
      <c r="E19" s="6">
        <f t="shared" si="0"/>
        <v>4.5749999999999993</v>
      </c>
      <c r="F19" s="6" t="s">
        <v>117</v>
      </c>
      <c r="G19" s="6"/>
      <c r="H19" s="6"/>
      <c r="I19" s="6">
        <f t="shared" si="1"/>
        <v>0</v>
      </c>
      <c r="J19" s="6"/>
      <c r="K19" s="6"/>
      <c r="L19" s="6">
        <f t="shared" si="2"/>
        <v>0</v>
      </c>
    </row>
    <row r="20" spans="2:12" x14ac:dyDescent="0.3">
      <c r="B20" s="6"/>
      <c r="C20" s="6"/>
      <c r="D20" s="6"/>
      <c r="E20" s="6">
        <f t="shared" si="0"/>
        <v>0</v>
      </c>
      <c r="F20" s="6"/>
      <c r="G20" s="6"/>
      <c r="H20" s="6"/>
      <c r="I20" s="6">
        <f t="shared" si="1"/>
        <v>0</v>
      </c>
      <c r="J20" s="6"/>
      <c r="K20" s="6"/>
      <c r="L20" s="6">
        <f t="shared" si="2"/>
        <v>0</v>
      </c>
    </row>
    <row r="21" spans="2:12" x14ac:dyDescent="0.3">
      <c r="B21" s="6" t="s">
        <v>283</v>
      </c>
      <c r="C21" s="6">
        <v>4.25</v>
      </c>
      <c r="D21" s="6">
        <v>5.85</v>
      </c>
      <c r="E21" s="6">
        <f t="shared" si="0"/>
        <v>24.862499999999997</v>
      </c>
      <c r="F21" s="6" t="s">
        <v>116</v>
      </c>
      <c r="G21" s="6"/>
      <c r="H21" s="6"/>
      <c r="I21" s="6">
        <f t="shared" si="1"/>
        <v>0</v>
      </c>
      <c r="J21" s="6"/>
      <c r="K21" s="6"/>
      <c r="L21" s="6">
        <f t="shared" si="2"/>
        <v>0</v>
      </c>
    </row>
    <row r="22" spans="2:12" x14ac:dyDescent="0.3">
      <c r="B22" s="6"/>
      <c r="C22" s="6">
        <v>1.2</v>
      </c>
      <c r="D22" s="6">
        <v>1.2</v>
      </c>
      <c r="E22" s="6">
        <f t="shared" si="0"/>
        <v>1.44</v>
      </c>
      <c r="F22" s="6" t="s">
        <v>117</v>
      </c>
      <c r="G22" s="6"/>
      <c r="H22" s="6"/>
      <c r="I22" s="6">
        <f t="shared" si="1"/>
        <v>0</v>
      </c>
      <c r="J22" s="6"/>
      <c r="K22" s="6"/>
      <c r="L22" s="6">
        <f t="shared" si="2"/>
        <v>0</v>
      </c>
    </row>
    <row r="23" spans="2:12" x14ac:dyDescent="0.3">
      <c r="B23" s="6"/>
      <c r="C23" s="6">
        <v>3.05</v>
      </c>
      <c r="D23" s="6">
        <v>1.5</v>
      </c>
      <c r="E23" s="6">
        <f t="shared" si="0"/>
        <v>4.5749999999999993</v>
      </c>
      <c r="F23" s="6"/>
      <c r="G23" s="6"/>
      <c r="H23" s="6"/>
      <c r="I23" s="6">
        <f t="shared" si="1"/>
        <v>0</v>
      </c>
      <c r="J23" s="6"/>
      <c r="K23" s="6"/>
      <c r="L23" s="6">
        <f t="shared" si="2"/>
        <v>0</v>
      </c>
    </row>
    <row r="24" spans="2:12" x14ac:dyDescent="0.3">
      <c r="B24" s="6" t="s">
        <v>282</v>
      </c>
      <c r="C24" s="6">
        <v>3.95</v>
      </c>
      <c r="D24" s="6">
        <v>3.95</v>
      </c>
      <c r="E24" s="6">
        <f t="shared" si="0"/>
        <v>15.602500000000001</v>
      </c>
      <c r="F24" s="6" t="s">
        <v>121</v>
      </c>
      <c r="G24" s="6"/>
      <c r="H24" s="6"/>
      <c r="I24" s="6">
        <f t="shared" si="1"/>
        <v>0</v>
      </c>
      <c r="J24" s="6"/>
      <c r="K24" s="6"/>
      <c r="L24" s="6">
        <f t="shared" si="2"/>
        <v>0</v>
      </c>
    </row>
    <row r="25" spans="2:12" x14ac:dyDescent="0.3">
      <c r="B25" s="6" t="s">
        <v>122</v>
      </c>
      <c r="C25" s="6">
        <v>2.65</v>
      </c>
      <c r="D25" s="6">
        <v>1.5</v>
      </c>
      <c r="E25" s="6">
        <f t="shared" si="0"/>
        <v>3.9749999999999996</v>
      </c>
      <c r="F25" s="6" t="s">
        <v>121</v>
      </c>
      <c r="G25" s="6"/>
      <c r="H25" s="6"/>
      <c r="I25" s="6">
        <f t="shared" si="1"/>
        <v>0</v>
      </c>
      <c r="J25" s="6"/>
      <c r="K25" s="6"/>
      <c r="L25" s="6">
        <f t="shared" si="2"/>
        <v>0</v>
      </c>
    </row>
    <row r="26" spans="2:12" x14ac:dyDescent="0.3">
      <c r="B26" s="6" t="s">
        <v>123</v>
      </c>
      <c r="C26" s="6">
        <v>1.5</v>
      </c>
      <c r="D26" s="6">
        <v>1.8</v>
      </c>
      <c r="E26" s="6">
        <f t="shared" si="0"/>
        <v>2.7</v>
      </c>
      <c r="F26" s="6" t="s">
        <v>121</v>
      </c>
      <c r="G26" s="6"/>
      <c r="H26" s="6"/>
      <c r="I26" s="6">
        <f t="shared" si="1"/>
        <v>0</v>
      </c>
      <c r="J26" s="6"/>
      <c r="K26" s="6"/>
      <c r="L26" s="6">
        <f t="shared" si="2"/>
        <v>0</v>
      </c>
    </row>
    <row r="27" spans="2:12" x14ac:dyDescent="0.3">
      <c r="B27" s="6"/>
      <c r="C27" s="6"/>
      <c r="D27" s="6"/>
      <c r="E27" s="6">
        <f t="shared" si="0"/>
        <v>0</v>
      </c>
      <c r="F27" s="6"/>
      <c r="G27" s="6"/>
      <c r="H27" s="6"/>
      <c r="I27" s="6">
        <f t="shared" si="1"/>
        <v>0</v>
      </c>
      <c r="J27" s="6"/>
      <c r="K27" s="6"/>
      <c r="L27" s="6">
        <f t="shared" si="2"/>
        <v>0</v>
      </c>
    </row>
    <row r="28" spans="2:12" x14ac:dyDescent="0.3">
      <c r="B28" s="6" t="s">
        <v>124</v>
      </c>
      <c r="C28" s="6">
        <v>5.65</v>
      </c>
      <c r="D28" s="6">
        <v>1.2</v>
      </c>
      <c r="E28" s="6">
        <f t="shared" si="0"/>
        <v>6.78</v>
      </c>
      <c r="F28" s="6"/>
      <c r="G28" s="6"/>
      <c r="H28" s="6"/>
      <c r="I28" s="6">
        <f t="shared" si="1"/>
        <v>0</v>
      </c>
      <c r="J28" s="6"/>
      <c r="K28" s="6"/>
      <c r="L28" s="6">
        <f t="shared" si="2"/>
        <v>0</v>
      </c>
    </row>
    <row r="29" spans="2:12" x14ac:dyDescent="0.3">
      <c r="B29" s="6" t="s">
        <v>284</v>
      </c>
      <c r="C29" s="6">
        <v>2.6</v>
      </c>
      <c r="D29" s="6">
        <v>1.95</v>
      </c>
      <c r="E29" s="6">
        <f t="shared" si="0"/>
        <v>5.07</v>
      </c>
      <c r="F29" s="6"/>
      <c r="G29" s="6"/>
      <c r="H29" s="6"/>
      <c r="I29" s="6">
        <f t="shared" si="1"/>
        <v>0</v>
      </c>
      <c r="J29" s="6"/>
      <c r="K29" s="6"/>
      <c r="L29" s="6">
        <f t="shared" si="2"/>
        <v>0</v>
      </c>
    </row>
    <row r="30" spans="2:12" x14ac:dyDescent="0.3">
      <c r="B30" s="6" t="s">
        <v>125</v>
      </c>
      <c r="C30" s="6">
        <v>2.0499999999999998</v>
      </c>
      <c r="D30" s="6">
        <v>1.2</v>
      </c>
      <c r="E30" s="6">
        <f t="shared" si="0"/>
        <v>2.4599999999999995</v>
      </c>
      <c r="F30" s="6"/>
      <c r="G30" s="6"/>
      <c r="H30" s="6"/>
      <c r="I30" s="6">
        <f t="shared" si="1"/>
        <v>0</v>
      </c>
      <c r="J30" s="6"/>
      <c r="K30" s="6"/>
      <c r="L30" s="6">
        <f t="shared" si="2"/>
        <v>0</v>
      </c>
    </row>
    <row r="31" spans="2:12" x14ac:dyDescent="0.3">
      <c r="B31" s="6" t="s">
        <v>126</v>
      </c>
      <c r="C31" s="6"/>
      <c r="D31" s="6"/>
      <c r="E31" s="6">
        <f t="shared" si="0"/>
        <v>0</v>
      </c>
      <c r="F31" s="6"/>
      <c r="G31" s="6"/>
      <c r="H31" s="6"/>
      <c r="I31" s="6">
        <f>G31*H31</f>
        <v>0</v>
      </c>
      <c r="J31" s="6"/>
      <c r="K31" s="6"/>
      <c r="L31" s="6">
        <f>J31*K31</f>
        <v>0</v>
      </c>
    </row>
    <row r="32" spans="2:12" x14ac:dyDescent="0.3">
      <c r="B32" s="6"/>
      <c r="C32" s="6"/>
      <c r="D32" s="6"/>
      <c r="E32" s="6">
        <f t="shared" si="0"/>
        <v>0</v>
      </c>
      <c r="F32" s="6"/>
      <c r="G32" s="6"/>
      <c r="H32" s="6"/>
      <c r="I32" s="6">
        <f>G32*H32</f>
        <v>0</v>
      </c>
      <c r="J32" s="6"/>
      <c r="K32" s="6"/>
      <c r="L32" s="6">
        <f>J32*K32</f>
        <v>0</v>
      </c>
    </row>
    <row r="33" spans="2:12" x14ac:dyDescent="0.3">
      <c r="B33" s="6"/>
      <c r="C33" s="6"/>
      <c r="D33" s="6"/>
      <c r="E33" s="6">
        <f t="shared" si="0"/>
        <v>0</v>
      </c>
      <c r="F33" s="6"/>
      <c r="G33" s="6"/>
      <c r="H33" s="6"/>
      <c r="I33" s="6">
        <f>G33*H33</f>
        <v>0</v>
      </c>
      <c r="J33" s="6"/>
      <c r="K33" s="6"/>
      <c r="L33" s="6">
        <f>J33*K33</f>
        <v>0</v>
      </c>
    </row>
    <row r="34" spans="2:12" x14ac:dyDescent="0.3">
      <c r="B34" s="6"/>
      <c r="C34" s="6"/>
      <c r="D34" s="6"/>
      <c r="E34" s="6">
        <f t="shared" si="0"/>
        <v>0</v>
      </c>
      <c r="F34" s="6"/>
      <c r="G34" s="6"/>
      <c r="H34" s="6"/>
      <c r="I34" s="6">
        <f>G34*H34</f>
        <v>0</v>
      </c>
      <c r="J34" s="6"/>
      <c r="K34" s="6"/>
      <c r="L34" s="6">
        <f>J34*K34</f>
        <v>0</v>
      </c>
    </row>
    <row r="35" spans="2:12" x14ac:dyDescent="0.3">
      <c r="B35" s="6" t="s">
        <v>78</v>
      </c>
      <c r="C35" s="6"/>
      <c r="D35" s="6">
        <f>E35*10.764</f>
        <v>2278.5773399999994</v>
      </c>
      <c r="E35" s="6">
        <f>SUM(E6:E34)</f>
        <v>211.68499999999995</v>
      </c>
      <c r="F35" s="6"/>
      <c r="G35" s="6"/>
      <c r="H35" s="6">
        <f>I35*10.764</f>
        <v>263.58344999999997</v>
      </c>
      <c r="I35" s="6">
        <f>SUM(I6:I34)</f>
        <v>24.487500000000001</v>
      </c>
      <c r="J35" s="6"/>
      <c r="K35" s="6">
        <f>L35*10.764</f>
        <v>0</v>
      </c>
      <c r="L35" s="6">
        <f>SUM(L6:L34)</f>
        <v>0</v>
      </c>
    </row>
    <row r="37" spans="2:12" x14ac:dyDescent="0.3">
      <c r="D37">
        <f>D35+H35</f>
        <v>2542.1607899999995</v>
      </c>
      <c r="E37">
        <f>E35+I35</f>
        <v>236.17249999999996</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7"/>
  <sheetViews>
    <sheetView topLeftCell="A22" workbookViewId="0">
      <selection activeCell="F7" sqref="F7"/>
    </sheetView>
  </sheetViews>
  <sheetFormatPr defaultRowHeight="14.4" x14ac:dyDescent="0.3"/>
  <cols>
    <col min="2" max="2" width="12.33203125" customWidth="1"/>
  </cols>
  <sheetData>
    <row r="2" spans="1:12" x14ac:dyDescent="0.3">
      <c r="B2" s="2" t="s">
        <v>107</v>
      </c>
      <c r="C2" s="236" t="s">
        <v>286</v>
      </c>
      <c r="D2" s="236"/>
    </row>
    <row r="3" spans="1:12" x14ac:dyDescent="0.3">
      <c r="D3" s="3"/>
      <c r="E3" s="3"/>
      <c r="F3" s="3"/>
      <c r="G3" s="3"/>
      <c r="H3" s="3"/>
      <c r="I3" s="3"/>
    </row>
    <row r="4" spans="1:12" x14ac:dyDescent="0.3">
      <c r="A4" s="2" t="s">
        <v>108</v>
      </c>
      <c r="B4" s="4" t="s">
        <v>109</v>
      </c>
      <c r="C4" s="237" t="s">
        <v>110</v>
      </c>
      <c r="D4" s="237"/>
      <c r="E4" s="237"/>
      <c r="F4" s="5"/>
      <c r="G4" s="237" t="s">
        <v>111</v>
      </c>
      <c r="H4" s="237"/>
      <c r="I4" s="237"/>
      <c r="J4" s="237" t="s">
        <v>112</v>
      </c>
      <c r="K4" s="237"/>
      <c r="L4" s="237"/>
    </row>
    <row r="5" spans="1:12" x14ac:dyDescent="0.3">
      <c r="A5" s="2">
        <v>1</v>
      </c>
      <c r="B5" s="4"/>
      <c r="C5" s="4" t="s">
        <v>113</v>
      </c>
      <c r="D5" s="4" t="s">
        <v>114</v>
      </c>
      <c r="E5" s="4" t="s">
        <v>77</v>
      </c>
      <c r="F5" s="4"/>
      <c r="G5" s="4" t="s">
        <v>113</v>
      </c>
      <c r="H5" s="4" t="s">
        <v>114</v>
      </c>
      <c r="I5" s="4" t="s">
        <v>77</v>
      </c>
      <c r="J5" s="4" t="s">
        <v>113</v>
      </c>
      <c r="K5" s="4" t="s">
        <v>114</v>
      </c>
      <c r="L5" s="4" t="s">
        <v>77</v>
      </c>
    </row>
    <row r="6" spans="1:12" x14ac:dyDescent="0.3">
      <c r="B6" s="6" t="s">
        <v>115</v>
      </c>
      <c r="C6" s="6">
        <v>2.15</v>
      </c>
      <c r="D6" s="6">
        <v>1.75</v>
      </c>
      <c r="E6" s="6">
        <f>C6*D6</f>
        <v>3.7624999999999997</v>
      </c>
      <c r="F6" s="6" t="s">
        <v>287</v>
      </c>
      <c r="G6" s="6">
        <v>11.5</v>
      </c>
      <c r="H6" s="6">
        <v>1.5</v>
      </c>
      <c r="I6" s="6">
        <f>G6*H6</f>
        <v>17.25</v>
      </c>
      <c r="J6" s="6">
        <v>21.5</v>
      </c>
      <c r="K6" s="6">
        <v>2.25</v>
      </c>
      <c r="L6" s="6">
        <f>J6*K6</f>
        <v>48.375</v>
      </c>
    </row>
    <row r="7" spans="1:12" x14ac:dyDescent="0.3">
      <c r="B7" s="6"/>
      <c r="C7" s="6">
        <v>2.35</v>
      </c>
      <c r="D7" s="6">
        <v>3.65</v>
      </c>
      <c r="E7" s="6">
        <f t="shared" ref="E7:E34" si="0">C7*D7</f>
        <v>8.5775000000000006</v>
      </c>
      <c r="F7" s="6"/>
      <c r="G7" s="6"/>
      <c r="H7" s="6"/>
      <c r="I7" s="6">
        <f t="shared" ref="I7:I30" si="1">G7*H7</f>
        <v>0</v>
      </c>
      <c r="J7" s="6"/>
      <c r="K7" s="6"/>
      <c r="L7" s="6">
        <f t="shared" ref="L7:L30" si="2">J7*K7</f>
        <v>0</v>
      </c>
    </row>
    <row r="8" spans="1:12" x14ac:dyDescent="0.3">
      <c r="B8" s="6"/>
      <c r="C8" s="6">
        <v>6.35</v>
      </c>
      <c r="D8" s="6">
        <v>1.2</v>
      </c>
      <c r="E8" s="6">
        <f t="shared" si="0"/>
        <v>7.6199999999999992</v>
      </c>
      <c r="F8" s="6"/>
      <c r="G8" s="6"/>
      <c r="H8" s="6"/>
      <c r="I8" s="6">
        <f t="shared" si="1"/>
        <v>0</v>
      </c>
      <c r="J8" s="6"/>
      <c r="K8" s="6"/>
      <c r="L8" s="6">
        <f t="shared" si="2"/>
        <v>0</v>
      </c>
    </row>
    <row r="9" spans="1:12" x14ac:dyDescent="0.3">
      <c r="B9" s="6"/>
      <c r="C9" s="6">
        <v>5.45</v>
      </c>
      <c r="D9" s="6">
        <v>5.85</v>
      </c>
      <c r="E9" s="6">
        <f t="shared" si="0"/>
        <v>31.8825</v>
      </c>
      <c r="F9" s="6" t="s">
        <v>116</v>
      </c>
      <c r="G9" s="6"/>
      <c r="H9" s="6"/>
      <c r="I9" s="6">
        <f t="shared" si="1"/>
        <v>0</v>
      </c>
      <c r="J9" s="6"/>
      <c r="K9" s="6"/>
      <c r="L9" s="6">
        <f t="shared" si="2"/>
        <v>0</v>
      </c>
    </row>
    <row r="10" spans="1:12" x14ac:dyDescent="0.3">
      <c r="B10" s="6" t="s">
        <v>118</v>
      </c>
      <c r="C10" s="6">
        <v>5.45</v>
      </c>
      <c r="D10" s="6">
        <v>4.05</v>
      </c>
      <c r="E10" s="6">
        <f t="shared" si="0"/>
        <v>22.072499999999998</v>
      </c>
      <c r="F10" s="6" t="s">
        <v>116</v>
      </c>
      <c r="G10" s="6"/>
      <c r="H10" s="6"/>
      <c r="I10" s="6">
        <f t="shared" si="1"/>
        <v>0</v>
      </c>
      <c r="J10" s="6"/>
      <c r="K10" s="6"/>
      <c r="L10" s="6">
        <f t="shared" si="2"/>
        <v>0</v>
      </c>
    </row>
    <row r="11" spans="1:12" x14ac:dyDescent="0.3">
      <c r="B11" s="6"/>
      <c r="C11" s="6">
        <v>3.75</v>
      </c>
      <c r="D11" s="6">
        <v>2.35</v>
      </c>
      <c r="E11" s="6">
        <f t="shared" si="0"/>
        <v>8.8125</v>
      </c>
      <c r="F11" s="6" t="s">
        <v>117</v>
      </c>
      <c r="G11" s="6"/>
      <c r="H11" s="6"/>
      <c r="I11" s="6">
        <f t="shared" si="1"/>
        <v>0</v>
      </c>
      <c r="J11" s="6"/>
      <c r="K11" s="6"/>
      <c r="L11" s="6">
        <f t="shared" si="2"/>
        <v>0</v>
      </c>
    </row>
    <row r="12" spans="1:12" x14ac:dyDescent="0.3">
      <c r="B12" s="6"/>
      <c r="C12" s="6">
        <v>3.2</v>
      </c>
      <c r="D12" s="6">
        <v>1.3</v>
      </c>
      <c r="E12" s="6">
        <f t="shared" si="0"/>
        <v>4.16</v>
      </c>
      <c r="F12" s="6"/>
      <c r="G12" s="6"/>
      <c r="H12" s="6"/>
      <c r="I12" s="6">
        <f t="shared" si="1"/>
        <v>0</v>
      </c>
      <c r="J12" s="6"/>
      <c r="K12" s="6"/>
      <c r="L12" s="6">
        <f t="shared" si="2"/>
        <v>0</v>
      </c>
    </row>
    <row r="13" spans="1:12" x14ac:dyDescent="0.3">
      <c r="B13" s="6"/>
      <c r="C13" s="6">
        <v>2.6</v>
      </c>
      <c r="D13" s="6">
        <v>0.75</v>
      </c>
      <c r="E13" s="6">
        <f t="shared" si="0"/>
        <v>1.9500000000000002</v>
      </c>
      <c r="F13" s="6"/>
      <c r="G13" s="6"/>
      <c r="H13" s="6"/>
      <c r="I13" s="6">
        <f t="shared" si="1"/>
        <v>0</v>
      </c>
      <c r="J13" s="6"/>
      <c r="K13" s="6"/>
      <c r="L13" s="6">
        <f t="shared" si="2"/>
        <v>0</v>
      </c>
    </row>
    <row r="14" spans="1:12" x14ac:dyDescent="0.3">
      <c r="B14" s="6" t="s">
        <v>119</v>
      </c>
      <c r="C14" s="6">
        <v>4.25</v>
      </c>
      <c r="D14" s="6">
        <v>4.6500000000000004</v>
      </c>
      <c r="E14" s="6">
        <f t="shared" si="0"/>
        <v>19.762500000000003</v>
      </c>
      <c r="F14" s="6" t="s">
        <v>116</v>
      </c>
      <c r="G14" s="6"/>
      <c r="H14" s="6"/>
      <c r="I14" s="6">
        <f t="shared" si="1"/>
        <v>0</v>
      </c>
      <c r="J14" s="6"/>
      <c r="K14" s="6"/>
      <c r="L14" s="6">
        <f t="shared" si="2"/>
        <v>0</v>
      </c>
    </row>
    <row r="15" spans="1:12" x14ac:dyDescent="0.3">
      <c r="B15" s="6"/>
      <c r="C15" s="6">
        <v>2.4</v>
      </c>
      <c r="D15" s="6">
        <v>3.35</v>
      </c>
      <c r="E15" s="6">
        <f t="shared" si="0"/>
        <v>8.0399999999999991</v>
      </c>
      <c r="F15" s="6" t="s">
        <v>117</v>
      </c>
      <c r="G15" s="6"/>
      <c r="H15" s="6"/>
      <c r="I15" s="6">
        <f t="shared" si="1"/>
        <v>0</v>
      </c>
      <c r="J15" s="6"/>
      <c r="K15" s="6"/>
      <c r="L15" s="6">
        <f t="shared" si="2"/>
        <v>0</v>
      </c>
    </row>
    <row r="16" spans="1:12" x14ac:dyDescent="0.3">
      <c r="B16" s="6"/>
      <c r="C16" s="6">
        <v>1.65</v>
      </c>
      <c r="D16" s="6">
        <v>3.05</v>
      </c>
      <c r="E16" s="6">
        <f t="shared" si="0"/>
        <v>5.0324999999999998</v>
      </c>
      <c r="F16" s="6"/>
      <c r="G16" s="6"/>
      <c r="H16" s="6"/>
      <c r="I16" s="6">
        <f t="shared" si="1"/>
        <v>0</v>
      </c>
      <c r="J16" s="6"/>
      <c r="K16" s="6"/>
      <c r="L16" s="6">
        <f t="shared" si="2"/>
        <v>0</v>
      </c>
    </row>
    <row r="17" spans="2:12" x14ac:dyDescent="0.3">
      <c r="B17" s="6"/>
      <c r="C17" s="6"/>
      <c r="D17" s="6"/>
      <c r="E17" s="6">
        <f t="shared" si="0"/>
        <v>0</v>
      </c>
      <c r="F17" s="6"/>
      <c r="G17" s="6"/>
      <c r="H17" s="6"/>
      <c r="I17" s="6">
        <f t="shared" si="1"/>
        <v>0</v>
      </c>
      <c r="J17" s="6"/>
      <c r="K17" s="6"/>
      <c r="L17" s="6">
        <f t="shared" si="2"/>
        <v>0</v>
      </c>
    </row>
    <row r="18" spans="2:12" x14ac:dyDescent="0.3">
      <c r="B18" s="6" t="s">
        <v>120</v>
      </c>
      <c r="C18" s="6">
        <v>3.95</v>
      </c>
      <c r="D18" s="6">
        <v>4.55</v>
      </c>
      <c r="E18" s="6">
        <f t="shared" si="0"/>
        <v>17.9725</v>
      </c>
      <c r="F18" s="6" t="s">
        <v>116</v>
      </c>
      <c r="G18" s="6"/>
      <c r="H18" s="6"/>
      <c r="I18" s="6">
        <f t="shared" si="1"/>
        <v>0</v>
      </c>
      <c r="J18" s="6"/>
      <c r="K18" s="6"/>
      <c r="L18" s="6">
        <f t="shared" si="2"/>
        <v>0</v>
      </c>
    </row>
    <row r="19" spans="2:12" x14ac:dyDescent="0.3">
      <c r="B19" s="6"/>
      <c r="C19" s="6">
        <v>1.5</v>
      </c>
      <c r="D19" s="6">
        <v>3.05</v>
      </c>
      <c r="E19" s="6">
        <f t="shared" si="0"/>
        <v>4.5749999999999993</v>
      </c>
      <c r="F19" s="6" t="s">
        <v>117</v>
      </c>
      <c r="G19" s="6"/>
      <c r="H19" s="6"/>
      <c r="I19" s="6">
        <f t="shared" si="1"/>
        <v>0</v>
      </c>
      <c r="J19" s="6"/>
      <c r="K19" s="6"/>
      <c r="L19" s="6">
        <f t="shared" si="2"/>
        <v>0</v>
      </c>
    </row>
    <row r="20" spans="2:12" x14ac:dyDescent="0.3">
      <c r="B20" s="6"/>
      <c r="C20" s="6"/>
      <c r="D20" s="6"/>
      <c r="E20" s="6">
        <f t="shared" si="0"/>
        <v>0</v>
      </c>
      <c r="F20" s="6"/>
      <c r="G20" s="6"/>
      <c r="H20" s="6"/>
      <c r="I20" s="6">
        <f t="shared" si="1"/>
        <v>0</v>
      </c>
      <c r="J20" s="6"/>
      <c r="K20" s="6"/>
      <c r="L20" s="6">
        <f t="shared" si="2"/>
        <v>0</v>
      </c>
    </row>
    <row r="21" spans="2:12" x14ac:dyDescent="0.3">
      <c r="B21" s="6" t="s">
        <v>283</v>
      </c>
      <c r="C21" s="6">
        <v>4.25</v>
      </c>
      <c r="D21" s="6">
        <v>5.85</v>
      </c>
      <c r="E21" s="6">
        <f t="shared" si="0"/>
        <v>24.862499999999997</v>
      </c>
      <c r="F21" s="6" t="s">
        <v>116</v>
      </c>
      <c r="G21" s="6"/>
      <c r="H21" s="6"/>
      <c r="I21" s="6">
        <f t="shared" si="1"/>
        <v>0</v>
      </c>
      <c r="J21" s="6"/>
      <c r="K21" s="6"/>
      <c r="L21" s="6">
        <f t="shared" si="2"/>
        <v>0</v>
      </c>
    </row>
    <row r="22" spans="2:12" x14ac:dyDescent="0.3">
      <c r="B22" s="6"/>
      <c r="C22" s="6">
        <v>1.2</v>
      </c>
      <c r="D22" s="6">
        <v>1.2</v>
      </c>
      <c r="E22" s="6">
        <f t="shared" si="0"/>
        <v>1.44</v>
      </c>
      <c r="F22" s="6" t="s">
        <v>117</v>
      </c>
      <c r="G22" s="6"/>
      <c r="H22" s="6"/>
      <c r="I22" s="6">
        <f t="shared" si="1"/>
        <v>0</v>
      </c>
      <c r="J22" s="6"/>
      <c r="K22" s="6"/>
      <c r="L22" s="6">
        <f t="shared" si="2"/>
        <v>0</v>
      </c>
    </row>
    <row r="23" spans="2:12" x14ac:dyDescent="0.3">
      <c r="B23" s="6"/>
      <c r="C23" s="6">
        <v>3.05</v>
      </c>
      <c r="D23" s="6">
        <v>1.5</v>
      </c>
      <c r="E23" s="6">
        <f t="shared" si="0"/>
        <v>4.5749999999999993</v>
      </c>
      <c r="F23" s="6"/>
      <c r="G23" s="6"/>
      <c r="H23" s="6"/>
      <c r="I23" s="6">
        <f t="shared" si="1"/>
        <v>0</v>
      </c>
      <c r="J23" s="6"/>
      <c r="K23" s="6"/>
      <c r="L23" s="6">
        <f t="shared" si="2"/>
        <v>0</v>
      </c>
    </row>
    <row r="24" spans="2:12" x14ac:dyDescent="0.3">
      <c r="B24" s="6" t="s">
        <v>282</v>
      </c>
      <c r="C24" s="6">
        <v>3.95</v>
      </c>
      <c r="D24" s="6">
        <v>3.95</v>
      </c>
      <c r="E24" s="6">
        <f t="shared" si="0"/>
        <v>15.602500000000001</v>
      </c>
      <c r="F24" s="6" t="s">
        <v>121</v>
      </c>
      <c r="G24" s="6"/>
      <c r="H24" s="6"/>
      <c r="I24" s="6">
        <f t="shared" si="1"/>
        <v>0</v>
      </c>
      <c r="J24" s="6"/>
      <c r="K24" s="6"/>
      <c r="L24" s="6">
        <f t="shared" si="2"/>
        <v>0</v>
      </c>
    </row>
    <row r="25" spans="2:12" x14ac:dyDescent="0.3">
      <c r="B25" s="6" t="s">
        <v>122</v>
      </c>
      <c r="C25" s="6">
        <v>2.65</v>
      </c>
      <c r="D25" s="6">
        <v>1.5</v>
      </c>
      <c r="E25" s="6">
        <f t="shared" si="0"/>
        <v>3.9749999999999996</v>
      </c>
      <c r="F25" s="6" t="s">
        <v>121</v>
      </c>
      <c r="G25" s="6"/>
      <c r="H25" s="6"/>
      <c r="I25" s="6">
        <f t="shared" si="1"/>
        <v>0</v>
      </c>
      <c r="J25" s="6"/>
      <c r="K25" s="6"/>
      <c r="L25" s="6">
        <f t="shared" si="2"/>
        <v>0</v>
      </c>
    </row>
    <row r="26" spans="2:12" x14ac:dyDescent="0.3">
      <c r="B26" s="6" t="s">
        <v>123</v>
      </c>
      <c r="C26" s="6">
        <v>1.5</v>
      </c>
      <c r="D26" s="6">
        <v>1.8</v>
      </c>
      <c r="E26" s="6">
        <f t="shared" si="0"/>
        <v>2.7</v>
      </c>
      <c r="F26" s="6" t="s">
        <v>121</v>
      </c>
      <c r="G26" s="6"/>
      <c r="H26" s="6"/>
      <c r="I26" s="6">
        <f t="shared" si="1"/>
        <v>0</v>
      </c>
      <c r="J26" s="6"/>
      <c r="K26" s="6"/>
      <c r="L26" s="6">
        <f t="shared" si="2"/>
        <v>0</v>
      </c>
    </row>
    <row r="27" spans="2:12" x14ac:dyDescent="0.3">
      <c r="B27" s="6"/>
      <c r="C27" s="6"/>
      <c r="D27" s="6"/>
      <c r="E27" s="6">
        <f t="shared" si="0"/>
        <v>0</v>
      </c>
      <c r="F27" s="6"/>
      <c r="G27" s="6"/>
      <c r="H27" s="6"/>
      <c r="I27" s="6">
        <f t="shared" si="1"/>
        <v>0</v>
      </c>
      <c r="J27" s="6"/>
      <c r="K27" s="6"/>
      <c r="L27" s="6">
        <f t="shared" si="2"/>
        <v>0</v>
      </c>
    </row>
    <row r="28" spans="2:12" x14ac:dyDescent="0.3">
      <c r="B28" s="6" t="s">
        <v>124</v>
      </c>
      <c r="C28" s="6">
        <v>5.65</v>
      </c>
      <c r="D28" s="6">
        <v>1.2</v>
      </c>
      <c r="E28" s="6">
        <f t="shared" si="0"/>
        <v>6.78</v>
      </c>
      <c r="F28" s="6"/>
      <c r="G28" s="6"/>
      <c r="H28" s="6"/>
      <c r="I28" s="6">
        <f t="shared" si="1"/>
        <v>0</v>
      </c>
      <c r="J28" s="6"/>
      <c r="K28" s="6"/>
      <c r="L28" s="6">
        <f t="shared" si="2"/>
        <v>0</v>
      </c>
    </row>
    <row r="29" spans="2:12" x14ac:dyDescent="0.3">
      <c r="B29" s="6" t="s">
        <v>284</v>
      </c>
      <c r="C29" s="6">
        <v>2.6</v>
      </c>
      <c r="D29" s="6">
        <v>1.95</v>
      </c>
      <c r="E29" s="6">
        <f t="shared" si="0"/>
        <v>5.07</v>
      </c>
      <c r="F29" s="6"/>
      <c r="G29" s="6"/>
      <c r="H29" s="6"/>
      <c r="I29" s="6">
        <f t="shared" si="1"/>
        <v>0</v>
      </c>
      <c r="J29" s="6"/>
      <c r="K29" s="6"/>
      <c r="L29" s="6">
        <f t="shared" si="2"/>
        <v>0</v>
      </c>
    </row>
    <row r="30" spans="2:12" x14ac:dyDescent="0.3">
      <c r="B30" s="6" t="s">
        <v>125</v>
      </c>
      <c r="C30" s="6">
        <v>2.0499999999999998</v>
      </c>
      <c r="D30" s="6">
        <v>1.2</v>
      </c>
      <c r="E30" s="6">
        <f t="shared" si="0"/>
        <v>2.4599999999999995</v>
      </c>
      <c r="F30" s="6"/>
      <c r="G30" s="6"/>
      <c r="H30" s="6"/>
      <c r="I30" s="6">
        <f t="shared" si="1"/>
        <v>0</v>
      </c>
      <c r="J30" s="6"/>
      <c r="K30" s="6"/>
      <c r="L30" s="6">
        <f t="shared" si="2"/>
        <v>0</v>
      </c>
    </row>
    <row r="31" spans="2:12" x14ac:dyDescent="0.3">
      <c r="B31" s="6" t="s">
        <v>126</v>
      </c>
      <c r="C31" s="6"/>
      <c r="D31" s="6"/>
      <c r="E31" s="6">
        <f t="shared" si="0"/>
        <v>0</v>
      </c>
      <c r="F31" s="6"/>
      <c r="G31" s="6"/>
      <c r="H31" s="6"/>
      <c r="I31" s="6">
        <f>G31*H31</f>
        <v>0</v>
      </c>
      <c r="J31" s="6"/>
      <c r="K31" s="6"/>
      <c r="L31" s="6">
        <f>J31*K31</f>
        <v>0</v>
      </c>
    </row>
    <row r="32" spans="2:12" x14ac:dyDescent="0.3">
      <c r="B32" s="6"/>
      <c r="C32" s="6"/>
      <c r="D32" s="6"/>
      <c r="E32" s="6">
        <f t="shared" si="0"/>
        <v>0</v>
      </c>
      <c r="F32" s="6"/>
      <c r="G32" s="6"/>
      <c r="H32" s="6"/>
      <c r="I32" s="6">
        <f>G32*H32</f>
        <v>0</v>
      </c>
      <c r="J32" s="6"/>
      <c r="K32" s="6"/>
      <c r="L32" s="6">
        <f>J32*K32</f>
        <v>0</v>
      </c>
    </row>
    <row r="33" spans="2:12" x14ac:dyDescent="0.3">
      <c r="B33" s="6"/>
      <c r="C33" s="6"/>
      <c r="D33" s="6"/>
      <c r="E33" s="6">
        <f t="shared" si="0"/>
        <v>0</v>
      </c>
      <c r="F33" s="6"/>
      <c r="G33" s="6"/>
      <c r="H33" s="6"/>
      <c r="I33" s="6">
        <f>G33*H33</f>
        <v>0</v>
      </c>
      <c r="J33" s="6"/>
      <c r="K33" s="6"/>
      <c r="L33" s="6">
        <f>J33*K33</f>
        <v>0</v>
      </c>
    </row>
    <row r="34" spans="2:12" x14ac:dyDescent="0.3">
      <c r="B34" s="6"/>
      <c r="C34" s="6"/>
      <c r="D34" s="6"/>
      <c r="E34" s="6">
        <f t="shared" si="0"/>
        <v>0</v>
      </c>
      <c r="F34" s="6"/>
      <c r="G34" s="6"/>
      <c r="H34" s="6"/>
      <c r="I34" s="6">
        <f>G34*H34</f>
        <v>0</v>
      </c>
      <c r="J34" s="6"/>
      <c r="K34" s="6"/>
      <c r="L34" s="6">
        <f>J34*K34</f>
        <v>0</v>
      </c>
    </row>
    <row r="35" spans="2:12" x14ac:dyDescent="0.3">
      <c r="B35" s="6" t="s">
        <v>78</v>
      </c>
      <c r="C35" s="6"/>
      <c r="D35" s="6">
        <f>E35*10.764</f>
        <v>2278.5773399999994</v>
      </c>
      <c r="E35" s="6">
        <f>SUM(E6:E34)</f>
        <v>211.68499999999995</v>
      </c>
      <c r="F35" s="6"/>
      <c r="G35" s="6"/>
      <c r="H35" s="6">
        <f>I35*10.764</f>
        <v>185.679</v>
      </c>
      <c r="I35" s="6">
        <f>SUM(I6:I34)</f>
        <v>17.25</v>
      </c>
      <c r="J35" s="6"/>
      <c r="K35" s="6">
        <f>L35*10.764</f>
        <v>520.70849999999996</v>
      </c>
      <c r="L35" s="6">
        <f>SUM(L6:L34)</f>
        <v>48.375</v>
      </c>
    </row>
    <row r="37" spans="2:12" x14ac:dyDescent="0.3">
      <c r="D37">
        <f>D35+H35</f>
        <v>2464.2563399999995</v>
      </c>
      <c r="E37">
        <f>E35+I35</f>
        <v>228.93499999999995</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7"/>
  <sheetViews>
    <sheetView topLeftCell="A19" workbookViewId="0">
      <selection activeCell="N35" sqref="N35"/>
    </sheetView>
  </sheetViews>
  <sheetFormatPr defaultRowHeight="14.4" x14ac:dyDescent="0.3"/>
  <cols>
    <col min="2" max="2" width="12.33203125" customWidth="1"/>
  </cols>
  <sheetData>
    <row r="2" spans="1:12" x14ac:dyDescent="0.3">
      <c r="B2" s="2" t="s">
        <v>107</v>
      </c>
      <c r="C2" s="236" t="s">
        <v>288</v>
      </c>
      <c r="D2" s="236"/>
    </row>
    <row r="3" spans="1:12" x14ac:dyDescent="0.3">
      <c r="D3" s="3"/>
      <c r="E3" s="3"/>
      <c r="F3" s="3"/>
      <c r="G3" s="3"/>
      <c r="H3" s="3"/>
      <c r="I3" s="3"/>
    </row>
    <row r="4" spans="1:12" x14ac:dyDescent="0.3">
      <c r="A4" s="2" t="s">
        <v>108</v>
      </c>
      <c r="B4" s="4" t="s">
        <v>109</v>
      </c>
      <c r="C4" s="237" t="s">
        <v>110</v>
      </c>
      <c r="D4" s="237"/>
      <c r="E4" s="237"/>
      <c r="F4" s="5"/>
      <c r="G4" s="237" t="s">
        <v>111</v>
      </c>
      <c r="H4" s="237"/>
      <c r="I4" s="237"/>
      <c r="J4" s="237" t="s">
        <v>112</v>
      </c>
      <c r="K4" s="237"/>
      <c r="L4" s="237"/>
    </row>
    <row r="5" spans="1:12" x14ac:dyDescent="0.3">
      <c r="A5" s="2">
        <v>1</v>
      </c>
      <c r="B5" s="4"/>
      <c r="C5" s="4" t="s">
        <v>113</v>
      </c>
      <c r="D5" s="4" t="s">
        <v>114</v>
      </c>
      <c r="E5" s="4" t="s">
        <v>77</v>
      </c>
      <c r="F5" s="4"/>
      <c r="G5" s="4" t="s">
        <v>113</v>
      </c>
      <c r="H5" s="4" t="s">
        <v>114</v>
      </c>
      <c r="I5" s="4" t="s">
        <v>77</v>
      </c>
      <c r="J5" s="4" t="s">
        <v>113</v>
      </c>
      <c r="K5" s="4" t="s">
        <v>114</v>
      </c>
      <c r="L5" s="4" t="s">
        <v>77</v>
      </c>
    </row>
    <row r="6" spans="1:12" x14ac:dyDescent="0.3">
      <c r="B6" s="6" t="s">
        <v>115</v>
      </c>
      <c r="C6" s="6">
        <v>2.15</v>
      </c>
      <c r="D6" s="6">
        <v>1.75</v>
      </c>
      <c r="E6" s="6">
        <f>C6*D6</f>
        <v>3.7624999999999997</v>
      </c>
      <c r="F6" s="6" t="s">
        <v>285</v>
      </c>
      <c r="G6" s="6">
        <v>3.1</v>
      </c>
      <c r="H6" s="6">
        <v>0.75</v>
      </c>
      <c r="I6" s="6">
        <f>G6*H6</f>
        <v>2.3250000000000002</v>
      </c>
      <c r="J6" s="6"/>
      <c r="K6" s="6"/>
      <c r="L6" s="6">
        <f>J6*K6</f>
        <v>0</v>
      </c>
    </row>
    <row r="7" spans="1:12" x14ac:dyDescent="0.3">
      <c r="B7" s="6"/>
      <c r="C7" s="6">
        <v>2.35</v>
      </c>
      <c r="D7" s="6">
        <v>3.65</v>
      </c>
      <c r="E7" s="6">
        <f t="shared" ref="E7:E34" si="0">C7*D7</f>
        <v>8.5775000000000006</v>
      </c>
      <c r="F7" s="6" t="s">
        <v>285</v>
      </c>
      <c r="G7" s="6">
        <v>5.5</v>
      </c>
      <c r="H7" s="6">
        <v>0.75</v>
      </c>
      <c r="I7" s="6">
        <f t="shared" ref="I7:I30" si="1">G7*H7</f>
        <v>4.125</v>
      </c>
      <c r="J7" s="6"/>
      <c r="K7" s="6"/>
      <c r="L7" s="6">
        <f t="shared" ref="L7:L30" si="2">J7*K7</f>
        <v>0</v>
      </c>
    </row>
    <row r="8" spans="1:12" x14ac:dyDescent="0.3">
      <c r="B8" s="6"/>
      <c r="C8" s="6">
        <v>6.35</v>
      </c>
      <c r="D8" s="6">
        <v>1.2</v>
      </c>
      <c r="E8" s="6">
        <f t="shared" si="0"/>
        <v>7.6199999999999992</v>
      </c>
      <c r="F8" s="6" t="s">
        <v>289</v>
      </c>
      <c r="G8" s="6">
        <v>2.9</v>
      </c>
      <c r="H8" s="6">
        <v>1.5</v>
      </c>
      <c r="I8" s="6">
        <f t="shared" si="1"/>
        <v>4.3499999999999996</v>
      </c>
      <c r="J8" s="6"/>
      <c r="K8" s="6"/>
      <c r="L8" s="6">
        <f t="shared" si="2"/>
        <v>0</v>
      </c>
    </row>
    <row r="9" spans="1:12" x14ac:dyDescent="0.3">
      <c r="B9" s="6"/>
      <c r="C9" s="6">
        <v>5.45</v>
      </c>
      <c r="D9" s="6">
        <v>5.85</v>
      </c>
      <c r="E9" s="6">
        <f t="shared" si="0"/>
        <v>31.8825</v>
      </c>
      <c r="F9" s="6" t="s">
        <v>289</v>
      </c>
      <c r="G9" s="6">
        <v>21.7</v>
      </c>
      <c r="H9" s="6">
        <v>0.75</v>
      </c>
      <c r="I9" s="6">
        <f t="shared" si="1"/>
        <v>16.274999999999999</v>
      </c>
      <c r="J9" s="6"/>
      <c r="K9" s="6"/>
      <c r="L9" s="6">
        <f t="shared" si="2"/>
        <v>0</v>
      </c>
    </row>
    <row r="10" spans="1:12" x14ac:dyDescent="0.3">
      <c r="B10" s="6" t="s">
        <v>118</v>
      </c>
      <c r="C10" s="6">
        <v>5.45</v>
      </c>
      <c r="D10" s="6">
        <v>4.05</v>
      </c>
      <c r="E10" s="6">
        <f t="shared" si="0"/>
        <v>22.072499999999998</v>
      </c>
      <c r="F10" s="6" t="s">
        <v>116</v>
      </c>
      <c r="G10" s="6"/>
      <c r="H10" s="6"/>
      <c r="I10" s="6">
        <f t="shared" si="1"/>
        <v>0</v>
      </c>
      <c r="J10" s="6"/>
      <c r="K10" s="6"/>
      <c r="L10" s="6">
        <f t="shared" si="2"/>
        <v>0</v>
      </c>
    </row>
    <row r="11" spans="1:12" x14ac:dyDescent="0.3">
      <c r="B11" s="6"/>
      <c r="C11" s="6">
        <v>3.75</v>
      </c>
      <c r="D11" s="6">
        <v>2.35</v>
      </c>
      <c r="E11" s="6">
        <f t="shared" si="0"/>
        <v>8.8125</v>
      </c>
      <c r="F11" s="6" t="s">
        <v>117</v>
      </c>
      <c r="G11" s="6"/>
      <c r="H11" s="6"/>
      <c r="I11" s="6">
        <f t="shared" si="1"/>
        <v>0</v>
      </c>
      <c r="J11" s="6"/>
      <c r="K11" s="6"/>
      <c r="L11" s="6">
        <f t="shared" si="2"/>
        <v>0</v>
      </c>
    </row>
    <row r="12" spans="1:12" x14ac:dyDescent="0.3">
      <c r="B12" s="6"/>
      <c r="C12" s="6">
        <v>3.2</v>
      </c>
      <c r="D12" s="6">
        <v>1.3</v>
      </c>
      <c r="E12" s="6">
        <f t="shared" si="0"/>
        <v>4.16</v>
      </c>
      <c r="F12" s="6"/>
      <c r="G12" s="6"/>
      <c r="H12" s="6"/>
      <c r="I12" s="6">
        <f t="shared" si="1"/>
        <v>0</v>
      </c>
      <c r="J12" s="6"/>
      <c r="K12" s="6"/>
      <c r="L12" s="6">
        <f t="shared" si="2"/>
        <v>0</v>
      </c>
    </row>
    <row r="13" spans="1:12" x14ac:dyDescent="0.3">
      <c r="B13" s="6"/>
      <c r="C13" s="6">
        <v>2.6</v>
      </c>
      <c r="D13" s="6">
        <v>0.75</v>
      </c>
      <c r="E13" s="6">
        <f t="shared" si="0"/>
        <v>1.9500000000000002</v>
      </c>
      <c r="F13" s="6"/>
      <c r="G13" s="6"/>
      <c r="H13" s="6"/>
      <c r="I13" s="6">
        <f t="shared" si="1"/>
        <v>0</v>
      </c>
      <c r="J13" s="6"/>
      <c r="K13" s="6"/>
      <c r="L13" s="6">
        <f t="shared" si="2"/>
        <v>0</v>
      </c>
    </row>
    <row r="14" spans="1:12" x14ac:dyDescent="0.3">
      <c r="B14" s="6" t="s">
        <v>119</v>
      </c>
      <c r="C14" s="6">
        <v>4.25</v>
      </c>
      <c r="D14" s="6">
        <v>4.6500000000000004</v>
      </c>
      <c r="E14" s="6">
        <f t="shared" si="0"/>
        <v>19.762500000000003</v>
      </c>
      <c r="F14" s="6" t="s">
        <v>116</v>
      </c>
      <c r="G14" s="6"/>
      <c r="H14" s="6"/>
      <c r="I14" s="6">
        <f t="shared" si="1"/>
        <v>0</v>
      </c>
      <c r="J14" s="6"/>
      <c r="K14" s="6"/>
      <c r="L14" s="6">
        <f t="shared" si="2"/>
        <v>0</v>
      </c>
    </row>
    <row r="15" spans="1:12" x14ac:dyDescent="0.3">
      <c r="B15" s="6"/>
      <c r="C15" s="6">
        <v>2.4</v>
      </c>
      <c r="D15" s="6">
        <v>3.35</v>
      </c>
      <c r="E15" s="6">
        <f t="shared" si="0"/>
        <v>8.0399999999999991</v>
      </c>
      <c r="F15" s="6" t="s">
        <v>117</v>
      </c>
      <c r="G15" s="6"/>
      <c r="H15" s="6"/>
      <c r="I15" s="6">
        <f t="shared" si="1"/>
        <v>0</v>
      </c>
      <c r="J15" s="6"/>
      <c r="K15" s="6"/>
      <c r="L15" s="6">
        <f t="shared" si="2"/>
        <v>0</v>
      </c>
    </row>
    <row r="16" spans="1:12" x14ac:dyDescent="0.3">
      <c r="B16" s="6"/>
      <c r="C16" s="6">
        <v>1.65</v>
      </c>
      <c r="D16" s="6">
        <v>3.05</v>
      </c>
      <c r="E16" s="6">
        <f t="shared" si="0"/>
        <v>5.0324999999999998</v>
      </c>
      <c r="F16" s="6"/>
      <c r="G16" s="6"/>
      <c r="H16" s="6"/>
      <c r="I16" s="6">
        <f t="shared" si="1"/>
        <v>0</v>
      </c>
      <c r="J16" s="6"/>
      <c r="K16" s="6"/>
      <c r="L16" s="6">
        <f t="shared" si="2"/>
        <v>0</v>
      </c>
    </row>
    <row r="17" spans="2:12" x14ac:dyDescent="0.3">
      <c r="B17" s="6"/>
      <c r="C17" s="6"/>
      <c r="D17" s="6"/>
      <c r="E17" s="6">
        <f t="shared" si="0"/>
        <v>0</v>
      </c>
      <c r="F17" s="6"/>
      <c r="G17" s="6"/>
      <c r="H17" s="6"/>
      <c r="I17" s="6">
        <f t="shared" si="1"/>
        <v>0</v>
      </c>
      <c r="J17" s="6"/>
      <c r="K17" s="6"/>
      <c r="L17" s="6">
        <f t="shared" si="2"/>
        <v>0</v>
      </c>
    </row>
    <row r="18" spans="2:12" x14ac:dyDescent="0.3">
      <c r="B18" s="6" t="s">
        <v>120</v>
      </c>
      <c r="C18" s="6">
        <v>3.95</v>
      </c>
      <c r="D18" s="6">
        <v>4.55</v>
      </c>
      <c r="E18" s="6">
        <f t="shared" si="0"/>
        <v>17.9725</v>
      </c>
      <c r="F18" s="6" t="s">
        <v>116</v>
      </c>
      <c r="G18" s="6"/>
      <c r="H18" s="6"/>
      <c r="I18" s="6">
        <f t="shared" si="1"/>
        <v>0</v>
      </c>
      <c r="J18" s="6"/>
      <c r="K18" s="6"/>
      <c r="L18" s="6">
        <f t="shared" si="2"/>
        <v>0</v>
      </c>
    </row>
    <row r="19" spans="2:12" x14ac:dyDescent="0.3">
      <c r="B19" s="6"/>
      <c r="C19" s="6">
        <v>1.5</v>
      </c>
      <c r="D19" s="6">
        <v>3.05</v>
      </c>
      <c r="E19" s="6">
        <f t="shared" si="0"/>
        <v>4.5749999999999993</v>
      </c>
      <c r="F19" s="6" t="s">
        <v>117</v>
      </c>
      <c r="G19" s="6"/>
      <c r="H19" s="6"/>
      <c r="I19" s="6">
        <f t="shared" si="1"/>
        <v>0</v>
      </c>
      <c r="J19" s="6"/>
      <c r="K19" s="6"/>
      <c r="L19" s="6">
        <f t="shared" si="2"/>
        <v>0</v>
      </c>
    </row>
    <row r="20" spans="2:12" x14ac:dyDescent="0.3">
      <c r="B20" s="6"/>
      <c r="C20" s="6"/>
      <c r="D20" s="6"/>
      <c r="E20" s="6">
        <f t="shared" si="0"/>
        <v>0</v>
      </c>
      <c r="F20" s="6"/>
      <c r="G20" s="6"/>
      <c r="H20" s="6"/>
      <c r="I20" s="6">
        <f t="shared" si="1"/>
        <v>0</v>
      </c>
      <c r="J20" s="6"/>
      <c r="K20" s="6"/>
      <c r="L20" s="6">
        <f t="shared" si="2"/>
        <v>0</v>
      </c>
    </row>
    <row r="21" spans="2:12" x14ac:dyDescent="0.3">
      <c r="B21" s="6" t="s">
        <v>283</v>
      </c>
      <c r="C21" s="6">
        <v>4.25</v>
      </c>
      <c r="D21" s="6">
        <v>5.85</v>
      </c>
      <c r="E21" s="6">
        <f t="shared" si="0"/>
        <v>24.862499999999997</v>
      </c>
      <c r="F21" s="6" t="s">
        <v>116</v>
      </c>
      <c r="G21" s="6"/>
      <c r="H21" s="6"/>
      <c r="I21" s="6">
        <f t="shared" si="1"/>
        <v>0</v>
      </c>
      <c r="J21" s="6"/>
      <c r="K21" s="6"/>
      <c r="L21" s="6">
        <f t="shared" si="2"/>
        <v>0</v>
      </c>
    </row>
    <row r="22" spans="2:12" x14ac:dyDescent="0.3">
      <c r="B22" s="6"/>
      <c r="C22" s="6">
        <v>1.2</v>
      </c>
      <c r="D22" s="6">
        <v>1.2</v>
      </c>
      <c r="E22" s="6">
        <f t="shared" si="0"/>
        <v>1.44</v>
      </c>
      <c r="F22" s="6" t="s">
        <v>117</v>
      </c>
      <c r="G22" s="6"/>
      <c r="H22" s="6"/>
      <c r="I22" s="6">
        <f t="shared" si="1"/>
        <v>0</v>
      </c>
      <c r="J22" s="6"/>
      <c r="K22" s="6"/>
      <c r="L22" s="6">
        <f t="shared" si="2"/>
        <v>0</v>
      </c>
    </row>
    <row r="23" spans="2:12" x14ac:dyDescent="0.3">
      <c r="B23" s="6"/>
      <c r="C23" s="6">
        <v>3.05</v>
      </c>
      <c r="D23" s="6">
        <v>1.5</v>
      </c>
      <c r="E23" s="6">
        <f t="shared" si="0"/>
        <v>4.5749999999999993</v>
      </c>
      <c r="F23" s="6"/>
      <c r="G23" s="6"/>
      <c r="H23" s="6"/>
      <c r="I23" s="6">
        <f t="shared" si="1"/>
        <v>0</v>
      </c>
      <c r="J23" s="6"/>
      <c r="K23" s="6"/>
      <c r="L23" s="6">
        <f t="shared" si="2"/>
        <v>0</v>
      </c>
    </row>
    <row r="24" spans="2:12" x14ac:dyDescent="0.3">
      <c r="B24" s="6" t="s">
        <v>282</v>
      </c>
      <c r="C24" s="6">
        <v>3.95</v>
      </c>
      <c r="D24" s="6">
        <v>3.95</v>
      </c>
      <c r="E24" s="6">
        <f t="shared" si="0"/>
        <v>15.602500000000001</v>
      </c>
      <c r="F24" s="6" t="s">
        <v>121</v>
      </c>
      <c r="G24" s="6"/>
      <c r="H24" s="6"/>
      <c r="I24" s="6">
        <f t="shared" si="1"/>
        <v>0</v>
      </c>
      <c r="J24" s="6"/>
      <c r="K24" s="6"/>
      <c r="L24" s="6">
        <f t="shared" si="2"/>
        <v>0</v>
      </c>
    </row>
    <row r="25" spans="2:12" x14ac:dyDescent="0.3">
      <c r="B25" s="6" t="s">
        <v>122</v>
      </c>
      <c r="C25" s="6">
        <v>2.65</v>
      </c>
      <c r="D25" s="6">
        <v>1.5</v>
      </c>
      <c r="E25" s="6">
        <f t="shared" si="0"/>
        <v>3.9749999999999996</v>
      </c>
      <c r="F25" s="6" t="s">
        <v>121</v>
      </c>
      <c r="G25" s="6"/>
      <c r="H25" s="6"/>
      <c r="I25" s="6">
        <f t="shared" si="1"/>
        <v>0</v>
      </c>
      <c r="J25" s="6"/>
      <c r="K25" s="6"/>
      <c r="L25" s="6">
        <f t="shared" si="2"/>
        <v>0</v>
      </c>
    </row>
    <row r="26" spans="2:12" x14ac:dyDescent="0.3">
      <c r="B26" s="6" t="s">
        <v>123</v>
      </c>
      <c r="C26" s="6">
        <v>1.5</v>
      </c>
      <c r="D26" s="6">
        <v>1.8</v>
      </c>
      <c r="E26" s="6">
        <f t="shared" si="0"/>
        <v>2.7</v>
      </c>
      <c r="F26" s="6" t="s">
        <v>121</v>
      </c>
      <c r="G26" s="6"/>
      <c r="H26" s="6"/>
      <c r="I26" s="6">
        <f t="shared" si="1"/>
        <v>0</v>
      </c>
      <c r="J26" s="6"/>
      <c r="K26" s="6"/>
      <c r="L26" s="6">
        <f t="shared" si="2"/>
        <v>0</v>
      </c>
    </row>
    <row r="27" spans="2:12" x14ac:dyDescent="0.3">
      <c r="B27" s="6"/>
      <c r="C27" s="6"/>
      <c r="D27" s="6"/>
      <c r="E27" s="6">
        <f t="shared" si="0"/>
        <v>0</v>
      </c>
      <c r="F27" s="6"/>
      <c r="G27" s="6"/>
      <c r="H27" s="6"/>
      <c r="I27" s="6">
        <f t="shared" si="1"/>
        <v>0</v>
      </c>
      <c r="J27" s="6"/>
      <c r="K27" s="6"/>
      <c r="L27" s="6">
        <f t="shared" si="2"/>
        <v>0</v>
      </c>
    </row>
    <row r="28" spans="2:12" x14ac:dyDescent="0.3">
      <c r="B28" s="6" t="s">
        <v>124</v>
      </c>
      <c r="C28" s="6">
        <v>5.65</v>
      </c>
      <c r="D28" s="6">
        <v>1.2</v>
      </c>
      <c r="E28" s="6">
        <f t="shared" si="0"/>
        <v>6.78</v>
      </c>
      <c r="F28" s="6"/>
      <c r="G28" s="6"/>
      <c r="H28" s="6"/>
      <c r="I28" s="6">
        <f t="shared" si="1"/>
        <v>0</v>
      </c>
      <c r="J28" s="6"/>
      <c r="K28" s="6"/>
      <c r="L28" s="6">
        <f t="shared" si="2"/>
        <v>0</v>
      </c>
    </row>
    <row r="29" spans="2:12" x14ac:dyDescent="0.3">
      <c r="B29" s="6" t="s">
        <v>284</v>
      </c>
      <c r="C29" s="6">
        <v>2.6</v>
      </c>
      <c r="D29" s="6">
        <v>1.95</v>
      </c>
      <c r="E29" s="6">
        <f t="shared" si="0"/>
        <v>5.07</v>
      </c>
      <c r="F29" s="6"/>
      <c r="G29" s="6"/>
      <c r="H29" s="6"/>
      <c r="I29" s="6">
        <f t="shared" si="1"/>
        <v>0</v>
      </c>
      <c r="J29" s="6"/>
      <c r="K29" s="6"/>
      <c r="L29" s="6">
        <f t="shared" si="2"/>
        <v>0</v>
      </c>
    </row>
    <row r="30" spans="2:12" x14ac:dyDescent="0.3">
      <c r="B30" s="6" t="s">
        <v>125</v>
      </c>
      <c r="C30" s="6">
        <v>2.0499999999999998</v>
      </c>
      <c r="D30" s="6">
        <v>1.2</v>
      </c>
      <c r="E30" s="6">
        <f t="shared" si="0"/>
        <v>2.4599999999999995</v>
      </c>
      <c r="F30" s="6"/>
      <c r="G30" s="6"/>
      <c r="H30" s="6"/>
      <c r="I30" s="6">
        <f t="shared" si="1"/>
        <v>0</v>
      </c>
      <c r="J30" s="6"/>
      <c r="K30" s="6"/>
      <c r="L30" s="6">
        <f t="shared" si="2"/>
        <v>0</v>
      </c>
    </row>
    <row r="31" spans="2:12" x14ac:dyDescent="0.3">
      <c r="B31" s="6" t="s">
        <v>126</v>
      </c>
      <c r="C31" s="6"/>
      <c r="D31" s="6"/>
      <c r="E31" s="6">
        <f t="shared" si="0"/>
        <v>0</v>
      </c>
      <c r="F31" s="6"/>
      <c r="G31" s="6"/>
      <c r="H31" s="6"/>
      <c r="I31" s="6">
        <f>G31*H31</f>
        <v>0</v>
      </c>
      <c r="J31" s="6"/>
      <c r="K31" s="6"/>
      <c r="L31" s="6">
        <f>J31*K31</f>
        <v>0</v>
      </c>
    </row>
    <row r="32" spans="2:12" x14ac:dyDescent="0.3">
      <c r="B32" s="6"/>
      <c r="C32" s="6"/>
      <c r="D32" s="6"/>
      <c r="E32" s="6">
        <f t="shared" si="0"/>
        <v>0</v>
      </c>
      <c r="F32" s="6"/>
      <c r="G32" s="6"/>
      <c r="H32" s="6"/>
      <c r="I32" s="6">
        <f>G32*H32</f>
        <v>0</v>
      </c>
      <c r="J32" s="6"/>
      <c r="K32" s="6"/>
      <c r="L32" s="6">
        <f>J32*K32</f>
        <v>0</v>
      </c>
    </row>
    <row r="33" spans="2:12" x14ac:dyDescent="0.3">
      <c r="B33" s="6"/>
      <c r="C33" s="6"/>
      <c r="D33" s="6"/>
      <c r="E33" s="6">
        <f t="shared" si="0"/>
        <v>0</v>
      </c>
      <c r="F33" s="6"/>
      <c r="G33" s="6"/>
      <c r="H33" s="6"/>
      <c r="I33" s="6">
        <f>G33*H33</f>
        <v>0</v>
      </c>
      <c r="J33" s="6"/>
      <c r="K33" s="6"/>
      <c r="L33" s="6">
        <f>J33*K33</f>
        <v>0</v>
      </c>
    </row>
    <row r="34" spans="2:12" x14ac:dyDescent="0.3">
      <c r="B34" s="6"/>
      <c r="C34" s="6"/>
      <c r="D34" s="6"/>
      <c r="E34" s="6">
        <f t="shared" si="0"/>
        <v>0</v>
      </c>
      <c r="F34" s="6"/>
      <c r="G34" s="6"/>
      <c r="H34" s="6"/>
      <c r="I34" s="6">
        <f>G34*H34</f>
        <v>0</v>
      </c>
      <c r="J34" s="6"/>
      <c r="K34" s="6"/>
      <c r="L34" s="6">
        <f>J34*K34</f>
        <v>0</v>
      </c>
    </row>
    <row r="35" spans="2:12" x14ac:dyDescent="0.3">
      <c r="B35" s="6" t="s">
        <v>78</v>
      </c>
      <c r="C35" s="6"/>
      <c r="D35" s="6">
        <f>E35*10.764</f>
        <v>2278.5773399999994</v>
      </c>
      <c r="E35" s="6">
        <f>SUM(E6:E34)</f>
        <v>211.68499999999995</v>
      </c>
      <c r="F35" s="6"/>
      <c r="G35" s="6"/>
      <c r="H35" s="6">
        <f>I35*10.764</f>
        <v>291.43529999999998</v>
      </c>
      <c r="I35" s="6">
        <f>SUM(I6:I34)</f>
        <v>27.074999999999999</v>
      </c>
      <c r="J35" s="6"/>
      <c r="K35" s="6">
        <f>L35*10.764</f>
        <v>0</v>
      </c>
      <c r="L35" s="6">
        <f>SUM(L6:L34)</f>
        <v>0</v>
      </c>
    </row>
    <row r="37" spans="2:12" x14ac:dyDescent="0.3">
      <c r="D37">
        <f>D35+H35</f>
        <v>2570.0126399999995</v>
      </c>
      <c r="E37">
        <f>E35+I35</f>
        <v>238.75999999999993</v>
      </c>
    </row>
  </sheetData>
  <mergeCells count="4">
    <mergeCell ref="C2:D2"/>
    <mergeCell ref="C4:E4"/>
    <mergeCell ref="G4:I4"/>
    <mergeCell ref="J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7"/>
  <sheetViews>
    <sheetView topLeftCell="A16" workbookViewId="0">
      <selection activeCell="C3" sqref="C3"/>
    </sheetView>
  </sheetViews>
  <sheetFormatPr defaultRowHeight="14.4" x14ac:dyDescent="0.3"/>
  <cols>
    <col min="2" max="2" width="12.33203125" customWidth="1"/>
  </cols>
  <sheetData>
    <row r="2" spans="1:12" x14ac:dyDescent="0.3">
      <c r="B2" s="2" t="s">
        <v>107</v>
      </c>
      <c r="C2" s="236" t="s">
        <v>291</v>
      </c>
      <c r="D2" s="236"/>
    </row>
    <row r="3" spans="1:12" x14ac:dyDescent="0.3">
      <c r="D3" s="3"/>
      <c r="E3" s="3"/>
      <c r="F3" s="3"/>
      <c r="G3" s="3"/>
      <c r="H3" s="3"/>
      <c r="I3" s="3"/>
    </row>
    <row r="4" spans="1:12" x14ac:dyDescent="0.3">
      <c r="A4" s="2" t="s">
        <v>108</v>
      </c>
      <c r="B4" s="4" t="s">
        <v>109</v>
      </c>
      <c r="C4" s="237" t="s">
        <v>110</v>
      </c>
      <c r="D4" s="237"/>
      <c r="E4" s="237"/>
      <c r="F4" s="5"/>
      <c r="G4" s="237" t="s">
        <v>111</v>
      </c>
      <c r="H4" s="237"/>
      <c r="I4" s="237"/>
      <c r="J4" s="237" t="s">
        <v>112</v>
      </c>
      <c r="K4" s="237"/>
      <c r="L4" s="237"/>
    </row>
    <row r="5" spans="1:12" x14ac:dyDescent="0.3">
      <c r="A5" s="2">
        <v>1</v>
      </c>
      <c r="B5" s="4"/>
      <c r="C5" s="4" t="s">
        <v>113</v>
      </c>
      <c r="D5" s="4" t="s">
        <v>114</v>
      </c>
      <c r="E5" s="4" t="s">
        <v>77</v>
      </c>
      <c r="F5" s="4"/>
      <c r="G5" s="4" t="s">
        <v>113</v>
      </c>
      <c r="H5" s="4" t="s">
        <v>114</v>
      </c>
      <c r="I5" s="4" t="s">
        <v>77</v>
      </c>
      <c r="J5" s="4" t="s">
        <v>113</v>
      </c>
      <c r="K5" s="4" t="s">
        <v>114</v>
      </c>
      <c r="L5" s="4" t="s">
        <v>77</v>
      </c>
    </row>
    <row r="6" spans="1:12" x14ac:dyDescent="0.3">
      <c r="B6" s="6" t="s">
        <v>115</v>
      </c>
      <c r="C6" s="6">
        <v>2.15</v>
      </c>
      <c r="D6" s="6">
        <v>1.75</v>
      </c>
      <c r="E6" s="6">
        <f>C6*D6</f>
        <v>3.7624999999999997</v>
      </c>
      <c r="F6" s="6" t="s">
        <v>285</v>
      </c>
      <c r="G6" s="6">
        <v>11.1</v>
      </c>
      <c r="H6" s="6">
        <v>0.75</v>
      </c>
      <c r="I6" s="6">
        <f>G6*H6</f>
        <v>8.3249999999999993</v>
      </c>
      <c r="J6" s="6"/>
      <c r="K6" s="6"/>
      <c r="L6" s="6">
        <f>J6*K6</f>
        <v>0</v>
      </c>
    </row>
    <row r="7" spans="1:12" x14ac:dyDescent="0.3">
      <c r="B7" s="6"/>
      <c r="C7" s="6">
        <v>2.35</v>
      </c>
      <c r="D7" s="6">
        <v>3.65</v>
      </c>
      <c r="E7" s="6">
        <f t="shared" ref="E7:E34" si="0">C7*D7</f>
        <v>8.5775000000000006</v>
      </c>
      <c r="F7" s="6" t="s">
        <v>285</v>
      </c>
      <c r="G7" s="6">
        <v>21.55</v>
      </c>
      <c r="H7" s="6">
        <v>0.75</v>
      </c>
      <c r="I7" s="6">
        <f t="shared" ref="I7:I30" si="1">G7*H7</f>
        <v>16.162500000000001</v>
      </c>
      <c r="J7" s="6"/>
      <c r="K7" s="6"/>
      <c r="L7" s="6">
        <f t="shared" ref="L7:L30" si="2">J7*K7</f>
        <v>0</v>
      </c>
    </row>
    <row r="8" spans="1:12" x14ac:dyDescent="0.3">
      <c r="B8" s="6"/>
      <c r="C8" s="6">
        <v>6.35</v>
      </c>
      <c r="D8" s="6">
        <v>1.2</v>
      </c>
      <c r="E8" s="6">
        <f t="shared" si="0"/>
        <v>7.6199999999999992</v>
      </c>
      <c r="F8" s="6"/>
      <c r="G8" s="6"/>
      <c r="H8" s="6"/>
      <c r="I8" s="6">
        <f t="shared" si="1"/>
        <v>0</v>
      </c>
      <c r="J8" s="6"/>
      <c r="K8" s="6"/>
      <c r="L8" s="6">
        <f t="shared" si="2"/>
        <v>0</v>
      </c>
    </row>
    <row r="9" spans="1:12" x14ac:dyDescent="0.3">
      <c r="B9" s="6"/>
      <c r="C9" s="6">
        <v>5.45</v>
      </c>
      <c r="D9" s="6">
        <v>5.85</v>
      </c>
      <c r="E9" s="6">
        <f t="shared" si="0"/>
        <v>31.8825</v>
      </c>
      <c r="F9" s="6" t="s">
        <v>116</v>
      </c>
      <c r="G9" s="6"/>
      <c r="H9" s="6"/>
      <c r="I9" s="6">
        <f t="shared" si="1"/>
        <v>0</v>
      </c>
      <c r="J9" s="6"/>
      <c r="K9" s="6"/>
      <c r="L9" s="6">
        <f t="shared" si="2"/>
        <v>0</v>
      </c>
    </row>
    <row r="10" spans="1:12" x14ac:dyDescent="0.3">
      <c r="B10" s="6" t="s">
        <v>118</v>
      </c>
      <c r="C10" s="6">
        <v>5.45</v>
      </c>
      <c r="D10" s="6">
        <v>4.05</v>
      </c>
      <c r="E10" s="6">
        <f t="shared" si="0"/>
        <v>22.072499999999998</v>
      </c>
      <c r="F10" s="6" t="s">
        <v>116</v>
      </c>
      <c r="G10" s="6"/>
      <c r="H10" s="6"/>
      <c r="I10" s="6">
        <f t="shared" si="1"/>
        <v>0</v>
      </c>
      <c r="J10" s="6"/>
      <c r="K10" s="6"/>
      <c r="L10" s="6">
        <f t="shared" si="2"/>
        <v>0</v>
      </c>
    </row>
    <row r="11" spans="1:12" x14ac:dyDescent="0.3">
      <c r="B11" s="6"/>
      <c r="C11" s="6">
        <v>3.75</v>
      </c>
      <c r="D11" s="6">
        <v>2.35</v>
      </c>
      <c r="E11" s="6">
        <f t="shared" si="0"/>
        <v>8.8125</v>
      </c>
      <c r="F11" s="6" t="s">
        <v>117</v>
      </c>
      <c r="G11" s="6"/>
      <c r="H11" s="6"/>
      <c r="I11" s="6">
        <f t="shared" si="1"/>
        <v>0</v>
      </c>
      <c r="J11" s="6"/>
      <c r="K11" s="6"/>
      <c r="L11" s="6">
        <f t="shared" si="2"/>
        <v>0</v>
      </c>
    </row>
    <row r="12" spans="1:12" x14ac:dyDescent="0.3">
      <c r="B12" s="6"/>
      <c r="C12" s="6">
        <v>3.2</v>
      </c>
      <c r="D12" s="6">
        <v>1.3</v>
      </c>
      <c r="E12" s="6">
        <f t="shared" si="0"/>
        <v>4.16</v>
      </c>
      <c r="F12" s="6"/>
      <c r="G12" s="6"/>
      <c r="H12" s="6"/>
      <c r="I12" s="6">
        <f t="shared" si="1"/>
        <v>0</v>
      </c>
      <c r="J12" s="6"/>
      <c r="K12" s="6"/>
      <c r="L12" s="6">
        <f t="shared" si="2"/>
        <v>0</v>
      </c>
    </row>
    <row r="13" spans="1:12" x14ac:dyDescent="0.3">
      <c r="B13" s="6"/>
      <c r="C13" s="6">
        <v>2.6</v>
      </c>
      <c r="D13" s="6">
        <v>0.75</v>
      </c>
      <c r="E13" s="6">
        <f t="shared" si="0"/>
        <v>1.9500000000000002</v>
      </c>
      <c r="F13" s="6"/>
      <c r="G13" s="6"/>
      <c r="H13" s="6"/>
      <c r="I13" s="6">
        <f t="shared" si="1"/>
        <v>0</v>
      </c>
      <c r="J13" s="6"/>
      <c r="K13" s="6"/>
      <c r="L13" s="6">
        <f t="shared" si="2"/>
        <v>0</v>
      </c>
    </row>
    <row r="14" spans="1:12" x14ac:dyDescent="0.3">
      <c r="B14" s="6" t="s">
        <v>119</v>
      </c>
      <c r="C14" s="6">
        <v>4.25</v>
      </c>
      <c r="D14" s="6">
        <v>4.6500000000000004</v>
      </c>
      <c r="E14" s="6">
        <f t="shared" si="0"/>
        <v>19.762500000000003</v>
      </c>
      <c r="F14" s="6" t="s">
        <v>116</v>
      </c>
      <c r="G14" s="6"/>
      <c r="H14" s="6"/>
      <c r="I14" s="6">
        <f t="shared" si="1"/>
        <v>0</v>
      </c>
      <c r="J14" s="6"/>
      <c r="K14" s="6"/>
      <c r="L14" s="6">
        <f t="shared" si="2"/>
        <v>0</v>
      </c>
    </row>
    <row r="15" spans="1:12" x14ac:dyDescent="0.3">
      <c r="B15" s="6"/>
      <c r="C15" s="6">
        <v>2.4</v>
      </c>
      <c r="D15" s="6">
        <v>3.35</v>
      </c>
      <c r="E15" s="6">
        <f t="shared" si="0"/>
        <v>8.0399999999999991</v>
      </c>
      <c r="F15" s="6" t="s">
        <v>117</v>
      </c>
      <c r="G15" s="6"/>
      <c r="H15" s="6"/>
      <c r="I15" s="6">
        <f t="shared" si="1"/>
        <v>0</v>
      </c>
      <c r="J15" s="6"/>
      <c r="K15" s="6"/>
      <c r="L15" s="6">
        <f t="shared" si="2"/>
        <v>0</v>
      </c>
    </row>
    <row r="16" spans="1:12" x14ac:dyDescent="0.3">
      <c r="B16" s="6"/>
      <c r="C16" s="6">
        <v>1.65</v>
      </c>
      <c r="D16" s="6">
        <v>3.05</v>
      </c>
      <c r="E16" s="6">
        <f t="shared" si="0"/>
        <v>5.0324999999999998</v>
      </c>
      <c r="F16" s="6"/>
      <c r="G16" s="6"/>
      <c r="H16" s="6"/>
      <c r="I16" s="6">
        <f t="shared" si="1"/>
        <v>0</v>
      </c>
      <c r="J16" s="6"/>
      <c r="K16" s="6"/>
      <c r="L16" s="6">
        <f t="shared" si="2"/>
        <v>0</v>
      </c>
    </row>
    <row r="17" spans="2:12" x14ac:dyDescent="0.3">
      <c r="B17" s="6"/>
      <c r="C17" s="6"/>
      <c r="D17" s="6"/>
      <c r="E17" s="6">
        <f t="shared" si="0"/>
        <v>0</v>
      </c>
      <c r="F17" s="6"/>
      <c r="G17" s="6"/>
      <c r="H17" s="6"/>
      <c r="I17" s="6">
        <f t="shared" si="1"/>
        <v>0</v>
      </c>
      <c r="J17" s="6"/>
      <c r="K17" s="6"/>
      <c r="L17" s="6">
        <f t="shared" si="2"/>
        <v>0</v>
      </c>
    </row>
    <row r="18" spans="2:12" x14ac:dyDescent="0.3">
      <c r="B18" s="6" t="s">
        <v>120</v>
      </c>
      <c r="C18" s="6">
        <v>3.95</v>
      </c>
      <c r="D18" s="6">
        <v>4.55</v>
      </c>
      <c r="E18" s="6">
        <f t="shared" si="0"/>
        <v>17.9725</v>
      </c>
      <c r="F18" s="6" t="s">
        <v>116</v>
      </c>
      <c r="G18" s="6"/>
      <c r="H18" s="6"/>
      <c r="I18" s="6">
        <f t="shared" si="1"/>
        <v>0</v>
      </c>
      <c r="J18" s="6"/>
      <c r="K18" s="6"/>
      <c r="L18" s="6">
        <f t="shared" si="2"/>
        <v>0</v>
      </c>
    </row>
    <row r="19" spans="2:12" x14ac:dyDescent="0.3">
      <c r="B19" s="6"/>
      <c r="C19" s="6">
        <v>1.5</v>
      </c>
      <c r="D19" s="6">
        <v>3.05</v>
      </c>
      <c r="E19" s="6">
        <f t="shared" si="0"/>
        <v>4.5749999999999993</v>
      </c>
      <c r="F19" s="6" t="s">
        <v>117</v>
      </c>
      <c r="G19" s="6"/>
      <c r="H19" s="6"/>
      <c r="I19" s="6">
        <f t="shared" si="1"/>
        <v>0</v>
      </c>
      <c r="J19" s="6"/>
      <c r="K19" s="6"/>
      <c r="L19" s="6">
        <f t="shared" si="2"/>
        <v>0</v>
      </c>
    </row>
    <row r="20" spans="2:12" x14ac:dyDescent="0.3">
      <c r="B20" s="6"/>
      <c r="C20" s="6"/>
      <c r="D20" s="6"/>
      <c r="E20" s="6">
        <f t="shared" si="0"/>
        <v>0</v>
      </c>
      <c r="F20" s="6"/>
      <c r="G20" s="6"/>
      <c r="H20" s="6"/>
      <c r="I20" s="6">
        <f t="shared" si="1"/>
        <v>0</v>
      </c>
      <c r="J20" s="6"/>
      <c r="K20" s="6"/>
      <c r="L20" s="6">
        <f t="shared" si="2"/>
        <v>0</v>
      </c>
    </row>
    <row r="21" spans="2:12" x14ac:dyDescent="0.3">
      <c r="B21" s="6" t="s">
        <v>283</v>
      </c>
      <c r="C21" s="6">
        <v>4.25</v>
      </c>
      <c r="D21" s="6">
        <v>5.85</v>
      </c>
      <c r="E21" s="6">
        <f t="shared" si="0"/>
        <v>24.862499999999997</v>
      </c>
      <c r="F21" s="6" t="s">
        <v>116</v>
      </c>
      <c r="G21" s="6"/>
      <c r="H21" s="6"/>
      <c r="I21" s="6">
        <f t="shared" si="1"/>
        <v>0</v>
      </c>
      <c r="J21" s="6"/>
      <c r="K21" s="6"/>
      <c r="L21" s="6">
        <f t="shared" si="2"/>
        <v>0</v>
      </c>
    </row>
    <row r="22" spans="2:12" x14ac:dyDescent="0.3">
      <c r="B22" s="6"/>
      <c r="C22" s="6">
        <v>1.2</v>
      </c>
      <c r="D22" s="6">
        <v>1.2</v>
      </c>
      <c r="E22" s="6">
        <f t="shared" si="0"/>
        <v>1.44</v>
      </c>
      <c r="F22" s="6" t="s">
        <v>117</v>
      </c>
      <c r="G22" s="6"/>
      <c r="H22" s="6"/>
      <c r="I22" s="6">
        <f t="shared" si="1"/>
        <v>0</v>
      </c>
      <c r="J22" s="6"/>
      <c r="K22" s="6"/>
      <c r="L22" s="6">
        <f t="shared" si="2"/>
        <v>0</v>
      </c>
    </row>
    <row r="23" spans="2:12" x14ac:dyDescent="0.3">
      <c r="B23" s="6"/>
      <c r="C23" s="6">
        <v>3.05</v>
      </c>
      <c r="D23" s="6">
        <v>1.5</v>
      </c>
      <c r="E23" s="6">
        <f t="shared" si="0"/>
        <v>4.5749999999999993</v>
      </c>
      <c r="F23" s="6"/>
      <c r="G23" s="6"/>
      <c r="H23" s="6"/>
      <c r="I23" s="6">
        <f t="shared" si="1"/>
        <v>0</v>
      </c>
      <c r="J23" s="6"/>
      <c r="K23" s="6"/>
      <c r="L23" s="6">
        <f t="shared" si="2"/>
        <v>0</v>
      </c>
    </row>
    <row r="24" spans="2:12" x14ac:dyDescent="0.3">
      <c r="B24" s="6" t="s">
        <v>282</v>
      </c>
      <c r="C24" s="6">
        <v>3.95</v>
      </c>
      <c r="D24" s="6">
        <v>3.95</v>
      </c>
      <c r="E24" s="6">
        <f t="shared" si="0"/>
        <v>15.602500000000001</v>
      </c>
      <c r="F24" s="6" t="s">
        <v>121</v>
      </c>
      <c r="G24" s="6"/>
      <c r="H24" s="6"/>
      <c r="I24" s="6">
        <f t="shared" si="1"/>
        <v>0</v>
      </c>
      <c r="J24" s="6"/>
      <c r="K24" s="6"/>
      <c r="L24" s="6">
        <f t="shared" si="2"/>
        <v>0</v>
      </c>
    </row>
    <row r="25" spans="2:12" x14ac:dyDescent="0.3">
      <c r="B25" s="6" t="s">
        <v>122</v>
      </c>
      <c r="C25" s="6">
        <v>2.65</v>
      </c>
      <c r="D25" s="6">
        <v>1.5</v>
      </c>
      <c r="E25" s="6">
        <f t="shared" si="0"/>
        <v>3.9749999999999996</v>
      </c>
      <c r="F25" s="6" t="s">
        <v>121</v>
      </c>
      <c r="G25" s="6"/>
      <c r="H25" s="6"/>
      <c r="I25" s="6">
        <f t="shared" si="1"/>
        <v>0</v>
      </c>
      <c r="J25" s="6"/>
      <c r="K25" s="6"/>
      <c r="L25" s="6">
        <f t="shared" si="2"/>
        <v>0</v>
      </c>
    </row>
    <row r="26" spans="2:12" x14ac:dyDescent="0.3">
      <c r="B26" s="6" t="s">
        <v>123</v>
      </c>
      <c r="C26" s="6">
        <v>1.5</v>
      </c>
      <c r="D26" s="6">
        <v>1.8</v>
      </c>
      <c r="E26" s="6">
        <f t="shared" si="0"/>
        <v>2.7</v>
      </c>
      <c r="F26" s="6" t="s">
        <v>121</v>
      </c>
      <c r="G26" s="6"/>
      <c r="H26" s="6"/>
      <c r="I26" s="6">
        <f t="shared" si="1"/>
        <v>0</v>
      </c>
      <c r="J26" s="6"/>
      <c r="K26" s="6"/>
      <c r="L26" s="6">
        <f t="shared" si="2"/>
        <v>0</v>
      </c>
    </row>
    <row r="27" spans="2:12" x14ac:dyDescent="0.3">
      <c r="B27" s="6"/>
      <c r="C27" s="6"/>
      <c r="D27" s="6"/>
      <c r="E27" s="6">
        <f t="shared" si="0"/>
        <v>0</v>
      </c>
      <c r="F27" s="6"/>
      <c r="G27" s="6"/>
      <c r="H27" s="6"/>
      <c r="I27" s="6">
        <f t="shared" si="1"/>
        <v>0</v>
      </c>
      <c r="J27" s="6"/>
      <c r="K27" s="6"/>
      <c r="L27" s="6">
        <f t="shared" si="2"/>
        <v>0</v>
      </c>
    </row>
    <row r="28" spans="2:12" x14ac:dyDescent="0.3">
      <c r="B28" s="6" t="s">
        <v>124</v>
      </c>
      <c r="C28" s="6">
        <v>5.65</v>
      </c>
      <c r="D28" s="6">
        <v>1.2</v>
      </c>
      <c r="E28" s="6">
        <f t="shared" si="0"/>
        <v>6.78</v>
      </c>
      <c r="F28" s="6"/>
      <c r="G28" s="6"/>
      <c r="H28" s="6"/>
      <c r="I28" s="6">
        <f t="shared" si="1"/>
        <v>0</v>
      </c>
      <c r="J28" s="6"/>
      <c r="K28" s="6"/>
      <c r="L28" s="6">
        <f t="shared" si="2"/>
        <v>0</v>
      </c>
    </row>
    <row r="29" spans="2:12" x14ac:dyDescent="0.3">
      <c r="B29" s="6" t="s">
        <v>284</v>
      </c>
      <c r="C29" s="6">
        <v>2.6</v>
      </c>
      <c r="D29" s="6">
        <v>1.95</v>
      </c>
      <c r="E29" s="6">
        <f t="shared" si="0"/>
        <v>5.07</v>
      </c>
      <c r="F29" s="6"/>
      <c r="G29" s="6"/>
      <c r="H29" s="6"/>
      <c r="I29" s="6">
        <f t="shared" si="1"/>
        <v>0</v>
      </c>
      <c r="J29" s="6"/>
      <c r="K29" s="6"/>
      <c r="L29" s="6">
        <f t="shared" si="2"/>
        <v>0</v>
      </c>
    </row>
    <row r="30" spans="2:12" x14ac:dyDescent="0.3">
      <c r="B30" s="6" t="s">
        <v>125</v>
      </c>
      <c r="C30" s="6">
        <v>2.0499999999999998</v>
      </c>
      <c r="D30" s="6">
        <v>1.2</v>
      </c>
      <c r="E30" s="6">
        <f t="shared" si="0"/>
        <v>2.4599999999999995</v>
      </c>
      <c r="F30" s="6"/>
      <c r="G30" s="6"/>
      <c r="H30" s="6"/>
      <c r="I30" s="6">
        <f t="shared" si="1"/>
        <v>0</v>
      </c>
      <c r="J30" s="6"/>
      <c r="K30" s="6"/>
      <c r="L30" s="6">
        <f t="shared" si="2"/>
        <v>0</v>
      </c>
    </row>
    <row r="31" spans="2:12" x14ac:dyDescent="0.3">
      <c r="B31" s="6" t="s">
        <v>126</v>
      </c>
      <c r="C31" s="6"/>
      <c r="D31" s="6"/>
      <c r="E31" s="6">
        <f t="shared" si="0"/>
        <v>0</v>
      </c>
      <c r="F31" s="6"/>
      <c r="G31" s="6"/>
      <c r="H31" s="6"/>
      <c r="I31" s="6">
        <f>G31*H31</f>
        <v>0</v>
      </c>
      <c r="J31" s="6"/>
      <c r="K31" s="6"/>
      <c r="L31" s="6">
        <f>J31*K31</f>
        <v>0</v>
      </c>
    </row>
    <row r="32" spans="2:12" x14ac:dyDescent="0.3">
      <c r="B32" s="6"/>
      <c r="C32" s="6"/>
      <c r="D32" s="6"/>
      <c r="E32" s="6">
        <f t="shared" si="0"/>
        <v>0</v>
      </c>
      <c r="F32" s="6"/>
      <c r="G32" s="6"/>
      <c r="H32" s="6"/>
      <c r="I32" s="6">
        <f>G32*H32</f>
        <v>0</v>
      </c>
      <c r="J32" s="6"/>
      <c r="K32" s="6"/>
      <c r="L32" s="6">
        <f>J32*K32</f>
        <v>0</v>
      </c>
    </row>
    <row r="33" spans="2:12" x14ac:dyDescent="0.3">
      <c r="B33" s="6"/>
      <c r="C33" s="6"/>
      <c r="D33" s="6"/>
      <c r="E33" s="6">
        <f t="shared" si="0"/>
        <v>0</v>
      </c>
      <c r="F33" s="6"/>
      <c r="G33" s="6"/>
      <c r="H33" s="6"/>
      <c r="I33" s="6">
        <f>G33*H33</f>
        <v>0</v>
      </c>
      <c r="J33" s="6"/>
      <c r="K33" s="6"/>
      <c r="L33" s="6">
        <f>J33*K33</f>
        <v>0</v>
      </c>
    </row>
    <row r="34" spans="2:12" x14ac:dyDescent="0.3">
      <c r="B34" s="6"/>
      <c r="C34" s="6"/>
      <c r="D34" s="6"/>
      <c r="E34" s="6">
        <f t="shared" si="0"/>
        <v>0</v>
      </c>
      <c r="F34" s="6"/>
      <c r="G34" s="6"/>
      <c r="H34" s="6"/>
      <c r="I34" s="6">
        <f>G34*H34</f>
        <v>0</v>
      </c>
      <c r="J34" s="6"/>
      <c r="K34" s="6"/>
      <c r="L34" s="6">
        <f>J34*K34</f>
        <v>0</v>
      </c>
    </row>
    <row r="35" spans="2:12" x14ac:dyDescent="0.3">
      <c r="B35" s="6" t="s">
        <v>78</v>
      </c>
      <c r="C35" s="6"/>
      <c r="D35" s="6">
        <f>E35*10.764</f>
        <v>2278.5773399999994</v>
      </c>
      <c r="E35" s="6">
        <f>SUM(E6:E34)</f>
        <v>211.68499999999995</v>
      </c>
      <c r="F35" s="6"/>
      <c r="G35" s="6"/>
      <c r="H35" s="6">
        <f>I35*10.764</f>
        <v>263.58344999999997</v>
      </c>
      <c r="I35" s="6">
        <f>SUM(I6:I34)</f>
        <v>24.487500000000001</v>
      </c>
      <c r="J35" s="6"/>
      <c r="K35" s="6">
        <f>L35*10.764</f>
        <v>0</v>
      </c>
      <c r="L35" s="6">
        <f>SUM(L6:L34)</f>
        <v>0</v>
      </c>
    </row>
    <row r="37" spans="2:12" x14ac:dyDescent="0.3">
      <c r="D37">
        <f>D35+H35</f>
        <v>2542.1607899999995</v>
      </c>
      <c r="E37">
        <f>E35+I35</f>
        <v>236.17249999999996</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C%</vt:lpstr>
      <vt:lpstr>Note</vt:lpstr>
      <vt:lpstr>32nd Floor</vt:lpstr>
      <vt:lpstr>31st Floor</vt:lpstr>
      <vt:lpstr>30th Floor</vt:lpstr>
      <vt:lpstr>29th Floor</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2025-07-09T14:54:29Z</cp:lastPrinted>
  <dcterms:created xsi:type="dcterms:W3CDTF">2019-07-16T09:29:46Z</dcterms:created>
  <dcterms:modified xsi:type="dcterms:W3CDTF">2025-07-09T14:55:21Z</dcterms:modified>
</cp:coreProperties>
</file>