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9F6DDAE2-7F53-47BC-B885-8BC2939F11F9}"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Report!$A$1:$H$572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9" i="1" l="1"/>
  <c r="C148" i="1"/>
  <c r="E293" i="1"/>
  <c r="D293" i="1"/>
  <c r="F293" i="1" s="1"/>
  <c r="E292" i="1"/>
  <c r="D292" i="1"/>
  <c r="F292" i="1" s="1"/>
  <c r="E290" i="1"/>
  <c r="D290" i="1"/>
  <c r="A289" i="1"/>
  <c r="A290" i="1" s="1"/>
  <c r="A291" i="1" s="1"/>
  <c r="A292" i="1" s="1"/>
  <c r="A293" i="1" s="1"/>
  <c r="A294" i="1" s="1"/>
  <c r="A295" i="1" s="1"/>
  <c r="G288" i="1"/>
  <c r="E256" i="1"/>
  <c r="D256" i="1"/>
  <c r="F256" i="1" s="1"/>
  <c r="E255" i="1"/>
  <c r="D255" i="1"/>
  <c r="F255" i="1" s="1"/>
  <c r="E253" i="1"/>
  <c r="D253" i="1"/>
  <c r="A252" i="1"/>
  <c r="A253" i="1" s="1"/>
  <c r="A254" i="1" s="1"/>
  <c r="A255" i="1" s="1"/>
  <c r="A256" i="1" s="1"/>
  <c r="A257" i="1" s="1"/>
  <c r="A258" i="1" s="1"/>
  <c r="G251" i="1"/>
  <c r="D191" i="1"/>
  <c r="F191" i="1" s="1"/>
  <c r="D190" i="1"/>
  <c r="F190" i="1" s="1"/>
  <c r="I189" i="1"/>
  <c r="D189" i="1"/>
  <c r="F189" i="1" s="1"/>
  <c r="D188" i="1"/>
  <c r="F188" i="1" s="1"/>
  <c r="D187" i="1"/>
  <c r="F187" i="1" s="1"/>
  <c r="D186" i="1"/>
  <c r="F186" i="1" s="1"/>
  <c r="D185" i="1"/>
  <c r="F185" i="1" s="1"/>
  <c r="D184" i="1"/>
  <c r="F184" i="1" s="1"/>
  <c r="D183" i="1"/>
  <c r="F183" i="1" s="1"/>
  <c r="D182" i="1"/>
  <c r="F182" i="1" s="1"/>
  <c r="D181" i="1"/>
  <c r="F181" i="1" s="1"/>
  <c r="G149" i="1" s="1"/>
  <c r="A181" i="1"/>
  <c r="A182" i="1" s="1"/>
  <c r="A183" i="1" s="1"/>
  <c r="A184" i="1" s="1"/>
  <c r="A185" i="1" s="1"/>
  <c r="A186" i="1" s="1"/>
  <c r="A187" i="1" s="1"/>
  <c r="A188" i="1" s="1"/>
  <c r="A189" i="1" s="1"/>
  <c r="A190" i="1" s="1"/>
  <c r="A191" i="1" s="1"/>
  <c r="G180" i="1"/>
  <c r="D180" i="1"/>
  <c r="F180" i="1" s="1"/>
  <c r="D177" i="1"/>
  <c r="F177" i="1" s="1"/>
  <c r="D176" i="1"/>
  <c r="F176" i="1" s="1"/>
  <c r="D175" i="1"/>
  <c r="F175" i="1" s="1"/>
  <c r="D174" i="1"/>
  <c r="F174" i="1" s="1"/>
  <c r="D173" i="1"/>
  <c r="F173" i="1" s="1"/>
  <c r="D172" i="1"/>
  <c r="F172" i="1" s="1"/>
  <c r="D170" i="1"/>
  <c r="I175" i="1"/>
  <c r="D297" i="1"/>
  <c r="E297" i="1"/>
  <c r="G297" i="1"/>
  <c r="A298" i="1"/>
  <c r="A299" i="1" s="1"/>
  <c r="A300" i="1" s="1"/>
  <c r="A301" i="1" s="1"/>
  <c r="A302" i="1" s="1"/>
  <c r="A303" i="1" s="1"/>
  <c r="A304" i="1" s="1"/>
  <c r="D298" i="1"/>
  <c r="E298" i="1"/>
  <c r="D299" i="1"/>
  <c r="E299" i="1"/>
  <c r="D300" i="1"/>
  <c r="E300" i="1"/>
  <c r="D301" i="1"/>
  <c r="E301" i="1"/>
  <c r="D302" i="1"/>
  <c r="E302" i="1"/>
  <c r="D303" i="1"/>
  <c r="E303" i="1"/>
  <c r="D304" i="1"/>
  <c r="E304" i="1"/>
  <c r="D171" i="1"/>
  <c r="D169" i="1"/>
  <c r="D168" i="1"/>
  <c r="E148" i="1" s="1"/>
  <c r="D167" i="1"/>
  <c r="D166" i="1"/>
  <c r="D373" i="1"/>
  <c r="F373" i="1" s="1"/>
  <c r="D372" i="1"/>
  <c r="F372" i="1" s="1"/>
  <c r="D369" i="1"/>
  <c r="F369" i="1" s="1"/>
  <c r="D368" i="1"/>
  <c r="F368" i="1" s="1"/>
  <c r="D367" i="1"/>
  <c r="F367" i="1" s="1"/>
  <c r="D366" i="1"/>
  <c r="F366" i="1" s="1"/>
  <c r="D365" i="1"/>
  <c r="F365" i="1" s="1"/>
  <c r="D364" i="1"/>
  <c r="F364" i="1" s="1"/>
  <c r="D363" i="1"/>
  <c r="F363" i="1" s="1"/>
  <c r="D362" i="1"/>
  <c r="F362" i="1" s="1"/>
  <c r="D361" i="1"/>
  <c r="F361" i="1" s="1"/>
  <c r="D360" i="1"/>
  <c r="F360" i="1" s="1"/>
  <c r="D359" i="1"/>
  <c r="F359" i="1" s="1"/>
  <c r="A359" i="1"/>
  <c r="A360" i="1" s="1"/>
  <c r="A361" i="1" s="1"/>
  <c r="A362" i="1" s="1"/>
  <c r="A363" i="1" s="1"/>
  <c r="A364" i="1" s="1"/>
  <c r="A365" i="1" s="1"/>
  <c r="A366" i="1" s="1"/>
  <c r="A367" i="1" s="1"/>
  <c r="A368" i="1" s="1"/>
  <c r="A369" i="1" s="1"/>
  <c r="A370" i="1" s="1"/>
  <c r="A371" i="1" s="1"/>
  <c r="A372" i="1" s="1"/>
  <c r="A373" i="1" s="1"/>
  <c r="G358" i="1"/>
  <c r="D358" i="1"/>
  <c r="F358" i="1" s="1"/>
  <c r="D339" i="1"/>
  <c r="F339" i="1" s="1"/>
  <c r="D206" i="1"/>
  <c r="F206" i="1" s="1"/>
  <c r="D207" i="1"/>
  <c r="F207" i="1" s="1"/>
  <c r="G51" i="1"/>
  <c r="C51" i="1"/>
  <c r="E149" i="1" l="1"/>
  <c r="F253" i="1"/>
  <c r="F290" i="1"/>
  <c r="F297" i="1"/>
  <c r="F303" i="1"/>
  <c r="F301" i="1"/>
  <c r="F298" i="1"/>
  <c r="F304" i="1"/>
  <c r="F300" i="1"/>
  <c r="F299" i="1"/>
  <c r="F302" i="1"/>
  <c r="A376" i="1"/>
  <c r="A377" i="1" s="1"/>
  <c r="A378" i="1" s="1"/>
  <c r="A379" i="1" s="1"/>
  <c r="A380" i="1" s="1"/>
  <c r="A381" i="1" s="1"/>
  <c r="A382" i="1" s="1"/>
  <c r="A383" i="1" s="1"/>
  <c r="A384" i="1" s="1"/>
  <c r="A385" i="1" s="1"/>
  <c r="A386" i="1" s="1"/>
  <c r="A387" i="1" s="1"/>
  <c r="A388" i="1" s="1"/>
  <c r="A389" i="1" s="1"/>
  <c r="A390" i="1" s="1"/>
  <c r="A392" i="1" s="1"/>
  <c r="A393" i="1" s="1"/>
  <c r="D325" i="1" l="1"/>
  <c r="F325" i="1" s="1"/>
  <c r="G325" i="1"/>
  <c r="A326" i="1"/>
  <c r="A327" i="1" s="1"/>
  <c r="A328" i="1" s="1"/>
  <c r="A329" i="1" s="1"/>
  <c r="A330" i="1" s="1"/>
  <c r="A331" i="1" s="1"/>
  <c r="A332" i="1" s="1"/>
  <c r="A333" i="1" s="1"/>
  <c r="A334" i="1" s="1"/>
  <c r="A335" i="1" s="1"/>
  <c r="A336" i="1" s="1"/>
  <c r="A337" i="1" s="1"/>
  <c r="A338" i="1" s="1"/>
  <c r="A339" i="1" s="1"/>
  <c r="D326" i="1"/>
  <c r="F326" i="1" s="1"/>
  <c r="D327" i="1"/>
  <c r="F327" i="1" s="1"/>
  <c r="D328" i="1"/>
  <c r="F328" i="1" s="1"/>
  <c r="D329" i="1"/>
  <c r="F329" i="1" s="1"/>
  <c r="D330" i="1"/>
  <c r="F330" i="1" s="1"/>
  <c r="D331" i="1"/>
  <c r="F331" i="1" s="1"/>
  <c r="D332" i="1"/>
  <c r="F332" i="1" s="1"/>
  <c r="D333" i="1"/>
  <c r="F333" i="1" s="1"/>
  <c r="D334" i="1"/>
  <c r="F334" i="1" s="1"/>
  <c r="D335" i="1"/>
  <c r="F335" i="1" s="1"/>
  <c r="D336" i="1"/>
  <c r="F336" i="1" s="1"/>
  <c r="D337" i="1"/>
  <c r="F337" i="1" s="1"/>
  <c r="D338" i="1"/>
  <c r="F338" i="1" s="1"/>
  <c r="D341" i="1"/>
  <c r="G341" i="1"/>
  <c r="A342" i="1"/>
  <c r="A343" i="1" s="1"/>
  <c r="A344" i="1" s="1"/>
  <c r="A345" i="1" s="1"/>
  <c r="A346" i="1" s="1"/>
  <c r="A347" i="1" s="1"/>
  <c r="A348" i="1" s="1"/>
  <c r="A349" i="1" s="1"/>
  <c r="A350" i="1" s="1"/>
  <c r="A351" i="1" s="1"/>
  <c r="A352" i="1" s="1"/>
  <c r="A353" i="1" s="1"/>
  <c r="A354" i="1" s="1"/>
  <c r="A355" i="1" s="1"/>
  <c r="A356" i="1" s="1"/>
  <c r="D342" i="1"/>
  <c r="F342" i="1" s="1"/>
  <c r="D343" i="1"/>
  <c r="F343" i="1" s="1"/>
  <c r="D344" i="1"/>
  <c r="F344" i="1" s="1"/>
  <c r="D345" i="1"/>
  <c r="F345" i="1" s="1"/>
  <c r="D346" i="1"/>
  <c r="F346" i="1" s="1"/>
  <c r="D347" i="1"/>
  <c r="F347" i="1" s="1"/>
  <c r="D348" i="1"/>
  <c r="F348" i="1" s="1"/>
  <c r="D349" i="1"/>
  <c r="F349" i="1" s="1"/>
  <c r="D350" i="1"/>
  <c r="F350" i="1" s="1"/>
  <c r="D351" i="1"/>
  <c r="F351" i="1" s="1"/>
  <c r="D352" i="1"/>
  <c r="F352" i="1" s="1"/>
  <c r="D353" i="1"/>
  <c r="F353" i="1" s="1"/>
  <c r="D354" i="1"/>
  <c r="F354" i="1" s="1"/>
  <c r="D355" i="1"/>
  <c r="F355" i="1" s="1"/>
  <c r="D356" i="1"/>
  <c r="F356" i="1" s="1"/>
  <c r="F341" i="1" l="1"/>
  <c r="G156" i="1" s="1"/>
  <c r="E156" i="1"/>
  <c r="C156" i="1"/>
  <c r="C111" i="1"/>
  <c r="C125" i="1"/>
  <c r="C127" i="1" s="1"/>
  <c r="C126" i="1" l="1"/>
  <c r="I194" i="1"/>
  <c r="C118" i="1" l="1"/>
  <c r="J125" i="1"/>
  <c r="J124" i="1"/>
  <c r="J123" i="1"/>
  <c r="J122" i="1"/>
  <c r="H119" i="1"/>
  <c r="J120" i="1" l="1"/>
  <c r="J121" i="1" s="1"/>
  <c r="J126" i="1" s="1"/>
  <c r="J127" i="1" s="1"/>
  <c r="C123" i="1" s="1"/>
  <c r="D131" i="1"/>
  <c r="D129" i="1"/>
  <c r="D127" i="1"/>
  <c r="D124" i="1"/>
  <c r="J118" i="1"/>
  <c r="J114" i="1"/>
  <c r="J116" i="1" s="1"/>
  <c r="D125" i="1"/>
  <c r="J119" i="1"/>
  <c r="C122" i="1" s="1"/>
  <c r="D122" i="1" s="1"/>
  <c r="J117" i="1"/>
  <c r="D130" i="1"/>
  <c r="D128" i="1"/>
  <c r="D126" i="1"/>
  <c r="E122" i="1" l="1"/>
  <c r="D123" i="1"/>
  <c r="I115" i="1" s="1"/>
  <c r="G122" i="1"/>
  <c r="J115" i="1"/>
  <c r="C97" i="1"/>
  <c r="C83" i="1"/>
  <c r="I116" i="1" l="1"/>
  <c r="I114" i="1" s="1"/>
  <c r="C120" i="1" s="1"/>
  <c r="J111" i="1"/>
  <c r="J110" i="1"/>
  <c r="J109" i="1"/>
  <c r="J108" i="1"/>
  <c r="H105" i="1"/>
  <c r="J106" i="1" l="1"/>
  <c r="J107" i="1" s="1"/>
  <c r="J112" i="1" s="1"/>
  <c r="J113" i="1" s="1"/>
  <c r="C109" i="1" s="1"/>
  <c r="J105" i="1"/>
  <c r="C108" i="1" s="1"/>
  <c r="D108" i="1" s="1"/>
  <c r="J103" i="1"/>
  <c r="D117" i="1"/>
  <c r="D116" i="1"/>
  <c r="D115" i="1"/>
  <c r="D114" i="1"/>
  <c r="D113" i="1"/>
  <c r="D112" i="1"/>
  <c r="D111" i="1"/>
  <c r="D110" i="1"/>
  <c r="J104" i="1"/>
  <c r="J100" i="1"/>
  <c r="J102" i="1" s="1"/>
  <c r="E108" i="1" l="1"/>
  <c r="D109" i="1"/>
  <c r="I101" i="1" s="1"/>
  <c r="I102" i="1" s="1"/>
  <c r="G108" i="1"/>
  <c r="J101" i="1"/>
  <c r="E267" i="1"/>
  <c r="E266" i="1"/>
  <c r="E265" i="1"/>
  <c r="E264" i="1"/>
  <c r="E263" i="1"/>
  <c r="E262" i="1"/>
  <c r="E261" i="1"/>
  <c r="E260" i="1"/>
  <c r="D321" i="1"/>
  <c r="F321" i="1" s="1"/>
  <c r="I100" i="1" l="1"/>
  <c r="C106" i="1" s="1"/>
  <c r="D320" i="1"/>
  <c r="D319" i="1"/>
  <c r="D318" i="1"/>
  <c r="D317" i="1"/>
  <c r="D316" i="1"/>
  <c r="D315" i="1"/>
  <c r="D313" i="1"/>
  <c r="D312" i="1"/>
  <c r="D311" i="1"/>
  <c r="D310" i="1"/>
  <c r="D309" i="1"/>
  <c r="D308" i="1"/>
  <c r="D307" i="1"/>
  <c r="D306" i="1"/>
  <c r="D284" i="1"/>
  <c r="D283" i="1"/>
  <c r="D282" i="1"/>
  <c r="D281" i="1"/>
  <c r="D280" i="1"/>
  <c r="D279" i="1"/>
  <c r="D278" i="1"/>
  <c r="D276" i="1"/>
  <c r="D275" i="1"/>
  <c r="D274" i="1"/>
  <c r="D273" i="1"/>
  <c r="D272" i="1"/>
  <c r="D271" i="1"/>
  <c r="D270" i="1"/>
  <c r="D269" i="1"/>
  <c r="D267" i="1"/>
  <c r="D266" i="1"/>
  <c r="D265" i="1"/>
  <c r="D264" i="1"/>
  <c r="D263" i="1"/>
  <c r="D262" i="1"/>
  <c r="D261" i="1"/>
  <c r="D260" i="1"/>
  <c r="D245" i="1"/>
  <c r="D244" i="1"/>
  <c r="D243" i="1"/>
  <c r="D242" i="1"/>
  <c r="D241" i="1"/>
  <c r="D240" i="1"/>
  <c r="D239" i="1"/>
  <c r="D238" i="1"/>
  <c r="D237" i="1"/>
  <c r="D236" i="1"/>
  <c r="D235" i="1"/>
  <c r="D234" i="1"/>
  <c r="D233" i="1"/>
  <c r="D232" i="1"/>
  <c r="D230" i="1"/>
  <c r="D229" i="1"/>
  <c r="D228" i="1"/>
  <c r="D227" i="1"/>
  <c r="D226" i="1"/>
  <c r="D225" i="1"/>
  <c r="D224" i="1"/>
  <c r="D223" i="1"/>
  <c r="D222" i="1"/>
  <c r="D221" i="1"/>
  <c r="D220" i="1"/>
  <c r="D219" i="1"/>
  <c r="D218" i="1"/>
  <c r="D217" i="1"/>
  <c r="D216" i="1"/>
  <c r="D215" i="1"/>
  <c r="D212" i="1"/>
  <c r="D211" i="1"/>
  <c r="D210" i="1"/>
  <c r="D209" i="1"/>
  <c r="D208" i="1"/>
  <c r="D205" i="1"/>
  <c r="D204" i="1"/>
  <c r="D203" i="1"/>
  <c r="D202" i="1"/>
  <c r="D201" i="1"/>
  <c r="D200" i="1"/>
  <c r="D199" i="1"/>
  <c r="D198" i="1"/>
  <c r="I160" i="1"/>
  <c r="B377" i="1"/>
  <c r="C155" i="1" l="1"/>
  <c r="E155" i="1"/>
  <c r="C154" i="1"/>
  <c r="E154" i="1"/>
  <c r="C153" i="1"/>
  <c r="C157" i="1" s="1"/>
  <c r="E153" i="1"/>
  <c r="F166" i="1"/>
  <c r="F320" i="1"/>
  <c r="F319" i="1"/>
  <c r="F318" i="1"/>
  <c r="F317" i="1"/>
  <c r="F316" i="1"/>
  <c r="A316" i="1"/>
  <c r="A317" i="1" s="1"/>
  <c r="A318" i="1" s="1"/>
  <c r="A319" i="1" s="1"/>
  <c r="A320" i="1" s="1"/>
  <c r="A321" i="1" s="1"/>
  <c r="A322" i="1" s="1"/>
  <c r="G315" i="1"/>
  <c r="F315" i="1"/>
  <c r="F313" i="1"/>
  <c r="F312" i="1"/>
  <c r="F311" i="1"/>
  <c r="F310" i="1"/>
  <c r="F309" i="1"/>
  <c r="F308" i="1"/>
  <c r="F307" i="1"/>
  <c r="A307" i="1"/>
  <c r="A308" i="1" s="1"/>
  <c r="A309" i="1" s="1"/>
  <c r="A310" i="1" s="1"/>
  <c r="A311" i="1" s="1"/>
  <c r="A312" i="1" s="1"/>
  <c r="A313" i="1" s="1"/>
  <c r="G306" i="1"/>
  <c r="F306" i="1"/>
  <c r="F284" i="1"/>
  <c r="F283" i="1"/>
  <c r="F282" i="1"/>
  <c r="F281" i="1"/>
  <c r="F280" i="1"/>
  <c r="F279" i="1"/>
  <c r="A279" i="1"/>
  <c r="A280" i="1" s="1"/>
  <c r="A281" i="1" s="1"/>
  <c r="A282" i="1" s="1"/>
  <c r="A283" i="1" s="1"/>
  <c r="A284" i="1" s="1"/>
  <c r="A285" i="1" s="1"/>
  <c r="G278" i="1"/>
  <c r="F278" i="1"/>
  <c r="F276" i="1"/>
  <c r="F275" i="1"/>
  <c r="F274" i="1"/>
  <c r="F273" i="1"/>
  <c r="F272" i="1"/>
  <c r="F271" i="1"/>
  <c r="F270" i="1"/>
  <c r="A270" i="1"/>
  <c r="A271" i="1" s="1"/>
  <c r="A272" i="1" s="1"/>
  <c r="A273" i="1" s="1"/>
  <c r="A274" i="1" s="1"/>
  <c r="A275" i="1" s="1"/>
  <c r="A276" i="1" s="1"/>
  <c r="G269" i="1"/>
  <c r="F269" i="1"/>
  <c r="F266" i="1"/>
  <c r="F267" i="1"/>
  <c r="F265" i="1"/>
  <c r="A261" i="1"/>
  <c r="A262" i="1" s="1"/>
  <c r="A263" i="1" s="1"/>
  <c r="A264" i="1" s="1"/>
  <c r="A265" i="1" s="1"/>
  <c r="A266" i="1" s="1"/>
  <c r="A267" i="1" s="1"/>
  <c r="F171" i="1"/>
  <c r="F170" i="1"/>
  <c r="F167" i="1"/>
  <c r="F168" i="1"/>
  <c r="F169" i="1"/>
  <c r="A167" i="1"/>
  <c r="A168" i="1" s="1"/>
  <c r="A169" i="1" s="1"/>
  <c r="A170" i="1" s="1"/>
  <c r="A171" i="1" s="1"/>
  <c r="A172" i="1" s="1"/>
  <c r="A173" i="1" s="1"/>
  <c r="A174" i="1" s="1"/>
  <c r="A175" i="1" s="1"/>
  <c r="A176" i="1" s="1"/>
  <c r="A177" i="1" s="1"/>
  <c r="G166" i="1"/>
  <c r="G148" i="1" l="1"/>
  <c r="G155" i="1"/>
  <c r="C150" i="1"/>
  <c r="E157" i="1"/>
  <c r="E150" i="1"/>
  <c r="G150" i="1"/>
  <c r="F245" i="1"/>
  <c r="F244" i="1"/>
  <c r="F243" i="1"/>
  <c r="F242" i="1"/>
  <c r="F241" i="1"/>
  <c r="F240" i="1"/>
  <c r="F239" i="1"/>
  <c r="F238" i="1"/>
  <c r="F237" i="1"/>
  <c r="F236" i="1"/>
  <c r="F235" i="1"/>
  <c r="F234" i="1"/>
  <c r="F233" i="1"/>
  <c r="A233" i="1"/>
  <c r="A234" i="1" s="1"/>
  <c r="A235" i="1" s="1"/>
  <c r="A236" i="1" s="1"/>
  <c r="A237" i="1" s="1"/>
  <c r="A238" i="1" s="1"/>
  <c r="A239" i="1" s="1"/>
  <c r="A240" i="1" s="1"/>
  <c r="A241" i="1" s="1"/>
  <c r="A242" i="1" s="1"/>
  <c r="A243" i="1" s="1"/>
  <c r="A244" i="1" s="1"/>
  <c r="A245" i="1" s="1"/>
  <c r="A246" i="1" s="1"/>
  <c r="A247" i="1" s="1"/>
  <c r="I225" i="1"/>
  <c r="G232" i="1"/>
  <c r="F232" i="1"/>
  <c r="F215" i="1"/>
  <c r="F216" i="1"/>
  <c r="F217" i="1"/>
  <c r="F218" i="1"/>
  <c r="F219" i="1"/>
  <c r="F220" i="1"/>
  <c r="F221" i="1"/>
  <c r="F222" i="1"/>
  <c r="F223" i="1"/>
  <c r="F224" i="1"/>
  <c r="F225" i="1"/>
  <c r="F226" i="1"/>
  <c r="F227" i="1"/>
  <c r="F228" i="1"/>
  <c r="F229" i="1"/>
  <c r="F230" i="1"/>
  <c r="A216" i="1"/>
  <c r="A217" i="1" s="1"/>
  <c r="A218" i="1" s="1"/>
  <c r="A219" i="1" s="1"/>
  <c r="A220" i="1" s="1"/>
  <c r="A221" i="1" s="1"/>
  <c r="A222" i="1" s="1"/>
  <c r="A223" i="1" s="1"/>
  <c r="A224" i="1" s="1"/>
  <c r="A225" i="1" s="1"/>
  <c r="A226" i="1" s="1"/>
  <c r="A227" i="1" s="1"/>
  <c r="A228" i="1" s="1"/>
  <c r="A229" i="1" s="1"/>
  <c r="A230" i="1" s="1"/>
  <c r="I208" i="1"/>
  <c r="G215" i="1"/>
  <c r="F202" i="1"/>
  <c r="F203" i="1"/>
  <c r="F204" i="1"/>
  <c r="F205" i="1"/>
  <c r="F212" i="1"/>
  <c r="F211" i="1"/>
  <c r="F210" i="1"/>
  <c r="F209" i="1"/>
  <c r="F208" i="1"/>
  <c r="E44" i="1" l="1"/>
  <c r="E45" i="1" s="1"/>
  <c r="C16" i="1" l="1"/>
  <c r="E31" i="1" l="1"/>
  <c r="F199" i="1" l="1"/>
  <c r="F200" i="1"/>
  <c r="F201" i="1"/>
  <c r="F198" i="1"/>
  <c r="G153" i="1" s="1"/>
  <c r="A199" i="1"/>
  <c r="A200" i="1" s="1"/>
  <c r="A201" i="1" s="1"/>
  <c r="G198" i="1"/>
  <c r="A202" i="1" l="1"/>
  <c r="A203" i="1" s="1"/>
  <c r="A204" i="1" s="1"/>
  <c r="A205" i="1" s="1"/>
  <c r="A206" i="1" s="1"/>
  <c r="A207" i="1" s="1"/>
  <c r="A208" i="1" s="1"/>
  <c r="A209" i="1" s="1"/>
  <c r="A210" i="1" s="1"/>
  <c r="A211" i="1" s="1"/>
  <c r="A212" i="1" s="1"/>
  <c r="A213" i="1" s="1"/>
  <c r="F145" i="1"/>
  <c r="B376" i="1" l="1"/>
  <c r="F264" i="1" l="1"/>
  <c r="F263" i="1"/>
  <c r="F262" i="1"/>
  <c r="F261" i="1"/>
  <c r="F260" i="1"/>
  <c r="G154" i="1" s="1"/>
  <c r="F11" i="5" l="1"/>
  <c r="G11" i="5" s="1"/>
  <c r="F10" i="5"/>
  <c r="G10" i="5" s="1"/>
  <c r="F9" i="5"/>
  <c r="G9" i="5" s="1"/>
  <c r="F8" i="5"/>
  <c r="G8" i="5" s="1"/>
  <c r="F7" i="5"/>
  <c r="G7" i="5" s="1"/>
  <c r="F6" i="5"/>
  <c r="G6" i="5" s="1"/>
  <c r="F5" i="5"/>
  <c r="G5" i="5" s="1"/>
  <c r="G12" i="5" s="1"/>
  <c r="D406" i="1"/>
  <c r="G260" i="1"/>
  <c r="J97" i="1"/>
  <c r="J96" i="1"/>
  <c r="J95" i="1"/>
  <c r="J94" i="1"/>
  <c r="J83" i="1"/>
  <c r="J82" i="1"/>
  <c r="J81" i="1"/>
  <c r="J80" i="1"/>
  <c r="C76" i="1"/>
  <c r="D63" i="1"/>
  <c r="G52" i="1"/>
  <c r="C52" i="1"/>
  <c r="E28" i="1"/>
  <c r="E26" i="1"/>
  <c r="E3" i="1"/>
  <c r="I70" i="1" s="1"/>
  <c r="H91" i="1"/>
  <c r="H77" i="1"/>
  <c r="G157" i="1" l="1"/>
  <c r="J150" i="1" s="1"/>
  <c r="D101" i="1"/>
  <c r="D102" i="1"/>
  <c r="D103" i="1"/>
  <c r="D97" i="1"/>
  <c r="D98" i="1"/>
  <c r="D99" i="1"/>
  <c r="D100" i="1"/>
  <c r="J86" i="1"/>
  <c r="J88" i="1" s="1"/>
  <c r="D89" i="1"/>
  <c r="D87" i="1"/>
  <c r="D86" i="1"/>
  <c r="D85" i="1"/>
  <c r="D83" i="1"/>
  <c r="J72" i="1"/>
  <c r="D88" i="1"/>
  <c r="D84" i="1"/>
  <c r="J76" i="1"/>
  <c r="J77" i="1"/>
  <c r="C80" i="1" s="1"/>
  <c r="J75" i="1"/>
  <c r="J78" i="1"/>
  <c r="J79" i="1" s="1"/>
  <c r="J92" i="1"/>
  <c r="J90" i="1"/>
  <c r="J91" i="1"/>
  <c r="C94" i="1" s="1"/>
  <c r="J89" i="1"/>
  <c r="J93" i="1" l="1"/>
  <c r="J98" i="1" s="1"/>
  <c r="J99" i="1" s="1"/>
  <c r="C95" i="1" s="1"/>
  <c r="D95" i="1" s="1"/>
  <c r="J84" i="1"/>
  <c r="J85" i="1" s="1"/>
  <c r="C81" i="1" s="1"/>
  <c r="D81" i="1" s="1"/>
  <c r="D96" i="1"/>
  <c r="D82" i="1"/>
  <c r="J74" i="1"/>
  <c r="D80" i="1"/>
  <c r="D94" i="1"/>
  <c r="E80" i="1" l="1"/>
  <c r="E94" i="1"/>
  <c r="G94" i="1"/>
  <c r="J87" i="1"/>
  <c r="G80" i="1"/>
  <c r="I73" i="1"/>
  <c r="J73" i="1"/>
  <c r="I87" i="1"/>
  <c r="D75" i="1" l="1"/>
  <c r="K74" i="1"/>
  <c r="F75" i="1"/>
  <c r="I74" i="1"/>
  <c r="I72" i="1" s="1"/>
  <c r="C78" i="1" s="1"/>
  <c r="I88" i="1"/>
  <c r="I86" i="1" s="1"/>
  <c r="C92" i="1" s="1"/>
</calcChain>
</file>

<file path=xl/sharedStrings.xml><?xml version="1.0" encoding="utf-8"?>
<sst xmlns="http://schemas.openxmlformats.org/spreadsheetml/2006/main" count="610" uniqueCount="276">
  <si>
    <t xml:space="preserve">Valuation Report </t>
  </si>
  <si>
    <t>Date:</t>
  </si>
  <si>
    <t>CPC Name:</t>
  </si>
  <si>
    <t>Date Of Property Visit</t>
  </si>
  <si>
    <t>Name of the builder group</t>
  </si>
  <si>
    <t>Name of the builder company</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</si>
  <si>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</si>
  <si>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</si>
  <si>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</si>
  <si>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</si>
  <si>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</si>
  <si>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</si>
  <si>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</si>
  <si>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</si>
  <si>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</si>
  <si>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</si>
  <si>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</si>
  <si>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</si>
  <si>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</si>
  <si>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</si>
  <si>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</si>
  <si>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</si>
  <si>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</si>
  <si>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</si>
  <si>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</si>
  <si>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</si>
  <si>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</si>
  <si>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</si>
  <si>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</si>
  <si>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</si>
  <si>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</si>
  <si>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</si>
  <si>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</si>
  <si>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</si>
  <si>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</si>
  <si>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</si>
  <si>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</si>
  <si>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</si>
  <si>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</si>
  <si>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</si>
  <si>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</si>
  <si>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</si>
  <si>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</si>
  <si>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</si>
  <si>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</si>
  <si>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</si>
  <si>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</si>
  <si>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</si>
  <si>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</si>
  <si>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</si>
  <si>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</si>
  <si>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</si>
  <si>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</si>
  <si>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</si>
  <si>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</si>
  <si>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</si>
  <si>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</si>
  <si>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</si>
  <si>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</si>
  <si>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</si>
  <si>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</si>
  <si>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</si>
  <si>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</si>
  <si>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</si>
  <si>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</si>
  <si>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</si>
  <si>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</si>
  <si>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</si>
  <si>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</si>
  <si>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</si>
  <si>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</si>
  <si>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</si>
  <si>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</si>
  <si>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</si>
  <si>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</si>
  <si>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</si>
  <si>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</si>
  <si>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</si>
  <si>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</si>
  <si>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</si>
  <si>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</si>
  <si>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</si>
  <si>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</si>
  <si>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</si>
  <si>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</si>
  <si>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</si>
  <si>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</si>
  <si>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</si>
  <si>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</si>
  <si>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</si>
  <si>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</si>
  <si>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</si>
  <si>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</si>
  <si>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</si>
  <si>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</si>
  <si>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</si>
  <si>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</si>
  <si>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</si>
  <si>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</si>
  <si>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</si>
  <si>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</si>
  <si>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</si>
  <si>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</si>
  <si>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</si>
  <si>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</si>
  <si>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</si>
  <si>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</si>
  <si>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</si>
  <si>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</si>
  <si>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</si>
  <si>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</si>
  <si>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</si>
  <si>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</si>
  <si>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</si>
  <si>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</si>
  <si>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</si>
  <si>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</si>
  <si>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</si>
  <si>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</si>
  <si>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</si>
  <si>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t>Flat No.
(Sale Plan)</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</si>
  <si>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</si>
  <si>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</si>
  <si>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</si>
  <si>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</si>
  <si>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</si>
  <si>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</si>
  <si>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</si>
  <si>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</si>
  <si>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</si>
  <si>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</si>
  <si>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</si>
  <si>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</si>
  <si>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</si>
  <si>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</si>
  <si>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</si>
  <si>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</si>
  <si>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</si>
  <si>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</si>
  <si>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</si>
  <si>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</si>
  <si>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</si>
  <si>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</si>
  <si>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</si>
  <si>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</si>
  <si>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</si>
  <si>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</si>
  <si>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</si>
  <si>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</si>
  <si>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</si>
  <si>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</si>
  <si>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</si>
  <si>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</si>
  <si>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</si>
  <si>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</si>
  <si>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</si>
  <si>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</si>
  <si>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</si>
  <si>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</si>
  <si>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</si>
  <si>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</si>
  <si>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</si>
  <si>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</si>
  <si>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</si>
  <si>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Provided Contact Details ( Name &amp; Contact No.)</t>
  </si>
  <si>
    <t>Site Person - Contact Details ( Name &amp; Contact No.)</t>
  </si>
  <si>
    <t>Layout :</t>
  </si>
  <si>
    <t>Axis Goregaon</t>
  </si>
  <si>
    <t>Office No. 1031, Wing J, Akshar Business Park, Plot No. 03 Sector 25, Near APMC Market, Vashi, Navi Mumbai, Maharashtra 400703 TEL: 022-46090378/79/80                                                                       
E mail : vsjcapf@gmail.com. Web site : www.vsjadon.com</t>
  </si>
  <si>
    <t>Latitude, Longitude</t>
  </si>
  <si>
    <t>P52000047538</t>
  </si>
  <si>
    <t>Ajan Homes Private Limited</t>
  </si>
  <si>
    <t>Dadasaheb Phalke</t>
  </si>
  <si>
    <t>Shelu</t>
  </si>
  <si>
    <t>Name of the Project (As per Builder)</t>
  </si>
  <si>
    <t>Construction Work of 10080 EWS under PMAY Scheme, 522 EWS Houses and 24 Commercial Shops of Sector 1</t>
  </si>
  <si>
    <t>Raigad</t>
  </si>
  <si>
    <t>Karjat</t>
  </si>
  <si>
    <t>Neral - Badlapur Road</t>
  </si>
  <si>
    <t>Maharashtra Housing and Area Development Authority (MHADA)</t>
  </si>
  <si>
    <t>https://goo.gl/maps/uvsiYMSjHqNT5veUA</t>
  </si>
  <si>
    <t>Namarata Acharya School</t>
  </si>
  <si>
    <t>1BHK</t>
  </si>
  <si>
    <t>Society Office</t>
  </si>
  <si>
    <t>1st to 6th, 8th to 11th, 13th to 16th Floor For Residential</t>
  </si>
  <si>
    <t>7th &amp; 12th Floor For Residential (Part Refuge Area)</t>
  </si>
  <si>
    <t>Refuge Area</t>
  </si>
  <si>
    <t>Shop</t>
  </si>
  <si>
    <t>1st Floor For Residential</t>
  </si>
  <si>
    <t>2nd to 6th, 8th to 11th &amp; 13th to 16th Floor For Residential</t>
  </si>
  <si>
    <t>We considered Gross carpet area = Net carpet.</t>
  </si>
  <si>
    <t>Open Land</t>
  </si>
  <si>
    <t>Internal Road</t>
  </si>
  <si>
    <t>Building A = G + 1st to 16th Floor
Building B (B1 &amp; B2 Wing) = G + 1st to 16th Floor</t>
  </si>
  <si>
    <t>Wing B2</t>
  </si>
  <si>
    <t>Building B</t>
  </si>
  <si>
    <t>Wing B1</t>
  </si>
  <si>
    <t>Building A</t>
  </si>
  <si>
    <t>1L charges</t>
  </si>
  <si>
    <t>Rushikesh</t>
  </si>
  <si>
    <t>Validity of CC is expired on 29/09/2023. Please provide latest CC.</t>
  </si>
  <si>
    <t>EE/BP/PMAY/A/MHADA/944/2023</t>
  </si>
  <si>
    <t>Anukarati Homes Pvt Ltd</t>
  </si>
  <si>
    <t>Previous  builder</t>
  </si>
  <si>
    <t>Present Builder</t>
  </si>
  <si>
    <t>Previous Name of the Project (As per Rera)</t>
  </si>
  <si>
    <t>Present Name of the Project (As per Rera)</t>
  </si>
  <si>
    <t>Chitrapatjanak Dadasaheb Phalke Township - Phase 1</t>
  </si>
  <si>
    <t>Mr.Aakash Gaikwad 7030081234</t>
  </si>
  <si>
    <t>As per Layout</t>
  </si>
  <si>
    <t>19.060461,73.312948</t>
  </si>
  <si>
    <t>15.0 M. Wide Internal Road</t>
  </si>
  <si>
    <t>Other Plot</t>
  </si>
  <si>
    <t>15.80 Wide Neral Badlapur Road</t>
  </si>
  <si>
    <t>04 Buildings</t>
  </si>
  <si>
    <t>Survey No</t>
  </si>
  <si>
    <t>EE/BP/PMAY/A/MHADA/149/2024</t>
  </si>
  <si>
    <t>Building C = Gr + 1st to 16th Floor</t>
  </si>
  <si>
    <t>Building A = Gr + 1st to 16th Floor</t>
  </si>
  <si>
    <t>Building A = Gr + 1st to 16th Floor
Building B (Wing B1 &amp; B2) = Gr + 1st to 16th Floor
Building C = Gr + 1st to 16th Floor</t>
  </si>
  <si>
    <t>Building B (Wing B1 &amp; B2) = Gr + 1st to 16th Floor</t>
  </si>
  <si>
    <t>Building B (Wing B2) = Gr + 1st to 16th Floor</t>
  </si>
  <si>
    <t>Building B (Wing B1) = Gr + 1st to 16th Floor</t>
  </si>
  <si>
    <t>0.9 KM from Shelu Railway Station</t>
  </si>
  <si>
    <t>Shelu West</t>
  </si>
  <si>
    <t>Naynesh Sunil Lovanshi</t>
  </si>
  <si>
    <t xml:space="preserve">Building Type EWS </t>
  </si>
  <si>
    <t>Building C</t>
  </si>
  <si>
    <t>Creche</t>
  </si>
  <si>
    <t>https://cdptownship.com/</t>
  </si>
  <si>
    <t>KONE Lifts, Club House, Multipurpose Hall, Fire Fighting Facility, Power Backup (Lift &amp; Common Areas), Convenience Store, Children's Play Area, Landscape Garden etc.</t>
  </si>
  <si>
    <t>plan on RERA BUT no Numbring &amp; Some not on RERA so AREA NOT DRAFT PLEASE CHECK</t>
  </si>
  <si>
    <r>
      <t xml:space="preserve">Shop No.
</t>
    </r>
    <r>
      <rPr>
        <b/>
        <sz val="11"/>
        <rFont val="Times New Roman"/>
        <family val="1"/>
      </rPr>
      <t>(Approved Plan)</t>
    </r>
  </si>
  <si>
    <r>
      <t xml:space="preserve">Flat No.
</t>
    </r>
    <r>
      <rPr>
        <b/>
        <sz val="11"/>
        <rFont val="Times New Roman"/>
        <family val="1"/>
      </rPr>
      <t>(Approved Plan)</t>
    </r>
  </si>
  <si>
    <t>Building A
Building B (Wing B1 &amp; B2)
Building C</t>
  </si>
  <si>
    <t xml:space="preserve">Approved Floor plan No.
(Building C)    </t>
  </si>
  <si>
    <t>We have added Building C on 05/12/2024</t>
  </si>
  <si>
    <t xml:space="preserve">Commencement-CC No
Valid Up to: 
(Building C)    </t>
  </si>
  <si>
    <t xml:space="preserve">Fire Noc No
Valid Up to: </t>
  </si>
  <si>
    <t>MFS/51/2022/419</t>
  </si>
  <si>
    <t xml:space="preserve">Environmental Clearance Certificate (EC) No
Valid Up for: </t>
  </si>
  <si>
    <t>Building A = G + 1st to 16th Floor (Height = 49.60 Mtrs)
Building B (B1 &amp; B2 Wing) = G + 1st to 16th Floor (Height = 49.90 Mtrs)
Building C = Gr + 1st to 16th Floor (Height = 49.60 Mtrs)</t>
  </si>
  <si>
    <t>Approved Plans, CC, Sale Plan, Cost Sheet, Fire Noc</t>
  </si>
  <si>
    <t>We have updated approved Fire Noc on 05/12/2024</t>
  </si>
  <si>
    <t>This C C is issued for work upto plinth level only and the work shall be
started w.e.f  22 FEB 2024</t>
  </si>
  <si>
    <t>Construction work of Building C is beyond CC permission, Please check for Revised CC for Building C</t>
  </si>
  <si>
    <t>SIA/MH/MIS/233663/2021</t>
  </si>
  <si>
    <t xml:space="preserve">We have received EC dtd 18/06/2022 &amp; CC dtd. 09/06/2022
1. Environment Clearance Certificate (EC), consists of survey no. 100/1A.
2. CC consist of Survey no. 100/1A, 103/2, 104/2 &amp; 105/1/B,
3. As per the revised approved Plans dtd. 25/01/2024, consist of survey No. 103/2, 104/1, 104/2, 105/1/B.
</t>
  </si>
  <si>
    <t xml:space="preserve">Remark No. : 14
</t>
  </si>
  <si>
    <t>Wing B1 &amp; B2</t>
  </si>
  <si>
    <t>Survey No. 100/1A
Building A = G + 1st to 16th Floor (Height = 49.60 Mtrs)
Wing B1 &amp; B2 = G + 1st to 16th Floor (Height = 49.90 Mtrs)
Building C = Gr + 1st to 16th Floor (Height = 49.60 Mtrs)</t>
  </si>
  <si>
    <t>With reference to the above remark, 
Provided EC dtd. 18/06/2022 are amended for FSI-36356.831 m2, Non-FSI-5013.022 m2, and Total BUA-41369.853 m2 (Plan approval-EE/BP/PMAY/A/MHADA/307/2022, dated 09.06.2022), which is mentioned on page no. 05 of 09, SEIAA Condition No. 04.
Therefore we have updated EC in our report.
Page no. 05 of 09, SEIAA Condition No. 04, attached below.</t>
  </si>
  <si>
    <t xml:space="preserve">As per the telephonic conversation with bank officials sannjay on 28/12/2024. </t>
  </si>
  <si>
    <t>As per RERA - 31/12/2025</t>
  </si>
  <si>
    <t>EE/BP/PMAYA/A/MHADA/14/2025</t>
  </si>
  <si>
    <t>Approved Floor plan No.</t>
  </si>
  <si>
    <t>EE/BP/PMAY/A/MHADA/68/2025
Approved upto : Bldg No.A &amp; B1 = Gr/St + 1st to 16th Floor
396 EWS tenements &amp; 12 Conv. Shops</t>
  </si>
  <si>
    <t>Ground Floor For Residential &amp; Society Office</t>
  </si>
  <si>
    <t>7th &amp; 12th Floor (Part Refuge Area)</t>
  </si>
  <si>
    <t>Ground Floor For Residential, Society Office, Creche &amp; Meter Room</t>
  </si>
  <si>
    <t>Commercial Area</t>
  </si>
  <si>
    <t>Ground Floor For Part Commercial, Part Residential, Meter Room &amp; Creche</t>
  </si>
  <si>
    <t>Ground Floor For Part Commercial, Part Residential, Meter Room &amp; Society Office</t>
  </si>
  <si>
    <t>Ground Floor for Part Residential, Part Commercial, Meter room &amp; Creche</t>
  </si>
  <si>
    <t>Ground Floor for Part Residential, Part Commercial, Meter room &amp; Society Office</t>
  </si>
  <si>
    <t>We have updated revised approved floor plans (On 16/04/2025).</t>
  </si>
  <si>
    <t>We have updated OC for Building A &amp; Building B1. (On 16/04/2025).</t>
  </si>
  <si>
    <t>As per approved floor plans dtd. 25/01/2024 &amp; rera, project consists of Sr.No. 103/2, 104/1, 104/2 &amp; 105/1/B.
As per revised approved floor plans dtd.07/01/2025 project consists of Sr.No. 100/1A, 103/2, 104/1, 104/2 &amp; 105/1/B.</t>
  </si>
  <si>
    <t>Flats - 792, Shops - 24</t>
  </si>
  <si>
    <t>Building A = All work Completed. OC Received.
Building B (Wing B1) = OC Received but finishing work is in process.
Building B (Wing B2) &amp; Building C = Construction work is in process at the time of visit.</t>
  </si>
  <si>
    <t>In Building No.B (Wing B1 &amp; B2), shop numbering is not given. So we considered from left to right.</t>
  </si>
  <si>
    <t>103/2, 104/1, 104/2 &amp; 105/1/B</t>
  </si>
  <si>
    <t>As per revised approved floor plans dtd.07/01/2025 Survey No. 100/1A is added.
We have considered previous survey nos for the project because the Survey No. 100/1A is not mentioned on RERA site.
Please check for legal Title from your end.</t>
  </si>
  <si>
    <t>Cement, Aggregate, Steel, etc</t>
  </si>
  <si>
    <t>60 Years After Completion</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</si>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</sst>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b/>
      <sz val="10"/>
      <color rgb="FF3C4043"/>
      <name val="Arial"/>
      <family val="2"/>
    </font>
    <font>
      <b/>
      <sz val="12"/>
      <color rgb="FFFF0000"/>
      <name val="Times New Roman"/>
      <family val="1"/>
    </font>
    <font>
      <b/>
      <sz val="14"/>
      <color rgb="FFFFFF00"/>
      <name val="Times New Roman"/>
      <family val="1"/>
    </font>
    <font>
      <b/>
      <sz val="11"/>
      <name val="Times New Roman"/>
      <family val="1"/>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5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25" fillId="0" borderId="0" xfId="0" applyFont="1" applyAlignment="1">
      <alignment horizontal="left" vertical="center" wrapText="1"/>
    </xf>
    <xf numFmtId="1" fontId="6" fillId="0" borderId="1" xfId="1" applyNumberFormat="1" applyFont="1" applyBorder="1" applyAlignment="1" applyProtection="1">
      <alignment horizontal="center" vertical="top" wrapText="1"/>
      <protection locked="0"/>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5" fillId="0" borderId="1" xfId="0" applyNumberFormat="1" applyFont="1" applyBorder="1" applyAlignment="1" applyProtection="1">
      <alignment vertical="center" wrapText="1"/>
      <protection locked="0"/>
    </xf>
    <xf numFmtId="1" fontId="6" fillId="0" borderId="0" xfId="0" applyNumberFormat="1" applyFont="1" applyAlignment="1">
      <alignment horizontal="center" vertical="center"/>
    </xf>
    <xf numFmtId="0" fontId="15" fillId="3" borderId="0" xfId="1" applyFont="1" applyFill="1"/>
    <xf numFmtId="14" fontId="15" fillId="3" borderId="0" xfId="1" applyNumberFormat="1" applyFont="1" applyFill="1"/>
    <xf numFmtId="0" fontId="27" fillId="0" borderId="0" xfId="0" applyFont="1" applyAlignment="1">
      <alignment horizontal="left" vertical="center" readingOrder="1"/>
    </xf>
    <xf numFmtId="0" fontId="24" fillId="0" borderId="0" xfId="10"/>
    <xf numFmtId="0" fontId="14" fillId="0" borderId="0" xfId="1" applyFont="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0" fontId="11" fillId="0" borderId="1" xfId="1" applyFont="1" applyBorder="1" applyAlignment="1" applyProtection="1">
      <alignment vertical="top" wrapText="1"/>
      <protection locked="0"/>
    </xf>
    <xf numFmtId="0" fontId="12" fillId="0" borderId="1" xfId="1" applyFont="1" applyBorder="1" applyAlignment="1" applyProtection="1">
      <alignment vertical="top"/>
      <protection locked="0"/>
    </xf>
    <xf numFmtId="0" fontId="6" fillId="0" borderId="0" xfId="1" applyFont="1" applyAlignment="1">
      <alignment wrapText="1"/>
    </xf>
    <xf numFmtId="0" fontId="14" fillId="0" borderId="0" xfId="1" applyFont="1" applyAlignment="1">
      <alignment wrapText="1"/>
    </xf>
    <xf numFmtId="0" fontId="22" fillId="2" borderId="15" xfId="0" applyFont="1" applyFill="1" applyBorder="1"/>
    <xf numFmtId="0" fontId="23" fillId="0" borderId="9" xfId="0" applyFont="1" applyBorder="1"/>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7" fillId="0" borderId="1" xfId="0" applyNumberFormat="1" applyFont="1" applyBorder="1" applyAlignment="1" applyProtection="1">
      <alignment vertical="top" wrapText="1"/>
      <protection locked="0"/>
    </xf>
    <xf numFmtId="1" fontId="26" fillId="0" borderId="8" xfId="0" applyNumberFormat="1" applyFont="1" applyBorder="1" applyAlignment="1" applyProtection="1">
      <alignment vertical="top" wrapText="1"/>
      <protection locked="0"/>
    </xf>
    <xf numFmtId="1" fontId="26" fillId="0" borderId="21" xfId="0" applyNumberFormat="1" applyFont="1" applyBorder="1" applyAlignment="1" applyProtection="1">
      <alignment vertical="top" wrapText="1"/>
      <protection locked="0"/>
    </xf>
    <xf numFmtId="1" fontId="26"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26" fillId="0" borderId="0" xfId="1" applyFont="1" applyAlignment="1">
      <alignment horizontal="center" vertical="center" wrapText="1"/>
    </xf>
    <xf numFmtId="1" fontId="12" fillId="0" borderId="1" xfId="1" applyNumberFormat="1" applyFont="1" applyBorder="1" applyAlignment="1" applyProtection="1">
      <alignment horizontal="center" vertical="center" wrapText="1"/>
      <protection locked="0"/>
    </xf>
    <xf numFmtId="1" fontId="11" fillId="0" borderId="17" xfId="1" applyNumberFormat="1" applyFont="1" applyBorder="1" applyAlignment="1" applyProtection="1">
      <alignment horizontal="center" vertical="center" wrapText="1"/>
      <protection locked="0"/>
    </xf>
    <xf numFmtId="1" fontId="11" fillId="0" borderId="18" xfId="1" applyNumberFormat="1" applyFont="1" applyBorder="1" applyAlignment="1" applyProtection="1">
      <alignment horizontal="center" vertical="center" wrapText="1"/>
      <protection locked="0"/>
    </xf>
    <xf numFmtId="1" fontId="11" fillId="0" borderId="25" xfId="1" applyNumberFormat="1" applyFont="1" applyBorder="1" applyAlignment="1" applyProtection="1">
      <alignment horizontal="center" vertical="center" wrapText="1"/>
      <protection locked="0"/>
    </xf>
    <xf numFmtId="1" fontId="11" fillId="0" borderId="26"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 xfId="8" applyFont="1" applyFill="1" applyBorder="1" applyAlignment="1" applyProtection="1">
      <alignment horizontal="center" vertical="center" wrapText="1"/>
      <protection locked="0"/>
    </xf>
    <xf numFmtId="0" fontId="5"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 fontId="7" fillId="4" borderId="8" xfId="1" applyNumberFormat="1" applyFont="1" applyFill="1" applyBorder="1" applyAlignment="1" applyProtection="1">
      <alignment horizontal="center" vertical="center" wrapText="1"/>
      <protection locked="0"/>
    </xf>
    <xf numFmtId="1" fontId="7" fillId="4" borderId="21" xfId="1" applyNumberFormat="1" applyFont="1" applyFill="1" applyBorder="1" applyAlignment="1" applyProtection="1">
      <alignment horizontal="center" vertical="center" wrapText="1"/>
      <protection locked="0"/>
    </xf>
    <xf numFmtId="1" fontId="7" fillId="4" borderId="9" xfId="1" applyNumberFormat="1"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2" fillId="0" borderId="3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16" xfId="1" applyFont="1" applyBorder="1" applyAlignment="1" applyProtection="1">
      <alignment horizontal="center"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1" fontId="7" fillId="4" borderId="1" xfId="1"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2" fillId="4" borderId="8" xfId="1" applyNumberFormat="1" applyFont="1" applyFill="1" applyBorder="1" applyAlignment="1" applyProtection="1">
      <alignment horizontal="center" vertical="center" wrapText="1"/>
      <protection locked="0"/>
    </xf>
    <xf numFmtId="1" fontId="12" fillId="4" borderId="21" xfId="1" applyNumberFormat="1" applyFont="1" applyFill="1" applyBorder="1" applyAlignment="1" applyProtection="1">
      <alignment horizontal="center" vertical="center" wrapText="1"/>
      <protection locked="0"/>
    </xf>
    <xf numFmtId="1" fontId="12" fillId="4" borderId="9" xfId="1" applyNumberFormat="1"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11"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14" fontId="11" fillId="0" borderId="1" xfId="1" applyNumberFormat="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4" fontId="12" fillId="0" borderId="8" xfId="1" applyNumberFormat="1" applyFont="1" applyBorder="1" applyAlignment="1" applyProtection="1">
      <alignment horizontal="left" vertical="top"/>
      <protection locked="0"/>
    </xf>
    <xf numFmtId="1" fontId="5" fillId="0" borderId="3" xfId="0" applyNumberFormat="1" applyFont="1" applyBorder="1" applyAlignment="1" applyProtection="1">
      <alignment horizontal="center" vertical="center"/>
      <protection locked="0"/>
    </xf>
    <xf numFmtId="1" fontId="5" fillId="0" borderId="16" xfId="0" applyNumberFormat="1" applyFont="1" applyBorder="1" applyAlignment="1" applyProtection="1">
      <alignment horizontal="center" vertical="center"/>
      <protection locked="0"/>
    </xf>
    <xf numFmtId="0" fontId="5" fillId="0" borderId="1" xfId="1" applyFont="1" applyBorder="1" applyAlignment="1" applyProtection="1">
      <alignment vertical="top"/>
      <protection locked="0"/>
    </xf>
    <xf numFmtId="1" fontId="28" fillId="0" borderId="1"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12" fillId="0" borderId="18"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20" xfId="1" applyNumberFormat="1" applyFont="1" applyBorder="1" applyAlignment="1" applyProtection="1">
      <alignment horizontal="center" vertical="top" wrapText="1"/>
      <protection locked="0"/>
    </xf>
    <xf numFmtId="0" fontId="7" fillId="0" borderId="0" xfId="1" applyFont="1" applyAlignment="1" applyProtection="1">
      <alignment horizontal="lef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0509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xdr:from>
      <xdr:col>14</xdr:col>
      <xdr:colOff>316654</xdr:colOff>
      <xdr:row>399</xdr:row>
      <xdr:rowOff>130033</xdr:rowOff>
    </xdr:from>
    <xdr:to>
      <xdr:col>17</xdr:col>
      <xdr:colOff>91518</xdr:colOff>
      <xdr:row>401</xdr:row>
      <xdr:rowOff>121894</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rot="21226557">
          <a:off x="11833245" y="80694215"/>
          <a:ext cx="1818409" cy="40749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15</xdr:col>
      <xdr:colOff>233490</xdr:colOff>
      <xdr:row>401</xdr:row>
      <xdr:rowOff>38672</xdr:rowOff>
    </xdr:from>
    <xdr:to>
      <xdr:col>16</xdr:col>
      <xdr:colOff>433353</xdr:colOff>
      <xdr:row>402</xdr:row>
      <xdr:rowOff>127513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rot="21317128">
          <a:off x="12408172" y="81018490"/>
          <a:ext cx="979181" cy="2966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200" b="1">
              <a:solidFill>
                <a:sysClr val="windowText" lastClr="000000"/>
              </a:solidFill>
            </a:rPr>
            <a:t>Building - B1</a:t>
          </a:r>
        </a:p>
      </xdr:txBody>
    </xdr:sp>
    <xdr:clientData/>
  </xdr:twoCellAnchor>
  <xdr:twoCellAnchor>
    <xdr:from>
      <xdr:col>16</xdr:col>
      <xdr:colOff>398319</xdr:colOff>
      <xdr:row>400</xdr:row>
      <xdr:rowOff>138543</xdr:rowOff>
    </xdr:from>
    <xdr:to>
      <xdr:col>18</xdr:col>
      <xdr:colOff>173886</xdr:colOff>
      <xdr:row>402</xdr:row>
      <xdr:rowOff>28225</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rot="21288870">
          <a:off x="13352319" y="80910543"/>
          <a:ext cx="987840" cy="3053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200" b="1">
              <a:solidFill>
                <a:sysClr val="windowText" lastClr="000000"/>
              </a:solidFill>
            </a:rPr>
            <a:t>Building - B2</a:t>
          </a:r>
        </a:p>
      </xdr:txBody>
    </xdr:sp>
    <xdr:clientData/>
  </xdr:twoCellAnchor>
  <xdr:twoCellAnchor>
    <xdr:from>
      <xdr:col>12</xdr:col>
      <xdr:colOff>2362</xdr:colOff>
      <xdr:row>324</xdr:row>
      <xdr:rowOff>9634</xdr:rowOff>
    </xdr:from>
    <xdr:to>
      <xdr:col>13</xdr:col>
      <xdr:colOff>123591</xdr:colOff>
      <xdr:row>325</xdr:row>
      <xdr:rowOff>98475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9865067" y="59817975"/>
          <a:ext cx="909206" cy="28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200" b="1">
              <a:solidFill>
                <a:sysClr val="windowText" lastClr="000000"/>
              </a:solidFill>
            </a:rPr>
            <a:t>Building A</a:t>
          </a:r>
        </a:p>
      </xdr:txBody>
    </xdr:sp>
    <xdr:clientData/>
  </xdr:twoCellAnchor>
  <xdr:twoCellAnchor>
    <xdr:from>
      <xdr:col>9</xdr:col>
      <xdr:colOff>401807</xdr:colOff>
      <xdr:row>345</xdr:row>
      <xdr:rowOff>166479</xdr:rowOff>
    </xdr:from>
    <xdr:to>
      <xdr:col>10</xdr:col>
      <xdr:colOff>699226</xdr:colOff>
      <xdr:row>348</xdr:row>
      <xdr:rowOff>43120</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8099739" y="61758593"/>
          <a:ext cx="1059419" cy="4741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200" b="1">
              <a:solidFill>
                <a:sysClr val="windowText" lastClr="000000"/>
              </a:solidFill>
            </a:rPr>
            <a:t>Building B</a:t>
          </a:r>
          <a:r>
            <a:rPr lang="en-IN" sz="1200" b="1" baseline="0">
              <a:solidFill>
                <a:sysClr val="windowText" lastClr="000000"/>
              </a:solidFill>
            </a:rPr>
            <a:t> </a:t>
          </a:r>
          <a:r>
            <a:rPr lang="en-IN" sz="1200" b="1">
              <a:solidFill>
                <a:sysClr val="windowText" lastClr="000000"/>
              </a:solidFill>
            </a:rPr>
            <a:t>Wing B2</a:t>
          </a:r>
        </a:p>
      </xdr:txBody>
    </xdr:sp>
    <xdr:clientData/>
  </xdr:twoCellAnchor>
  <xdr:twoCellAnchor>
    <xdr:from>
      <xdr:col>8</xdr:col>
      <xdr:colOff>442980</xdr:colOff>
      <xdr:row>339</xdr:row>
      <xdr:rowOff>27609</xdr:rowOff>
    </xdr:from>
    <xdr:to>
      <xdr:col>8</xdr:col>
      <xdr:colOff>1048238</xdr:colOff>
      <xdr:row>340</xdr:row>
      <xdr:rowOff>98236</xdr:rowOff>
    </xdr:to>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6977958" y="64118435"/>
          <a:ext cx="605258" cy="261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A</a:t>
          </a:r>
        </a:p>
      </xdr:txBody>
    </xdr:sp>
    <xdr:clientData/>
  </xdr:twoCellAnchor>
  <xdr:twoCellAnchor>
    <xdr:from>
      <xdr:col>10</xdr:col>
      <xdr:colOff>534225</xdr:colOff>
      <xdr:row>339</xdr:row>
      <xdr:rowOff>27609</xdr:rowOff>
    </xdr:from>
    <xdr:to>
      <xdr:col>11</xdr:col>
      <xdr:colOff>519596</xdr:colOff>
      <xdr:row>340</xdr:row>
      <xdr:rowOff>98236</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8990768" y="64118435"/>
          <a:ext cx="689393" cy="261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B1</a:t>
          </a:r>
        </a:p>
      </xdr:txBody>
    </xdr:sp>
    <xdr:clientData/>
  </xdr:twoCellAnchor>
  <xdr:twoCellAnchor>
    <xdr:from>
      <xdr:col>9</xdr:col>
      <xdr:colOff>235174</xdr:colOff>
      <xdr:row>341</xdr:row>
      <xdr:rowOff>4955</xdr:rowOff>
    </xdr:from>
    <xdr:to>
      <xdr:col>10</xdr:col>
      <xdr:colOff>138597</xdr:colOff>
      <xdr:row>342</xdr:row>
      <xdr:rowOff>67301</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7929717" y="64485064"/>
          <a:ext cx="665423" cy="2611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B2</a:t>
          </a:r>
        </a:p>
      </xdr:txBody>
    </xdr:sp>
    <xdr:clientData/>
  </xdr:twoCellAnchor>
  <xdr:twoCellAnchor editAs="oneCell">
    <xdr:from>
      <xdr:col>8</xdr:col>
      <xdr:colOff>476250</xdr:colOff>
      <xdr:row>12</xdr:row>
      <xdr:rowOff>295275</xdr:rowOff>
    </xdr:from>
    <xdr:to>
      <xdr:col>13</xdr:col>
      <xdr:colOff>592605</xdr:colOff>
      <xdr:row>16</xdr:row>
      <xdr:rowOff>139158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019925" y="3733800"/>
          <a:ext cx="4248150" cy="1467055"/>
        </a:xfrm>
        <a:prstGeom prst="rect">
          <a:avLst/>
        </a:prstGeom>
      </xdr:spPr>
    </xdr:pic>
    <xdr:clientData/>
  </xdr:twoCellAnchor>
  <xdr:twoCellAnchor editAs="oneCell">
    <xdr:from>
      <xdr:col>11</xdr:col>
      <xdr:colOff>390524</xdr:colOff>
      <xdr:row>48</xdr:row>
      <xdr:rowOff>82550</xdr:rowOff>
    </xdr:from>
    <xdr:to>
      <xdr:col>17</xdr:col>
      <xdr:colOff>62435</xdr:colOff>
      <xdr:row>54</xdr:row>
      <xdr:rowOff>128804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846944" y="11672570"/>
          <a:ext cx="4175331" cy="1623594"/>
        </a:xfrm>
        <a:prstGeom prst="rect">
          <a:avLst/>
        </a:prstGeom>
      </xdr:spPr>
    </xdr:pic>
    <xdr:clientData/>
  </xdr:twoCellAnchor>
  <xdr:twoCellAnchor editAs="oneCell">
    <xdr:from>
      <xdr:col>8</xdr:col>
      <xdr:colOff>1126490</xdr:colOff>
      <xdr:row>55</xdr:row>
      <xdr:rowOff>91440</xdr:rowOff>
    </xdr:from>
    <xdr:to>
      <xdr:col>14</xdr:col>
      <xdr:colOff>178286</xdr:colOff>
      <xdr:row>58</xdr:row>
      <xdr:rowOff>59740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877810" y="13456920"/>
          <a:ext cx="4149576" cy="1195120"/>
        </a:xfrm>
        <a:prstGeom prst="rect">
          <a:avLst/>
        </a:prstGeom>
      </xdr:spPr>
    </xdr:pic>
    <xdr:clientData/>
  </xdr:twoCellAnchor>
  <xdr:twoCellAnchor editAs="oneCell">
    <xdr:from>
      <xdr:col>0</xdr:col>
      <xdr:colOff>666187</xdr:colOff>
      <xdr:row>532</xdr:row>
      <xdr:rowOff>39523</xdr:rowOff>
    </xdr:from>
    <xdr:to>
      <xdr:col>6</xdr:col>
      <xdr:colOff>674406</xdr:colOff>
      <xdr:row>548</xdr:row>
      <xdr:rowOff>188637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srcRect l="11735" t="15523" r="9204" b="13092"/>
        <a:stretch/>
      </xdr:blipFill>
      <xdr:spPr>
        <a:xfrm>
          <a:off x="666187" y="84964423"/>
          <a:ext cx="4944037" cy="3307676"/>
        </a:xfrm>
        <a:prstGeom prst="rect">
          <a:avLst/>
        </a:prstGeom>
        <a:ln>
          <a:solidFill>
            <a:sysClr val="windowText" lastClr="000000"/>
          </a:solidFill>
        </a:ln>
      </xdr:spPr>
    </xdr:pic>
    <xdr:clientData/>
  </xdr:twoCellAnchor>
  <xdr:twoCellAnchor>
    <xdr:from>
      <xdr:col>0</xdr:col>
      <xdr:colOff>191519</xdr:colOff>
      <xdr:row>509</xdr:row>
      <xdr:rowOff>40697</xdr:rowOff>
    </xdr:from>
    <xdr:to>
      <xdr:col>7</xdr:col>
      <xdr:colOff>692727</xdr:colOff>
      <xdr:row>522</xdr:row>
      <xdr:rowOff>183097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191519" y="106812137"/>
          <a:ext cx="6399088" cy="2717960"/>
          <a:chOff x="191519" y="80022122"/>
          <a:chExt cx="6216208" cy="2742725"/>
        </a:xfrm>
      </xdr:grpSpPr>
      <xdr:grpSp>
        <xdr:nvGrpSpPr>
          <xdr:cNvPr id="10" name="Group 9">
            <a:extLst>
              <a:ext uri="{FF2B5EF4-FFF2-40B4-BE49-F238E27FC236}">
                <a16:creationId xmlns:a16="http://schemas.microsoft.com/office/drawing/2014/main" id="{00000000-0008-0000-0000-00000A000000}"/>
              </a:ext>
            </a:extLst>
          </xdr:cNvPr>
          <xdr:cNvGrpSpPr/>
        </xdr:nvGrpSpPr>
        <xdr:grpSpPr>
          <a:xfrm>
            <a:off x="191519" y="80022122"/>
            <a:ext cx="6216208" cy="2742725"/>
            <a:chOff x="191519" y="80050697"/>
            <a:chExt cx="6216208" cy="2742725"/>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91519" y="80050697"/>
              <a:ext cx="6216208" cy="2710779"/>
            </a:xfrm>
            <a:prstGeom prst="rect">
              <a:avLst/>
            </a:prstGeom>
            <a:ln>
              <a:solidFill>
                <a:sysClr val="windowText" lastClr="000000"/>
              </a:solidFill>
            </a:ln>
          </xdr:spPr>
        </xdr:pic>
        <xdr:grpSp>
          <xdr:nvGrpSpPr>
            <xdr:cNvPr id="9" name="Group 8">
              <a:extLst>
                <a:ext uri="{FF2B5EF4-FFF2-40B4-BE49-F238E27FC236}">
                  <a16:creationId xmlns:a16="http://schemas.microsoft.com/office/drawing/2014/main" id="{00000000-0008-0000-0000-000009000000}"/>
                </a:ext>
              </a:extLst>
            </xdr:cNvPr>
            <xdr:cNvGrpSpPr/>
          </xdr:nvGrpSpPr>
          <xdr:grpSpPr>
            <a:xfrm>
              <a:off x="283383" y="80629022"/>
              <a:ext cx="3189624" cy="2164400"/>
              <a:chOff x="283383" y="80629022"/>
              <a:chExt cx="3189624" cy="2164400"/>
            </a:xfrm>
          </xdr:grpSpPr>
          <xdr:sp macro="" textlink="">
            <xdr:nvSpPr>
              <xdr:cNvPr id="22" name="Rectangle 21">
                <a:extLst>
                  <a:ext uri="{FF2B5EF4-FFF2-40B4-BE49-F238E27FC236}">
                    <a16:creationId xmlns:a16="http://schemas.microsoft.com/office/drawing/2014/main" id="{00000000-0008-0000-0000-000016000000}"/>
                  </a:ext>
                </a:extLst>
              </xdr:cNvPr>
              <xdr:cNvSpPr/>
            </xdr:nvSpPr>
            <xdr:spPr>
              <a:xfrm rot="21100842">
                <a:off x="283383" y="81029072"/>
                <a:ext cx="1083248" cy="2859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latin typeface="Times New Roman" panose="02020603050405020304" pitchFamily="18" charset="0"/>
                    <a:cs typeface="Times New Roman" panose="02020603050405020304" pitchFamily="18" charset="0"/>
                  </a:rPr>
                  <a:t>Building A</a:t>
                </a:r>
              </a:p>
            </xdr:txBody>
          </xdr:sp>
          <xdr:sp macro="" textlink="">
            <xdr:nvSpPr>
              <xdr:cNvPr id="20" name="Rectangle 19">
                <a:extLst>
                  <a:ext uri="{FF2B5EF4-FFF2-40B4-BE49-F238E27FC236}">
                    <a16:creationId xmlns:a16="http://schemas.microsoft.com/office/drawing/2014/main" id="{00000000-0008-0000-0000-000014000000}"/>
                  </a:ext>
                </a:extLst>
              </xdr:cNvPr>
              <xdr:cNvSpPr/>
            </xdr:nvSpPr>
            <xdr:spPr>
              <a:xfrm rot="20967611">
                <a:off x="513941" y="81338458"/>
                <a:ext cx="729912" cy="103374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rot="21163527">
                <a:off x="1401503" y="81841383"/>
                <a:ext cx="748476" cy="337607"/>
              </a:xfrm>
              <a:prstGeom prst="rect">
                <a:avLst/>
              </a:prstGeom>
              <a:noFill/>
              <a:ln w="28575">
                <a:solidFill>
                  <a:srgbClr val="0509A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0509AB"/>
                  </a:solidFill>
                </a:endParaRPr>
              </a:p>
            </xdr:txBody>
          </xdr:sp>
          <xdr:sp macro="" textlink="">
            <xdr:nvSpPr>
              <xdr:cNvPr id="35" name="Rectangle 34">
                <a:extLst>
                  <a:ext uri="{FF2B5EF4-FFF2-40B4-BE49-F238E27FC236}">
                    <a16:creationId xmlns:a16="http://schemas.microsoft.com/office/drawing/2014/main" id="{00000000-0008-0000-0000-000023000000}"/>
                  </a:ext>
                </a:extLst>
              </xdr:cNvPr>
              <xdr:cNvSpPr/>
            </xdr:nvSpPr>
            <xdr:spPr>
              <a:xfrm rot="21163527">
                <a:off x="2186949" y="81736610"/>
                <a:ext cx="744813" cy="339805"/>
              </a:xfrm>
              <a:prstGeom prst="rect">
                <a:avLst/>
              </a:prstGeom>
              <a:noFill/>
              <a:ln w="28575">
                <a:solidFill>
                  <a:srgbClr val="0509A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9" name="Rectangle 38">
                <a:extLst>
                  <a:ext uri="{FF2B5EF4-FFF2-40B4-BE49-F238E27FC236}">
                    <a16:creationId xmlns:a16="http://schemas.microsoft.com/office/drawing/2014/main" id="{00000000-0008-0000-0000-000027000000}"/>
                  </a:ext>
                </a:extLst>
              </xdr:cNvPr>
              <xdr:cNvSpPr/>
            </xdr:nvSpPr>
            <xdr:spPr>
              <a:xfrm rot="19673287">
                <a:off x="2464076" y="80890990"/>
                <a:ext cx="811303" cy="76534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3" name="Rectangle 42">
                <a:extLst>
                  <a:ext uri="{FF2B5EF4-FFF2-40B4-BE49-F238E27FC236}">
                    <a16:creationId xmlns:a16="http://schemas.microsoft.com/office/drawing/2014/main" id="{00000000-0008-0000-0000-00002B000000}"/>
                  </a:ext>
                </a:extLst>
              </xdr:cNvPr>
              <xdr:cNvSpPr/>
            </xdr:nvSpPr>
            <xdr:spPr>
              <a:xfrm rot="19510614">
                <a:off x="1986289" y="80629022"/>
                <a:ext cx="1086147" cy="2859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ysClr val="windowText" lastClr="000000"/>
                    </a:solidFill>
                    <a:latin typeface="Times New Roman" panose="02020603050405020304" pitchFamily="18" charset="0"/>
                    <a:cs typeface="Times New Roman" panose="02020603050405020304" pitchFamily="18" charset="0"/>
                  </a:rPr>
                  <a:t>Building C</a:t>
                </a:r>
              </a:p>
            </xdr:txBody>
          </xdr:sp>
          <xdr:sp macro="" textlink="">
            <xdr:nvSpPr>
              <xdr:cNvPr id="48" name="Rectangle 47">
                <a:extLst>
                  <a:ext uri="{FF2B5EF4-FFF2-40B4-BE49-F238E27FC236}">
                    <a16:creationId xmlns:a16="http://schemas.microsoft.com/office/drawing/2014/main" id="{00000000-0008-0000-0000-000030000000}"/>
                  </a:ext>
                </a:extLst>
              </xdr:cNvPr>
              <xdr:cNvSpPr/>
            </xdr:nvSpPr>
            <xdr:spPr>
              <a:xfrm rot="21281527">
                <a:off x="1323486" y="82159457"/>
                <a:ext cx="1076923" cy="6339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400" b="1">
                    <a:solidFill>
                      <a:srgbClr val="0509AB"/>
                    </a:solidFill>
                    <a:latin typeface="Times New Roman" panose="02020603050405020304" pitchFamily="18" charset="0"/>
                    <a:cs typeface="Times New Roman" panose="02020603050405020304" pitchFamily="18" charset="0"/>
                  </a:rPr>
                  <a:t>Building B</a:t>
                </a:r>
                <a:r>
                  <a:rPr lang="en-IN" sz="1400" b="1" baseline="0">
                    <a:solidFill>
                      <a:srgbClr val="0509AB"/>
                    </a:solidFill>
                    <a:latin typeface="Times New Roman" panose="02020603050405020304" pitchFamily="18" charset="0"/>
                    <a:cs typeface="Times New Roman" panose="02020603050405020304" pitchFamily="18" charset="0"/>
                  </a:rPr>
                  <a:t> (Wing B1)</a:t>
                </a:r>
                <a:endParaRPr lang="en-IN" sz="1400" b="1">
                  <a:solidFill>
                    <a:srgbClr val="0509AB"/>
                  </a:solidFill>
                  <a:latin typeface="Times New Roman" panose="02020603050405020304" pitchFamily="18" charset="0"/>
                  <a:cs typeface="Times New Roman" panose="02020603050405020304" pitchFamily="18" charset="0"/>
                </a:endParaRPr>
              </a:p>
            </xdr:txBody>
          </xdr:sp>
          <xdr:sp macro="" textlink="">
            <xdr:nvSpPr>
              <xdr:cNvPr id="49" name="Rectangle 48">
                <a:extLst>
                  <a:ext uri="{FF2B5EF4-FFF2-40B4-BE49-F238E27FC236}">
                    <a16:creationId xmlns:a16="http://schemas.microsoft.com/office/drawing/2014/main" id="{00000000-0008-0000-0000-000031000000}"/>
                  </a:ext>
                </a:extLst>
              </xdr:cNvPr>
              <xdr:cNvSpPr/>
            </xdr:nvSpPr>
            <xdr:spPr>
              <a:xfrm rot="21234772">
                <a:off x="2388630" y="82026937"/>
                <a:ext cx="1084377" cy="6327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400" b="1">
                    <a:solidFill>
                      <a:srgbClr val="0509AB"/>
                    </a:solidFill>
                    <a:latin typeface="Times New Roman" panose="02020603050405020304" pitchFamily="18" charset="0"/>
                    <a:cs typeface="Times New Roman" panose="02020603050405020304" pitchFamily="18" charset="0"/>
                  </a:rPr>
                  <a:t>Building B</a:t>
                </a:r>
                <a:r>
                  <a:rPr lang="en-IN" sz="1400" b="1" baseline="0">
                    <a:solidFill>
                      <a:srgbClr val="0509AB"/>
                    </a:solidFill>
                    <a:latin typeface="Times New Roman" panose="02020603050405020304" pitchFamily="18" charset="0"/>
                    <a:cs typeface="Times New Roman" panose="02020603050405020304" pitchFamily="18" charset="0"/>
                  </a:rPr>
                  <a:t> (Wing B2)</a:t>
                </a:r>
                <a:endParaRPr lang="en-IN" sz="1400" b="1">
                  <a:solidFill>
                    <a:srgbClr val="0509AB"/>
                  </a:solidFill>
                  <a:latin typeface="Times New Roman" panose="02020603050405020304" pitchFamily="18" charset="0"/>
                  <a:cs typeface="Times New Roman" panose="02020603050405020304" pitchFamily="18" charset="0"/>
                </a:endParaRPr>
              </a:p>
            </xdr:txBody>
          </xdr:sp>
        </xdr:grpSp>
      </xdr:grpSp>
      <xdr:grpSp>
        <xdr:nvGrpSpPr>
          <xdr:cNvPr id="50" name="Group 49">
            <a:extLst>
              <a:ext uri="{FF2B5EF4-FFF2-40B4-BE49-F238E27FC236}">
                <a16:creationId xmlns:a16="http://schemas.microsoft.com/office/drawing/2014/main" id="{00000000-0008-0000-0000-000032000000}"/>
              </a:ext>
            </a:extLst>
          </xdr:cNvPr>
          <xdr:cNvGrpSpPr/>
        </xdr:nvGrpSpPr>
        <xdr:grpSpPr>
          <a:xfrm>
            <a:off x="5334000" y="80571975"/>
            <a:ext cx="413185" cy="768274"/>
            <a:chOff x="5753099" y="9584861"/>
            <a:chExt cx="618999" cy="768274"/>
          </a:xfrm>
        </xdr:grpSpPr>
        <xdr:sp macro="" textlink="">
          <xdr:nvSpPr>
            <xdr:cNvPr id="51" name="TextBox 7">
              <a:extLst>
                <a:ext uri="{FF2B5EF4-FFF2-40B4-BE49-F238E27FC236}">
                  <a16:creationId xmlns:a16="http://schemas.microsoft.com/office/drawing/2014/main" id="{00000000-0008-0000-0000-000033000000}"/>
                </a:ext>
              </a:extLst>
            </xdr:cNvPr>
            <xdr:cNvSpPr txBox="1"/>
          </xdr:nvSpPr>
          <xdr:spPr>
            <a:xfrm>
              <a:off x="5753099" y="9584861"/>
              <a:ext cx="618999" cy="53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800" b="1">
                  <a:latin typeface="Times New Roman" panose="02020603050405020304" pitchFamily="18" charset="0"/>
                  <a:cs typeface="Times New Roman" panose="02020603050405020304" pitchFamily="18" charset="0"/>
                </a:rPr>
                <a:t>N</a:t>
              </a:r>
            </a:p>
          </xdr:txBody>
        </xdr:sp>
        <xdr:sp macro="" textlink="">
          <xdr:nvSpPr>
            <xdr:cNvPr id="52" name="Right Arrow 51">
              <a:extLst>
                <a:ext uri="{FF2B5EF4-FFF2-40B4-BE49-F238E27FC236}">
                  <a16:creationId xmlns:a16="http://schemas.microsoft.com/office/drawing/2014/main" id="{00000000-0008-0000-0000-000034000000}"/>
                </a:ext>
              </a:extLst>
            </xdr:cNvPr>
            <xdr:cNvSpPr/>
          </xdr:nvSpPr>
          <xdr:spPr>
            <a:xfrm rot="16200000">
              <a:off x="5906692" y="9963177"/>
              <a:ext cx="330033" cy="44988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606137</xdr:colOff>
      <xdr:row>492</xdr:row>
      <xdr:rowOff>69271</xdr:rowOff>
    </xdr:from>
    <xdr:to>
      <xdr:col>7</xdr:col>
      <xdr:colOff>253601</xdr:colOff>
      <xdr:row>508</xdr:row>
      <xdr:rowOff>103909</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06137" y="103449811"/>
          <a:ext cx="5545344" cy="3227418"/>
          <a:chOff x="606137" y="76650271"/>
          <a:chExt cx="5362464" cy="3235038"/>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606137" y="76650271"/>
            <a:ext cx="5362464" cy="3235038"/>
          </a:xfrm>
          <a:prstGeom prst="rect">
            <a:avLst/>
          </a:prstGeom>
          <a:ln>
            <a:solidFill>
              <a:sysClr val="windowText" lastClr="000000"/>
            </a:solidFill>
          </a:ln>
        </xdr:spPr>
      </xdr:pic>
      <xdr:grpSp>
        <xdr:nvGrpSpPr>
          <xdr:cNvPr id="53" name="Group 52">
            <a:extLst>
              <a:ext uri="{FF2B5EF4-FFF2-40B4-BE49-F238E27FC236}">
                <a16:creationId xmlns:a16="http://schemas.microsoft.com/office/drawing/2014/main" id="{00000000-0008-0000-0000-000035000000}"/>
              </a:ext>
            </a:extLst>
          </xdr:cNvPr>
          <xdr:cNvGrpSpPr/>
        </xdr:nvGrpSpPr>
        <xdr:grpSpPr>
          <a:xfrm rot="19335509">
            <a:off x="1019175" y="78447901"/>
            <a:ext cx="413185" cy="768274"/>
            <a:chOff x="5753099" y="9584861"/>
            <a:chExt cx="618999" cy="768274"/>
          </a:xfrm>
        </xdr:grpSpPr>
        <xdr:sp macro="" textlink="">
          <xdr:nvSpPr>
            <xdr:cNvPr id="54" name="TextBox 7">
              <a:extLst>
                <a:ext uri="{FF2B5EF4-FFF2-40B4-BE49-F238E27FC236}">
                  <a16:creationId xmlns:a16="http://schemas.microsoft.com/office/drawing/2014/main" id="{00000000-0008-0000-0000-000036000000}"/>
                </a:ext>
              </a:extLst>
            </xdr:cNvPr>
            <xdr:cNvSpPr txBox="1"/>
          </xdr:nvSpPr>
          <xdr:spPr>
            <a:xfrm>
              <a:off x="5753099" y="9584861"/>
              <a:ext cx="618999" cy="53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800" b="1">
                  <a:latin typeface="Times New Roman" panose="02020603050405020304" pitchFamily="18" charset="0"/>
                  <a:cs typeface="Times New Roman" panose="02020603050405020304" pitchFamily="18" charset="0"/>
                </a:rPr>
                <a:t>N</a:t>
              </a:r>
            </a:p>
          </xdr:txBody>
        </xdr:sp>
        <xdr:sp macro="" textlink="">
          <xdr:nvSpPr>
            <xdr:cNvPr id="55" name="Right Arrow 54">
              <a:extLst>
                <a:ext uri="{FF2B5EF4-FFF2-40B4-BE49-F238E27FC236}">
                  <a16:creationId xmlns:a16="http://schemas.microsoft.com/office/drawing/2014/main" id="{00000000-0008-0000-0000-000037000000}"/>
                </a:ext>
              </a:extLst>
            </xdr:cNvPr>
            <xdr:cNvSpPr/>
          </xdr:nvSpPr>
          <xdr:spPr>
            <a:xfrm rot="16200000">
              <a:off x="5906692" y="9963177"/>
              <a:ext cx="330033" cy="44988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10</xdr:col>
      <xdr:colOff>657225</xdr:colOff>
      <xdr:row>493</xdr:row>
      <xdr:rowOff>180975</xdr:rowOff>
    </xdr:from>
    <xdr:to>
      <xdr:col>16</xdr:col>
      <xdr:colOff>358214</xdr:colOff>
      <xdr:row>502</xdr:row>
      <xdr:rowOff>28808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a:stretch>
          <a:fillRect/>
        </a:stretch>
      </xdr:blipFill>
      <xdr:spPr>
        <a:xfrm>
          <a:off x="9140078" y="91262387"/>
          <a:ext cx="4206128" cy="1677754"/>
        </a:xfrm>
        <a:prstGeom prst="rect">
          <a:avLst/>
        </a:prstGeom>
      </xdr:spPr>
    </xdr:pic>
    <xdr:clientData/>
  </xdr:twoCellAnchor>
  <xdr:twoCellAnchor>
    <xdr:from>
      <xdr:col>0</xdr:col>
      <xdr:colOff>369795</xdr:colOff>
      <xdr:row>549</xdr:row>
      <xdr:rowOff>78443</xdr:rowOff>
    </xdr:from>
    <xdr:to>
      <xdr:col>7</xdr:col>
      <xdr:colOff>471758</xdr:colOff>
      <xdr:row>569</xdr:row>
      <xdr:rowOff>152401</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369795" y="114774683"/>
          <a:ext cx="5999843" cy="4036358"/>
          <a:chOff x="347383" y="88049661"/>
          <a:chExt cx="5816963" cy="4112558"/>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8"/>
          <a:stretch>
            <a:fillRect/>
          </a:stretch>
        </xdr:blipFill>
        <xdr:spPr>
          <a:xfrm>
            <a:off x="347383" y="88049661"/>
            <a:ext cx="5816963" cy="4112558"/>
          </a:xfrm>
          <a:prstGeom prst="rect">
            <a:avLst/>
          </a:prstGeom>
          <a:ln>
            <a:solidFill>
              <a:sysClr val="windowText" lastClr="000000"/>
            </a:solidFill>
          </a:ln>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rot="21364696">
            <a:off x="1314450" y="89830275"/>
            <a:ext cx="2162175" cy="98107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7" name="Rectangle 56">
            <a:extLst>
              <a:ext uri="{FF2B5EF4-FFF2-40B4-BE49-F238E27FC236}">
                <a16:creationId xmlns:a16="http://schemas.microsoft.com/office/drawing/2014/main" id="{00000000-0008-0000-0000-000039000000}"/>
              </a:ext>
            </a:extLst>
          </xdr:cNvPr>
          <xdr:cNvSpPr/>
        </xdr:nvSpPr>
        <xdr:spPr>
          <a:xfrm rot="21439429">
            <a:off x="962025" y="90830400"/>
            <a:ext cx="3209925" cy="50526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FF00"/>
                </a:solidFill>
                <a:latin typeface="Times New Roman" panose="02020603050405020304" pitchFamily="18" charset="0"/>
                <a:cs typeface="Times New Roman" panose="02020603050405020304" pitchFamily="18" charset="0"/>
              </a:rPr>
              <a:t>Chitrapatjanak Dadasaheb Phalke Township - Phase 1</a:t>
            </a:r>
            <a:endParaRPr lang="en-IN" sz="14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8</xdr:col>
      <xdr:colOff>918882</xdr:colOff>
      <xdr:row>64</xdr:row>
      <xdr:rowOff>168089</xdr:rowOff>
    </xdr:from>
    <xdr:to>
      <xdr:col>18</xdr:col>
      <xdr:colOff>236479</xdr:colOff>
      <xdr:row>68</xdr:row>
      <xdr:rowOff>190156</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a:stretch>
          <a:fillRect/>
        </a:stretch>
      </xdr:blipFill>
      <xdr:spPr>
        <a:xfrm>
          <a:off x="7474323" y="16326971"/>
          <a:ext cx="6960382" cy="1216615"/>
        </a:xfrm>
        <a:prstGeom prst="rect">
          <a:avLst/>
        </a:prstGeom>
      </xdr:spPr>
    </xdr:pic>
    <xdr:clientData/>
  </xdr:twoCellAnchor>
  <xdr:twoCellAnchor editAs="oneCell">
    <xdr:from>
      <xdr:col>8</xdr:col>
      <xdr:colOff>514350</xdr:colOff>
      <xdr:row>196</xdr:row>
      <xdr:rowOff>133350</xdr:rowOff>
    </xdr:from>
    <xdr:to>
      <xdr:col>13</xdr:col>
      <xdr:colOff>59718</xdr:colOff>
      <xdr:row>207</xdr:row>
      <xdr:rowOff>105259</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a:stretch>
          <a:fillRect/>
        </a:stretch>
      </xdr:blipFill>
      <xdr:spPr>
        <a:xfrm>
          <a:off x="7058025" y="41671875"/>
          <a:ext cx="3677163" cy="2143424"/>
        </a:xfrm>
        <a:prstGeom prst="rect">
          <a:avLst/>
        </a:prstGeom>
      </xdr:spPr>
    </xdr:pic>
    <xdr:clientData/>
  </xdr:twoCellAnchor>
  <xdr:twoCellAnchor editAs="oneCell">
    <xdr:from>
      <xdr:col>8</xdr:col>
      <xdr:colOff>947057</xdr:colOff>
      <xdr:row>189</xdr:row>
      <xdr:rowOff>68580</xdr:rowOff>
    </xdr:from>
    <xdr:to>
      <xdr:col>27</xdr:col>
      <xdr:colOff>151740</xdr:colOff>
      <xdr:row>199</xdr:row>
      <xdr:rowOff>152250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1"/>
        <a:stretch>
          <a:fillRect/>
        </a:stretch>
      </xdr:blipFill>
      <xdr:spPr>
        <a:xfrm>
          <a:off x="7698377" y="42451020"/>
          <a:ext cx="12737803" cy="2461110"/>
        </a:xfrm>
        <a:prstGeom prst="rect">
          <a:avLst/>
        </a:prstGeom>
      </xdr:spPr>
    </xdr:pic>
    <xdr:clientData/>
  </xdr:twoCellAnchor>
  <xdr:twoCellAnchor editAs="oneCell">
    <xdr:from>
      <xdr:col>9</xdr:col>
      <xdr:colOff>360860</xdr:colOff>
      <xdr:row>200</xdr:row>
      <xdr:rowOff>66946</xdr:rowOff>
    </xdr:from>
    <xdr:to>
      <xdr:col>25</xdr:col>
      <xdr:colOff>320402</xdr:colOff>
      <xdr:row>211</xdr:row>
      <xdr:rowOff>138175</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2"/>
        <a:stretch>
          <a:fillRect/>
        </a:stretch>
      </xdr:blipFill>
      <xdr:spPr>
        <a:xfrm>
          <a:off x="8308520" y="45024946"/>
          <a:ext cx="11031402" cy="2250549"/>
        </a:xfrm>
        <a:prstGeom prst="rect">
          <a:avLst/>
        </a:prstGeom>
      </xdr:spPr>
    </xdr:pic>
    <xdr:clientData/>
  </xdr:twoCellAnchor>
  <xdr:twoCellAnchor editAs="oneCell">
    <xdr:from>
      <xdr:col>9</xdr:col>
      <xdr:colOff>116989</xdr:colOff>
      <xdr:row>59</xdr:row>
      <xdr:rowOff>83820</xdr:rowOff>
    </xdr:from>
    <xdr:to>
      <xdr:col>18</xdr:col>
      <xdr:colOff>202241</xdr:colOff>
      <xdr:row>62</xdr:row>
      <xdr:rowOff>98082</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8064649" y="14874240"/>
          <a:ext cx="6729892" cy="1843062"/>
        </a:xfrm>
        <a:prstGeom prst="rect">
          <a:avLst/>
        </a:prstGeom>
      </xdr:spPr>
    </xdr:pic>
    <xdr:clientData/>
  </xdr:twoCellAnchor>
  <xdr:twoCellAnchor>
    <xdr:from>
      <xdr:col>12</xdr:col>
      <xdr:colOff>185644</xdr:colOff>
      <xdr:row>404</xdr:row>
      <xdr:rowOff>138206</xdr:rowOff>
    </xdr:from>
    <xdr:to>
      <xdr:col>13</xdr:col>
      <xdr:colOff>302559</xdr:colOff>
      <xdr:row>406</xdr:row>
      <xdr:rowOff>19797</xdr:rowOff>
    </xdr:to>
    <xdr:sp macro="" textlink="">
      <xdr:nvSpPr>
        <xdr:cNvPr id="63" name="TextBox 2">
          <a:extLst>
            <a:ext uri="{FF2B5EF4-FFF2-40B4-BE49-F238E27FC236}">
              <a16:creationId xmlns:a16="http://schemas.microsoft.com/office/drawing/2014/main" id="{00000000-0008-0000-0000-00003F000000}"/>
            </a:ext>
          </a:extLst>
        </xdr:cNvPr>
        <xdr:cNvSpPr txBox="1"/>
      </xdr:nvSpPr>
      <xdr:spPr>
        <a:xfrm>
          <a:off x="10542494" y="84142356"/>
          <a:ext cx="942415" cy="275291"/>
        </a:xfrm>
        <a:prstGeom prst="rect">
          <a:avLst/>
        </a:prstGeom>
        <a:solidFill>
          <a:schemeClr val="bg1">
            <a:lumMod val="85000"/>
          </a:schemeClr>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atin typeface="Times New Roman" panose="02020603050405020304" pitchFamily="18" charset="0"/>
              <a:cs typeface="Times New Roman" panose="02020603050405020304" pitchFamily="18" charset="0"/>
            </a:rPr>
            <a:t>Bldg B1 </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9</xdr:col>
      <xdr:colOff>190500</xdr:colOff>
      <xdr:row>420</xdr:row>
      <xdr:rowOff>160619</xdr:rowOff>
    </xdr:from>
    <xdr:to>
      <xdr:col>10</xdr:col>
      <xdr:colOff>335429</xdr:colOff>
      <xdr:row>422</xdr:row>
      <xdr:rowOff>42210</xdr:rowOff>
    </xdr:to>
    <xdr:sp macro="" textlink="">
      <xdr:nvSpPr>
        <xdr:cNvPr id="64" name="TextBox 2">
          <a:extLst>
            <a:ext uri="{FF2B5EF4-FFF2-40B4-BE49-F238E27FC236}">
              <a16:creationId xmlns:a16="http://schemas.microsoft.com/office/drawing/2014/main" id="{00000000-0008-0000-0000-000040000000}"/>
            </a:ext>
          </a:extLst>
        </xdr:cNvPr>
        <xdr:cNvSpPr txBox="1"/>
      </xdr:nvSpPr>
      <xdr:spPr>
        <a:xfrm>
          <a:off x="8274050" y="87314369"/>
          <a:ext cx="945029" cy="275291"/>
        </a:xfrm>
        <a:prstGeom prst="rect">
          <a:avLst/>
        </a:prstGeom>
        <a:solidFill>
          <a:schemeClr val="bg1">
            <a:lumMod val="85000"/>
          </a:schemeClr>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atin typeface="Times New Roman" panose="02020603050405020304" pitchFamily="18" charset="0"/>
              <a:cs typeface="Times New Roman" panose="02020603050405020304" pitchFamily="18" charset="0"/>
            </a:rPr>
            <a:t>Bldg B2 </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11</xdr:col>
      <xdr:colOff>2241</xdr:colOff>
      <xdr:row>421</xdr:row>
      <xdr:rowOff>64621</xdr:rowOff>
    </xdr:from>
    <xdr:to>
      <xdr:col>12</xdr:col>
      <xdr:colOff>219261</xdr:colOff>
      <xdr:row>422</xdr:row>
      <xdr:rowOff>138206</xdr:rowOff>
    </xdr:to>
    <xdr:sp macro="" textlink="">
      <xdr:nvSpPr>
        <xdr:cNvPr id="65" name="TextBox 2">
          <a:extLst>
            <a:ext uri="{FF2B5EF4-FFF2-40B4-BE49-F238E27FC236}">
              <a16:creationId xmlns:a16="http://schemas.microsoft.com/office/drawing/2014/main" id="{00000000-0008-0000-0000-000041000000}"/>
            </a:ext>
          </a:extLst>
        </xdr:cNvPr>
        <xdr:cNvSpPr txBox="1"/>
      </xdr:nvSpPr>
      <xdr:spPr>
        <a:xfrm>
          <a:off x="9622491" y="87415221"/>
          <a:ext cx="953620" cy="270435"/>
        </a:xfrm>
        <a:prstGeom prst="rect">
          <a:avLst/>
        </a:prstGeom>
        <a:solidFill>
          <a:schemeClr val="bg1">
            <a:lumMod val="85000"/>
          </a:schemeClr>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latin typeface="Times New Roman" panose="02020603050405020304" pitchFamily="18" charset="0"/>
              <a:cs typeface="Times New Roman" panose="02020603050405020304" pitchFamily="18" charset="0"/>
            </a:rPr>
            <a:t>Bldg C </a:t>
          </a:r>
          <a:endParaRPr lang="en-IN" sz="1600" b="1">
            <a:latin typeface="Times New Roman" panose="02020603050405020304" pitchFamily="18" charset="0"/>
            <a:cs typeface="Times New Roman" panose="02020603050405020304" pitchFamily="18" charset="0"/>
          </a:endParaRPr>
        </a:p>
      </xdr:txBody>
    </xdr:sp>
    <xdr:clientData/>
  </xdr:twoCellAnchor>
  <xdr:twoCellAnchor editAs="oneCell">
    <xdr:from>
      <xdr:col>9</xdr:col>
      <xdr:colOff>448235</xdr:colOff>
      <xdr:row>332</xdr:row>
      <xdr:rowOff>0</xdr:rowOff>
    </xdr:from>
    <xdr:to>
      <xdr:col>18</xdr:col>
      <xdr:colOff>516471</xdr:colOff>
      <xdr:row>363</xdr:row>
      <xdr:rowOff>27806</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rotWithShape="1">
        <a:blip xmlns:r="http://schemas.openxmlformats.org/officeDocument/2006/relationships" r:embed="rId14"/>
        <a:srcRect l="24349" t="10500" r="25332" b="4750"/>
        <a:stretch/>
      </xdr:blipFill>
      <xdr:spPr>
        <a:xfrm>
          <a:off x="8169088" y="69050647"/>
          <a:ext cx="6547104" cy="6199632"/>
        </a:xfrm>
        <a:prstGeom prst="rect">
          <a:avLst/>
        </a:prstGeom>
      </xdr:spPr>
    </xdr:pic>
    <xdr:clientData/>
  </xdr:twoCellAnchor>
  <xdr:twoCellAnchor editAs="oneCell">
    <xdr:from>
      <xdr:col>0</xdr:col>
      <xdr:colOff>302558</xdr:colOff>
      <xdr:row>452</xdr:row>
      <xdr:rowOff>11206</xdr:rowOff>
    </xdr:from>
    <xdr:to>
      <xdr:col>7</xdr:col>
      <xdr:colOff>497388</xdr:colOff>
      <xdr:row>466</xdr:row>
      <xdr:rowOff>103930</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rotWithShape="1">
        <a:blip xmlns:r="http://schemas.openxmlformats.org/officeDocument/2006/relationships" r:embed="rId15"/>
        <a:srcRect l="25653" t="18367" r="23000" b="37245"/>
        <a:stretch/>
      </xdr:blipFill>
      <xdr:spPr>
        <a:xfrm>
          <a:off x="302558" y="96112853"/>
          <a:ext cx="5925518" cy="2880000"/>
        </a:xfrm>
        <a:prstGeom prst="rect">
          <a:avLst/>
        </a:prstGeom>
        <a:ln>
          <a:solidFill>
            <a:schemeClr val="tx1"/>
          </a:solidFill>
        </a:ln>
      </xdr:spPr>
    </xdr:pic>
    <xdr:clientData/>
  </xdr:twoCellAnchor>
  <xdr:twoCellAnchor editAs="oneCell">
    <xdr:from>
      <xdr:col>8</xdr:col>
      <xdr:colOff>254000</xdr:colOff>
      <xdr:row>44</xdr:row>
      <xdr:rowOff>120651</xdr:rowOff>
    </xdr:from>
    <xdr:to>
      <xdr:col>11</xdr:col>
      <xdr:colOff>377353</xdr:colOff>
      <xdr:row>53</xdr:row>
      <xdr:rowOff>140380</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6"/>
        <a:stretch>
          <a:fillRect/>
        </a:stretch>
      </xdr:blipFill>
      <xdr:spPr>
        <a:xfrm>
          <a:off x="7118350" y="10890251"/>
          <a:ext cx="2879253" cy="1931079"/>
        </a:xfrm>
        <a:prstGeom prst="rect">
          <a:avLst/>
        </a:prstGeom>
        <a:ln>
          <a:solidFill>
            <a:schemeClr val="tx1"/>
          </a:solidFill>
        </a:ln>
      </xdr:spPr>
    </xdr:pic>
    <xdr:clientData/>
  </xdr:twoCellAnchor>
  <xdr:twoCellAnchor editAs="oneCell">
    <xdr:from>
      <xdr:col>8</xdr:col>
      <xdr:colOff>527050</xdr:colOff>
      <xdr:row>17</xdr:row>
      <xdr:rowOff>31750</xdr:rowOff>
    </xdr:from>
    <xdr:to>
      <xdr:col>12</xdr:col>
      <xdr:colOff>630815</xdr:colOff>
      <xdr:row>21</xdr:row>
      <xdr:rowOff>359817</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7"/>
        <a:stretch>
          <a:fillRect/>
        </a:stretch>
      </xdr:blipFill>
      <xdr:spPr>
        <a:xfrm>
          <a:off x="7391400" y="5264150"/>
          <a:ext cx="3600000" cy="1105008"/>
        </a:xfrm>
        <a:prstGeom prst="rect">
          <a:avLst/>
        </a:prstGeom>
        <a:ln>
          <a:solidFill>
            <a:schemeClr val="tx1"/>
          </a:solidFill>
        </a:ln>
      </xdr:spPr>
    </xdr:pic>
    <xdr:clientData/>
  </xdr:twoCellAnchor>
  <xdr:twoCellAnchor>
    <xdr:from>
      <xdr:col>9</xdr:col>
      <xdr:colOff>401807</xdr:colOff>
      <xdr:row>362</xdr:row>
      <xdr:rowOff>166479</xdr:rowOff>
    </xdr:from>
    <xdr:to>
      <xdr:col>10</xdr:col>
      <xdr:colOff>699226</xdr:colOff>
      <xdr:row>365</xdr:row>
      <xdr:rowOff>43120</xdr:rowOff>
    </xdr:to>
    <xdr:sp macro="" textlink="">
      <xdr:nvSpPr>
        <xdr:cNvPr id="79" name="Rectangle 78">
          <a:extLst>
            <a:ext uri="{FF2B5EF4-FFF2-40B4-BE49-F238E27FC236}">
              <a16:creationId xmlns:a16="http://schemas.microsoft.com/office/drawing/2014/main" id="{00000000-0008-0000-0000-00004F000000}"/>
            </a:ext>
          </a:extLst>
        </xdr:cNvPr>
        <xdr:cNvSpPr/>
      </xdr:nvSpPr>
      <xdr:spPr>
        <a:xfrm>
          <a:off x="8485357" y="70353029"/>
          <a:ext cx="1097519" cy="467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200" b="1">
              <a:solidFill>
                <a:sysClr val="windowText" lastClr="000000"/>
              </a:solidFill>
            </a:rPr>
            <a:t>Building B</a:t>
          </a:r>
          <a:r>
            <a:rPr lang="en-IN" sz="1200" b="1" baseline="0">
              <a:solidFill>
                <a:sysClr val="windowText" lastClr="000000"/>
              </a:solidFill>
            </a:rPr>
            <a:t> </a:t>
          </a:r>
          <a:r>
            <a:rPr lang="en-IN" sz="1200" b="1">
              <a:solidFill>
                <a:sysClr val="windowText" lastClr="000000"/>
              </a:solidFill>
            </a:rPr>
            <a:t>Wing B2</a:t>
          </a:r>
        </a:p>
      </xdr:txBody>
    </xdr:sp>
    <xdr:clientData/>
  </xdr:twoCellAnchor>
  <xdr:twoCellAnchor>
    <xdr:from>
      <xdr:col>8</xdr:col>
      <xdr:colOff>442980</xdr:colOff>
      <xdr:row>356</xdr:row>
      <xdr:rowOff>27609</xdr:rowOff>
    </xdr:from>
    <xdr:to>
      <xdr:col>8</xdr:col>
      <xdr:colOff>1048238</xdr:colOff>
      <xdr:row>357</xdr:row>
      <xdr:rowOff>98236</xdr:rowOff>
    </xdr:to>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7307330" y="69033059"/>
          <a:ext cx="605258" cy="267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A</a:t>
          </a:r>
        </a:p>
      </xdr:txBody>
    </xdr:sp>
    <xdr:clientData/>
  </xdr:twoCellAnchor>
  <xdr:twoCellAnchor>
    <xdr:from>
      <xdr:col>10</xdr:col>
      <xdr:colOff>534225</xdr:colOff>
      <xdr:row>356</xdr:row>
      <xdr:rowOff>27609</xdr:rowOff>
    </xdr:from>
    <xdr:to>
      <xdr:col>11</xdr:col>
      <xdr:colOff>519596</xdr:colOff>
      <xdr:row>357</xdr:row>
      <xdr:rowOff>98236</xdr:rowOff>
    </xdr:to>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9417875" y="69033059"/>
          <a:ext cx="721971" cy="267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B1</a:t>
          </a:r>
        </a:p>
      </xdr:txBody>
    </xdr:sp>
    <xdr:clientData/>
  </xdr:twoCellAnchor>
  <xdr:twoCellAnchor>
    <xdr:from>
      <xdr:col>9</xdr:col>
      <xdr:colOff>235174</xdr:colOff>
      <xdr:row>358</xdr:row>
      <xdr:rowOff>4955</xdr:rowOff>
    </xdr:from>
    <xdr:to>
      <xdr:col>10</xdr:col>
      <xdr:colOff>138597</xdr:colOff>
      <xdr:row>359</xdr:row>
      <xdr:rowOff>67301</xdr:rowOff>
    </xdr:to>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8318724" y="69404105"/>
          <a:ext cx="703523" cy="2591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B2</a:t>
          </a:r>
        </a:p>
      </xdr:txBody>
    </xdr:sp>
    <xdr:clientData/>
  </xdr:twoCellAnchor>
  <xdr:twoCellAnchor editAs="oneCell">
    <xdr:from>
      <xdr:col>8</xdr:col>
      <xdr:colOff>412750</xdr:colOff>
      <xdr:row>150</xdr:row>
      <xdr:rowOff>44450</xdr:rowOff>
    </xdr:from>
    <xdr:to>
      <xdr:col>12</xdr:col>
      <xdr:colOff>520250</xdr:colOff>
      <xdr:row>156</xdr:row>
      <xdr:rowOff>162563</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8"/>
        <a:stretch>
          <a:fillRect/>
        </a:stretch>
      </xdr:blipFill>
      <xdr:spPr>
        <a:xfrm>
          <a:off x="7277100" y="33743900"/>
          <a:ext cx="3600000" cy="1299213"/>
        </a:xfrm>
        <a:prstGeom prst="rect">
          <a:avLst/>
        </a:prstGeom>
        <a:ln>
          <a:solidFill>
            <a:schemeClr val="tx1"/>
          </a:solidFill>
        </a:ln>
      </xdr:spPr>
    </xdr:pic>
    <xdr:clientData/>
  </xdr:twoCellAnchor>
  <xdr:twoCellAnchor editAs="oneCell">
    <xdr:from>
      <xdr:col>9</xdr:col>
      <xdr:colOff>556260</xdr:colOff>
      <xdr:row>386</xdr:row>
      <xdr:rowOff>1002030</xdr:rowOff>
    </xdr:from>
    <xdr:to>
      <xdr:col>15</xdr:col>
      <xdr:colOff>337335</xdr:colOff>
      <xdr:row>389</xdr:row>
      <xdr:rowOff>21683</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8503920" y="83679030"/>
          <a:ext cx="4353075" cy="1458053"/>
        </a:xfrm>
        <a:prstGeom prst="rect">
          <a:avLst/>
        </a:prstGeom>
      </xdr:spPr>
    </xdr:pic>
    <xdr:clientData/>
  </xdr:twoCellAnchor>
  <xdr:twoCellAnchor editAs="oneCell">
    <xdr:from>
      <xdr:col>8</xdr:col>
      <xdr:colOff>450850</xdr:colOff>
      <xdr:row>389</xdr:row>
      <xdr:rowOff>111125</xdr:rowOff>
    </xdr:from>
    <xdr:to>
      <xdr:col>12</xdr:col>
      <xdr:colOff>554615</xdr:colOff>
      <xdr:row>392</xdr:row>
      <xdr:rowOff>616992</xdr:rowOff>
    </xdr:to>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7"/>
        <a:stretch>
          <a:fillRect/>
        </a:stretch>
      </xdr:blipFill>
      <xdr:spPr>
        <a:xfrm>
          <a:off x="7315200" y="83772375"/>
          <a:ext cx="3596265" cy="1115467"/>
        </a:xfrm>
        <a:prstGeom prst="rect">
          <a:avLst/>
        </a:prstGeom>
        <a:ln>
          <a:solidFill>
            <a:schemeClr val="tx1"/>
          </a:solidFill>
        </a:ln>
      </xdr:spPr>
    </xdr:pic>
    <xdr:clientData/>
  </xdr:twoCellAnchor>
  <xdr:twoCellAnchor editAs="oneCell">
    <xdr:from>
      <xdr:col>8</xdr:col>
      <xdr:colOff>482600</xdr:colOff>
      <xdr:row>394</xdr:row>
      <xdr:rowOff>101600</xdr:rowOff>
    </xdr:from>
    <xdr:to>
      <xdr:col>12</xdr:col>
      <xdr:colOff>590100</xdr:colOff>
      <xdr:row>401</xdr:row>
      <xdr:rowOff>85492</xdr:rowOff>
    </xdr:to>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9"/>
        <a:stretch>
          <a:fillRect/>
        </a:stretch>
      </xdr:blipFill>
      <xdr:spPr>
        <a:xfrm>
          <a:off x="7346950" y="84950300"/>
          <a:ext cx="3600000" cy="1361842"/>
        </a:xfrm>
        <a:prstGeom prst="rect">
          <a:avLst/>
        </a:prstGeom>
        <a:ln>
          <a:solidFill>
            <a:schemeClr val="tx1"/>
          </a:solidFill>
        </a:ln>
      </xdr:spPr>
    </xdr:pic>
    <xdr:clientData/>
  </xdr:twoCellAnchor>
  <xdr:oneCellAnchor>
    <xdr:from>
      <xdr:col>8</xdr:col>
      <xdr:colOff>450850</xdr:colOff>
      <xdr:row>390</xdr:row>
      <xdr:rowOff>111125</xdr:rowOff>
    </xdr:from>
    <xdr:ext cx="3596265" cy="1115467"/>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7"/>
        <a:stretch>
          <a:fillRect/>
        </a:stretch>
      </xdr:blipFill>
      <xdr:spPr>
        <a:xfrm>
          <a:off x="7315200" y="83772375"/>
          <a:ext cx="3596265" cy="1115467"/>
        </a:xfrm>
        <a:prstGeom prst="rect">
          <a:avLst/>
        </a:prstGeom>
        <a:ln>
          <a:solidFill>
            <a:schemeClr val="tx1"/>
          </a:solidFill>
        </a:ln>
      </xdr:spPr>
    </xdr:pic>
    <xdr:clientData/>
  </xdr:oneCellAnchor>
  <xdr:twoCellAnchor>
    <xdr:from>
      <xdr:col>10</xdr:col>
      <xdr:colOff>674370</xdr:colOff>
      <xdr:row>406</xdr:row>
      <xdr:rowOff>44451</xdr:rowOff>
    </xdr:from>
    <xdr:to>
      <xdr:col>19</xdr:col>
      <xdr:colOff>543775</xdr:colOff>
      <xdr:row>446</xdr:row>
      <xdr:rowOff>99061</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9406890" y="89160351"/>
          <a:ext cx="6361645" cy="7979410"/>
          <a:chOff x="209550" y="88544400"/>
          <a:chExt cx="6458165" cy="7928575"/>
        </a:xfrm>
      </xdr:grpSpPr>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a:ext>
            </a:extLst>
          </a:blip>
          <a:srcRect b="4304"/>
          <a:stretch/>
        </xdr:blipFill>
        <xdr:spPr>
          <a:xfrm>
            <a:off x="3654406" y="94307524"/>
            <a:ext cx="1618313" cy="2165451"/>
          </a:xfrm>
          <a:prstGeom prst="rect">
            <a:avLst/>
          </a:prstGeom>
          <a:ln>
            <a:solidFill>
              <a:schemeClr val="tx1"/>
            </a:solidFill>
          </a:ln>
        </xdr:spPr>
      </xdr:pic>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a:ext>
            </a:extLst>
          </a:blip>
          <a:srcRect b="4365"/>
          <a:stretch/>
        </xdr:blipFill>
        <xdr:spPr>
          <a:xfrm>
            <a:off x="209550" y="91425962"/>
            <a:ext cx="2049863" cy="2722577"/>
          </a:xfrm>
          <a:prstGeom prst="rect">
            <a:avLst/>
          </a:prstGeom>
          <a:ln>
            <a:solidFill>
              <a:schemeClr val="tx1"/>
            </a:solidFill>
          </a:ln>
        </xdr:spPr>
      </xdr:pic>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617852" y="88544400"/>
            <a:ext cx="2049863" cy="2736000"/>
          </a:xfrm>
          <a:prstGeom prst="rect">
            <a:avLst/>
          </a:prstGeom>
          <a:ln>
            <a:solidFill>
              <a:schemeClr val="tx1"/>
            </a:solidFill>
          </a:ln>
        </xdr:spPr>
      </xdr:pic>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413700" y="91425962"/>
            <a:ext cx="2049863" cy="2736000"/>
          </a:xfrm>
          <a:prstGeom prst="rect">
            <a:avLst/>
          </a:prstGeom>
          <a:ln>
            <a:solidFill>
              <a:schemeClr val="tx1"/>
            </a:solidFill>
          </a:ln>
        </xdr:spPr>
      </xdr:pic>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09550" y="88544400"/>
            <a:ext cx="2049863" cy="2736000"/>
          </a:xfrm>
          <a:prstGeom prst="rect">
            <a:avLst/>
          </a:prstGeom>
          <a:ln>
            <a:solidFill>
              <a:schemeClr val="tx1"/>
            </a:solidFill>
          </a:ln>
        </xdr:spPr>
      </xdr:pic>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2413701" y="88544400"/>
            <a:ext cx="2049863" cy="2736000"/>
          </a:xfrm>
          <a:prstGeom prst="rect">
            <a:avLst/>
          </a:prstGeom>
          <a:ln>
            <a:solidFill>
              <a:schemeClr val="tx1"/>
            </a:solidFill>
          </a:ln>
        </xdr:spPr>
      </xdr:pic>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617850" y="91425962"/>
            <a:ext cx="2049863" cy="2736000"/>
          </a:xfrm>
          <a:prstGeom prst="rect">
            <a:avLst/>
          </a:prstGeom>
          <a:ln>
            <a:solidFill>
              <a:schemeClr val="tx1"/>
            </a:solidFill>
          </a:ln>
        </xdr:spPr>
      </xdr:pic>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1881806" y="94307524"/>
            <a:ext cx="1618313" cy="2160000"/>
          </a:xfrm>
          <a:prstGeom prst="rect">
            <a:avLst/>
          </a:prstGeom>
          <a:ln>
            <a:solidFill>
              <a:schemeClr val="tx1"/>
            </a:solidFill>
          </a:ln>
        </xdr:spPr>
      </xdr:pic>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825500" y="88595200"/>
            <a:ext cx="64684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A</a:t>
            </a:r>
          </a:p>
        </xdr:txBody>
      </xdr:sp>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2413701" y="88544400"/>
            <a:ext cx="13991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B (Wing B1)</a:t>
            </a:r>
          </a:p>
        </xdr:txBody>
      </xdr:sp>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5138552" y="88633300"/>
            <a:ext cx="13991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B (Wing B2)</a:t>
            </a:r>
          </a:p>
        </xdr:txBody>
      </xdr:sp>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2762950" y="91616462"/>
            <a:ext cx="6387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C</a:t>
            </a:r>
          </a:p>
        </xdr:txBody>
      </xdr:sp>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1206500" y="91540262"/>
            <a:ext cx="6387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C</a:t>
            </a:r>
          </a:p>
        </xdr:txBody>
      </xdr:sp>
    </xdr:grpSp>
    <xdr:clientData/>
  </xdr:twoCellAnchor>
  <xdr:oneCellAnchor>
    <xdr:from>
      <xdr:col>9</xdr:col>
      <xdr:colOff>62230</xdr:colOff>
      <xdr:row>391</xdr:row>
      <xdr:rowOff>225425</xdr:rowOff>
    </xdr:from>
    <xdr:ext cx="3596265" cy="1115467"/>
    <xdr:pic>
      <xdr:nvPicPr>
        <xdr:cNvPr id="8" name="Picture 7">
          <a:extLst>
            <a:ext uri="{FF2B5EF4-FFF2-40B4-BE49-F238E27FC236}">
              <a16:creationId xmlns:a16="http://schemas.microsoft.com/office/drawing/2014/main" id="{422E9A98-336A-41D9-A521-586651105B8E}"/>
            </a:ext>
          </a:extLst>
        </xdr:cNvPr>
        <xdr:cNvPicPr>
          <a:picLocks noChangeAspect="1"/>
        </xdr:cNvPicPr>
      </xdr:nvPicPr>
      <xdr:blipFill>
        <a:blip xmlns:r="http://schemas.openxmlformats.org/officeDocument/2006/relationships" r:embed="rId17"/>
        <a:stretch>
          <a:fillRect/>
        </a:stretch>
      </xdr:blipFill>
      <xdr:spPr>
        <a:xfrm>
          <a:off x="8009890" y="85538945"/>
          <a:ext cx="3596265" cy="1115467"/>
        </a:xfrm>
        <a:prstGeom prst="rect">
          <a:avLst/>
        </a:prstGeom>
        <a:ln>
          <a:solidFill>
            <a:schemeClr val="tx1"/>
          </a:solidFill>
        </a:ln>
      </xdr:spPr>
    </xdr:pic>
    <xdr:clientData/>
  </xdr:oneCellAnchor>
  <xdr:twoCellAnchor>
    <xdr:from>
      <xdr:col>0</xdr:col>
      <xdr:colOff>304800</xdr:colOff>
      <xdr:row>407</xdr:row>
      <xdr:rowOff>38100</xdr:rowOff>
    </xdr:from>
    <xdr:to>
      <xdr:col>7</xdr:col>
      <xdr:colOff>385583</xdr:colOff>
      <xdr:row>443</xdr:row>
      <xdr:rowOff>25033</xdr:rowOff>
    </xdr:to>
    <xdr:grpSp>
      <xdr:nvGrpSpPr>
        <xdr:cNvPr id="25" name="Group 24">
          <a:extLst>
            <a:ext uri="{FF2B5EF4-FFF2-40B4-BE49-F238E27FC236}">
              <a16:creationId xmlns:a16="http://schemas.microsoft.com/office/drawing/2014/main" id="{A4A9EB09-5446-A445-6948-2B7CBD724C1A}"/>
            </a:ext>
          </a:extLst>
        </xdr:cNvPr>
        <xdr:cNvGrpSpPr/>
      </xdr:nvGrpSpPr>
      <xdr:grpSpPr>
        <a:xfrm>
          <a:off x="304800" y="89352120"/>
          <a:ext cx="5978663" cy="7119253"/>
          <a:chOff x="238704" y="182881"/>
          <a:chExt cx="5978663" cy="7119253"/>
        </a:xfrm>
      </xdr:grpSpPr>
      <xdr:grpSp>
        <xdr:nvGrpSpPr>
          <xdr:cNvPr id="28" name="Group 27">
            <a:extLst>
              <a:ext uri="{FF2B5EF4-FFF2-40B4-BE49-F238E27FC236}">
                <a16:creationId xmlns:a16="http://schemas.microsoft.com/office/drawing/2014/main" id="{D269FE44-B4FD-EE51-16DC-FCBCF3E154F7}"/>
              </a:ext>
            </a:extLst>
          </xdr:cNvPr>
          <xdr:cNvGrpSpPr/>
        </xdr:nvGrpSpPr>
        <xdr:grpSpPr>
          <a:xfrm>
            <a:off x="238704" y="182881"/>
            <a:ext cx="5978663" cy="2520000"/>
            <a:chOff x="238704" y="182881"/>
            <a:chExt cx="5978663" cy="2520000"/>
          </a:xfrm>
        </xdr:grpSpPr>
        <xdr:pic>
          <xdr:nvPicPr>
            <xdr:cNvPr id="42" name="Picture 41">
              <a:extLst>
                <a:ext uri="{FF2B5EF4-FFF2-40B4-BE49-F238E27FC236}">
                  <a16:creationId xmlns:a16="http://schemas.microsoft.com/office/drawing/2014/main" id="{D841A68F-F9D0-DABA-A92D-D8BFACD974FE}"/>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38704" y="182881"/>
              <a:ext cx="1888031" cy="2520000"/>
            </a:xfrm>
            <a:prstGeom prst="rect">
              <a:avLst/>
            </a:prstGeom>
            <a:ln>
              <a:solidFill>
                <a:schemeClr val="tx1"/>
              </a:solidFill>
            </a:ln>
          </xdr:spPr>
        </xdr:pic>
        <xdr:pic>
          <xdr:nvPicPr>
            <xdr:cNvPr id="47" name="Picture 46">
              <a:extLst>
                <a:ext uri="{FF2B5EF4-FFF2-40B4-BE49-F238E27FC236}">
                  <a16:creationId xmlns:a16="http://schemas.microsoft.com/office/drawing/2014/main" id="{19CB02D3-5547-B0E0-2DC0-E5F12195A126}"/>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329336" y="182881"/>
              <a:ext cx="1888031" cy="2520000"/>
            </a:xfrm>
            <a:prstGeom prst="rect">
              <a:avLst/>
            </a:prstGeom>
            <a:ln>
              <a:solidFill>
                <a:schemeClr val="tx1"/>
              </a:solidFill>
            </a:ln>
          </xdr:spPr>
        </xdr:pic>
        <xdr:pic>
          <xdr:nvPicPr>
            <xdr:cNvPr id="56" name="Picture 55">
              <a:extLst>
                <a:ext uri="{FF2B5EF4-FFF2-40B4-BE49-F238E27FC236}">
                  <a16:creationId xmlns:a16="http://schemas.microsoft.com/office/drawing/2014/main" id="{2C56114C-D0E9-9553-6FFA-BAED3B30E04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84020" y="182881"/>
              <a:ext cx="1888031" cy="2520000"/>
            </a:xfrm>
            <a:prstGeom prst="rect">
              <a:avLst/>
            </a:prstGeom>
            <a:ln>
              <a:solidFill>
                <a:schemeClr val="tx1"/>
              </a:solidFill>
            </a:ln>
          </xdr:spPr>
        </xdr:pic>
      </xdr:grpSp>
      <xdr:grpSp>
        <xdr:nvGrpSpPr>
          <xdr:cNvPr id="32" name="Group 31">
            <a:extLst>
              <a:ext uri="{FF2B5EF4-FFF2-40B4-BE49-F238E27FC236}">
                <a16:creationId xmlns:a16="http://schemas.microsoft.com/office/drawing/2014/main" id="{D2902023-36B2-3C78-E01C-AE14CCCFABF8}"/>
              </a:ext>
            </a:extLst>
          </xdr:cNvPr>
          <xdr:cNvGrpSpPr/>
        </xdr:nvGrpSpPr>
        <xdr:grpSpPr>
          <a:xfrm>
            <a:off x="1045124" y="5474465"/>
            <a:ext cx="4365822" cy="1827669"/>
            <a:chOff x="368092" y="5708056"/>
            <a:chExt cx="4365822" cy="1827669"/>
          </a:xfrm>
        </xdr:grpSpPr>
        <xdr:pic>
          <xdr:nvPicPr>
            <xdr:cNvPr id="38" name="Picture 37">
              <a:extLst>
                <a:ext uri="{FF2B5EF4-FFF2-40B4-BE49-F238E27FC236}">
                  <a16:creationId xmlns:a16="http://schemas.microsoft.com/office/drawing/2014/main" id="{91483B61-97D6-5B04-3849-2B0A699D9021}"/>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68092" y="5708056"/>
              <a:ext cx="1348594"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CE6791DE-5438-3242-AF16-71E3F02F26FD}"/>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876706" y="5735725"/>
              <a:ext cx="1348594" cy="1800000"/>
            </a:xfrm>
            <a:prstGeom prst="rect">
              <a:avLst/>
            </a:prstGeom>
            <a:ln>
              <a:solidFill>
                <a:schemeClr val="tx1"/>
              </a:solidFill>
            </a:ln>
          </xdr:spPr>
        </xdr:pic>
        <xdr:pic>
          <xdr:nvPicPr>
            <xdr:cNvPr id="41" name="Picture 40">
              <a:extLst>
                <a:ext uri="{FF2B5EF4-FFF2-40B4-BE49-F238E27FC236}">
                  <a16:creationId xmlns:a16="http://schemas.microsoft.com/office/drawing/2014/main" id="{FB0A5EB7-F576-B85B-FFB0-1A779DDCC94C}"/>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385320" y="5735725"/>
              <a:ext cx="1348594" cy="1800000"/>
            </a:xfrm>
            <a:prstGeom prst="rect">
              <a:avLst/>
            </a:prstGeom>
            <a:ln>
              <a:solidFill>
                <a:schemeClr val="tx1"/>
              </a:solidFill>
            </a:ln>
          </xdr:spPr>
        </xdr:pic>
      </xdr:grpSp>
      <xdr:grpSp>
        <xdr:nvGrpSpPr>
          <xdr:cNvPr id="34" name="Group 33">
            <a:extLst>
              <a:ext uri="{FF2B5EF4-FFF2-40B4-BE49-F238E27FC236}">
                <a16:creationId xmlns:a16="http://schemas.microsoft.com/office/drawing/2014/main" id="{91150522-96C0-4CF4-B03E-C6B555FC8AB5}"/>
              </a:ext>
            </a:extLst>
          </xdr:cNvPr>
          <xdr:cNvGrpSpPr/>
        </xdr:nvGrpSpPr>
        <xdr:grpSpPr>
          <a:xfrm>
            <a:off x="1259994" y="2828673"/>
            <a:ext cx="3936082" cy="2520000"/>
            <a:chOff x="1337269" y="2959303"/>
            <a:chExt cx="3936082" cy="2520000"/>
          </a:xfrm>
        </xdr:grpSpPr>
        <xdr:pic>
          <xdr:nvPicPr>
            <xdr:cNvPr id="36" name="Picture 35">
              <a:extLst>
                <a:ext uri="{FF2B5EF4-FFF2-40B4-BE49-F238E27FC236}">
                  <a16:creationId xmlns:a16="http://schemas.microsoft.com/office/drawing/2014/main" id="{1D530C77-CC7B-A20A-4050-8C7777F7D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337269" y="2959303"/>
              <a:ext cx="1888031"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D0DC1478-DF8A-81D4-DDA6-E9D02AF8F9B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3385320" y="2959303"/>
              <a:ext cx="1888031" cy="252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dptownship.com/" TargetMode="External"/><Relationship Id="rId1" Type="http://schemas.openxmlformats.org/officeDocument/2006/relationships/hyperlink" Target="https://goo.gl/maps/uvsiYMSjHqNT5veU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32"/>
  <sheetViews>
    <sheetView tabSelected="1" view="pageBreakPreview" topLeftCell="A65" zoomScaleNormal="100" zoomScaleSheetLayoutView="100" workbookViewId="0">
      <selection activeCell="E4" sqref="E4:H4"/>
    </sheetView>
  </sheetViews>
  <sheetFormatPr defaultColWidth="9.21875" defaultRowHeight="15.6" x14ac:dyDescent="0.3"/>
  <cols>
    <col min="1" max="1" width="11.44140625" style="39" customWidth="1"/>
    <col min="2" max="2" width="12" style="39" customWidth="1"/>
    <col min="3" max="3" width="12.77734375" style="39" customWidth="1"/>
    <col min="4" max="4" width="14.44140625" style="39" customWidth="1"/>
    <col min="5" max="7" width="11.77734375" style="39" customWidth="1"/>
    <col min="8" max="8" width="12.44140625" style="39" customWidth="1"/>
    <col min="9" max="9" width="17.44140625" style="20" customWidth="1"/>
    <col min="10" max="10" width="11.44140625" style="20" customWidth="1"/>
    <col min="11" max="11" width="10.5546875" style="20" bestFit="1" customWidth="1"/>
    <col min="12" max="12" width="10.5546875" style="20" customWidth="1"/>
    <col min="13" max="13" width="11.77734375" style="20" customWidth="1"/>
    <col min="14" max="14" width="12.5546875" style="20" customWidth="1"/>
    <col min="15" max="15" width="9.77734375" style="20" customWidth="1"/>
    <col min="16" max="16" width="11.77734375" style="20" customWidth="1"/>
    <col min="17" max="247" width="9.21875" style="20"/>
    <col min="248" max="248" width="8.77734375" style="20" customWidth="1"/>
    <col min="249" max="249" width="9.77734375" style="20" customWidth="1"/>
    <col min="250" max="250" width="14.44140625" style="20" customWidth="1"/>
    <col min="251" max="251" width="7.21875" style="20" customWidth="1"/>
    <col min="252" max="252" width="5.5546875" style="20" customWidth="1"/>
    <col min="253" max="253" width="9" style="20" customWidth="1"/>
    <col min="254" max="255" width="9.77734375" style="20" customWidth="1"/>
    <col min="256" max="256" width="11.21875" style="20" customWidth="1"/>
    <col min="257" max="257" width="2.77734375" style="20" customWidth="1"/>
    <col min="258" max="258" width="3.5546875" style="20" customWidth="1"/>
    <col min="259" max="503" width="9.21875" style="20"/>
    <col min="504" max="504" width="8.77734375" style="20" customWidth="1"/>
    <col min="505" max="505" width="9.77734375" style="20" customWidth="1"/>
    <col min="506" max="506" width="14.44140625" style="20" customWidth="1"/>
    <col min="507" max="507" width="7.21875" style="20" customWidth="1"/>
    <col min="508" max="508" width="5.5546875" style="20" customWidth="1"/>
    <col min="509" max="509" width="9" style="20" customWidth="1"/>
    <col min="510" max="511" width="9.77734375" style="20" customWidth="1"/>
    <col min="512" max="512" width="11.21875" style="20" customWidth="1"/>
    <col min="513" max="513" width="2.77734375" style="20" customWidth="1"/>
    <col min="514" max="514" width="3.5546875" style="20" customWidth="1"/>
    <col min="515" max="759" width="9.21875" style="20"/>
    <col min="760" max="760" width="8.77734375" style="20" customWidth="1"/>
    <col min="761" max="761" width="9.77734375" style="20" customWidth="1"/>
    <col min="762" max="762" width="14.44140625" style="20" customWidth="1"/>
    <col min="763" max="763" width="7.21875" style="20" customWidth="1"/>
    <col min="764" max="764" width="5.5546875" style="20" customWidth="1"/>
    <col min="765" max="765" width="9" style="20" customWidth="1"/>
    <col min="766" max="767" width="9.77734375" style="20" customWidth="1"/>
    <col min="768" max="768" width="11.21875" style="20" customWidth="1"/>
    <col min="769" max="769" width="2.77734375" style="20" customWidth="1"/>
    <col min="770" max="770" width="3.5546875" style="20" customWidth="1"/>
    <col min="771" max="1015" width="9.21875" style="20"/>
    <col min="1016" max="1016" width="8.77734375" style="20" customWidth="1"/>
    <col min="1017" max="1017" width="9.77734375" style="20" customWidth="1"/>
    <col min="1018" max="1018" width="14.44140625" style="20" customWidth="1"/>
    <col min="1019" max="1019" width="7.21875" style="20" customWidth="1"/>
    <col min="1020" max="1020" width="5.5546875" style="20" customWidth="1"/>
    <col min="1021" max="1021" width="9" style="20" customWidth="1"/>
    <col min="1022" max="1023" width="9.77734375" style="20" customWidth="1"/>
    <col min="1024" max="1024" width="11.21875" style="20" customWidth="1"/>
    <col min="1025" max="1025" width="2.77734375" style="20" customWidth="1"/>
    <col min="1026" max="1026" width="3.5546875" style="20" customWidth="1"/>
    <col min="1027" max="1271" width="9.21875" style="20"/>
    <col min="1272" max="1272" width="8.77734375" style="20" customWidth="1"/>
    <col min="1273" max="1273" width="9.77734375" style="20" customWidth="1"/>
    <col min="1274" max="1274" width="14.44140625" style="20" customWidth="1"/>
    <col min="1275" max="1275" width="7.21875" style="20" customWidth="1"/>
    <col min="1276" max="1276" width="5.5546875" style="20" customWidth="1"/>
    <col min="1277" max="1277" width="9" style="20" customWidth="1"/>
    <col min="1278" max="1279" width="9.77734375" style="20" customWidth="1"/>
    <col min="1280" max="1280" width="11.21875" style="20" customWidth="1"/>
    <col min="1281" max="1281" width="2.77734375" style="20" customWidth="1"/>
    <col min="1282" max="1282" width="3.5546875" style="20" customWidth="1"/>
    <col min="1283" max="1527" width="9.21875" style="20"/>
    <col min="1528" max="1528" width="8.77734375" style="20" customWidth="1"/>
    <col min="1529" max="1529" width="9.77734375" style="20" customWidth="1"/>
    <col min="1530" max="1530" width="14.44140625" style="20" customWidth="1"/>
    <col min="1531" max="1531" width="7.21875" style="20" customWidth="1"/>
    <col min="1532" max="1532" width="5.5546875" style="20" customWidth="1"/>
    <col min="1533" max="1533" width="9" style="20" customWidth="1"/>
    <col min="1534" max="1535" width="9.77734375" style="20" customWidth="1"/>
    <col min="1536" max="1536" width="11.21875" style="20" customWidth="1"/>
    <col min="1537" max="1537" width="2.77734375" style="20" customWidth="1"/>
    <col min="1538" max="1538" width="3.5546875" style="20" customWidth="1"/>
    <col min="1539" max="1783" width="9.21875" style="20"/>
    <col min="1784" max="1784" width="8.77734375" style="20" customWidth="1"/>
    <col min="1785" max="1785" width="9.77734375" style="20" customWidth="1"/>
    <col min="1786" max="1786" width="14.44140625" style="20" customWidth="1"/>
    <col min="1787" max="1787" width="7.21875" style="20" customWidth="1"/>
    <col min="1788" max="1788" width="5.5546875" style="20" customWidth="1"/>
    <col min="1789" max="1789" width="9" style="20" customWidth="1"/>
    <col min="1790" max="1791" width="9.77734375" style="20" customWidth="1"/>
    <col min="1792" max="1792" width="11.21875" style="20" customWidth="1"/>
    <col min="1793" max="1793" width="2.77734375" style="20" customWidth="1"/>
    <col min="1794" max="1794" width="3.5546875" style="20" customWidth="1"/>
    <col min="1795" max="2039" width="9.21875" style="20"/>
    <col min="2040" max="2040" width="8.77734375" style="20" customWidth="1"/>
    <col min="2041" max="2041" width="9.77734375" style="20" customWidth="1"/>
    <col min="2042" max="2042" width="14.44140625" style="20" customWidth="1"/>
    <col min="2043" max="2043" width="7.21875" style="20" customWidth="1"/>
    <col min="2044" max="2044" width="5.5546875" style="20" customWidth="1"/>
    <col min="2045" max="2045" width="9" style="20" customWidth="1"/>
    <col min="2046" max="2047" width="9.77734375" style="20" customWidth="1"/>
    <col min="2048" max="2048" width="11.21875" style="20" customWidth="1"/>
    <col min="2049" max="2049" width="2.77734375" style="20" customWidth="1"/>
    <col min="2050" max="2050" width="3.5546875" style="20" customWidth="1"/>
    <col min="2051" max="2295" width="9.21875" style="20"/>
    <col min="2296" max="2296" width="8.77734375" style="20" customWidth="1"/>
    <col min="2297" max="2297" width="9.77734375" style="20" customWidth="1"/>
    <col min="2298" max="2298" width="14.44140625" style="20" customWidth="1"/>
    <col min="2299" max="2299" width="7.21875" style="20" customWidth="1"/>
    <col min="2300" max="2300" width="5.5546875" style="20" customWidth="1"/>
    <col min="2301" max="2301" width="9" style="20" customWidth="1"/>
    <col min="2302" max="2303" width="9.77734375" style="20" customWidth="1"/>
    <col min="2304" max="2304" width="11.21875" style="20" customWidth="1"/>
    <col min="2305" max="2305" width="2.77734375" style="20" customWidth="1"/>
    <col min="2306" max="2306" width="3.5546875" style="20" customWidth="1"/>
    <col min="2307" max="2551" width="9.21875" style="20"/>
    <col min="2552" max="2552" width="8.77734375" style="20" customWidth="1"/>
    <col min="2553" max="2553" width="9.77734375" style="20" customWidth="1"/>
    <col min="2554" max="2554" width="14.44140625" style="20" customWidth="1"/>
    <col min="2555" max="2555" width="7.21875" style="20" customWidth="1"/>
    <col min="2556" max="2556" width="5.5546875" style="20" customWidth="1"/>
    <col min="2557" max="2557" width="9" style="20" customWidth="1"/>
    <col min="2558" max="2559" width="9.77734375" style="20" customWidth="1"/>
    <col min="2560" max="2560" width="11.21875" style="20" customWidth="1"/>
    <col min="2561" max="2561" width="2.77734375" style="20" customWidth="1"/>
    <col min="2562" max="2562" width="3.5546875" style="20" customWidth="1"/>
    <col min="2563" max="2807" width="9.21875" style="20"/>
    <col min="2808" max="2808" width="8.77734375" style="20" customWidth="1"/>
    <col min="2809" max="2809" width="9.77734375" style="20" customWidth="1"/>
    <col min="2810" max="2810" width="14.44140625" style="20" customWidth="1"/>
    <col min="2811" max="2811" width="7.21875" style="20" customWidth="1"/>
    <col min="2812" max="2812" width="5.5546875" style="20" customWidth="1"/>
    <col min="2813" max="2813" width="9" style="20" customWidth="1"/>
    <col min="2814" max="2815" width="9.77734375" style="20" customWidth="1"/>
    <col min="2816" max="2816" width="11.21875" style="20" customWidth="1"/>
    <col min="2817" max="2817" width="2.77734375" style="20" customWidth="1"/>
    <col min="2818" max="2818" width="3.5546875" style="20" customWidth="1"/>
    <col min="2819" max="3063" width="9.21875" style="20"/>
    <col min="3064" max="3064" width="8.77734375" style="20" customWidth="1"/>
    <col min="3065" max="3065" width="9.77734375" style="20" customWidth="1"/>
    <col min="3066" max="3066" width="14.44140625" style="20" customWidth="1"/>
    <col min="3067" max="3067" width="7.21875" style="20" customWidth="1"/>
    <col min="3068" max="3068" width="5.5546875" style="20" customWidth="1"/>
    <col min="3069" max="3069" width="9" style="20" customWidth="1"/>
    <col min="3070" max="3071" width="9.77734375" style="20" customWidth="1"/>
    <col min="3072" max="3072" width="11.21875" style="20" customWidth="1"/>
    <col min="3073" max="3073" width="2.77734375" style="20" customWidth="1"/>
    <col min="3074" max="3074" width="3.5546875" style="20" customWidth="1"/>
    <col min="3075" max="3319" width="9.21875" style="20"/>
    <col min="3320" max="3320" width="8.77734375" style="20" customWidth="1"/>
    <col min="3321" max="3321" width="9.77734375" style="20" customWidth="1"/>
    <col min="3322" max="3322" width="14.44140625" style="20" customWidth="1"/>
    <col min="3323" max="3323" width="7.21875" style="20" customWidth="1"/>
    <col min="3324" max="3324" width="5.5546875" style="20" customWidth="1"/>
    <col min="3325" max="3325" width="9" style="20" customWidth="1"/>
    <col min="3326" max="3327" width="9.77734375" style="20" customWidth="1"/>
    <col min="3328" max="3328" width="11.21875" style="20" customWidth="1"/>
    <col min="3329" max="3329" width="2.77734375" style="20" customWidth="1"/>
    <col min="3330" max="3330" width="3.5546875" style="20" customWidth="1"/>
    <col min="3331" max="3575" width="9.21875" style="20"/>
    <col min="3576" max="3576" width="8.77734375" style="20" customWidth="1"/>
    <col min="3577" max="3577" width="9.77734375" style="20" customWidth="1"/>
    <col min="3578" max="3578" width="14.44140625" style="20" customWidth="1"/>
    <col min="3579" max="3579" width="7.21875" style="20" customWidth="1"/>
    <col min="3580" max="3580" width="5.5546875" style="20" customWidth="1"/>
    <col min="3581" max="3581" width="9" style="20" customWidth="1"/>
    <col min="3582" max="3583" width="9.77734375" style="20" customWidth="1"/>
    <col min="3584" max="3584" width="11.21875" style="20" customWidth="1"/>
    <col min="3585" max="3585" width="2.77734375" style="20" customWidth="1"/>
    <col min="3586" max="3586" width="3.5546875" style="20" customWidth="1"/>
    <col min="3587" max="3831" width="9.21875" style="20"/>
    <col min="3832" max="3832" width="8.77734375" style="20" customWidth="1"/>
    <col min="3833" max="3833" width="9.77734375" style="20" customWidth="1"/>
    <col min="3834" max="3834" width="14.44140625" style="20" customWidth="1"/>
    <col min="3835" max="3835" width="7.21875" style="20" customWidth="1"/>
    <col min="3836" max="3836" width="5.5546875" style="20" customWidth="1"/>
    <col min="3837" max="3837" width="9" style="20" customWidth="1"/>
    <col min="3838" max="3839" width="9.77734375" style="20" customWidth="1"/>
    <col min="3840" max="3840" width="11.21875" style="20" customWidth="1"/>
    <col min="3841" max="3841" width="2.77734375" style="20" customWidth="1"/>
    <col min="3842" max="3842" width="3.5546875" style="20" customWidth="1"/>
    <col min="3843" max="4087" width="9.21875" style="20"/>
    <col min="4088" max="4088" width="8.77734375" style="20" customWidth="1"/>
    <col min="4089" max="4089" width="9.77734375" style="20" customWidth="1"/>
    <col min="4090" max="4090" width="14.44140625" style="20" customWidth="1"/>
    <col min="4091" max="4091" width="7.21875" style="20" customWidth="1"/>
    <col min="4092" max="4092" width="5.5546875" style="20" customWidth="1"/>
    <col min="4093" max="4093" width="9" style="20" customWidth="1"/>
    <col min="4094" max="4095" width="9.77734375" style="20" customWidth="1"/>
    <col min="4096" max="4096" width="11.21875" style="20" customWidth="1"/>
    <col min="4097" max="4097" width="2.77734375" style="20" customWidth="1"/>
    <col min="4098" max="4098" width="3.5546875" style="20" customWidth="1"/>
    <col min="4099" max="4343" width="9.21875" style="20"/>
    <col min="4344" max="4344" width="8.77734375" style="20" customWidth="1"/>
    <col min="4345" max="4345" width="9.77734375" style="20" customWidth="1"/>
    <col min="4346" max="4346" width="14.44140625" style="20" customWidth="1"/>
    <col min="4347" max="4347" width="7.21875" style="20" customWidth="1"/>
    <col min="4348" max="4348" width="5.5546875" style="20" customWidth="1"/>
    <col min="4349" max="4349" width="9" style="20" customWidth="1"/>
    <col min="4350" max="4351" width="9.77734375" style="20" customWidth="1"/>
    <col min="4352" max="4352" width="11.21875" style="20" customWidth="1"/>
    <col min="4353" max="4353" width="2.77734375" style="20" customWidth="1"/>
    <col min="4354" max="4354" width="3.5546875" style="20" customWidth="1"/>
    <col min="4355" max="4599" width="9.21875" style="20"/>
    <col min="4600" max="4600" width="8.77734375" style="20" customWidth="1"/>
    <col min="4601" max="4601" width="9.77734375" style="20" customWidth="1"/>
    <col min="4602" max="4602" width="14.44140625" style="20" customWidth="1"/>
    <col min="4603" max="4603" width="7.21875" style="20" customWidth="1"/>
    <col min="4604" max="4604" width="5.5546875" style="20" customWidth="1"/>
    <col min="4605" max="4605" width="9" style="20" customWidth="1"/>
    <col min="4606" max="4607" width="9.77734375" style="20" customWidth="1"/>
    <col min="4608" max="4608" width="11.21875" style="20" customWidth="1"/>
    <col min="4609" max="4609" width="2.77734375" style="20" customWidth="1"/>
    <col min="4610" max="4610" width="3.5546875" style="20" customWidth="1"/>
    <col min="4611" max="4855" width="9.21875" style="20"/>
    <col min="4856" max="4856" width="8.77734375" style="20" customWidth="1"/>
    <col min="4857" max="4857" width="9.77734375" style="20" customWidth="1"/>
    <col min="4858" max="4858" width="14.44140625" style="20" customWidth="1"/>
    <col min="4859" max="4859" width="7.21875" style="20" customWidth="1"/>
    <col min="4860" max="4860" width="5.5546875" style="20" customWidth="1"/>
    <col min="4861" max="4861" width="9" style="20" customWidth="1"/>
    <col min="4862" max="4863" width="9.77734375" style="20" customWidth="1"/>
    <col min="4864" max="4864" width="11.21875" style="20" customWidth="1"/>
    <col min="4865" max="4865" width="2.77734375" style="20" customWidth="1"/>
    <col min="4866" max="4866" width="3.5546875" style="20" customWidth="1"/>
    <col min="4867" max="5111" width="9.21875" style="20"/>
    <col min="5112" max="5112" width="8.77734375" style="20" customWidth="1"/>
    <col min="5113" max="5113" width="9.77734375" style="20" customWidth="1"/>
    <col min="5114" max="5114" width="14.44140625" style="20" customWidth="1"/>
    <col min="5115" max="5115" width="7.21875" style="20" customWidth="1"/>
    <col min="5116" max="5116" width="5.5546875" style="20" customWidth="1"/>
    <col min="5117" max="5117" width="9" style="20" customWidth="1"/>
    <col min="5118" max="5119" width="9.77734375" style="20" customWidth="1"/>
    <col min="5120" max="5120" width="11.21875" style="20" customWidth="1"/>
    <col min="5121" max="5121" width="2.77734375" style="20" customWidth="1"/>
    <col min="5122" max="5122" width="3.5546875" style="20" customWidth="1"/>
    <col min="5123" max="5367" width="9.21875" style="20"/>
    <col min="5368" max="5368" width="8.77734375" style="20" customWidth="1"/>
    <col min="5369" max="5369" width="9.77734375" style="20" customWidth="1"/>
    <col min="5370" max="5370" width="14.44140625" style="20" customWidth="1"/>
    <col min="5371" max="5371" width="7.21875" style="20" customWidth="1"/>
    <col min="5372" max="5372" width="5.5546875" style="20" customWidth="1"/>
    <col min="5373" max="5373" width="9" style="20" customWidth="1"/>
    <col min="5374" max="5375" width="9.77734375" style="20" customWidth="1"/>
    <col min="5376" max="5376" width="11.21875" style="20" customWidth="1"/>
    <col min="5377" max="5377" width="2.77734375" style="20" customWidth="1"/>
    <col min="5378" max="5378" width="3.5546875" style="20" customWidth="1"/>
    <col min="5379" max="5623" width="9.21875" style="20"/>
    <col min="5624" max="5624" width="8.77734375" style="20" customWidth="1"/>
    <col min="5625" max="5625" width="9.77734375" style="20" customWidth="1"/>
    <col min="5626" max="5626" width="14.44140625" style="20" customWidth="1"/>
    <col min="5627" max="5627" width="7.21875" style="20" customWidth="1"/>
    <col min="5628" max="5628" width="5.5546875" style="20" customWidth="1"/>
    <col min="5629" max="5629" width="9" style="20" customWidth="1"/>
    <col min="5630" max="5631" width="9.77734375" style="20" customWidth="1"/>
    <col min="5632" max="5632" width="11.21875" style="20" customWidth="1"/>
    <col min="5633" max="5633" width="2.77734375" style="20" customWidth="1"/>
    <col min="5634" max="5634" width="3.5546875" style="20" customWidth="1"/>
    <col min="5635" max="5879" width="9.21875" style="20"/>
    <col min="5880" max="5880" width="8.77734375" style="20" customWidth="1"/>
    <col min="5881" max="5881" width="9.77734375" style="20" customWidth="1"/>
    <col min="5882" max="5882" width="14.44140625" style="20" customWidth="1"/>
    <col min="5883" max="5883" width="7.21875" style="20" customWidth="1"/>
    <col min="5884" max="5884" width="5.5546875" style="20" customWidth="1"/>
    <col min="5885" max="5885" width="9" style="20" customWidth="1"/>
    <col min="5886" max="5887" width="9.77734375" style="20" customWidth="1"/>
    <col min="5888" max="5888" width="11.21875" style="20" customWidth="1"/>
    <col min="5889" max="5889" width="2.77734375" style="20" customWidth="1"/>
    <col min="5890" max="5890" width="3.5546875" style="20" customWidth="1"/>
    <col min="5891" max="6135" width="9.21875" style="20"/>
    <col min="6136" max="6136" width="8.77734375" style="20" customWidth="1"/>
    <col min="6137" max="6137" width="9.77734375" style="20" customWidth="1"/>
    <col min="6138" max="6138" width="14.44140625" style="20" customWidth="1"/>
    <col min="6139" max="6139" width="7.21875" style="20" customWidth="1"/>
    <col min="6140" max="6140" width="5.5546875" style="20" customWidth="1"/>
    <col min="6141" max="6141" width="9" style="20" customWidth="1"/>
    <col min="6142" max="6143" width="9.77734375" style="20" customWidth="1"/>
    <col min="6144" max="6144" width="11.21875" style="20" customWidth="1"/>
    <col min="6145" max="6145" width="2.77734375" style="20" customWidth="1"/>
    <col min="6146" max="6146" width="3.5546875" style="20" customWidth="1"/>
    <col min="6147" max="6391" width="9.21875" style="20"/>
    <col min="6392" max="6392" width="8.77734375" style="20" customWidth="1"/>
    <col min="6393" max="6393" width="9.77734375" style="20" customWidth="1"/>
    <col min="6394" max="6394" width="14.44140625" style="20" customWidth="1"/>
    <col min="6395" max="6395" width="7.21875" style="20" customWidth="1"/>
    <col min="6396" max="6396" width="5.5546875" style="20" customWidth="1"/>
    <col min="6397" max="6397" width="9" style="20" customWidth="1"/>
    <col min="6398" max="6399" width="9.77734375" style="20" customWidth="1"/>
    <col min="6400" max="6400" width="11.21875" style="20" customWidth="1"/>
    <col min="6401" max="6401" width="2.77734375" style="20" customWidth="1"/>
    <col min="6402" max="6402" width="3.5546875" style="20" customWidth="1"/>
    <col min="6403" max="6647" width="9.21875" style="20"/>
    <col min="6648" max="6648" width="8.77734375" style="20" customWidth="1"/>
    <col min="6649" max="6649" width="9.77734375" style="20" customWidth="1"/>
    <col min="6650" max="6650" width="14.44140625" style="20" customWidth="1"/>
    <col min="6651" max="6651" width="7.21875" style="20" customWidth="1"/>
    <col min="6652" max="6652" width="5.5546875" style="20" customWidth="1"/>
    <col min="6653" max="6653" width="9" style="20" customWidth="1"/>
    <col min="6654" max="6655" width="9.77734375" style="20" customWidth="1"/>
    <col min="6656" max="6656" width="11.21875" style="20" customWidth="1"/>
    <col min="6657" max="6657" width="2.77734375" style="20" customWidth="1"/>
    <col min="6658" max="6658" width="3.5546875" style="20" customWidth="1"/>
    <col min="6659" max="6903" width="9.21875" style="20"/>
    <col min="6904" max="6904" width="8.77734375" style="20" customWidth="1"/>
    <col min="6905" max="6905" width="9.77734375" style="20" customWidth="1"/>
    <col min="6906" max="6906" width="14.44140625" style="20" customWidth="1"/>
    <col min="6907" max="6907" width="7.21875" style="20" customWidth="1"/>
    <col min="6908" max="6908" width="5.5546875" style="20" customWidth="1"/>
    <col min="6909" max="6909" width="9" style="20" customWidth="1"/>
    <col min="6910" max="6911" width="9.77734375" style="20" customWidth="1"/>
    <col min="6912" max="6912" width="11.21875" style="20" customWidth="1"/>
    <col min="6913" max="6913" width="2.77734375" style="20" customWidth="1"/>
    <col min="6914" max="6914" width="3.5546875" style="20" customWidth="1"/>
    <col min="6915" max="7159" width="9.21875" style="20"/>
    <col min="7160" max="7160" width="8.77734375" style="20" customWidth="1"/>
    <col min="7161" max="7161" width="9.77734375" style="20" customWidth="1"/>
    <col min="7162" max="7162" width="14.44140625" style="20" customWidth="1"/>
    <col min="7163" max="7163" width="7.21875" style="20" customWidth="1"/>
    <col min="7164" max="7164" width="5.5546875" style="20" customWidth="1"/>
    <col min="7165" max="7165" width="9" style="20" customWidth="1"/>
    <col min="7166" max="7167" width="9.77734375" style="20" customWidth="1"/>
    <col min="7168" max="7168" width="11.21875" style="20" customWidth="1"/>
    <col min="7169" max="7169" width="2.77734375" style="20" customWidth="1"/>
    <col min="7170" max="7170" width="3.5546875" style="20" customWidth="1"/>
    <col min="7171" max="7415" width="9.21875" style="20"/>
    <col min="7416" max="7416" width="8.77734375" style="20" customWidth="1"/>
    <col min="7417" max="7417" width="9.77734375" style="20" customWidth="1"/>
    <col min="7418" max="7418" width="14.44140625" style="20" customWidth="1"/>
    <col min="7419" max="7419" width="7.21875" style="20" customWidth="1"/>
    <col min="7420" max="7420" width="5.5546875" style="20" customWidth="1"/>
    <col min="7421" max="7421" width="9" style="20" customWidth="1"/>
    <col min="7422" max="7423" width="9.77734375" style="20" customWidth="1"/>
    <col min="7424" max="7424" width="11.21875" style="20" customWidth="1"/>
    <col min="7425" max="7425" width="2.77734375" style="20" customWidth="1"/>
    <col min="7426" max="7426" width="3.5546875" style="20" customWidth="1"/>
    <col min="7427" max="7671" width="9.21875" style="20"/>
    <col min="7672" max="7672" width="8.77734375" style="20" customWidth="1"/>
    <col min="7673" max="7673" width="9.77734375" style="20" customWidth="1"/>
    <col min="7674" max="7674" width="14.44140625" style="20" customWidth="1"/>
    <col min="7675" max="7675" width="7.21875" style="20" customWidth="1"/>
    <col min="7676" max="7676" width="5.5546875" style="20" customWidth="1"/>
    <col min="7677" max="7677" width="9" style="20" customWidth="1"/>
    <col min="7678" max="7679" width="9.77734375" style="20" customWidth="1"/>
    <col min="7680" max="7680" width="11.21875" style="20" customWidth="1"/>
    <col min="7681" max="7681" width="2.77734375" style="20" customWidth="1"/>
    <col min="7682" max="7682" width="3.5546875" style="20" customWidth="1"/>
    <col min="7683" max="7927" width="9.21875" style="20"/>
    <col min="7928" max="7928" width="8.77734375" style="20" customWidth="1"/>
    <col min="7929" max="7929" width="9.77734375" style="20" customWidth="1"/>
    <col min="7930" max="7930" width="14.44140625" style="20" customWidth="1"/>
    <col min="7931" max="7931" width="7.21875" style="20" customWidth="1"/>
    <col min="7932" max="7932" width="5.5546875" style="20" customWidth="1"/>
    <col min="7933" max="7933" width="9" style="20" customWidth="1"/>
    <col min="7934" max="7935" width="9.77734375" style="20" customWidth="1"/>
    <col min="7936" max="7936" width="11.21875" style="20" customWidth="1"/>
    <col min="7937" max="7937" width="2.77734375" style="20" customWidth="1"/>
    <col min="7938" max="7938" width="3.5546875" style="20" customWidth="1"/>
    <col min="7939" max="8183" width="9.21875" style="20"/>
    <col min="8184" max="8184" width="8.77734375" style="20" customWidth="1"/>
    <col min="8185" max="8185" width="9.77734375" style="20" customWidth="1"/>
    <col min="8186" max="8186" width="14.44140625" style="20" customWidth="1"/>
    <col min="8187" max="8187" width="7.21875" style="20" customWidth="1"/>
    <col min="8188" max="8188" width="5.5546875" style="20" customWidth="1"/>
    <col min="8189" max="8189" width="9" style="20" customWidth="1"/>
    <col min="8190" max="8191" width="9.77734375" style="20" customWidth="1"/>
    <col min="8192" max="8192" width="11.21875" style="20" customWidth="1"/>
    <col min="8193" max="8193" width="2.77734375" style="20" customWidth="1"/>
    <col min="8194" max="8194" width="3.5546875" style="20" customWidth="1"/>
    <col min="8195" max="8439" width="9.21875" style="20"/>
    <col min="8440" max="8440" width="8.77734375" style="20" customWidth="1"/>
    <col min="8441" max="8441" width="9.77734375" style="20" customWidth="1"/>
    <col min="8442" max="8442" width="14.44140625" style="20" customWidth="1"/>
    <col min="8443" max="8443" width="7.21875" style="20" customWidth="1"/>
    <col min="8444" max="8444" width="5.5546875" style="20" customWidth="1"/>
    <col min="8445" max="8445" width="9" style="20" customWidth="1"/>
    <col min="8446" max="8447" width="9.77734375" style="20" customWidth="1"/>
    <col min="8448" max="8448" width="11.21875" style="20" customWidth="1"/>
    <col min="8449" max="8449" width="2.77734375" style="20" customWidth="1"/>
    <col min="8450" max="8450" width="3.5546875" style="20" customWidth="1"/>
    <col min="8451" max="8695" width="9.21875" style="20"/>
    <col min="8696" max="8696" width="8.77734375" style="20" customWidth="1"/>
    <col min="8697" max="8697" width="9.77734375" style="20" customWidth="1"/>
    <col min="8698" max="8698" width="14.44140625" style="20" customWidth="1"/>
    <col min="8699" max="8699" width="7.21875" style="20" customWidth="1"/>
    <col min="8700" max="8700" width="5.5546875" style="20" customWidth="1"/>
    <col min="8701" max="8701" width="9" style="20" customWidth="1"/>
    <col min="8702" max="8703" width="9.77734375" style="20" customWidth="1"/>
    <col min="8704" max="8704" width="11.21875" style="20" customWidth="1"/>
    <col min="8705" max="8705" width="2.77734375" style="20" customWidth="1"/>
    <col min="8706" max="8706" width="3.5546875" style="20" customWidth="1"/>
    <col min="8707" max="8951" width="9.21875" style="20"/>
    <col min="8952" max="8952" width="8.77734375" style="20" customWidth="1"/>
    <col min="8953" max="8953" width="9.77734375" style="20" customWidth="1"/>
    <col min="8954" max="8954" width="14.44140625" style="20" customWidth="1"/>
    <col min="8955" max="8955" width="7.21875" style="20" customWidth="1"/>
    <col min="8956" max="8956" width="5.5546875" style="20" customWidth="1"/>
    <col min="8957" max="8957" width="9" style="20" customWidth="1"/>
    <col min="8958" max="8959" width="9.77734375" style="20" customWidth="1"/>
    <col min="8960" max="8960" width="11.21875" style="20" customWidth="1"/>
    <col min="8961" max="8961" width="2.77734375" style="20" customWidth="1"/>
    <col min="8962" max="8962" width="3.5546875" style="20" customWidth="1"/>
    <col min="8963" max="9207" width="9.21875" style="20"/>
    <col min="9208" max="9208" width="8.77734375" style="20" customWidth="1"/>
    <col min="9209" max="9209" width="9.77734375" style="20" customWidth="1"/>
    <col min="9210" max="9210" width="14.44140625" style="20" customWidth="1"/>
    <col min="9211" max="9211" width="7.21875" style="20" customWidth="1"/>
    <col min="9212" max="9212" width="5.5546875" style="20" customWidth="1"/>
    <col min="9213" max="9213" width="9" style="20" customWidth="1"/>
    <col min="9214" max="9215" width="9.77734375" style="20" customWidth="1"/>
    <col min="9216" max="9216" width="11.21875" style="20" customWidth="1"/>
    <col min="9217" max="9217" width="2.77734375" style="20" customWidth="1"/>
    <col min="9218" max="9218" width="3.5546875" style="20" customWidth="1"/>
    <col min="9219" max="9463" width="9.21875" style="20"/>
    <col min="9464" max="9464" width="8.77734375" style="20" customWidth="1"/>
    <col min="9465" max="9465" width="9.77734375" style="20" customWidth="1"/>
    <col min="9466" max="9466" width="14.44140625" style="20" customWidth="1"/>
    <col min="9467" max="9467" width="7.21875" style="20" customWidth="1"/>
    <col min="9468" max="9468" width="5.5546875" style="20" customWidth="1"/>
    <col min="9469" max="9469" width="9" style="20" customWidth="1"/>
    <col min="9470" max="9471" width="9.77734375" style="20" customWidth="1"/>
    <col min="9472" max="9472" width="11.21875" style="20" customWidth="1"/>
    <col min="9473" max="9473" width="2.77734375" style="20" customWidth="1"/>
    <col min="9474" max="9474" width="3.5546875" style="20" customWidth="1"/>
    <col min="9475" max="9719" width="9.21875" style="20"/>
    <col min="9720" max="9720" width="8.77734375" style="20" customWidth="1"/>
    <col min="9721" max="9721" width="9.77734375" style="20" customWidth="1"/>
    <col min="9722" max="9722" width="14.44140625" style="20" customWidth="1"/>
    <col min="9723" max="9723" width="7.21875" style="20" customWidth="1"/>
    <col min="9724" max="9724" width="5.5546875" style="20" customWidth="1"/>
    <col min="9725" max="9725" width="9" style="20" customWidth="1"/>
    <col min="9726" max="9727" width="9.77734375" style="20" customWidth="1"/>
    <col min="9728" max="9728" width="11.21875" style="20" customWidth="1"/>
    <col min="9729" max="9729" width="2.77734375" style="20" customWidth="1"/>
    <col min="9730" max="9730" width="3.5546875" style="20" customWidth="1"/>
    <col min="9731" max="9975" width="9.21875" style="20"/>
    <col min="9976" max="9976" width="8.77734375" style="20" customWidth="1"/>
    <col min="9977" max="9977" width="9.77734375" style="20" customWidth="1"/>
    <col min="9978" max="9978" width="14.44140625" style="20" customWidth="1"/>
    <col min="9979" max="9979" width="7.21875" style="20" customWidth="1"/>
    <col min="9980" max="9980" width="5.5546875" style="20" customWidth="1"/>
    <col min="9981" max="9981" width="9" style="20" customWidth="1"/>
    <col min="9982" max="9983" width="9.77734375" style="20" customWidth="1"/>
    <col min="9984" max="9984" width="11.21875" style="20" customWidth="1"/>
    <col min="9985" max="9985" width="2.77734375" style="20" customWidth="1"/>
    <col min="9986" max="9986" width="3.5546875" style="20" customWidth="1"/>
    <col min="9987" max="10231" width="9.21875" style="20"/>
    <col min="10232" max="10232" width="8.77734375" style="20" customWidth="1"/>
    <col min="10233" max="10233" width="9.77734375" style="20" customWidth="1"/>
    <col min="10234" max="10234" width="14.44140625" style="20" customWidth="1"/>
    <col min="10235" max="10235" width="7.21875" style="20" customWidth="1"/>
    <col min="10236" max="10236" width="5.5546875" style="20" customWidth="1"/>
    <col min="10237" max="10237" width="9" style="20" customWidth="1"/>
    <col min="10238" max="10239" width="9.77734375" style="20" customWidth="1"/>
    <col min="10240" max="10240" width="11.21875" style="20" customWidth="1"/>
    <col min="10241" max="10241" width="2.77734375" style="20" customWidth="1"/>
    <col min="10242" max="10242" width="3.5546875" style="20" customWidth="1"/>
    <col min="10243" max="10487" width="9.21875" style="20"/>
    <col min="10488" max="10488" width="8.77734375" style="20" customWidth="1"/>
    <col min="10489" max="10489" width="9.77734375" style="20" customWidth="1"/>
    <col min="10490" max="10490" width="14.44140625" style="20" customWidth="1"/>
    <col min="10491" max="10491" width="7.21875" style="20" customWidth="1"/>
    <col min="10492" max="10492" width="5.5546875" style="20" customWidth="1"/>
    <col min="10493" max="10493" width="9" style="20" customWidth="1"/>
    <col min="10494" max="10495" width="9.77734375" style="20" customWidth="1"/>
    <col min="10496" max="10496" width="11.21875" style="20" customWidth="1"/>
    <col min="10497" max="10497" width="2.77734375" style="20" customWidth="1"/>
    <col min="10498" max="10498" width="3.5546875" style="20" customWidth="1"/>
    <col min="10499" max="10743" width="9.21875" style="20"/>
    <col min="10744" max="10744" width="8.77734375" style="20" customWidth="1"/>
    <col min="10745" max="10745" width="9.77734375" style="20" customWidth="1"/>
    <col min="10746" max="10746" width="14.44140625" style="20" customWidth="1"/>
    <col min="10747" max="10747" width="7.21875" style="20" customWidth="1"/>
    <col min="10748" max="10748" width="5.5546875" style="20" customWidth="1"/>
    <col min="10749" max="10749" width="9" style="20" customWidth="1"/>
    <col min="10750" max="10751" width="9.77734375" style="20" customWidth="1"/>
    <col min="10752" max="10752" width="11.21875" style="20" customWidth="1"/>
    <col min="10753" max="10753" width="2.77734375" style="20" customWidth="1"/>
    <col min="10754" max="10754" width="3.5546875" style="20" customWidth="1"/>
    <col min="10755" max="10999" width="9.21875" style="20"/>
    <col min="11000" max="11000" width="8.77734375" style="20" customWidth="1"/>
    <col min="11001" max="11001" width="9.77734375" style="20" customWidth="1"/>
    <col min="11002" max="11002" width="14.44140625" style="20" customWidth="1"/>
    <col min="11003" max="11003" width="7.21875" style="20" customWidth="1"/>
    <col min="11004" max="11004" width="5.5546875" style="20" customWidth="1"/>
    <col min="11005" max="11005" width="9" style="20" customWidth="1"/>
    <col min="11006" max="11007" width="9.77734375" style="20" customWidth="1"/>
    <col min="11008" max="11008" width="11.21875" style="20" customWidth="1"/>
    <col min="11009" max="11009" width="2.77734375" style="20" customWidth="1"/>
    <col min="11010" max="11010" width="3.5546875" style="20" customWidth="1"/>
    <col min="11011" max="11255" width="9.21875" style="20"/>
    <col min="11256" max="11256" width="8.77734375" style="20" customWidth="1"/>
    <col min="11257" max="11257" width="9.77734375" style="20" customWidth="1"/>
    <col min="11258" max="11258" width="14.44140625" style="20" customWidth="1"/>
    <col min="11259" max="11259" width="7.21875" style="20" customWidth="1"/>
    <col min="11260" max="11260" width="5.5546875" style="20" customWidth="1"/>
    <col min="11261" max="11261" width="9" style="20" customWidth="1"/>
    <col min="11262" max="11263" width="9.77734375" style="20" customWidth="1"/>
    <col min="11264" max="11264" width="11.21875" style="20" customWidth="1"/>
    <col min="11265" max="11265" width="2.77734375" style="20" customWidth="1"/>
    <col min="11266" max="11266" width="3.5546875" style="20" customWidth="1"/>
    <col min="11267" max="11511" width="9.21875" style="20"/>
    <col min="11512" max="11512" width="8.77734375" style="20" customWidth="1"/>
    <col min="11513" max="11513" width="9.77734375" style="20" customWidth="1"/>
    <col min="11514" max="11514" width="14.44140625" style="20" customWidth="1"/>
    <col min="11515" max="11515" width="7.21875" style="20" customWidth="1"/>
    <col min="11516" max="11516" width="5.5546875" style="20" customWidth="1"/>
    <col min="11517" max="11517" width="9" style="20" customWidth="1"/>
    <col min="11518" max="11519" width="9.77734375" style="20" customWidth="1"/>
    <col min="11520" max="11520" width="11.21875" style="20" customWidth="1"/>
    <col min="11521" max="11521" width="2.77734375" style="20" customWidth="1"/>
    <col min="11522" max="11522" width="3.5546875" style="20" customWidth="1"/>
    <col min="11523" max="11767" width="9.21875" style="20"/>
    <col min="11768" max="11768" width="8.77734375" style="20" customWidth="1"/>
    <col min="11769" max="11769" width="9.77734375" style="20" customWidth="1"/>
    <col min="11770" max="11770" width="14.44140625" style="20" customWidth="1"/>
    <col min="11771" max="11771" width="7.21875" style="20" customWidth="1"/>
    <col min="11772" max="11772" width="5.5546875" style="20" customWidth="1"/>
    <col min="11773" max="11773" width="9" style="20" customWidth="1"/>
    <col min="11774" max="11775" width="9.77734375" style="20" customWidth="1"/>
    <col min="11776" max="11776" width="11.21875" style="20" customWidth="1"/>
    <col min="11777" max="11777" width="2.77734375" style="20" customWidth="1"/>
    <col min="11778" max="11778" width="3.5546875" style="20" customWidth="1"/>
    <col min="11779" max="12023" width="9.21875" style="20"/>
    <col min="12024" max="12024" width="8.77734375" style="20" customWidth="1"/>
    <col min="12025" max="12025" width="9.77734375" style="20" customWidth="1"/>
    <col min="12026" max="12026" width="14.44140625" style="20" customWidth="1"/>
    <col min="12027" max="12027" width="7.21875" style="20" customWidth="1"/>
    <col min="12028" max="12028" width="5.5546875" style="20" customWidth="1"/>
    <col min="12029" max="12029" width="9" style="20" customWidth="1"/>
    <col min="12030" max="12031" width="9.77734375" style="20" customWidth="1"/>
    <col min="12032" max="12032" width="11.21875" style="20" customWidth="1"/>
    <col min="12033" max="12033" width="2.77734375" style="20" customWidth="1"/>
    <col min="12034" max="12034" width="3.5546875" style="20" customWidth="1"/>
    <col min="12035" max="12279" width="9.21875" style="20"/>
    <col min="12280" max="12280" width="8.77734375" style="20" customWidth="1"/>
    <col min="12281" max="12281" width="9.77734375" style="20" customWidth="1"/>
    <col min="12282" max="12282" width="14.44140625" style="20" customWidth="1"/>
    <col min="12283" max="12283" width="7.21875" style="20" customWidth="1"/>
    <col min="12284" max="12284" width="5.5546875" style="20" customWidth="1"/>
    <col min="12285" max="12285" width="9" style="20" customWidth="1"/>
    <col min="12286" max="12287" width="9.77734375" style="20" customWidth="1"/>
    <col min="12288" max="12288" width="11.21875" style="20" customWidth="1"/>
    <col min="12289" max="12289" width="2.77734375" style="20" customWidth="1"/>
    <col min="12290" max="12290" width="3.5546875" style="20" customWidth="1"/>
    <col min="12291" max="12535" width="9.21875" style="20"/>
    <col min="12536" max="12536" width="8.77734375" style="20" customWidth="1"/>
    <col min="12537" max="12537" width="9.77734375" style="20" customWidth="1"/>
    <col min="12538" max="12538" width="14.44140625" style="20" customWidth="1"/>
    <col min="12539" max="12539" width="7.21875" style="20" customWidth="1"/>
    <col min="12540" max="12540" width="5.5546875" style="20" customWidth="1"/>
    <col min="12541" max="12541" width="9" style="20" customWidth="1"/>
    <col min="12542" max="12543" width="9.77734375" style="20" customWidth="1"/>
    <col min="12544" max="12544" width="11.21875" style="20" customWidth="1"/>
    <col min="12545" max="12545" width="2.77734375" style="20" customWidth="1"/>
    <col min="12546" max="12546" width="3.5546875" style="20" customWidth="1"/>
    <col min="12547" max="12791" width="9.21875" style="20"/>
    <col min="12792" max="12792" width="8.77734375" style="20" customWidth="1"/>
    <col min="12793" max="12793" width="9.77734375" style="20" customWidth="1"/>
    <col min="12794" max="12794" width="14.44140625" style="20" customWidth="1"/>
    <col min="12795" max="12795" width="7.21875" style="20" customWidth="1"/>
    <col min="12796" max="12796" width="5.5546875" style="20" customWidth="1"/>
    <col min="12797" max="12797" width="9" style="20" customWidth="1"/>
    <col min="12798" max="12799" width="9.77734375" style="20" customWidth="1"/>
    <col min="12800" max="12800" width="11.21875" style="20" customWidth="1"/>
    <col min="12801" max="12801" width="2.77734375" style="20" customWidth="1"/>
    <col min="12802" max="12802" width="3.5546875" style="20" customWidth="1"/>
    <col min="12803" max="13047" width="9.21875" style="20"/>
    <col min="13048" max="13048" width="8.77734375" style="20" customWidth="1"/>
    <col min="13049" max="13049" width="9.77734375" style="20" customWidth="1"/>
    <col min="13050" max="13050" width="14.44140625" style="20" customWidth="1"/>
    <col min="13051" max="13051" width="7.21875" style="20" customWidth="1"/>
    <col min="13052" max="13052" width="5.5546875" style="20" customWidth="1"/>
    <col min="13053" max="13053" width="9" style="20" customWidth="1"/>
    <col min="13054" max="13055" width="9.77734375" style="20" customWidth="1"/>
    <col min="13056" max="13056" width="11.21875" style="20" customWidth="1"/>
    <col min="13057" max="13057" width="2.77734375" style="20" customWidth="1"/>
    <col min="13058" max="13058" width="3.5546875" style="20" customWidth="1"/>
    <col min="13059" max="13303" width="9.21875" style="20"/>
    <col min="13304" max="13304" width="8.77734375" style="20" customWidth="1"/>
    <col min="13305" max="13305" width="9.77734375" style="20" customWidth="1"/>
    <col min="13306" max="13306" width="14.44140625" style="20" customWidth="1"/>
    <col min="13307" max="13307" width="7.21875" style="20" customWidth="1"/>
    <col min="13308" max="13308" width="5.5546875" style="20" customWidth="1"/>
    <col min="13309" max="13309" width="9" style="20" customWidth="1"/>
    <col min="13310" max="13311" width="9.77734375" style="20" customWidth="1"/>
    <col min="13312" max="13312" width="11.21875" style="20" customWidth="1"/>
    <col min="13313" max="13313" width="2.77734375" style="20" customWidth="1"/>
    <col min="13314" max="13314" width="3.5546875" style="20" customWidth="1"/>
    <col min="13315" max="13559" width="9.21875" style="20"/>
    <col min="13560" max="13560" width="8.77734375" style="20" customWidth="1"/>
    <col min="13561" max="13561" width="9.77734375" style="20" customWidth="1"/>
    <col min="13562" max="13562" width="14.44140625" style="20" customWidth="1"/>
    <col min="13563" max="13563" width="7.21875" style="20" customWidth="1"/>
    <col min="13564" max="13564" width="5.5546875" style="20" customWidth="1"/>
    <col min="13565" max="13565" width="9" style="20" customWidth="1"/>
    <col min="13566" max="13567" width="9.77734375" style="20" customWidth="1"/>
    <col min="13568" max="13568" width="11.21875" style="20" customWidth="1"/>
    <col min="13569" max="13569" width="2.77734375" style="20" customWidth="1"/>
    <col min="13570" max="13570" width="3.5546875" style="20" customWidth="1"/>
    <col min="13571" max="13815" width="9.21875" style="20"/>
    <col min="13816" max="13816" width="8.77734375" style="20" customWidth="1"/>
    <col min="13817" max="13817" width="9.77734375" style="20" customWidth="1"/>
    <col min="13818" max="13818" width="14.44140625" style="20" customWidth="1"/>
    <col min="13819" max="13819" width="7.21875" style="20" customWidth="1"/>
    <col min="13820" max="13820" width="5.5546875" style="20" customWidth="1"/>
    <col min="13821" max="13821" width="9" style="20" customWidth="1"/>
    <col min="13822" max="13823" width="9.77734375" style="20" customWidth="1"/>
    <col min="13824" max="13824" width="11.21875" style="20" customWidth="1"/>
    <col min="13825" max="13825" width="2.77734375" style="20" customWidth="1"/>
    <col min="13826" max="13826" width="3.5546875" style="20" customWidth="1"/>
    <col min="13827" max="14071" width="9.21875" style="20"/>
    <col min="14072" max="14072" width="8.77734375" style="20" customWidth="1"/>
    <col min="14073" max="14073" width="9.77734375" style="20" customWidth="1"/>
    <col min="14074" max="14074" width="14.44140625" style="20" customWidth="1"/>
    <col min="14075" max="14075" width="7.21875" style="20" customWidth="1"/>
    <col min="14076" max="14076" width="5.5546875" style="20" customWidth="1"/>
    <col min="14077" max="14077" width="9" style="20" customWidth="1"/>
    <col min="14078" max="14079" width="9.77734375" style="20" customWidth="1"/>
    <col min="14080" max="14080" width="11.21875" style="20" customWidth="1"/>
    <col min="14081" max="14081" width="2.77734375" style="20" customWidth="1"/>
    <col min="14082" max="14082" width="3.5546875" style="20" customWidth="1"/>
    <col min="14083" max="14327" width="9.21875" style="20"/>
    <col min="14328" max="14328" width="8.77734375" style="20" customWidth="1"/>
    <col min="14329" max="14329" width="9.77734375" style="20" customWidth="1"/>
    <col min="14330" max="14330" width="14.44140625" style="20" customWidth="1"/>
    <col min="14331" max="14331" width="7.21875" style="20" customWidth="1"/>
    <col min="14332" max="14332" width="5.5546875" style="20" customWidth="1"/>
    <col min="14333" max="14333" width="9" style="20" customWidth="1"/>
    <col min="14334" max="14335" width="9.77734375" style="20" customWidth="1"/>
    <col min="14336" max="14336" width="11.21875" style="20" customWidth="1"/>
    <col min="14337" max="14337" width="2.77734375" style="20" customWidth="1"/>
    <col min="14338" max="14338" width="3.5546875" style="20" customWidth="1"/>
    <col min="14339" max="14583" width="9.21875" style="20"/>
    <col min="14584" max="14584" width="8.77734375" style="20" customWidth="1"/>
    <col min="14585" max="14585" width="9.77734375" style="20" customWidth="1"/>
    <col min="14586" max="14586" width="14.44140625" style="20" customWidth="1"/>
    <col min="14587" max="14587" width="7.21875" style="20" customWidth="1"/>
    <col min="14588" max="14588" width="5.5546875" style="20" customWidth="1"/>
    <col min="14589" max="14589" width="9" style="20" customWidth="1"/>
    <col min="14590" max="14591" width="9.77734375" style="20" customWidth="1"/>
    <col min="14592" max="14592" width="11.21875" style="20" customWidth="1"/>
    <col min="14593" max="14593" width="2.77734375" style="20" customWidth="1"/>
    <col min="14594" max="14594" width="3.5546875" style="20" customWidth="1"/>
    <col min="14595" max="14839" width="9.21875" style="20"/>
    <col min="14840" max="14840" width="8.77734375" style="20" customWidth="1"/>
    <col min="14841" max="14841" width="9.77734375" style="20" customWidth="1"/>
    <col min="14842" max="14842" width="14.44140625" style="20" customWidth="1"/>
    <col min="14843" max="14843" width="7.21875" style="20" customWidth="1"/>
    <col min="14844" max="14844" width="5.5546875" style="20" customWidth="1"/>
    <col min="14845" max="14845" width="9" style="20" customWidth="1"/>
    <col min="14846" max="14847" width="9.77734375" style="20" customWidth="1"/>
    <col min="14848" max="14848" width="11.21875" style="20" customWidth="1"/>
    <col min="14849" max="14849" width="2.77734375" style="20" customWidth="1"/>
    <col min="14850" max="14850" width="3.5546875" style="20" customWidth="1"/>
    <col min="14851" max="15095" width="9.21875" style="20"/>
    <col min="15096" max="15096" width="8.77734375" style="20" customWidth="1"/>
    <col min="15097" max="15097" width="9.77734375" style="20" customWidth="1"/>
    <col min="15098" max="15098" width="14.44140625" style="20" customWidth="1"/>
    <col min="15099" max="15099" width="7.21875" style="20" customWidth="1"/>
    <col min="15100" max="15100" width="5.5546875" style="20" customWidth="1"/>
    <col min="15101" max="15101" width="9" style="20" customWidth="1"/>
    <col min="15102" max="15103" width="9.77734375" style="20" customWidth="1"/>
    <col min="15104" max="15104" width="11.21875" style="20" customWidth="1"/>
    <col min="15105" max="15105" width="2.77734375" style="20" customWidth="1"/>
    <col min="15106" max="15106" width="3.5546875" style="20" customWidth="1"/>
    <col min="15107" max="15351" width="9.21875" style="20"/>
    <col min="15352" max="15352" width="8.77734375" style="20" customWidth="1"/>
    <col min="15353" max="15353" width="9.77734375" style="20" customWidth="1"/>
    <col min="15354" max="15354" width="14.44140625" style="20" customWidth="1"/>
    <col min="15355" max="15355" width="7.21875" style="20" customWidth="1"/>
    <col min="15356" max="15356" width="5.5546875" style="20" customWidth="1"/>
    <col min="15357" max="15357" width="9" style="20" customWidth="1"/>
    <col min="15358" max="15359" width="9.77734375" style="20" customWidth="1"/>
    <col min="15360" max="15360" width="11.21875" style="20" customWidth="1"/>
    <col min="15361" max="15361" width="2.77734375" style="20" customWidth="1"/>
    <col min="15362" max="15362" width="3.5546875" style="20" customWidth="1"/>
    <col min="15363" max="15607" width="9.21875" style="20"/>
    <col min="15608" max="15608" width="8.77734375" style="20" customWidth="1"/>
    <col min="15609" max="15609" width="9.77734375" style="20" customWidth="1"/>
    <col min="15610" max="15610" width="14.44140625" style="20" customWidth="1"/>
    <col min="15611" max="15611" width="7.21875" style="20" customWidth="1"/>
    <col min="15612" max="15612" width="5.5546875" style="20" customWidth="1"/>
    <col min="15613" max="15613" width="9" style="20" customWidth="1"/>
    <col min="15614" max="15615" width="9.77734375" style="20" customWidth="1"/>
    <col min="15616" max="15616" width="11.21875" style="20" customWidth="1"/>
    <col min="15617" max="15617" width="2.77734375" style="20" customWidth="1"/>
    <col min="15618" max="15618" width="3.5546875" style="20" customWidth="1"/>
    <col min="15619" max="15863" width="9.21875" style="20"/>
    <col min="15864" max="15864" width="8.77734375" style="20" customWidth="1"/>
    <col min="15865" max="15865" width="9.77734375" style="20" customWidth="1"/>
    <col min="15866" max="15866" width="14.44140625" style="20" customWidth="1"/>
    <col min="15867" max="15867" width="7.21875" style="20" customWidth="1"/>
    <col min="15868" max="15868" width="5.5546875" style="20" customWidth="1"/>
    <col min="15869" max="15869" width="9" style="20" customWidth="1"/>
    <col min="15870" max="15871" width="9.77734375" style="20" customWidth="1"/>
    <col min="15872" max="15872" width="11.21875" style="20" customWidth="1"/>
    <col min="15873" max="15873" width="2.77734375" style="20" customWidth="1"/>
    <col min="15874" max="15874" width="3.5546875" style="20" customWidth="1"/>
    <col min="15875" max="16119" width="9.21875" style="20"/>
    <col min="16120" max="16120" width="8.77734375" style="20" customWidth="1"/>
    <col min="16121" max="16121" width="9.77734375" style="20" customWidth="1"/>
    <col min="16122" max="16122" width="14.44140625" style="20" customWidth="1"/>
    <col min="16123" max="16123" width="7.21875" style="20" customWidth="1"/>
    <col min="16124" max="16124" width="5.5546875" style="20" customWidth="1"/>
    <col min="16125" max="16125" width="9" style="20" customWidth="1"/>
    <col min="16126" max="16127" width="9.77734375" style="20" customWidth="1"/>
    <col min="16128" max="16128" width="11.21875" style="20" customWidth="1"/>
    <col min="16129" max="16129" width="2.77734375" style="20" customWidth="1"/>
    <col min="16130" max="16130" width="3.5546875" style="20" customWidth="1"/>
    <col min="16131" max="16384" width="9.21875" style="20"/>
  </cols>
  <sheetData>
    <row r="1" spans="1:12" ht="46.5" customHeight="1" x14ac:dyDescent="0.3">
      <c r="A1" s="204" t="s">
        <v>168</v>
      </c>
      <c r="B1" s="204"/>
      <c r="C1" s="204"/>
      <c r="D1" s="204"/>
      <c r="E1" s="204"/>
      <c r="F1" s="204"/>
      <c r="G1" s="204"/>
      <c r="H1" s="204"/>
    </row>
    <row r="2" spans="1:12" ht="16.5" customHeight="1" x14ac:dyDescent="0.3">
      <c r="A2" s="192" t="s">
        <v>0</v>
      </c>
      <c r="B2" s="192"/>
      <c r="C2" s="192"/>
      <c r="D2" s="192"/>
      <c r="E2" s="192"/>
      <c r="F2" s="192"/>
      <c r="G2" s="192"/>
      <c r="H2" s="192"/>
    </row>
    <row r="3" spans="1:12" x14ac:dyDescent="0.3">
      <c r="A3" s="191" t="s">
        <v>1</v>
      </c>
      <c r="B3" s="191"/>
      <c r="C3" s="191"/>
      <c r="D3" s="191"/>
      <c r="E3" s="191" t="str">
        <f ca="1">TEXT(TODAY(),"DD/MM/YYYY")</f>
        <v>13/07/2025</v>
      </c>
      <c r="F3" s="191"/>
      <c r="G3" s="191"/>
      <c r="H3" s="191"/>
    </row>
    <row r="4" spans="1:12" ht="15" customHeight="1" x14ac:dyDescent="0.3">
      <c r="A4" s="191" t="s">
        <v>2</v>
      </c>
      <c r="B4" s="191"/>
      <c r="C4" s="191"/>
      <c r="D4" s="191"/>
      <c r="E4" s="191" t="s">
        <v>167</v>
      </c>
      <c r="F4" s="191"/>
      <c r="G4" s="191"/>
      <c r="H4" s="191"/>
    </row>
    <row r="5" spans="1:12" x14ac:dyDescent="0.3">
      <c r="A5" s="191" t="s">
        <v>3</v>
      </c>
      <c r="B5" s="191"/>
      <c r="C5" s="191"/>
      <c r="D5" s="191"/>
      <c r="E5" s="205">
        <v>45848</v>
      </c>
      <c r="F5" s="191"/>
      <c r="G5" s="191"/>
      <c r="H5" s="191"/>
    </row>
    <row r="6" spans="1:12" ht="16.5" customHeight="1" x14ac:dyDescent="0.3">
      <c r="A6" s="191" t="s">
        <v>4</v>
      </c>
      <c r="B6" s="191"/>
      <c r="C6" s="191"/>
      <c r="D6" s="191"/>
      <c r="E6" s="191" t="s">
        <v>202</v>
      </c>
      <c r="F6" s="191"/>
      <c r="G6" s="191"/>
      <c r="H6" s="191"/>
    </row>
    <row r="7" spans="1:12" ht="15" customHeight="1" x14ac:dyDescent="0.3">
      <c r="A7" s="191" t="s">
        <v>5</v>
      </c>
      <c r="B7" s="191"/>
      <c r="C7" s="191"/>
      <c r="D7" s="191"/>
      <c r="E7" s="191" t="s">
        <v>202</v>
      </c>
      <c r="F7" s="191"/>
      <c r="G7" s="191"/>
      <c r="H7" s="191"/>
      <c r="K7" s="20" t="s">
        <v>203</v>
      </c>
      <c r="L7" s="20" t="s">
        <v>171</v>
      </c>
    </row>
    <row r="8" spans="1:12" x14ac:dyDescent="0.3">
      <c r="A8" s="191" t="s">
        <v>174</v>
      </c>
      <c r="B8" s="191"/>
      <c r="C8" s="191"/>
      <c r="D8" s="191"/>
      <c r="E8" s="163" t="s">
        <v>172</v>
      </c>
      <c r="F8" s="163"/>
      <c r="G8" s="163"/>
      <c r="H8" s="163"/>
      <c r="K8" s="20" t="s">
        <v>204</v>
      </c>
      <c r="L8" s="20" t="s">
        <v>202</v>
      </c>
    </row>
    <row r="9" spans="1:12" ht="33.75" customHeight="1" x14ac:dyDescent="0.3">
      <c r="A9" s="191" t="s">
        <v>206</v>
      </c>
      <c r="B9" s="191"/>
      <c r="C9" s="191"/>
      <c r="D9" s="191"/>
      <c r="E9" s="142" t="s">
        <v>207</v>
      </c>
      <c r="F9" s="142"/>
      <c r="G9" s="142"/>
      <c r="H9" s="142"/>
    </row>
    <row r="10" spans="1:12" ht="48.75" customHeight="1" x14ac:dyDescent="0.3">
      <c r="A10" s="191" t="s">
        <v>205</v>
      </c>
      <c r="B10" s="191"/>
      <c r="C10" s="191"/>
      <c r="D10" s="191"/>
      <c r="E10" s="142" t="s">
        <v>175</v>
      </c>
      <c r="F10" s="142"/>
      <c r="G10" s="142"/>
      <c r="H10" s="142"/>
    </row>
    <row r="11" spans="1:12" x14ac:dyDescent="0.3">
      <c r="A11" s="191" t="s">
        <v>164</v>
      </c>
      <c r="B11" s="191"/>
      <c r="C11" s="191"/>
      <c r="D11" s="191"/>
      <c r="E11" s="191">
        <v>8691025107</v>
      </c>
      <c r="F11" s="191"/>
      <c r="G11" s="191"/>
      <c r="H11" s="191"/>
    </row>
    <row r="12" spans="1:12" x14ac:dyDescent="0.3">
      <c r="A12" s="191" t="s">
        <v>165</v>
      </c>
      <c r="B12" s="191"/>
      <c r="C12" s="191"/>
      <c r="D12" s="191"/>
      <c r="E12" s="191" t="s">
        <v>208</v>
      </c>
      <c r="F12" s="191"/>
      <c r="G12" s="191"/>
      <c r="H12" s="191"/>
    </row>
    <row r="13" spans="1:12" ht="48" customHeight="1" x14ac:dyDescent="0.3">
      <c r="A13" s="191" t="s">
        <v>6</v>
      </c>
      <c r="B13" s="191"/>
      <c r="C13" s="191"/>
      <c r="D13" s="191"/>
      <c r="E13" s="194" t="s">
        <v>234</v>
      </c>
      <c r="F13" s="191"/>
      <c r="G13" s="191"/>
      <c r="H13" s="191"/>
    </row>
    <row r="14" spans="1:12" x14ac:dyDescent="0.3">
      <c r="A14" s="122" t="s">
        <v>7</v>
      </c>
      <c r="B14" s="122"/>
      <c r="C14" s="122"/>
      <c r="D14" s="122"/>
      <c r="E14" s="194" t="s">
        <v>242</v>
      </c>
      <c r="F14" s="194"/>
      <c r="G14" s="194"/>
      <c r="H14" s="194"/>
    </row>
    <row r="15" spans="1:12" x14ac:dyDescent="0.3">
      <c r="A15" s="122" t="s">
        <v>8</v>
      </c>
      <c r="B15" s="122"/>
      <c r="C15" s="122"/>
      <c r="D15" s="122"/>
      <c r="E15" s="194" t="s">
        <v>170</v>
      </c>
      <c r="F15" s="191"/>
      <c r="G15" s="191"/>
      <c r="H15" s="191"/>
    </row>
    <row r="16" spans="1:12" ht="48.75" customHeight="1" x14ac:dyDescent="0.3">
      <c r="A16" s="183" t="s">
        <v>9</v>
      </c>
      <c r="B16" s="183"/>
      <c r="C16" s="183" t="str">
        <f>CONCATENATE((IF(OR(E8="",E8="NA"),"",E8)),", ",(IF(OR(A17="",A17="NA"),"",A17)),".",(IF(OR(C17="",C17="NA"),"",C17)),", near ",(IF(OR(C22="",C22="NA"),"",C22)),", ",(IF(OR(C19="",C19="NA"),"",C19)),", ",(IF(OR(C18="",C18="NA"),"",C18)),", ",(IF(OR(G19="",G19="NA"),"",G19)),", ",(IF(OR(C20="",C20="NA"),"",C20)),", ",(IF(OR(C21="",C21="NA"),"",C21)),", ",(IF(OR(G20="",G20="NA"),"",G20))," - ",(IF(OR(G21="",G21="NA"),"",G21)),".")</f>
        <v>Dadasaheb Phalke, Survey No.103/2, 104/1, 104/2 &amp; 105/1/B, near Namarata Acharya School, Neral - Badlapur Road, Shelu, Shelu, Shelu West, Karjat, Raigad - 410101.</v>
      </c>
      <c r="D16" s="183"/>
      <c r="E16" s="183"/>
      <c r="F16" s="183"/>
      <c r="G16" s="183"/>
      <c r="H16" s="183"/>
      <c r="I16" s="51"/>
    </row>
    <row r="17" spans="1:8" x14ac:dyDescent="0.3">
      <c r="A17" s="194" t="s">
        <v>215</v>
      </c>
      <c r="B17" s="194"/>
      <c r="C17" s="194" t="s">
        <v>271</v>
      </c>
      <c r="D17" s="194"/>
      <c r="E17" s="194"/>
      <c r="F17" s="194"/>
      <c r="G17" s="194"/>
      <c r="H17" s="194"/>
    </row>
    <row r="18" spans="1:8" ht="15.75" customHeight="1" x14ac:dyDescent="0.3">
      <c r="A18" s="194" t="s">
        <v>163</v>
      </c>
      <c r="B18" s="194"/>
      <c r="C18" s="194" t="s">
        <v>173</v>
      </c>
      <c r="D18" s="194"/>
      <c r="E18" s="194"/>
      <c r="F18" s="194"/>
      <c r="G18" s="194"/>
      <c r="H18" s="194"/>
    </row>
    <row r="19" spans="1:8" ht="15.75" customHeight="1" x14ac:dyDescent="0.3">
      <c r="A19" s="183" t="s">
        <v>10</v>
      </c>
      <c r="B19" s="183"/>
      <c r="C19" s="191" t="s">
        <v>178</v>
      </c>
      <c r="D19" s="191"/>
      <c r="E19" s="183" t="s">
        <v>72</v>
      </c>
      <c r="F19" s="183"/>
      <c r="G19" s="194" t="s">
        <v>173</v>
      </c>
      <c r="H19" s="194"/>
    </row>
    <row r="20" spans="1:8" x14ac:dyDescent="0.3">
      <c r="A20" s="122" t="s">
        <v>12</v>
      </c>
      <c r="B20" s="122"/>
      <c r="C20" s="194" t="s">
        <v>224</v>
      </c>
      <c r="D20" s="194"/>
      <c r="E20" s="183" t="s">
        <v>11</v>
      </c>
      <c r="F20" s="183"/>
      <c r="G20" s="203" t="s">
        <v>176</v>
      </c>
      <c r="H20" s="203"/>
    </row>
    <row r="21" spans="1:8" x14ac:dyDescent="0.3">
      <c r="A21" s="122" t="s">
        <v>73</v>
      </c>
      <c r="B21" s="122"/>
      <c r="C21" s="194" t="s">
        <v>177</v>
      </c>
      <c r="D21" s="194"/>
      <c r="E21" s="183" t="s">
        <v>13</v>
      </c>
      <c r="F21" s="183"/>
      <c r="G21" s="194">
        <v>410101</v>
      </c>
      <c r="H21" s="194"/>
    </row>
    <row r="22" spans="1:8" ht="32.25" customHeight="1" x14ac:dyDescent="0.3">
      <c r="A22" s="122" t="s">
        <v>121</v>
      </c>
      <c r="B22" s="122"/>
      <c r="C22" s="194" t="s">
        <v>181</v>
      </c>
      <c r="D22" s="194"/>
      <c r="E22" s="183" t="s">
        <v>14</v>
      </c>
      <c r="F22" s="183"/>
      <c r="G22" s="194" t="s">
        <v>223</v>
      </c>
      <c r="H22" s="194"/>
    </row>
    <row r="23" spans="1:8" ht="15" customHeight="1" x14ac:dyDescent="0.3">
      <c r="A23" s="183" t="s">
        <v>76</v>
      </c>
      <c r="B23" s="183"/>
      <c r="C23" s="183"/>
      <c r="D23" s="183"/>
      <c r="E23" s="191" t="s">
        <v>15</v>
      </c>
      <c r="F23" s="191"/>
      <c r="G23" s="191"/>
      <c r="H23" s="191"/>
    </row>
    <row r="24" spans="1:8" ht="18.75" customHeight="1" x14ac:dyDescent="0.3">
      <c r="A24" s="183"/>
      <c r="B24" s="183"/>
      <c r="C24" s="183"/>
      <c r="D24" s="183"/>
      <c r="E24" s="191"/>
      <c r="F24" s="191"/>
      <c r="G24" s="191"/>
      <c r="H24" s="191"/>
    </row>
    <row r="25" spans="1:8" ht="15" customHeight="1" x14ac:dyDescent="0.3">
      <c r="A25" s="183" t="s">
        <v>16</v>
      </c>
      <c r="B25" s="183"/>
      <c r="C25" s="183"/>
      <c r="D25" s="183"/>
      <c r="E25" s="194" t="s">
        <v>17</v>
      </c>
      <c r="F25" s="194"/>
      <c r="G25" s="194"/>
      <c r="H25" s="194"/>
    </row>
    <row r="26" spans="1:8" ht="15" customHeight="1" x14ac:dyDescent="0.3">
      <c r="A26" s="122" t="s">
        <v>18</v>
      </c>
      <c r="B26" s="122"/>
      <c r="C26" s="122"/>
      <c r="D26" s="122"/>
      <c r="E26" s="194" t="str">
        <f>IF(AND(G20="Mumbai"),"Upper Class","Middle Class")</f>
        <v>Middle Class</v>
      </c>
      <c r="F26" s="194"/>
      <c r="G26" s="194"/>
      <c r="H26" s="194"/>
    </row>
    <row r="27" spans="1:8" x14ac:dyDescent="0.3">
      <c r="A27" s="122" t="s">
        <v>19</v>
      </c>
      <c r="B27" s="122"/>
      <c r="C27" s="122"/>
      <c r="D27" s="122"/>
      <c r="E27" s="194" t="s">
        <v>20</v>
      </c>
      <c r="F27" s="194"/>
      <c r="G27" s="194"/>
      <c r="H27" s="194"/>
    </row>
    <row r="28" spans="1:8" ht="15.75" customHeight="1" x14ac:dyDescent="0.3">
      <c r="A28" s="122" t="s">
        <v>21</v>
      </c>
      <c r="B28" s="122"/>
      <c r="C28" s="122"/>
      <c r="D28" s="122"/>
      <c r="E28" s="194" t="str">
        <f>IF(AND(G20="Mumbai"),"Developed","Developing")</f>
        <v>Developing</v>
      </c>
      <c r="F28" s="194"/>
      <c r="G28" s="194"/>
      <c r="H28" s="194"/>
    </row>
    <row r="29" spans="1:8" x14ac:dyDescent="0.3">
      <c r="A29" s="122" t="s">
        <v>22</v>
      </c>
      <c r="B29" s="122"/>
      <c r="C29" s="122"/>
      <c r="D29" s="122"/>
      <c r="E29" s="194" t="s">
        <v>23</v>
      </c>
      <c r="F29" s="194"/>
      <c r="G29" s="194"/>
      <c r="H29" s="194"/>
    </row>
    <row r="30" spans="1:8" ht="15.75" customHeight="1" x14ac:dyDescent="0.3">
      <c r="A30" s="122" t="s">
        <v>81</v>
      </c>
      <c r="B30" s="122"/>
      <c r="C30" s="122"/>
      <c r="D30" s="122"/>
      <c r="E30" s="194" t="s">
        <v>82</v>
      </c>
      <c r="F30" s="194"/>
      <c r="G30" s="194"/>
      <c r="H30" s="194"/>
    </row>
    <row r="31" spans="1:8" ht="15" customHeight="1" x14ac:dyDescent="0.3">
      <c r="A31" s="122" t="s">
        <v>31</v>
      </c>
      <c r="B31" s="122"/>
      <c r="C31" s="122"/>
      <c r="D31" s="122"/>
      <c r="E31" s="19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94"/>
      <c r="G31" s="194"/>
      <c r="H31" s="194"/>
    </row>
    <row r="32" spans="1:8" ht="15.75" customHeight="1" x14ac:dyDescent="0.3">
      <c r="A32" s="122" t="s">
        <v>93</v>
      </c>
      <c r="B32" s="122"/>
      <c r="C32" s="122"/>
      <c r="D32" s="122"/>
      <c r="E32" s="194" t="s">
        <v>32</v>
      </c>
      <c r="F32" s="194"/>
      <c r="G32" s="194"/>
      <c r="H32" s="194"/>
    </row>
    <row r="33" spans="1:8" s="21" customFormat="1" x14ac:dyDescent="0.3">
      <c r="A33" s="202" t="s">
        <v>94</v>
      </c>
      <c r="B33" s="202"/>
      <c r="C33" s="201" t="s">
        <v>209</v>
      </c>
      <c r="D33" s="201"/>
      <c r="E33" s="201"/>
      <c r="F33" s="201" t="s">
        <v>29</v>
      </c>
      <c r="G33" s="201"/>
      <c r="H33" s="201"/>
    </row>
    <row r="34" spans="1:8" s="21" customFormat="1" x14ac:dyDescent="0.3">
      <c r="A34" s="184" t="s">
        <v>24</v>
      </c>
      <c r="B34" s="184" t="s">
        <v>28</v>
      </c>
      <c r="C34" s="185" t="s">
        <v>213</v>
      </c>
      <c r="D34" s="185"/>
      <c r="E34" s="185"/>
      <c r="F34" s="185" t="s">
        <v>178</v>
      </c>
      <c r="G34" s="185"/>
      <c r="H34" s="185"/>
    </row>
    <row r="35" spans="1:8" x14ac:dyDescent="0.3">
      <c r="A35" s="184" t="s">
        <v>25</v>
      </c>
      <c r="B35" s="184" t="s">
        <v>28</v>
      </c>
      <c r="C35" s="185" t="s">
        <v>212</v>
      </c>
      <c r="D35" s="185"/>
      <c r="E35" s="185"/>
      <c r="F35" s="185" t="s">
        <v>191</v>
      </c>
      <c r="G35" s="185"/>
      <c r="H35" s="185"/>
    </row>
    <row r="36" spans="1:8" s="21" customFormat="1" x14ac:dyDescent="0.3">
      <c r="A36" s="184" t="s">
        <v>27</v>
      </c>
      <c r="B36" s="184" t="s">
        <v>28</v>
      </c>
      <c r="C36" s="185" t="s">
        <v>212</v>
      </c>
      <c r="D36" s="185"/>
      <c r="E36" s="185"/>
      <c r="F36" s="185" t="s">
        <v>181</v>
      </c>
      <c r="G36" s="185"/>
      <c r="H36" s="185"/>
    </row>
    <row r="37" spans="1:8" x14ac:dyDescent="0.3">
      <c r="A37" s="184" t="s">
        <v>26</v>
      </c>
      <c r="B37" s="184" t="s">
        <v>28</v>
      </c>
      <c r="C37" s="185" t="s">
        <v>211</v>
      </c>
      <c r="D37" s="185"/>
      <c r="E37" s="185"/>
      <c r="F37" s="185" t="s">
        <v>192</v>
      </c>
      <c r="G37" s="185"/>
      <c r="H37" s="185"/>
    </row>
    <row r="38" spans="1:8" x14ac:dyDescent="0.3">
      <c r="A38" s="122" t="s">
        <v>30</v>
      </c>
      <c r="B38" s="122"/>
      <c r="C38" s="122"/>
      <c r="D38" s="122"/>
      <c r="E38" s="122"/>
      <c r="F38" s="122"/>
      <c r="G38" s="122"/>
      <c r="H38" s="122"/>
    </row>
    <row r="39" spans="1:8" ht="15.75" customHeight="1" x14ac:dyDescent="0.3">
      <c r="A39" s="192" t="s">
        <v>169</v>
      </c>
      <c r="B39" s="192"/>
      <c r="C39" s="187" t="s">
        <v>210</v>
      </c>
      <c r="D39" s="187"/>
      <c r="E39" s="187"/>
      <c r="F39" s="187"/>
      <c r="G39" s="187"/>
      <c r="H39" s="187"/>
    </row>
    <row r="40" spans="1:8" x14ac:dyDescent="0.3">
      <c r="A40" s="192" t="s">
        <v>162</v>
      </c>
      <c r="B40" s="192"/>
      <c r="C40" s="193" t="s">
        <v>180</v>
      </c>
      <c r="D40" s="194"/>
      <c r="E40" s="194"/>
      <c r="F40" s="194"/>
      <c r="G40" s="194"/>
      <c r="H40" s="194"/>
    </row>
    <row r="41" spans="1:8" x14ac:dyDescent="0.3">
      <c r="A41" s="187" t="s">
        <v>33</v>
      </c>
      <c r="B41" s="187"/>
      <c r="C41" s="187"/>
      <c r="D41" s="187"/>
      <c r="E41" s="187"/>
      <c r="F41" s="187"/>
      <c r="G41" s="187"/>
      <c r="H41" s="187"/>
    </row>
    <row r="42" spans="1:8" x14ac:dyDescent="0.3">
      <c r="A42" s="122" t="s">
        <v>34</v>
      </c>
      <c r="B42" s="122"/>
      <c r="C42" s="122"/>
      <c r="D42" s="122"/>
      <c r="E42" s="186">
        <v>16815.669999999998</v>
      </c>
      <c r="F42" s="186"/>
      <c r="G42" s="186"/>
      <c r="H42" s="186"/>
    </row>
    <row r="43" spans="1:8" x14ac:dyDescent="0.3">
      <c r="A43" s="122" t="s">
        <v>35</v>
      </c>
      <c r="B43" s="122"/>
      <c r="C43" s="122"/>
      <c r="D43" s="122"/>
      <c r="E43" s="189">
        <v>2.1</v>
      </c>
      <c r="F43" s="189"/>
      <c r="G43" s="189"/>
      <c r="H43" s="189"/>
    </row>
    <row r="44" spans="1:8" x14ac:dyDescent="0.3">
      <c r="A44" s="122" t="s">
        <v>36</v>
      </c>
      <c r="B44" s="122"/>
      <c r="C44" s="122"/>
      <c r="D44" s="122"/>
      <c r="E44" s="189">
        <f>E46/E42-E43</f>
        <v>1.2354726276146533E-2</v>
      </c>
      <c r="F44" s="189"/>
      <c r="G44" s="189"/>
      <c r="H44" s="189"/>
    </row>
    <row r="45" spans="1:8" x14ac:dyDescent="0.3">
      <c r="A45" s="122" t="s">
        <v>37</v>
      </c>
      <c r="B45" s="122"/>
      <c r="C45" s="122"/>
      <c r="D45" s="122"/>
      <c r="E45" s="189">
        <f>E43+E44</f>
        <v>2.1123547262761466</v>
      </c>
      <c r="F45" s="189"/>
      <c r="G45" s="189"/>
      <c r="H45" s="189"/>
    </row>
    <row r="46" spans="1:8" x14ac:dyDescent="0.3">
      <c r="A46" s="122" t="s">
        <v>92</v>
      </c>
      <c r="B46" s="122"/>
      <c r="C46" s="122"/>
      <c r="D46" s="122"/>
      <c r="E46" s="190">
        <v>35520.660000000003</v>
      </c>
      <c r="F46" s="190"/>
      <c r="G46" s="190"/>
      <c r="H46" s="190"/>
    </row>
    <row r="47" spans="1:8" x14ac:dyDescent="0.3">
      <c r="A47" s="191" t="s">
        <v>38</v>
      </c>
      <c r="B47" s="191"/>
      <c r="C47" s="191"/>
      <c r="D47" s="191"/>
      <c r="E47" s="191" t="s">
        <v>214</v>
      </c>
      <c r="F47" s="191"/>
      <c r="G47" s="191"/>
      <c r="H47" s="191"/>
    </row>
    <row r="48" spans="1:8" x14ac:dyDescent="0.3">
      <c r="A48" s="187" t="s">
        <v>39</v>
      </c>
      <c r="B48" s="187"/>
      <c r="C48" s="187"/>
      <c r="D48" s="187"/>
      <c r="E48" s="187"/>
      <c r="F48" s="187"/>
      <c r="G48" s="187"/>
      <c r="H48" s="187"/>
    </row>
    <row r="49" spans="1:14" ht="33.75" customHeight="1" x14ac:dyDescent="0.3">
      <c r="A49" s="195" t="s">
        <v>150</v>
      </c>
      <c r="B49" s="196"/>
      <c r="C49" s="197" t="s">
        <v>179</v>
      </c>
      <c r="D49" s="198"/>
      <c r="E49" s="198"/>
      <c r="F49" s="198"/>
      <c r="G49" s="198"/>
      <c r="H49" s="199"/>
    </row>
    <row r="50" spans="1:14" ht="21.75" customHeight="1" x14ac:dyDescent="0.3">
      <c r="A50" s="99" t="s">
        <v>40</v>
      </c>
      <c r="B50" s="100"/>
      <c r="C50" s="99" t="s">
        <v>254</v>
      </c>
      <c r="D50" s="101"/>
      <c r="E50" s="100"/>
      <c r="F50" s="66" t="s">
        <v>41</v>
      </c>
      <c r="G50" s="102">
        <v>45664</v>
      </c>
      <c r="H50" s="100"/>
    </row>
    <row r="51" spans="1:14" ht="18" customHeight="1" x14ac:dyDescent="0.3">
      <c r="A51" s="99" t="s">
        <v>255</v>
      </c>
      <c r="B51" s="100"/>
      <c r="C51" s="99" t="str">
        <f>C50</f>
        <v>EE/BP/PMAYA/A/MHADA/14/2025</v>
      </c>
      <c r="D51" s="101"/>
      <c r="E51" s="100"/>
      <c r="F51" s="66" t="s">
        <v>41</v>
      </c>
      <c r="G51" s="102">
        <f>G50</f>
        <v>45664</v>
      </c>
      <c r="H51" s="100"/>
    </row>
    <row r="52" spans="1:14" ht="48.75" hidden="1" customHeight="1" x14ac:dyDescent="0.3">
      <c r="A52" s="99" t="s">
        <v>235</v>
      </c>
      <c r="B52" s="100"/>
      <c r="C52" s="99" t="str">
        <f>C50</f>
        <v>EE/BP/PMAYA/A/MHADA/14/2025</v>
      </c>
      <c r="D52" s="101"/>
      <c r="E52" s="100"/>
      <c r="F52" s="66" t="s">
        <v>41</v>
      </c>
      <c r="G52" s="102">
        <f>G50</f>
        <v>45664</v>
      </c>
      <c r="H52" s="109"/>
    </row>
    <row r="53" spans="1:14" s="22" customFormat="1" x14ac:dyDescent="0.3">
      <c r="A53" s="105" t="s">
        <v>153</v>
      </c>
      <c r="B53" s="106"/>
      <c r="C53" s="99" t="s">
        <v>201</v>
      </c>
      <c r="D53" s="101"/>
      <c r="E53" s="100"/>
      <c r="F53" s="66" t="s">
        <v>41</v>
      </c>
      <c r="G53" s="102">
        <v>45267</v>
      </c>
      <c r="H53" s="109"/>
    </row>
    <row r="54" spans="1:14" s="22" customFormat="1" ht="35.549999999999997" customHeight="1" x14ac:dyDescent="0.3">
      <c r="A54" s="107"/>
      <c r="B54" s="108"/>
      <c r="C54" s="99" t="s">
        <v>193</v>
      </c>
      <c r="D54" s="101"/>
      <c r="E54" s="101"/>
      <c r="F54" s="101"/>
      <c r="G54" s="101"/>
      <c r="H54" s="100"/>
    </row>
    <row r="55" spans="1:14" x14ac:dyDescent="0.3">
      <c r="A55" s="207" t="s">
        <v>237</v>
      </c>
      <c r="B55" s="208"/>
      <c r="C55" s="195" t="s">
        <v>216</v>
      </c>
      <c r="D55" s="200"/>
      <c r="E55" s="196"/>
      <c r="F55" s="17" t="s">
        <v>41</v>
      </c>
      <c r="G55" s="211">
        <v>45344</v>
      </c>
      <c r="H55" s="212"/>
    </row>
    <row r="56" spans="1:14" ht="32.25" customHeight="1" x14ac:dyDescent="0.3">
      <c r="A56" s="209"/>
      <c r="B56" s="210"/>
      <c r="C56" s="195" t="s">
        <v>244</v>
      </c>
      <c r="D56" s="200"/>
      <c r="E56" s="200"/>
      <c r="F56" s="200"/>
      <c r="G56" s="200"/>
      <c r="H56" s="196"/>
    </row>
    <row r="57" spans="1:14" x14ac:dyDescent="0.3">
      <c r="A57" s="105" t="s">
        <v>238</v>
      </c>
      <c r="B57" s="106"/>
      <c r="C57" s="99" t="s">
        <v>239</v>
      </c>
      <c r="D57" s="101"/>
      <c r="E57" s="100"/>
      <c r="F57" s="66" t="s">
        <v>41</v>
      </c>
      <c r="G57" s="102">
        <v>44700</v>
      </c>
      <c r="H57" s="109"/>
    </row>
    <row r="58" spans="1:14" ht="49.5" customHeight="1" x14ac:dyDescent="0.3">
      <c r="A58" s="107"/>
      <c r="B58" s="108"/>
      <c r="C58" s="99" t="s">
        <v>241</v>
      </c>
      <c r="D58" s="101"/>
      <c r="E58" s="101"/>
      <c r="F58" s="101"/>
      <c r="G58" s="101"/>
      <c r="H58" s="100"/>
    </row>
    <row r="59" spans="1:14" x14ac:dyDescent="0.3">
      <c r="A59" s="105" t="s">
        <v>240</v>
      </c>
      <c r="B59" s="106"/>
      <c r="C59" s="99" t="s">
        <v>246</v>
      </c>
      <c r="D59" s="101"/>
      <c r="E59" s="100"/>
      <c r="F59" s="66" t="s">
        <v>41</v>
      </c>
      <c r="G59" s="102">
        <v>44730</v>
      </c>
      <c r="H59" s="109"/>
    </row>
    <row r="60" spans="1:14" ht="66" customHeight="1" x14ac:dyDescent="0.3">
      <c r="A60" s="107"/>
      <c r="B60" s="108"/>
      <c r="C60" s="99" t="s">
        <v>250</v>
      </c>
      <c r="D60" s="101"/>
      <c r="E60" s="101"/>
      <c r="F60" s="101"/>
      <c r="G60" s="101"/>
      <c r="H60" s="100"/>
      <c r="I60" s="20" t="s">
        <v>249</v>
      </c>
    </row>
    <row r="61" spans="1:14" ht="62.55" customHeight="1" x14ac:dyDescent="0.3">
      <c r="A61" s="234" t="s">
        <v>42</v>
      </c>
      <c r="B61" s="235"/>
      <c r="C61" s="234" t="s">
        <v>256</v>
      </c>
      <c r="D61" s="236"/>
      <c r="E61" s="235"/>
      <c r="F61" s="67" t="s">
        <v>41</v>
      </c>
      <c r="G61" s="222">
        <v>45720</v>
      </c>
      <c r="H61" s="199"/>
    </row>
    <row r="62" spans="1:14" ht="15.75" customHeight="1" x14ac:dyDescent="0.3">
      <c r="A62" s="221" t="s">
        <v>44</v>
      </c>
      <c r="B62" s="221"/>
      <c r="C62" s="221"/>
      <c r="D62" s="221"/>
      <c r="E62" s="221"/>
      <c r="F62" s="221"/>
      <c r="G62" s="221"/>
      <c r="H62" s="221"/>
      <c r="J62" s="24"/>
      <c r="K62" s="23"/>
      <c r="N62" s="23"/>
    </row>
    <row r="63" spans="1:14" ht="15.75" customHeight="1" x14ac:dyDescent="0.3">
      <c r="A63" s="183" t="s">
        <v>91</v>
      </c>
      <c r="B63" s="183"/>
      <c r="C63" s="183"/>
      <c r="D63" s="122">
        <f>E46</f>
        <v>35520.660000000003</v>
      </c>
      <c r="E63" s="122"/>
      <c r="F63" s="122"/>
      <c r="G63" s="122"/>
      <c r="H63" s="122"/>
      <c r="N63" s="23"/>
    </row>
    <row r="64" spans="1:14" ht="15.75" customHeight="1" x14ac:dyDescent="0.3">
      <c r="A64" s="194" t="s">
        <v>45</v>
      </c>
      <c r="B64" s="191"/>
      <c r="C64" s="191"/>
      <c r="D64" s="191" t="s">
        <v>268</v>
      </c>
      <c r="E64" s="191"/>
      <c r="F64" s="191"/>
      <c r="G64" s="191"/>
      <c r="H64" s="191"/>
      <c r="N64" s="23"/>
    </row>
    <row r="65" spans="1:14" ht="46.5" customHeight="1" x14ac:dyDescent="0.3">
      <c r="A65" s="194" t="s">
        <v>46</v>
      </c>
      <c r="B65" s="194"/>
      <c r="C65" s="194"/>
      <c r="D65" s="194" t="s">
        <v>219</v>
      </c>
      <c r="E65" s="191"/>
      <c r="F65" s="191"/>
      <c r="G65" s="191"/>
      <c r="H65" s="191"/>
      <c r="J65" s="25"/>
      <c r="K65" s="25"/>
    </row>
    <row r="66" spans="1:14" x14ac:dyDescent="0.3">
      <c r="A66" s="105" t="s">
        <v>89</v>
      </c>
      <c r="B66" s="213"/>
      <c r="C66" s="213"/>
      <c r="D66" s="228" t="s">
        <v>218</v>
      </c>
      <c r="E66" s="229"/>
      <c r="F66" s="229"/>
      <c r="G66" s="229"/>
      <c r="H66" s="230"/>
    </row>
    <row r="67" spans="1:14" x14ac:dyDescent="0.3">
      <c r="A67" s="214"/>
      <c r="B67" s="215"/>
      <c r="C67" s="215"/>
      <c r="D67" s="231" t="s">
        <v>220</v>
      </c>
      <c r="E67" s="232"/>
      <c r="F67" s="232"/>
      <c r="G67" s="232"/>
      <c r="H67" s="233"/>
      <c r="I67" s="26"/>
      <c r="J67" s="26"/>
      <c r="K67" s="26"/>
      <c r="L67" s="26"/>
      <c r="M67" s="26"/>
      <c r="N67" s="26"/>
    </row>
    <row r="68" spans="1:14" x14ac:dyDescent="0.3">
      <c r="A68" s="107"/>
      <c r="B68" s="216"/>
      <c r="C68" s="216"/>
      <c r="D68" s="217" t="s">
        <v>217</v>
      </c>
      <c r="E68" s="218"/>
      <c r="F68" s="218"/>
      <c r="G68" s="218"/>
      <c r="H68" s="219"/>
      <c r="I68" s="60" t="s">
        <v>229</v>
      </c>
      <c r="J68" s="25"/>
    </row>
    <row r="69" spans="1:14" x14ac:dyDescent="0.3">
      <c r="A69" s="122" t="s">
        <v>43</v>
      </c>
      <c r="B69" s="122"/>
      <c r="C69" s="122"/>
      <c r="D69" s="188" t="s">
        <v>253</v>
      </c>
      <c r="E69" s="188"/>
      <c r="F69" s="188"/>
      <c r="G69" s="188"/>
      <c r="H69" s="188"/>
    </row>
    <row r="70" spans="1:14" ht="15.75" customHeight="1" x14ac:dyDescent="0.3">
      <c r="A70" s="122" t="s">
        <v>87</v>
      </c>
      <c r="B70" s="122"/>
      <c r="C70" s="122"/>
      <c r="D70" s="237" t="s">
        <v>274</v>
      </c>
      <c r="E70" s="237"/>
      <c r="F70" s="237"/>
      <c r="G70" s="237"/>
      <c r="H70" s="237"/>
      <c r="I70" s="20" t="str">
        <f ca="1">(IF(G61="NA","60 Years After Completion",IF(G61&lt;&gt;"NA",""&amp;60-ROUNDDOWN((E3-G61)/360,0)&amp;" Years"," ")))</f>
        <v>60 Years</v>
      </c>
    </row>
    <row r="71" spans="1:14" ht="16.2" thickBot="1" x14ac:dyDescent="0.35">
      <c r="A71" s="122" t="s">
        <v>88</v>
      </c>
      <c r="B71" s="122"/>
      <c r="C71" s="122"/>
      <c r="D71" s="183" t="s">
        <v>23</v>
      </c>
      <c r="E71" s="183"/>
      <c r="F71" s="183"/>
      <c r="G71" s="183"/>
      <c r="H71" s="183"/>
    </row>
    <row r="72" spans="1:14" ht="51.75" customHeight="1" x14ac:dyDescent="0.3">
      <c r="A72" s="122" t="s">
        <v>74</v>
      </c>
      <c r="B72" s="122"/>
      <c r="C72" s="122"/>
      <c r="D72" s="194" t="s">
        <v>230</v>
      </c>
      <c r="E72" s="183"/>
      <c r="F72" s="183"/>
      <c r="G72" s="183"/>
      <c r="H72" s="183"/>
      <c r="I72" s="46" t="str">
        <f ca="1">IF(D89=100%,"All work Completed. Possession granted to the Building.",IF(D88=100%,"All work Completed, Waiting for OC",I73&amp;""&amp;I74&amp;""&amp;J73&amp;""&amp;J72&amp;" "&amp;J74))</f>
        <v>All work Completed. Possession granted to the Building.</v>
      </c>
      <c r="J72" s="47"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row>
    <row r="73" spans="1:14" ht="15.75" customHeight="1" x14ac:dyDescent="0.3">
      <c r="A73" s="183" t="s">
        <v>147</v>
      </c>
      <c r="B73" s="183"/>
      <c r="C73" s="183"/>
      <c r="D73" s="183" t="s">
        <v>28</v>
      </c>
      <c r="E73" s="183"/>
      <c r="F73" s="183"/>
      <c r="G73" s="183"/>
      <c r="H73" s="183"/>
      <c r="I73" s="48" t="str">
        <f ca="1">IF(D80=100%,"Excavation","")&amp;IF(D81=100%,", Plinth","")&amp;IF(D82=100%,", RCC Slab","")&amp;IF(D83=100%,", Brickwork","")&amp;IF(D84=100%,", Internal Plaster","")&amp;IF(D85=100%,", External Plaster","")&amp;IF(D86=100%,", Flooring","")&amp;IF(D87=100%,", Painting","")&amp;IF(D88=100%,", Building common Amenities","")</f>
        <v>Excavation, Plinth, RCC Slab, Brickwork, Internal Plaster, External Plaster, Flooring, Painting, Building common Amenities</v>
      </c>
      <c r="J73" s="49" t="str">
        <f ca="1">(IF(C80=0,"Work not yet Started.",IF(D80=25%,"Piling work in process",IF(D80=50%,"Excavation work in process",IF(D80=100%,"","0")))))&amp;(IF(C81=0%,"",IF(C81=J78,", Footing work is process",IF(C81=J79,", Footing work Completed",IF(C81=J80,", 1st Basement Completed",IF(C81=J81,", 1st &amp; 2nd Basement Completed",IF(C81=J82,", 1st to 3rd Basement Completed",IF(C81=J83,", 1st to 4th Basement Completed",IF(C81=J84,", Plinth work is process",IF(C81=J85,"","0"))))))))))</f>
        <v/>
      </c>
    </row>
    <row r="74" spans="1:14" x14ac:dyDescent="0.3">
      <c r="A74" s="127" t="s">
        <v>86</v>
      </c>
      <c r="B74" s="127"/>
      <c r="C74" s="127"/>
      <c r="D74" s="128" t="s">
        <v>273</v>
      </c>
      <c r="E74" s="128"/>
      <c r="F74" s="128"/>
      <c r="G74" s="128"/>
      <c r="H74" s="128"/>
      <c r="I74" s="48" t="str">
        <f ca="1">IF(I73&lt;&gt;""," Completed","")</f>
        <v xml:space="preserve"> Completed</v>
      </c>
      <c r="J74" s="49" t="str">
        <f ca="1">IF(J72&lt;&gt;"","Completed","")</f>
        <v/>
      </c>
      <c r="K74" s="20" t="str">
        <f ca="1">(IF(G80&gt;95%,"Nothing",IF(G80&gt;0%,"Cement, Aggregate, Steel, etc",IF(G80=0%,"Work not yet Started"))))</f>
        <v>Nothing</v>
      </c>
    </row>
    <row r="75" spans="1:14" ht="16.2" thickBot="1" x14ac:dyDescent="0.35">
      <c r="A75" s="206" t="s">
        <v>118</v>
      </c>
      <c r="B75" s="206"/>
      <c r="C75" s="206"/>
      <c r="D75" s="128" t="str">
        <f>(IF(D74="Nothing","Yes",IF(D74="Cement, Aggregate, Steel, etc","Under Construction",IF(D74="Work not yet Started","Work not yet Started"))))</f>
        <v>Under Construction</v>
      </c>
      <c r="E75" s="128"/>
      <c r="F75" s="128" t="str">
        <f>(IF(D74="Nothing","Yes",IF(D74="Cement, Aggregate, Steel, etc","Under Construction",IF(D74="Work not yet Started","Work not yet Started"))))</f>
        <v>Under Construction</v>
      </c>
      <c r="G75" s="128"/>
      <c r="H75" s="128"/>
      <c r="I75" s="13" t="s">
        <v>140</v>
      </c>
      <c r="J75" s="27">
        <f ca="1">H77*25%</f>
        <v>4</v>
      </c>
    </row>
    <row r="76" spans="1:14" ht="15.75" customHeight="1" x14ac:dyDescent="0.3">
      <c r="A76" s="178" t="s">
        <v>139</v>
      </c>
      <c r="B76" s="179"/>
      <c r="C76" s="180" t="str">
        <f>D66</f>
        <v>Building A = Gr + 1st to 16th Floor</v>
      </c>
      <c r="D76" s="181"/>
      <c r="E76" s="181"/>
      <c r="F76" s="181"/>
      <c r="G76" s="181"/>
      <c r="H76" s="182"/>
      <c r="I76" s="13" t="s">
        <v>101</v>
      </c>
      <c r="J76" s="28">
        <f ca="1">H77*50%</f>
        <v>8</v>
      </c>
    </row>
    <row r="77" spans="1:14" ht="15.75" customHeight="1" x14ac:dyDescent="0.3">
      <c r="A77" s="15" t="s">
        <v>141</v>
      </c>
      <c r="B77" s="50">
        <v>0</v>
      </c>
      <c r="C77" s="50" t="s">
        <v>71</v>
      </c>
      <c r="D77" s="50">
        <v>1</v>
      </c>
      <c r="E77" s="50" t="s">
        <v>70</v>
      </c>
      <c r="F77" s="50">
        <v>0</v>
      </c>
      <c r="G77" s="45" t="s">
        <v>80</v>
      </c>
      <c r="H77" s="16">
        <f ca="1">--TRIM(RIGHT(SUBSTITUTE(LEFT(C76,_xlfn.AGGREGATE(16,6,FIND({0,1,2,3,4,5,6,7,8,9},C76,ROW(INDIRECT("1:"&amp;LEN(C76)))),1))," ",REPT(" ",LEN(C76))),LEN(C76)))</f>
        <v>16</v>
      </c>
      <c r="I77" s="13" t="s">
        <v>102</v>
      </c>
      <c r="J77" s="28">
        <f ca="1">H77</f>
        <v>16</v>
      </c>
    </row>
    <row r="78" spans="1:14" x14ac:dyDescent="0.3">
      <c r="A78" s="162" t="s">
        <v>90</v>
      </c>
      <c r="B78" s="163"/>
      <c r="C78" s="142" t="str">
        <f ca="1">I72</f>
        <v>All work Completed. Possession granted to the Building.</v>
      </c>
      <c r="D78" s="142"/>
      <c r="E78" s="142"/>
      <c r="F78" s="142"/>
      <c r="G78" s="142"/>
      <c r="H78" s="143"/>
      <c r="I78" s="13" t="s">
        <v>103</v>
      </c>
      <c r="J78" s="29">
        <f ca="1">(IF(B77&gt;1,(H77/(B77+2)),H77/4))</f>
        <v>4</v>
      </c>
    </row>
    <row r="79" spans="1:14" ht="15" customHeight="1" x14ac:dyDescent="0.3">
      <c r="A79" s="129" t="s">
        <v>47</v>
      </c>
      <c r="B79" s="125"/>
      <c r="C79" s="42" t="s">
        <v>138</v>
      </c>
      <c r="D79" s="42" t="s">
        <v>83</v>
      </c>
      <c r="E79" s="125" t="s">
        <v>85</v>
      </c>
      <c r="F79" s="125"/>
      <c r="G79" s="125" t="s">
        <v>84</v>
      </c>
      <c r="H79" s="130"/>
      <c r="I79" s="13" t="s">
        <v>104</v>
      </c>
      <c r="J79" s="29">
        <f ca="1">(IF(B77&gt;1,(H77/(B77+2)+J78),H77/4+J78))</f>
        <v>8</v>
      </c>
    </row>
    <row r="80" spans="1:14" ht="15.75" customHeight="1" x14ac:dyDescent="0.3">
      <c r="A80" s="129" t="s">
        <v>127</v>
      </c>
      <c r="B80" s="125"/>
      <c r="C80" s="42">
        <f ca="1">J77</f>
        <v>16</v>
      </c>
      <c r="D80" s="18">
        <f ca="1">((100/H77)*C80)/100</f>
        <v>1</v>
      </c>
      <c r="E80" s="131">
        <f ca="1">(((C81/H77*10)+(40/(D77+F77+H77)*C82)+(7.5/(H77)*C83)+(7.5/(H77)*C84)+(10/H77*C85)+(10/H77*C86)+(5/H77*C87)+(5/H77*C88)+(5/H77*C89))/100)</f>
        <v>1</v>
      </c>
      <c r="F80" s="132"/>
      <c r="G80" s="131">
        <f ca="1">((((C80/H77)*20)+((C81/H77)*25)+(30/(H77+F77+D77)*C82)+(5/H77*C83)+(5/H77*C84)+(5/H77*C85)+(5/H77*C86)+(0/H77*C87)+(0/H77*C88)+(5/H77*C89))/100)</f>
        <v>1</v>
      </c>
      <c r="H80" s="137"/>
      <c r="I80" s="13" t="s">
        <v>145</v>
      </c>
      <c r="J80" s="29">
        <f>(IF(B77&gt;1,(H77/(B77+2)+J79),0))</f>
        <v>0</v>
      </c>
    </row>
    <row r="81" spans="1:10" ht="15.75" customHeight="1" x14ac:dyDescent="0.3">
      <c r="A81" s="129" t="s">
        <v>48</v>
      </c>
      <c r="B81" s="125"/>
      <c r="C81" s="52">
        <f ca="1">J85</f>
        <v>16</v>
      </c>
      <c r="D81" s="18">
        <f ca="1">((100/H77)*C81)/100</f>
        <v>1</v>
      </c>
      <c r="E81" s="133"/>
      <c r="F81" s="134"/>
      <c r="G81" s="133"/>
      <c r="H81" s="138"/>
      <c r="I81" s="13" t="s">
        <v>142</v>
      </c>
      <c r="J81" s="29">
        <f>(IF(B77&gt;2,(H77/(B77+2)+J80),0))</f>
        <v>0</v>
      </c>
    </row>
    <row r="82" spans="1:10" ht="15.75" customHeight="1" x14ac:dyDescent="0.3">
      <c r="A82" s="129" t="s">
        <v>128</v>
      </c>
      <c r="B82" s="125"/>
      <c r="C82" s="42">
        <v>17</v>
      </c>
      <c r="D82" s="18">
        <f ca="1">((100/(D77+F77+H77))*C82)/100</f>
        <v>1</v>
      </c>
      <c r="E82" s="133"/>
      <c r="F82" s="134"/>
      <c r="G82" s="133"/>
      <c r="H82" s="138"/>
      <c r="I82" s="13" t="s">
        <v>143</v>
      </c>
      <c r="J82" s="30">
        <f>(IF(B77&gt;3,(H77/(B77+2)+J81),0))</f>
        <v>0</v>
      </c>
    </row>
    <row r="83" spans="1:10" x14ac:dyDescent="0.3">
      <c r="A83" s="129" t="s">
        <v>135</v>
      </c>
      <c r="B83" s="125" t="s">
        <v>129</v>
      </c>
      <c r="C83" s="42">
        <f>C82-1</f>
        <v>16</v>
      </c>
      <c r="D83" s="18">
        <f ca="1">((100/H77)*C83)/100</f>
        <v>1</v>
      </c>
      <c r="E83" s="133"/>
      <c r="F83" s="134"/>
      <c r="G83" s="133"/>
      <c r="H83" s="138"/>
      <c r="I83" s="13" t="s">
        <v>144</v>
      </c>
      <c r="J83" s="29">
        <f>(IF(B77&gt;4,(H77/(B77+2)+J82),0))</f>
        <v>0</v>
      </c>
    </row>
    <row r="84" spans="1:10" ht="15.75" customHeight="1" x14ac:dyDescent="0.3">
      <c r="A84" s="129" t="s">
        <v>136</v>
      </c>
      <c r="B84" s="125" t="s">
        <v>129</v>
      </c>
      <c r="C84" s="52">
        <v>16</v>
      </c>
      <c r="D84" s="18">
        <f ca="1">((100/H77)*C84)/100</f>
        <v>1</v>
      </c>
      <c r="E84" s="133"/>
      <c r="F84" s="134"/>
      <c r="G84" s="133"/>
      <c r="H84" s="138"/>
      <c r="I84" s="13" t="s">
        <v>146</v>
      </c>
      <c r="J84" s="29">
        <f ca="1">(IF(B77=1,(H77/(B77+3)+J79),IF(B77=0,(H77/4+J79),IF(B77&gt;1,0))))</f>
        <v>12</v>
      </c>
    </row>
    <row r="85" spans="1:10" ht="16.2" thickBot="1" x14ac:dyDescent="0.35">
      <c r="A85" s="129" t="s">
        <v>134</v>
      </c>
      <c r="B85" s="125" t="s">
        <v>131</v>
      </c>
      <c r="C85" s="52">
        <v>16</v>
      </c>
      <c r="D85" s="18">
        <f ca="1">((100/(H77))*C85)/100</f>
        <v>1</v>
      </c>
      <c r="E85" s="133"/>
      <c r="F85" s="134"/>
      <c r="G85" s="133"/>
      <c r="H85" s="138"/>
      <c r="I85" s="14" t="s">
        <v>105</v>
      </c>
      <c r="J85" s="31">
        <f ca="1">(IF(B77&gt;1.5,(H77/(B77+2)+J79+MAX(0,J80-J79)+MAX(0,J81-J80)+MAX(0,J82-J81)+MAX(0,J83-J82)+MAX(0,J84-J83)),IF(B77=1,(H77/(B77+3)+J84),IF(B77=0,H77/4+J84))))</f>
        <v>16</v>
      </c>
    </row>
    <row r="86" spans="1:10" x14ac:dyDescent="0.3">
      <c r="A86" s="129" t="s">
        <v>130</v>
      </c>
      <c r="B86" s="125" t="s">
        <v>130</v>
      </c>
      <c r="C86" s="42">
        <v>16</v>
      </c>
      <c r="D86" s="18">
        <f ca="1">((100/H77)*C86)/100</f>
        <v>1</v>
      </c>
      <c r="E86" s="133"/>
      <c r="F86" s="134"/>
      <c r="G86" s="133"/>
      <c r="H86" s="138"/>
      <c r="I86" s="46" t="str">
        <f ca="1">IF(D103=100%,"All work Completed. Possession granted to the Building.",IF(D102=100%,"All work Completed, Waiting for OC",I87&amp;""&amp;I88&amp;""&amp;J87&amp;""&amp;J86&amp;" "&amp;J88))</f>
        <v>Excavation, Plinth, RCC Slab, Brickwork, Internal Plaster, External Plaster Completed, Flooring upto 15 Floor, Painting upto 15 Floor, Finishing upto 11 Floor Completed</v>
      </c>
      <c r="J86" s="47"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Flooring upto 15 Floor, Painting upto 15 Floor, Finishing upto 11 Floor</v>
      </c>
    </row>
    <row r="87" spans="1:10" ht="15.75" customHeight="1" x14ac:dyDescent="0.3">
      <c r="A87" s="129" t="s">
        <v>137</v>
      </c>
      <c r="B87" s="125"/>
      <c r="C87" s="42">
        <v>16</v>
      </c>
      <c r="D87" s="18">
        <f ca="1">((100/H77)*C87)/100</f>
        <v>1</v>
      </c>
      <c r="E87" s="133"/>
      <c r="F87" s="134"/>
      <c r="G87" s="133"/>
      <c r="H87" s="138"/>
      <c r="I87" s="48" t="str">
        <f ca="1">IF(D94=100%,"Excavation","")&amp;IF(D95=100%,", Plinth","")&amp;IF(D96=100%,", RCC Slab","")&amp;IF(D97=100%,", Brickwork","")&amp;IF(D98=100%,", Internal Plaster","")&amp;IF(D99=100%,", External Plaster","")&amp;IF(D100=100%,", Flooring","")&amp;IF(D101=100%,", Painting","")&amp;IF(D102=100%,", Building common Amenities","")</f>
        <v>Excavation, Plinth, RCC Slab, Brickwork, Internal Plaster, External Plaster</v>
      </c>
      <c r="J87" s="49" t="str">
        <f ca="1">(IF(C94=0,"Work not yet Started.",IF(D94=25%,"Piling work in process",IF(D94=50%,"Excavation work in process",IF(D94=100%,"","0")))))&amp;(IF(C95=0%,"",IF(C95=J92,", Footing work is process",IF(C95=J93,", Footing work Completed",IF(C95=J94,", 1st Basement Completed",IF(C95=J95,", 1st &amp; 2nd Basement Completed",IF(C95=J96,", 1st to 3rd Basement Completed",IF(C95=J97,", 1st to 4th Basement Completed",IF(C95=J98,", Plinth work is process",IF(C95=J99,"","0"))))))))))</f>
        <v/>
      </c>
    </row>
    <row r="88" spans="1:10" x14ac:dyDescent="0.3">
      <c r="A88" s="144" t="s">
        <v>132</v>
      </c>
      <c r="B88" s="145" t="s">
        <v>132</v>
      </c>
      <c r="C88" s="42">
        <v>16</v>
      </c>
      <c r="D88" s="18">
        <f ca="1">((100/(H77))*C88)/100</f>
        <v>1</v>
      </c>
      <c r="E88" s="133"/>
      <c r="F88" s="134"/>
      <c r="G88" s="133"/>
      <c r="H88" s="138"/>
      <c r="I88" s="48" t="str">
        <f ca="1">IF(I87&lt;&gt;""," Completed","")</f>
        <v xml:space="preserve"> Completed</v>
      </c>
      <c r="J88" s="49" t="str">
        <f ca="1">IF(J86&lt;&gt;"","Completed","")</f>
        <v>Completed</v>
      </c>
    </row>
    <row r="89" spans="1:10" ht="16.2" thickBot="1" x14ac:dyDescent="0.35">
      <c r="A89" s="140" t="s">
        <v>133</v>
      </c>
      <c r="B89" s="141"/>
      <c r="C89" s="43">
        <v>16</v>
      </c>
      <c r="D89" s="19">
        <f ca="1">((100/(H77))*C89)/100</f>
        <v>1</v>
      </c>
      <c r="E89" s="135"/>
      <c r="F89" s="136"/>
      <c r="G89" s="135"/>
      <c r="H89" s="139"/>
      <c r="I89" s="13" t="s">
        <v>140</v>
      </c>
      <c r="J89" s="27">
        <f ca="1">H91*25%</f>
        <v>4</v>
      </c>
    </row>
    <row r="90" spans="1:10" ht="15.75" customHeight="1" x14ac:dyDescent="0.3">
      <c r="A90" s="165" t="s">
        <v>139</v>
      </c>
      <c r="B90" s="166"/>
      <c r="C90" s="167" t="s">
        <v>222</v>
      </c>
      <c r="D90" s="168"/>
      <c r="E90" s="168"/>
      <c r="F90" s="168"/>
      <c r="G90" s="168"/>
      <c r="H90" s="169"/>
      <c r="I90" s="13" t="s">
        <v>101</v>
      </c>
      <c r="J90" s="28">
        <f ca="1">H91*50%</f>
        <v>8</v>
      </c>
    </row>
    <row r="91" spans="1:10" ht="15.75" customHeight="1" x14ac:dyDescent="0.3">
      <c r="A91" s="15" t="s">
        <v>141</v>
      </c>
      <c r="B91" s="50">
        <v>0</v>
      </c>
      <c r="C91" s="50" t="s">
        <v>71</v>
      </c>
      <c r="D91" s="50">
        <v>1</v>
      </c>
      <c r="E91" s="50" t="s">
        <v>70</v>
      </c>
      <c r="F91" s="50">
        <v>0</v>
      </c>
      <c r="G91" s="50" t="s">
        <v>80</v>
      </c>
      <c r="H91" s="16">
        <f ca="1">--TRIM(RIGHT(SUBSTITUTE(LEFT(C90,_xlfn.AGGREGATE(16,6,FIND({0,1,2,3,4,5,6,7,8,9},C90,ROW(INDIRECT("1:"&amp;LEN(C90)))),1))," ",REPT(" ",LEN(C90))),LEN(C90)))</f>
        <v>16</v>
      </c>
      <c r="I91" s="13" t="s">
        <v>102</v>
      </c>
      <c r="J91" s="28">
        <f ca="1">H91</f>
        <v>16</v>
      </c>
    </row>
    <row r="92" spans="1:10" ht="49.05" customHeight="1" x14ac:dyDescent="0.3">
      <c r="A92" s="163" t="s">
        <v>90</v>
      </c>
      <c r="B92" s="163"/>
      <c r="C92" s="142" t="str">
        <f ca="1">I86</f>
        <v>Excavation, Plinth, RCC Slab, Brickwork, Internal Plaster, External Plaster Completed, Flooring upto 15 Floor, Painting upto 15 Floor, Finishing upto 11 Floor Completed</v>
      </c>
      <c r="D92" s="142"/>
      <c r="E92" s="142"/>
      <c r="F92" s="142"/>
      <c r="G92" s="142"/>
      <c r="H92" s="142"/>
      <c r="I92" s="13" t="s">
        <v>103</v>
      </c>
      <c r="J92" s="29">
        <f ca="1">(IF(B91&gt;1,(H91/(B91+2)),H91/4))</f>
        <v>4</v>
      </c>
    </row>
    <row r="93" spans="1:10" ht="15" customHeight="1" x14ac:dyDescent="0.3">
      <c r="A93" s="125" t="s">
        <v>47</v>
      </c>
      <c r="B93" s="125"/>
      <c r="C93" s="42" t="s">
        <v>138</v>
      </c>
      <c r="D93" s="42" t="s">
        <v>83</v>
      </c>
      <c r="E93" s="125" t="s">
        <v>85</v>
      </c>
      <c r="F93" s="125"/>
      <c r="G93" s="125" t="s">
        <v>84</v>
      </c>
      <c r="H93" s="125"/>
      <c r="I93" s="13" t="s">
        <v>104</v>
      </c>
      <c r="J93" s="29">
        <f ca="1">(IF(B91&gt;1,(H91/(B91+2)+J92),H91/4+J92))</f>
        <v>8</v>
      </c>
    </row>
    <row r="94" spans="1:10" ht="15.75" customHeight="1" x14ac:dyDescent="0.3">
      <c r="A94" s="125" t="s">
        <v>127</v>
      </c>
      <c r="B94" s="125"/>
      <c r="C94" s="42">
        <f ca="1">J91</f>
        <v>16</v>
      </c>
      <c r="D94" s="18">
        <f ca="1">((100/H91)*C94)/100</f>
        <v>1</v>
      </c>
      <c r="E94" s="126">
        <f ca="1">(((C95/H91*10)+(40/(D91+F91+H91)*C96)+(7.5/(H91)*C97)+(7.5/(H91)*C98)+(10/H91*C99)+(10/H91*C100)+(5/H91*C101)+(5/H91*C102)+(5/H91*C103))/100)</f>
        <v>0.92500000000000004</v>
      </c>
      <c r="F94" s="126"/>
      <c r="G94" s="126">
        <f ca="1">((((C94/H91)*20)+((C95/H91)*25)+(30/(H91+F91+D91)*C96)+(5/H91*C97)+(5/H91*C98)+(5/H91*C99)+(5/H91*C100)+(0/H91*C101)+(0/H91*C102)+(5/H91*C103))/100)</f>
        <v>0.94687500000000002</v>
      </c>
      <c r="H94" s="126"/>
      <c r="I94" s="13" t="s">
        <v>145</v>
      </c>
      <c r="J94" s="29">
        <f>(IF(B91&gt;1,(H91/(B91+2)+J93),0))</f>
        <v>0</v>
      </c>
    </row>
    <row r="95" spans="1:10" ht="15.75" customHeight="1" x14ac:dyDescent="0.3">
      <c r="A95" s="125" t="s">
        <v>48</v>
      </c>
      <c r="B95" s="125"/>
      <c r="C95" s="52">
        <f ca="1">J99</f>
        <v>16</v>
      </c>
      <c r="D95" s="18">
        <f ca="1">((100/H91)*C95)/100</f>
        <v>1</v>
      </c>
      <c r="E95" s="126"/>
      <c r="F95" s="126"/>
      <c r="G95" s="126"/>
      <c r="H95" s="126"/>
      <c r="I95" s="13" t="s">
        <v>142</v>
      </c>
      <c r="J95" s="29">
        <f>(IF(B91&gt;2,(H91/(B91+2)+J94),0))</f>
        <v>0</v>
      </c>
    </row>
    <row r="96" spans="1:10" ht="15.75" customHeight="1" x14ac:dyDescent="0.3">
      <c r="A96" s="125" t="s">
        <v>128</v>
      </c>
      <c r="B96" s="125"/>
      <c r="C96" s="42">
        <v>17</v>
      </c>
      <c r="D96" s="18">
        <f ca="1">((100/(D91+F91+H91))*C96)/100</f>
        <v>1</v>
      </c>
      <c r="E96" s="126"/>
      <c r="F96" s="126"/>
      <c r="G96" s="126"/>
      <c r="H96" s="126"/>
      <c r="I96" s="13" t="s">
        <v>143</v>
      </c>
      <c r="J96" s="30">
        <f>(IF(B91&gt;3,(H91/(B91+2)+J95),0))</f>
        <v>0</v>
      </c>
    </row>
    <row r="97" spans="1:10" x14ac:dyDescent="0.3">
      <c r="A97" s="125" t="s">
        <v>135</v>
      </c>
      <c r="B97" s="125" t="s">
        <v>129</v>
      </c>
      <c r="C97" s="42">
        <f>C96-1</f>
        <v>16</v>
      </c>
      <c r="D97" s="18">
        <f ca="1">((100/H91)*C97)/100</f>
        <v>1</v>
      </c>
      <c r="E97" s="126"/>
      <c r="F97" s="126"/>
      <c r="G97" s="126"/>
      <c r="H97" s="126"/>
      <c r="I97" s="13" t="s">
        <v>144</v>
      </c>
      <c r="J97" s="29">
        <f>(IF(B91&gt;4,(H91/(B91+2)+J96),0))</f>
        <v>0</v>
      </c>
    </row>
    <row r="98" spans="1:10" ht="15.75" customHeight="1" x14ac:dyDescent="0.3">
      <c r="A98" s="125" t="s">
        <v>136</v>
      </c>
      <c r="B98" s="125" t="s">
        <v>129</v>
      </c>
      <c r="C98" s="52">
        <v>16</v>
      </c>
      <c r="D98" s="18">
        <f ca="1">((100/H91)*C98)/100</f>
        <v>1</v>
      </c>
      <c r="E98" s="126"/>
      <c r="F98" s="126"/>
      <c r="G98" s="126"/>
      <c r="H98" s="126"/>
      <c r="I98" s="13" t="s">
        <v>146</v>
      </c>
      <c r="J98" s="29">
        <f ca="1">(IF(B91=1,(H91/(B91+3)+J93),IF(B91=0,(H91/4+J93),IF(B91&gt;1,0))))</f>
        <v>12</v>
      </c>
    </row>
    <row r="99" spans="1:10" ht="16.2" thickBot="1" x14ac:dyDescent="0.35">
      <c r="A99" s="125" t="s">
        <v>134</v>
      </c>
      <c r="B99" s="125" t="s">
        <v>131</v>
      </c>
      <c r="C99" s="52">
        <v>16</v>
      </c>
      <c r="D99" s="18">
        <f ca="1">((100/(H91))*C99)/100</f>
        <v>1</v>
      </c>
      <c r="E99" s="126"/>
      <c r="F99" s="126"/>
      <c r="G99" s="126"/>
      <c r="H99" s="126"/>
      <c r="I99" s="14" t="s">
        <v>105</v>
      </c>
      <c r="J99" s="31">
        <f ca="1">(IF(B91&gt;1.5,(H91/(B91+2)+J93+MAX(0,J94-J93)+MAX(0,J95-J94)+MAX(0,J96-J95)+MAX(0,J97-J96)+MAX(0,J98-J97)),IF(B91=1,(H91/(B91+3)+J98),IF(B91=0,H91/4+J98))))</f>
        <v>16</v>
      </c>
    </row>
    <row r="100" spans="1:10" x14ac:dyDescent="0.3">
      <c r="A100" s="125" t="s">
        <v>130</v>
      </c>
      <c r="B100" s="125" t="s">
        <v>130</v>
      </c>
      <c r="C100" s="42">
        <v>15</v>
      </c>
      <c r="D100" s="18">
        <f ca="1">((100/H91)*C100)/100</f>
        <v>0.9375</v>
      </c>
      <c r="E100" s="126"/>
      <c r="F100" s="126"/>
      <c r="G100" s="126"/>
      <c r="H100" s="126"/>
      <c r="I100" s="70" t="str">
        <f ca="1">IF(D117=100%,"All work Completed. Possession granted to the Building.",IF(D116=100%,"All work Completed, Waiting for OC",I101&amp;""&amp;I102&amp;""&amp;J101&amp;""&amp;J100&amp;" "&amp;J102))</f>
        <v>Excavation, Plinth, RCC Slab, Brickwork Completed, Internal Plaster upto 14 Floor, External Plaster upto 14 Floor, Flooring upto 7 Floor, Painting upto 7 Floor Completed</v>
      </c>
      <c r="J100" s="47"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Internal Plaster upto 14 Floor, External Plaster upto 14 Floor, Flooring upto 7 Floor, Painting upto 7 Floor</v>
      </c>
    </row>
    <row r="101" spans="1:10" ht="15.75" customHeight="1" x14ac:dyDescent="0.3">
      <c r="A101" s="125" t="s">
        <v>137</v>
      </c>
      <c r="B101" s="125"/>
      <c r="C101" s="42">
        <v>15</v>
      </c>
      <c r="D101" s="18">
        <f ca="1">((100/H91)*C101)/100</f>
        <v>0.9375</v>
      </c>
      <c r="E101" s="126"/>
      <c r="F101" s="126"/>
      <c r="G101" s="126"/>
      <c r="H101" s="126"/>
      <c r="I101" s="71" t="str">
        <f ca="1">IF(D108=100%,"Excavation","")&amp;IF(D109=100%,", Plinth","")&amp;IF(D110=100%,", RCC Slab","")&amp;IF(D111=100%,", Brickwork","")&amp;IF(D112=100%,", Internal Plaster","")&amp;IF(D113=100%,", External Plaster","")&amp;IF(D114=100%,", Flooring","")&amp;IF(D115=100%,", Painting","")&amp;IF(D116=100%,", Building common Amenities","")</f>
        <v>Excavation, Plinth, RCC Slab, Brickwork</v>
      </c>
      <c r="J101" s="49" t="str">
        <f ca="1">(IF(C108=0,"Work not yet Started.",IF(D108=25%,"Piling work in process",IF(D108=50%,"Excavation work in process",IF(D108=100%,"","0")))))&amp;(IF(C109=0%,"",IF(C109=J106,", Footing work is process",IF(C109=J107,", Footing work Completed",IF(C109=J108,", 1st Basement Completed",IF(C109=J109,", 1st &amp; 2nd Basement Completed",IF(C109=J110,", 1st to 3rd Basement Completed",IF(C109=J111,", 1st to 4th Basement Completed",IF(C109=J112,", Plinth work is process",IF(C109=J113,"","0"))))))))))</f>
        <v/>
      </c>
    </row>
    <row r="102" spans="1:10" x14ac:dyDescent="0.3">
      <c r="A102" s="145" t="s">
        <v>132</v>
      </c>
      <c r="B102" s="145" t="s">
        <v>132</v>
      </c>
      <c r="C102" s="42">
        <v>11</v>
      </c>
      <c r="D102" s="18">
        <f ca="1">((100/(H91))*C102)/100</f>
        <v>0.6875</v>
      </c>
      <c r="E102" s="126"/>
      <c r="F102" s="126"/>
      <c r="G102" s="126"/>
      <c r="H102" s="126"/>
      <c r="I102" s="71" t="str">
        <f ca="1">IF(I101&lt;&gt;""," Completed","")</f>
        <v xml:space="preserve"> Completed</v>
      </c>
      <c r="J102" s="49" t="str">
        <f ca="1">IF(J100&lt;&gt;"","Completed","")</f>
        <v>Completed</v>
      </c>
    </row>
    <row r="103" spans="1:10" x14ac:dyDescent="0.3">
      <c r="A103" s="125" t="s">
        <v>133</v>
      </c>
      <c r="B103" s="125"/>
      <c r="C103" s="42">
        <v>0</v>
      </c>
      <c r="D103" s="18">
        <f ca="1">((100/(H91))*C103)/100</f>
        <v>0</v>
      </c>
      <c r="E103" s="126"/>
      <c r="F103" s="126"/>
      <c r="G103" s="126"/>
      <c r="H103" s="126"/>
      <c r="I103" s="13" t="s">
        <v>140</v>
      </c>
      <c r="J103" s="27">
        <f ca="1">H105*25%</f>
        <v>4</v>
      </c>
    </row>
    <row r="104" spans="1:10" ht="15.75" customHeight="1" x14ac:dyDescent="0.3">
      <c r="A104" s="157" t="s">
        <v>139</v>
      </c>
      <c r="B104" s="158"/>
      <c r="C104" s="159" t="s">
        <v>221</v>
      </c>
      <c r="D104" s="160"/>
      <c r="E104" s="160"/>
      <c r="F104" s="160"/>
      <c r="G104" s="160"/>
      <c r="H104" s="161"/>
      <c r="I104" s="13" t="s">
        <v>101</v>
      </c>
      <c r="J104" s="28">
        <f ca="1">H105*50%</f>
        <v>8</v>
      </c>
    </row>
    <row r="105" spans="1:10" ht="15.75" customHeight="1" x14ac:dyDescent="0.3">
      <c r="A105" s="15" t="s">
        <v>141</v>
      </c>
      <c r="B105" s="50">
        <v>0</v>
      </c>
      <c r="C105" s="50" t="s">
        <v>71</v>
      </c>
      <c r="D105" s="50">
        <v>1</v>
      </c>
      <c r="E105" s="50" t="s">
        <v>70</v>
      </c>
      <c r="F105" s="50">
        <v>0</v>
      </c>
      <c r="G105" s="50" t="s">
        <v>80</v>
      </c>
      <c r="H105" s="16">
        <f ca="1">--TRIM(RIGHT(SUBSTITUTE(LEFT(C104,_xlfn.AGGREGATE(16,6,FIND({0,1,2,3,4,5,6,7,8,9},C104,ROW(INDIRECT("1:"&amp;LEN(C104)))),1))," ",REPT(" ",LEN(C104))),LEN(C104)))</f>
        <v>16</v>
      </c>
      <c r="I105" s="13" t="s">
        <v>102</v>
      </c>
      <c r="J105" s="28">
        <f ca="1">H105</f>
        <v>16</v>
      </c>
    </row>
    <row r="106" spans="1:10" ht="47.4" customHeight="1" x14ac:dyDescent="0.3">
      <c r="A106" s="162" t="s">
        <v>90</v>
      </c>
      <c r="B106" s="163"/>
      <c r="C106" s="142" t="str">
        <f ca="1">I100</f>
        <v>Excavation, Plinth, RCC Slab, Brickwork Completed, Internal Plaster upto 14 Floor, External Plaster upto 14 Floor, Flooring upto 7 Floor, Painting upto 7 Floor Completed</v>
      </c>
      <c r="D106" s="142"/>
      <c r="E106" s="142"/>
      <c r="F106" s="142"/>
      <c r="G106" s="142"/>
      <c r="H106" s="143"/>
      <c r="I106" s="13" t="s">
        <v>103</v>
      </c>
      <c r="J106" s="29">
        <f ca="1">(IF(B105&gt;1,(H105/(B105+2)),H105/4))</f>
        <v>4</v>
      </c>
    </row>
    <row r="107" spans="1:10" ht="15" customHeight="1" x14ac:dyDescent="0.3">
      <c r="A107" s="129" t="s">
        <v>47</v>
      </c>
      <c r="B107" s="125"/>
      <c r="C107" s="42" t="s">
        <v>138</v>
      </c>
      <c r="D107" s="42" t="s">
        <v>83</v>
      </c>
      <c r="E107" s="125" t="s">
        <v>85</v>
      </c>
      <c r="F107" s="125"/>
      <c r="G107" s="125" t="s">
        <v>84</v>
      </c>
      <c r="H107" s="130"/>
      <c r="I107" s="13" t="s">
        <v>104</v>
      </c>
      <c r="J107" s="29">
        <f ca="1">(IF(B105&gt;1,(H105/(B105+2)+J106),H105/4+J106))</f>
        <v>8</v>
      </c>
    </row>
    <row r="108" spans="1:10" ht="15.75" customHeight="1" x14ac:dyDescent="0.3">
      <c r="A108" s="129" t="s">
        <v>127</v>
      </c>
      <c r="B108" s="125"/>
      <c r="C108" s="42">
        <f ca="1">J105</f>
        <v>16</v>
      </c>
      <c r="D108" s="18">
        <f ca="1">((100/H105)*C108)/100</f>
        <v>1</v>
      </c>
      <c r="E108" s="131">
        <f ca="1">(((C109/H105*10)+(40/(D105+F105+H105)*C110)+(7.5/(H105)*C111)+(7.5/(H105)*C112)+(10/H105*C113)+(10/H105*C114)+(5/H105*C115)+(5/H105*C116)+(5/H105*C117))/100)</f>
        <v>0.79374999999999996</v>
      </c>
      <c r="F108" s="132"/>
      <c r="G108" s="131">
        <f ca="1">((((C108/H105)*20)+((C109/H105)*25)+(30/(H105+F105+D105)*C110)+(5/H105*C111)+(5/H105*C112)+(5/H105*C113)+(5/H105*C114)+(0/H105*C115)+(0/H105*C116)+(5/H105*C117))/100)</f>
        <v>0.90937500000000004</v>
      </c>
      <c r="H108" s="137"/>
      <c r="I108" s="13" t="s">
        <v>145</v>
      </c>
      <c r="J108" s="29">
        <f>(IF(B105&gt;1,(H105/(B105+2)+J107),0))</f>
        <v>0</v>
      </c>
    </row>
    <row r="109" spans="1:10" ht="15.75" customHeight="1" x14ac:dyDescent="0.3">
      <c r="A109" s="129" t="s">
        <v>48</v>
      </c>
      <c r="B109" s="125"/>
      <c r="C109" s="52">
        <f ca="1">J113</f>
        <v>16</v>
      </c>
      <c r="D109" s="18">
        <f ca="1">((100/H105)*C109)/100</f>
        <v>1</v>
      </c>
      <c r="E109" s="133"/>
      <c r="F109" s="134"/>
      <c r="G109" s="133"/>
      <c r="H109" s="138"/>
      <c r="I109" s="13" t="s">
        <v>142</v>
      </c>
      <c r="J109" s="29">
        <f>(IF(B105&gt;2,(H105/(B105+2)+J108),0))</f>
        <v>0</v>
      </c>
    </row>
    <row r="110" spans="1:10" ht="15.75" customHeight="1" x14ac:dyDescent="0.3">
      <c r="A110" s="129" t="s">
        <v>128</v>
      </c>
      <c r="B110" s="125"/>
      <c r="C110" s="42">
        <v>17</v>
      </c>
      <c r="D110" s="18">
        <f ca="1">((100/(D105+F105+H105))*C110)/100</f>
        <v>1</v>
      </c>
      <c r="E110" s="133"/>
      <c r="F110" s="134"/>
      <c r="G110" s="133"/>
      <c r="H110" s="138"/>
      <c r="I110" s="13" t="s">
        <v>143</v>
      </c>
      <c r="J110" s="30">
        <f>(IF(B105&gt;3,(H105/(B105+2)+J109),0))</f>
        <v>0</v>
      </c>
    </row>
    <row r="111" spans="1:10" x14ac:dyDescent="0.3">
      <c r="A111" s="129" t="s">
        <v>135</v>
      </c>
      <c r="B111" s="125" t="s">
        <v>129</v>
      </c>
      <c r="C111" s="52">
        <f>C110-D105</f>
        <v>16</v>
      </c>
      <c r="D111" s="18">
        <f ca="1">((100/H105)*C111)/100</f>
        <v>1</v>
      </c>
      <c r="E111" s="133"/>
      <c r="F111" s="134"/>
      <c r="G111" s="133"/>
      <c r="H111" s="138"/>
      <c r="I111" s="13" t="s">
        <v>144</v>
      </c>
      <c r="J111" s="29">
        <f>(IF(B105&gt;4,(H105/(B105+2)+J110),0))</f>
        <v>0</v>
      </c>
    </row>
    <row r="112" spans="1:10" x14ac:dyDescent="0.3">
      <c r="A112" s="129" t="s">
        <v>136</v>
      </c>
      <c r="B112" s="125" t="s">
        <v>129</v>
      </c>
      <c r="C112" s="52">
        <v>14</v>
      </c>
      <c r="D112" s="18">
        <f ca="1">((100/H105)*C112)/100</f>
        <v>0.875</v>
      </c>
      <c r="E112" s="133"/>
      <c r="F112" s="134"/>
      <c r="G112" s="133"/>
      <c r="H112" s="138"/>
      <c r="I112" s="13" t="s">
        <v>146</v>
      </c>
      <c r="J112" s="29">
        <f ca="1">(IF(B105=1,(H105/(B105+3)+J107),IF(B105=0,(H105/4+J107),IF(B105&gt;1,0))))</f>
        <v>12</v>
      </c>
    </row>
    <row r="113" spans="1:13" ht="16.5" customHeight="1" thickBot="1" x14ac:dyDescent="0.35">
      <c r="A113" s="129" t="s">
        <v>134</v>
      </c>
      <c r="B113" s="125" t="s">
        <v>131</v>
      </c>
      <c r="C113" s="52">
        <v>14</v>
      </c>
      <c r="D113" s="18">
        <f ca="1">((100/(H105))*C113)/100</f>
        <v>0.875</v>
      </c>
      <c r="E113" s="133"/>
      <c r="F113" s="134"/>
      <c r="G113" s="133"/>
      <c r="H113" s="138"/>
      <c r="I113" s="14" t="s">
        <v>105</v>
      </c>
      <c r="J113" s="31">
        <f ca="1">(IF(B105&gt;1.5,(H105/(B105+2)+J107+MAX(0,J108-J107)+MAX(0,J109-J108)+MAX(0,J110-J109)+MAX(0,J111-J110)+MAX(0,J112-J111)),IF(B105=1,(H105/(B105+3)+J112),IF(B105=0,H105/4+J112))))</f>
        <v>16</v>
      </c>
    </row>
    <row r="114" spans="1:13" x14ac:dyDescent="0.3">
      <c r="A114" s="129" t="s">
        <v>130</v>
      </c>
      <c r="B114" s="125" t="s">
        <v>130</v>
      </c>
      <c r="C114" s="42">
        <v>7</v>
      </c>
      <c r="D114" s="18">
        <f ca="1">((100/H105)*C114)/100</f>
        <v>0.4375</v>
      </c>
      <c r="E114" s="133"/>
      <c r="F114" s="134"/>
      <c r="G114" s="133"/>
      <c r="H114" s="138"/>
      <c r="I114" s="46" t="str">
        <f ca="1">IF(D131=100%,"All work Completed. Possession granted to the Building.",IF(D130=100%,"All work Completed, Waiting for OC",I115&amp;""&amp;I116&amp;""&amp;J115&amp;""&amp;J114&amp;" "&amp;J116))</f>
        <v>Excavation, Plinth, RCC Slab, Brickwork Completed, Internal Plaster upto 12 Floor, External Plaster upto 11.2 Floor Completed</v>
      </c>
      <c r="J114" s="47"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Internal Plaster upto 12 Floor, External Plaster upto 11.2 Floor</v>
      </c>
    </row>
    <row r="115" spans="1:13" x14ac:dyDescent="0.3">
      <c r="A115" s="129" t="s">
        <v>137</v>
      </c>
      <c r="B115" s="125"/>
      <c r="C115" s="42">
        <v>7</v>
      </c>
      <c r="D115" s="18">
        <f ca="1">((100/H105)*C115)/100</f>
        <v>0.4375</v>
      </c>
      <c r="E115" s="133"/>
      <c r="F115" s="134"/>
      <c r="G115" s="133"/>
      <c r="H115" s="138"/>
      <c r="I115" s="48" t="str">
        <f ca="1">IF(D122=100%,"Excavation","")&amp;IF(D123=100%,", Plinth","")&amp;IF(D124=100%,", RCC Slab","")&amp;IF(D125=100%,", Brickwork","")&amp;IF(D126=100%,", Internal Plaster","")&amp;IF(D127=100%,", External Plaster","")&amp;IF(D128=100%,", Flooring","")&amp;IF(D129=100%,", Painting","")&amp;IF(D130=100%,", Building common Amenities","")</f>
        <v>Excavation, Plinth, RCC Slab, Brickwork</v>
      </c>
      <c r="J115" s="49" t="str">
        <f ca="1">(IF(C122=0,"Work not yet Started.",IF(D122=25%,"Piling work in process",IF(D122=50%,"Excavation work in process",IF(D122=100%,"","0")))))&amp;(IF(C123=0%,"",IF(C123=J120,", Footing work is process",IF(C123=J121,", Footing work Completed",IF(C123=J122,", 1st Basement Completed",IF(C123=J123,", 1st &amp; 2nd Basement Completed",IF(C123=J124,", 1st to 3rd Basement Completed",IF(C123=J125,", 1st to 4th Basement Completed",IF(C123=J126,", Plinth work is process",IF(C123=J127,"","0"))))))))))</f>
        <v/>
      </c>
    </row>
    <row r="116" spans="1:13" s="32" customFormat="1" x14ac:dyDescent="0.3">
      <c r="A116" s="144" t="s">
        <v>132</v>
      </c>
      <c r="B116" s="145" t="s">
        <v>132</v>
      </c>
      <c r="C116" s="42">
        <v>0</v>
      </c>
      <c r="D116" s="18">
        <f ca="1">((100/(H105))*C116)/100</f>
        <v>0</v>
      </c>
      <c r="E116" s="133"/>
      <c r="F116" s="134"/>
      <c r="G116" s="133"/>
      <c r="H116" s="138"/>
      <c r="I116" s="48" t="str">
        <f ca="1">IF(I115&lt;&gt;""," Completed","")</f>
        <v xml:space="preserve"> Completed</v>
      </c>
      <c r="J116" s="49" t="str">
        <f ca="1">IF(J114&lt;&gt;"","Completed","")</f>
        <v>Completed</v>
      </c>
      <c r="K116" s="20"/>
    </row>
    <row r="117" spans="1:13" s="32" customFormat="1" ht="16.2" thickBot="1" x14ac:dyDescent="0.35">
      <c r="A117" s="140" t="s">
        <v>133</v>
      </c>
      <c r="B117" s="141"/>
      <c r="C117" s="43">
        <v>0</v>
      </c>
      <c r="D117" s="19">
        <f ca="1">((100/(H105))*C117)/100</f>
        <v>0</v>
      </c>
      <c r="E117" s="135"/>
      <c r="F117" s="136"/>
      <c r="G117" s="135"/>
      <c r="H117" s="139"/>
      <c r="I117" s="13" t="s">
        <v>140</v>
      </c>
      <c r="J117" s="27">
        <f ca="1">H119*25%</f>
        <v>4</v>
      </c>
      <c r="K117" s="20"/>
    </row>
    <row r="118" spans="1:13" s="32" customFormat="1" x14ac:dyDescent="0.3">
      <c r="A118" s="165" t="s">
        <v>139</v>
      </c>
      <c r="B118" s="166"/>
      <c r="C118" s="167" t="str">
        <f>D68</f>
        <v>Building C = Gr + 1st to 16th Floor</v>
      </c>
      <c r="D118" s="168"/>
      <c r="E118" s="168"/>
      <c r="F118" s="168"/>
      <c r="G118" s="168"/>
      <c r="H118" s="169"/>
      <c r="I118" s="13" t="s">
        <v>101</v>
      </c>
      <c r="J118" s="28">
        <f ca="1">H119*50%</f>
        <v>8</v>
      </c>
      <c r="K118" s="20"/>
    </row>
    <row r="119" spans="1:13" s="32" customFormat="1" x14ac:dyDescent="0.3">
      <c r="A119" s="15" t="s">
        <v>141</v>
      </c>
      <c r="B119" s="50">
        <v>0</v>
      </c>
      <c r="C119" s="50" t="s">
        <v>71</v>
      </c>
      <c r="D119" s="50">
        <v>1</v>
      </c>
      <c r="E119" s="50" t="s">
        <v>70</v>
      </c>
      <c r="F119" s="50">
        <v>0</v>
      </c>
      <c r="G119" s="50" t="s">
        <v>80</v>
      </c>
      <c r="H119" s="16">
        <f ca="1">--TRIM(RIGHT(SUBSTITUTE(LEFT(C118,_xlfn.AGGREGATE(16,6,FIND({0,1,2,3,4,5,6,7,8,9},C118,ROW(INDIRECT("1:"&amp;LEN(C118)))),1))," ",REPT(" ",LEN(C118))),LEN(C118)))</f>
        <v>16</v>
      </c>
      <c r="I119" s="13" t="s">
        <v>102</v>
      </c>
      <c r="J119" s="28">
        <f ca="1">H119</f>
        <v>16</v>
      </c>
      <c r="K119" s="20"/>
    </row>
    <row r="120" spans="1:13" s="32" customFormat="1" ht="34.799999999999997" customHeight="1" x14ac:dyDescent="0.3">
      <c r="A120" s="162" t="s">
        <v>90</v>
      </c>
      <c r="B120" s="163"/>
      <c r="C120" s="142" t="str">
        <f ca="1">I114</f>
        <v>Excavation, Plinth, RCC Slab, Brickwork Completed, Internal Plaster upto 12 Floor, External Plaster upto 11.2 Floor Completed</v>
      </c>
      <c r="D120" s="142"/>
      <c r="E120" s="142"/>
      <c r="F120" s="142"/>
      <c r="G120" s="142"/>
      <c r="H120" s="143"/>
      <c r="I120" s="13" t="s">
        <v>103</v>
      </c>
      <c r="J120" s="29">
        <f ca="1">(IF(B119&gt;1,(H119/(B119+2)),H119/4))</f>
        <v>4</v>
      </c>
      <c r="K120" s="20"/>
    </row>
    <row r="121" spans="1:13" s="32" customFormat="1" x14ac:dyDescent="0.3">
      <c r="A121" s="129" t="s">
        <v>47</v>
      </c>
      <c r="B121" s="125"/>
      <c r="C121" s="42" t="s">
        <v>138</v>
      </c>
      <c r="D121" s="42" t="s">
        <v>83</v>
      </c>
      <c r="E121" s="125" t="s">
        <v>85</v>
      </c>
      <c r="F121" s="125"/>
      <c r="G121" s="125" t="s">
        <v>84</v>
      </c>
      <c r="H121" s="130"/>
      <c r="I121" s="13" t="s">
        <v>104</v>
      </c>
      <c r="J121" s="29">
        <f ca="1">(IF(B119&gt;1,(H119/(B119+2)+J120),H119/4+J120))</f>
        <v>8</v>
      </c>
      <c r="K121" s="20"/>
    </row>
    <row r="122" spans="1:13" s="32" customFormat="1" x14ac:dyDescent="0.3">
      <c r="A122" s="129" t="s">
        <v>127</v>
      </c>
      <c r="B122" s="125"/>
      <c r="C122" s="42">
        <f ca="1">J119</f>
        <v>16</v>
      </c>
      <c r="D122" s="18">
        <f ca="1">((100/H119)*C122)/100</f>
        <v>1</v>
      </c>
      <c r="E122" s="131">
        <f ca="1">(((C123/H119*10)+(40/(D119+F119+H119)*C124)+(7.5/(H119)*C125)+(7.5/(H119)*C126)+(10/H119*C127)+(10/H119*C128)+(5/H119*C129)+(5/H119*C130)+(5/H119*C131))/100)</f>
        <v>0.70125000000000004</v>
      </c>
      <c r="F122" s="132"/>
      <c r="G122" s="131">
        <f ca="1">((((C122/H119)*20)+((C123/H119)*25)+(30/(H119+F119+D119)*C124)+(5/H119*C125)+(5/H119*C126)+(5/H119*C127)+(5/H119*C128)+(0/H119*C129)+(0/H119*C130)+(5/H119*C131))/100)</f>
        <v>0.87250000000000005</v>
      </c>
      <c r="H122" s="137"/>
      <c r="I122" s="13" t="s">
        <v>145</v>
      </c>
      <c r="J122" s="29">
        <f>(IF(B119&gt;1,(H119/(B119+2)+J121),0))</f>
        <v>0</v>
      </c>
      <c r="K122" s="20"/>
    </row>
    <row r="123" spans="1:13" s="32" customFormat="1" x14ac:dyDescent="0.3">
      <c r="A123" s="129" t="s">
        <v>48</v>
      </c>
      <c r="B123" s="125"/>
      <c r="C123" s="52">
        <f ca="1">J127</f>
        <v>16</v>
      </c>
      <c r="D123" s="18">
        <f ca="1">((100/H119)*C123)/100</f>
        <v>1</v>
      </c>
      <c r="E123" s="133"/>
      <c r="F123" s="134"/>
      <c r="G123" s="133"/>
      <c r="H123" s="138"/>
      <c r="I123" s="13" t="s">
        <v>142</v>
      </c>
      <c r="J123" s="29">
        <f>(IF(B119&gt;2,(H119/(B119+2)+J122),0))</f>
        <v>0</v>
      </c>
      <c r="K123" s="20"/>
      <c r="L123" s="58">
        <v>45121</v>
      </c>
      <c r="M123" s="57" t="s">
        <v>199</v>
      </c>
    </row>
    <row r="124" spans="1:13" x14ac:dyDescent="0.3">
      <c r="A124" s="129" t="s">
        <v>128</v>
      </c>
      <c r="B124" s="125"/>
      <c r="C124" s="42">
        <v>17</v>
      </c>
      <c r="D124" s="18">
        <f ca="1">((100/(D119+F119+H119))*C124)/100</f>
        <v>1</v>
      </c>
      <c r="E124" s="133"/>
      <c r="F124" s="134"/>
      <c r="G124" s="133"/>
      <c r="H124" s="138"/>
      <c r="I124" s="13" t="s">
        <v>143</v>
      </c>
      <c r="J124" s="30">
        <f>(IF(B119&gt;3,(H119/(B119+2)+J123),0))</f>
        <v>0</v>
      </c>
    </row>
    <row r="125" spans="1:13" s="33" customFormat="1" x14ac:dyDescent="0.3">
      <c r="A125" s="129" t="s">
        <v>135</v>
      </c>
      <c r="B125" s="125" t="s">
        <v>129</v>
      </c>
      <c r="C125" s="52">
        <f>C124-D119</f>
        <v>16</v>
      </c>
      <c r="D125" s="18">
        <f ca="1">((100/H119)*C125)/100</f>
        <v>1</v>
      </c>
      <c r="E125" s="133"/>
      <c r="F125" s="134"/>
      <c r="G125" s="133"/>
      <c r="H125" s="138"/>
      <c r="I125" s="13" t="s">
        <v>144</v>
      </c>
      <c r="J125" s="29">
        <f>(IF(B119&gt;4,(H119/(B119+2)+J124),0))</f>
        <v>0</v>
      </c>
      <c r="K125" s="20"/>
    </row>
    <row r="126" spans="1:13" s="34" customFormat="1" ht="15.75" customHeight="1" x14ac:dyDescent="0.3">
      <c r="A126" s="129" t="s">
        <v>136</v>
      </c>
      <c r="B126" s="125" t="s">
        <v>129</v>
      </c>
      <c r="C126" s="52">
        <f>C125*0.75</f>
        <v>12</v>
      </c>
      <c r="D126" s="18">
        <f ca="1">((100/H119)*C126)/100</f>
        <v>0.75</v>
      </c>
      <c r="E126" s="133"/>
      <c r="F126" s="134"/>
      <c r="G126" s="133"/>
      <c r="H126" s="138"/>
      <c r="I126" s="13" t="s">
        <v>146</v>
      </c>
      <c r="J126" s="29">
        <f ca="1">(IF(B119=1,(H119/(B119+3)+J121),IF(B119=0,(H119/4+J121),IF(B119&gt;1,0))))</f>
        <v>12</v>
      </c>
      <c r="K126" s="20"/>
    </row>
    <row r="127" spans="1:13" s="34" customFormat="1" ht="15.75" customHeight="1" thickBot="1" x14ac:dyDescent="0.35">
      <c r="A127" s="129" t="s">
        <v>134</v>
      </c>
      <c r="B127" s="125" t="s">
        <v>131</v>
      </c>
      <c r="C127" s="52">
        <f>C125*0.7</f>
        <v>11.2</v>
      </c>
      <c r="D127" s="18">
        <f ca="1">((100/(H119))*C127)/100</f>
        <v>0.7</v>
      </c>
      <c r="E127" s="133"/>
      <c r="F127" s="134"/>
      <c r="G127" s="133"/>
      <c r="H127" s="138"/>
      <c r="I127" s="14" t="s">
        <v>105</v>
      </c>
      <c r="J127" s="31">
        <f ca="1">(IF(B119&gt;1.5,(H119/(B119+2)+J121+MAX(0,J122-J121)+MAX(0,J123-J122)+MAX(0,J124-J123)+MAX(0,J125-J124)+MAX(0,J126-J125)),IF(B119=1,(H119/(B119+3)+J126),IF(B119=0,H119/4+J126))))</f>
        <v>16</v>
      </c>
      <c r="K127" s="20"/>
    </row>
    <row r="128" spans="1:13" s="34" customFormat="1" x14ac:dyDescent="0.3">
      <c r="A128" s="129" t="s">
        <v>130</v>
      </c>
      <c r="B128" s="125" t="s">
        <v>130</v>
      </c>
      <c r="C128" s="42">
        <v>0</v>
      </c>
      <c r="D128" s="18">
        <f ca="1">((100/H119)*C128)/100</f>
        <v>0</v>
      </c>
      <c r="E128" s="133"/>
      <c r="F128" s="134"/>
      <c r="G128" s="133"/>
      <c r="H128" s="138"/>
      <c r="I128" s="20"/>
      <c r="J128" s="20"/>
      <c r="K128" s="20"/>
    </row>
    <row r="129" spans="1:14" s="34" customFormat="1" x14ac:dyDescent="0.3">
      <c r="A129" s="129" t="s">
        <v>137</v>
      </c>
      <c r="B129" s="125"/>
      <c r="C129" s="42">
        <v>0</v>
      </c>
      <c r="D129" s="18">
        <f ca="1">((100/H119)*C129)/100</f>
        <v>0</v>
      </c>
      <c r="E129" s="133"/>
      <c r="F129" s="134"/>
      <c r="G129" s="133"/>
      <c r="H129" s="138"/>
      <c r="I129" s="20"/>
      <c r="J129" s="20"/>
      <c r="K129" s="20"/>
    </row>
    <row r="130" spans="1:14" s="34" customFormat="1" x14ac:dyDescent="0.25">
      <c r="A130" s="129" t="s">
        <v>132</v>
      </c>
      <c r="B130" s="125" t="s">
        <v>132</v>
      </c>
      <c r="C130" s="42">
        <v>0</v>
      </c>
      <c r="D130" s="18">
        <f ca="1">((100/(H119))*C130)/100</f>
        <v>0</v>
      </c>
      <c r="E130" s="133"/>
      <c r="F130" s="134"/>
      <c r="G130" s="133"/>
      <c r="H130" s="138"/>
      <c r="I130" s="32"/>
      <c r="J130" s="32"/>
      <c r="K130" s="32"/>
    </row>
    <row r="131" spans="1:14" s="34" customFormat="1" ht="16.2" thickBot="1" x14ac:dyDescent="0.3">
      <c r="A131" s="140" t="s">
        <v>133</v>
      </c>
      <c r="B131" s="141"/>
      <c r="C131" s="43">
        <v>0</v>
      </c>
      <c r="D131" s="19">
        <f ca="1">((100/(H119))*C131)/100</f>
        <v>0</v>
      </c>
      <c r="E131" s="135"/>
      <c r="F131" s="136"/>
      <c r="G131" s="135"/>
      <c r="H131" s="139"/>
      <c r="I131" s="32"/>
      <c r="J131" s="32"/>
      <c r="K131" s="32"/>
    </row>
    <row r="132" spans="1:14" s="34" customFormat="1" ht="15.75" customHeight="1" x14ac:dyDescent="0.25">
      <c r="A132" s="151" t="s">
        <v>155</v>
      </c>
      <c r="B132" s="151"/>
      <c r="C132" s="151"/>
      <c r="D132" s="151"/>
      <c r="E132" s="151"/>
      <c r="F132" s="164" t="s">
        <v>160</v>
      </c>
      <c r="G132" s="164"/>
      <c r="H132" s="164"/>
      <c r="I132" s="32"/>
      <c r="J132" s="32"/>
      <c r="K132" s="32"/>
    </row>
    <row r="133" spans="1:14" s="34" customFormat="1" x14ac:dyDescent="0.25">
      <c r="A133" s="122" t="s">
        <v>158</v>
      </c>
      <c r="B133" s="122"/>
      <c r="C133" s="122"/>
      <c r="D133" s="122"/>
      <c r="E133" s="122"/>
      <c r="F133" s="121">
        <v>3200</v>
      </c>
      <c r="G133" s="121"/>
      <c r="H133" s="121"/>
      <c r="I133" s="32"/>
      <c r="J133" s="32"/>
      <c r="K133" s="32"/>
    </row>
    <row r="134" spans="1:14" s="34" customFormat="1" x14ac:dyDescent="0.25">
      <c r="A134" s="122" t="s">
        <v>157</v>
      </c>
      <c r="B134" s="122"/>
      <c r="C134" s="122"/>
      <c r="D134" s="122"/>
      <c r="E134" s="122"/>
      <c r="F134" s="121">
        <v>6000</v>
      </c>
      <c r="G134" s="121"/>
      <c r="H134" s="121"/>
      <c r="I134" s="32"/>
      <c r="J134" s="32"/>
      <c r="K134" s="32"/>
    </row>
    <row r="135" spans="1:14" s="34" customFormat="1" hidden="1" x14ac:dyDescent="0.25">
      <c r="A135" s="122" t="s">
        <v>159</v>
      </c>
      <c r="B135" s="122"/>
      <c r="C135" s="122"/>
      <c r="D135" s="122"/>
      <c r="E135" s="122"/>
      <c r="F135" s="121"/>
      <c r="G135" s="121"/>
      <c r="H135" s="121"/>
      <c r="I135" s="32"/>
      <c r="J135" s="32"/>
      <c r="K135" s="32"/>
    </row>
    <row r="136" spans="1:14" s="34" customFormat="1" hidden="1" x14ac:dyDescent="0.25">
      <c r="A136" s="122" t="s">
        <v>156</v>
      </c>
      <c r="B136" s="122"/>
      <c r="C136" s="122"/>
      <c r="D136" s="122"/>
      <c r="E136" s="122"/>
      <c r="F136" s="121"/>
      <c r="G136" s="121"/>
      <c r="H136" s="121"/>
      <c r="I136" s="32"/>
      <c r="J136" s="32"/>
      <c r="K136" s="32"/>
    </row>
    <row r="137" spans="1:14" s="33" customFormat="1" hidden="1" x14ac:dyDescent="0.3">
      <c r="A137" s="122" t="s">
        <v>95</v>
      </c>
      <c r="B137" s="122"/>
      <c r="C137" s="122"/>
      <c r="D137" s="122"/>
      <c r="E137" s="122"/>
      <c r="F137" s="121"/>
      <c r="G137" s="121"/>
      <c r="H137" s="121"/>
      <c r="I137" s="32"/>
      <c r="J137" s="32"/>
      <c r="K137" s="57" t="s">
        <v>198</v>
      </c>
    </row>
    <row r="138" spans="1:14" hidden="1" x14ac:dyDescent="0.3">
      <c r="A138" s="122" t="s">
        <v>96</v>
      </c>
      <c r="B138" s="122"/>
      <c r="C138" s="122"/>
      <c r="D138" s="122"/>
      <c r="E138" s="122"/>
      <c r="F138" s="121"/>
      <c r="G138" s="121"/>
      <c r="H138" s="121"/>
    </row>
    <row r="139" spans="1:14" hidden="1" x14ac:dyDescent="0.3">
      <c r="A139" s="122" t="s">
        <v>161</v>
      </c>
      <c r="B139" s="122"/>
      <c r="C139" s="122"/>
      <c r="D139" s="122"/>
      <c r="E139" s="122"/>
      <c r="F139" s="121"/>
      <c r="G139" s="121"/>
      <c r="H139" s="121"/>
      <c r="I139" s="33"/>
      <c r="J139" s="33"/>
      <c r="K139" s="33"/>
    </row>
    <row r="140" spans="1:14" s="36" customFormat="1" hidden="1" x14ac:dyDescent="0.3">
      <c r="A140" s="122" t="s">
        <v>97</v>
      </c>
      <c r="B140" s="122"/>
      <c r="C140" s="122"/>
      <c r="D140" s="122"/>
      <c r="E140" s="122"/>
      <c r="F140" s="121"/>
      <c r="G140" s="121"/>
      <c r="H140" s="121"/>
      <c r="I140" s="34"/>
      <c r="J140" s="34"/>
      <c r="K140" s="34"/>
    </row>
    <row r="141" spans="1:14" s="36" customFormat="1" hidden="1" x14ac:dyDescent="0.3">
      <c r="A141" s="122" t="s">
        <v>98</v>
      </c>
      <c r="B141" s="122"/>
      <c r="C141" s="122"/>
      <c r="D141" s="122"/>
      <c r="E141" s="122"/>
      <c r="F141" s="121"/>
      <c r="G141" s="121"/>
      <c r="H141" s="121"/>
      <c r="I141" s="34"/>
      <c r="J141" s="34"/>
      <c r="K141" s="34"/>
    </row>
    <row r="142" spans="1:14" s="36" customFormat="1" hidden="1" x14ac:dyDescent="0.3">
      <c r="A142" s="122" t="s">
        <v>99</v>
      </c>
      <c r="B142" s="122"/>
      <c r="C142" s="122"/>
      <c r="D142" s="122"/>
      <c r="E142" s="122"/>
      <c r="F142" s="121"/>
      <c r="G142" s="121"/>
      <c r="H142" s="121"/>
      <c r="I142" s="34"/>
      <c r="J142" s="34"/>
      <c r="K142" s="34"/>
    </row>
    <row r="143" spans="1:14" s="36" customFormat="1" x14ac:dyDescent="0.3">
      <c r="A143" s="122" t="s">
        <v>100</v>
      </c>
      <c r="B143" s="122"/>
      <c r="C143" s="122"/>
      <c r="D143" s="122"/>
      <c r="E143" s="122"/>
      <c r="F143" s="121">
        <v>100000</v>
      </c>
      <c r="G143" s="121"/>
      <c r="H143" s="121"/>
      <c r="I143" s="34"/>
      <c r="J143" s="34"/>
      <c r="K143" s="34"/>
    </row>
    <row r="144" spans="1:14" s="36" customFormat="1" ht="15.75" customHeight="1" x14ac:dyDescent="0.3">
      <c r="A144" s="122" t="s">
        <v>49</v>
      </c>
      <c r="B144" s="122"/>
      <c r="C144" s="122"/>
      <c r="D144" s="122"/>
      <c r="E144" s="122"/>
      <c r="F144" s="121">
        <v>100000</v>
      </c>
      <c r="G144" s="121"/>
      <c r="H144" s="121"/>
      <c r="I144" s="34"/>
      <c r="J144" s="34"/>
      <c r="K144" s="34"/>
      <c r="L144" s="81"/>
      <c r="M144" s="81"/>
      <c r="N144" s="35"/>
    </row>
    <row r="145" spans="1:15" s="36" customFormat="1" ht="15.75" customHeight="1" x14ac:dyDescent="0.3">
      <c r="A145" s="187" t="s">
        <v>50</v>
      </c>
      <c r="B145" s="187"/>
      <c r="C145" s="187"/>
      <c r="D145" s="187"/>
      <c r="E145" s="187"/>
      <c r="F145" s="121">
        <f>F133*0.8</f>
        <v>2560</v>
      </c>
      <c r="G145" s="121"/>
      <c r="H145" s="121"/>
      <c r="I145" s="34"/>
      <c r="J145" s="34"/>
      <c r="K145" s="34"/>
      <c r="L145" s="81"/>
      <c r="M145" s="81"/>
      <c r="N145" s="35"/>
    </row>
    <row r="146" spans="1:15" s="36" customFormat="1" ht="15.75" customHeight="1" x14ac:dyDescent="0.3">
      <c r="A146" s="173" t="s">
        <v>75</v>
      </c>
      <c r="B146" s="173"/>
      <c r="C146" s="173"/>
      <c r="D146" s="173"/>
      <c r="E146" s="173"/>
      <c r="F146" s="173"/>
      <c r="G146" s="173"/>
      <c r="H146" s="173"/>
      <c r="I146" s="34"/>
      <c r="J146" s="34"/>
      <c r="K146" s="34"/>
      <c r="L146" s="81"/>
      <c r="M146" s="81"/>
      <c r="N146" s="35"/>
    </row>
    <row r="147" spans="1:15" s="36" customFormat="1" ht="15.75" customHeight="1" x14ac:dyDescent="0.3">
      <c r="A147" s="124" t="s">
        <v>51</v>
      </c>
      <c r="B147" s="124"/>
      <c r="C147" s="147" t="s">
        <v>78</v>
      </c>
      <c r="D147" s="147"/>
      <c r="E147" s="123" t="s">
        <v>52</v>
      </c>
      <c r="F147" s="123"/>
      <c r="G147" s="124" t="s">
        <v>53</v>
      </c>
      <c r="H147" s="124"/>
      <c r="I147" s="34"/>
      <c r="J147" s="34"/>
      <c r="K147" s="34"/>
      <c r="L147" s="81"/>
      <c r="M147" s="81"/>
      <c r="N147" s="35"/>
    </row>
    <row r="148" spans="1:15" s="36" customFormat="1" x14ac:dyDescent="0.3">
      <c r="A148" s="227" t="s">
        <v>195</v>
      </c>
      <c r="B148" s="55" t="s">
        <v>196</v>
      </c>
      <c r="C148" s="104">
        <f>COUNT(D166:D177)</f>
        <v>12</v>
      </c>
      <c r="D148" s="172"/>
      <c r="E148" s="104">
        <f>SUM(D166:D177)</f>
        <v>1692.9403920000002</v>
      </c>
      <c r="F148" s="172"/>
      <c r="G148" s="104">
        <f>SUM(F166:F177)</f>
        <v>2624.0576075999998</v>
      </c>
      <c r="H148" s="172"/>
      <c r="I148" s="34"/>
      <c r="J148" s="34"/>
      <c r="K148" s="34"/>
      <c r="L148" s="81"/>
      <c r="M148" s="81"/>
      <c r="N148" s="35"/>
    </row>
    <row r="149" spans="1:15" s="36" customFormat="1" x14ac:dyDescent="0.3">
      <c r="A149" s="227"/>
      <c r="B149" s="55" t="s">
        <v>194</v>
      </c>
      <c r="C149" s="104">
        <f>COUNT(D180:D191)</f>
        <v>12</v>
      </c>
      <c r="D149" s="172"/>
      <c r="E149" s="104">
        <f>SUM(D180:D191)</f>
        <v>1692.9403920000002</v>
      </c>
      <c r="F149" s="172"/>
      <c r="G149" s="104">
        <f>SUM(F180:F191)</f>
        <v>2624.0576075999998</v>
      </c>
      <c r="H149" s="172"/>
      <c r="I149" s="34"/>
      <c r="J149" s="34"/>
      <c r="K149" s="34"/>
      <c r="L149" s="81"/>
      <c r="M149" s="81"/>
      <c r="N149" s="35"/>
    </row>
    <row r="150" spans="1:15" s="36" customFormat="1" x14ac:dyDescent="0.3">
      <c r="A150" s="173" t="s">
        <v>149</v>
      </c>
      <c r="B150" s="173"/>
      <c r="C150" s="146">
        <f>SUM(C148:D149)</f>
        <v>24</v>
      </c>
      <c r="D150" s="147"/>
      <c r="E150" s="146">
        <f t="shared" ref="E150" si="0">SUM(E148:E149)</f>
        <v>3385.8807840000004</v>
      </c>
      <c r="F150" s="147"/>
      <c r="G150" s="146">
        <f t="shared" ref="G150" si="1">SUM(G148:G149)</f>
        <v>5248.1152151999995</v>
      </c>
      <c r="H150" s="147"/>
      <c r="I150" s="34"/>
      <c r="J150" s="56">
        <f>SUM(G150,G157)</f>
        <v>386793.16481520003</v>
      </c>
      <c r="K150" s="34"/>
      <c r="L150" s="81"/>
      <c r="M150" s="81"/>
      <c r="N150" s="35"/>
    </row>
    <row r="151" spans="1:15" s="36" customFormat="1" x14ac:dyDescent="0.3">
      <c r="A151" s="173" t="s">
        <v>69</v>
      </c>
      <c r="B151" s="173"/>
      <c r="C151" s="173"/>
      <c r="D151" s="173"/>
      <c r="E151" s="173"/>
      <c r="F151" s="173"/>
      <c r="G151" s="173"/>
      <c r="H151" s="173"/>
      <c r="I151" s="33"/>
      <c r="J151" s="33"/>
      <c r="K151" s="33"/>
      <c r="L151" s="81"/>
      <c r="M151" s="81"/>
      <c r="N151" s="35"/>
    </row>
    <row r="152" spans="1:15" s="36" customFormat="1" x14ac:dyDescent="0.3">
      <c r="A152" s="124" t="s">
        <v>51</v>
      </c>
      <c r="B152" s="124"/>
      <c r="C152" s="147" t="s">
        <v>78</v>
      </c>
      <c r="D152" s="147"/>
      <c r="E152" s="123" t="s">
        <v>52</v>
      </c>
      <c r="F152" s="123"/>
      <c r="G152" s="124" t="s">
        <v>53</v>
      </c>
      <c r="H152" s="124"/>
      <c r="I152" s="33"/>
      <c r="J152" s="33"/>
      <c r="K152" s="33"/>
      <c r="N152" s="35"/>
    </row>
    <row r="153" spans="1:15" s="36" customFormat="1" x14ac:dyDescent="0.3">
      <c r="A153" s="103" t="s">
        <v>197</v>
      </c>
      <c r="B153" s="103"/>
      <c r="C153" s="104">
        <f>COUNT(D198:D212)+COUNT(D215:D230)*14+COUNT(D232:D245)*2</f>
        <v>267</v>
      </c>
      <c r="D153" s="104"/>
      <c r="E153" s="104">
        <f>SUM(D198:D212)+SUM(D215:D230)*14+SUM(D232:D245)*2</f>
        <v>85644.842400000023</v>
      </c>
      <c r="F153" s="104"/>
      <c r="G153" s="104">
        <f>SUM(F198:F212)+SUM(F215:F230)*14+SUM(F232:F245)*2</f>
        <v>128467.26360000002</v>
      </c>
      <c r="H153" s="104"/>
      <c r="I153" s="20"/>
      <c r="J153" s="20"/>
      <c r="K153" s="20"/>
      <c r="L153" s="81"/>
      <c r="M153" s="81"/>
      <c r="N153" s="35"/>
    </row>
    <row r="154" spans="1:15" s="36" customFormat="1" x14ac:dyDescent="0.3">
      <c r="A154" s="223" t="s">
        <v>195</v>
      </c>
      <c r="B154" s="55" t="s">
        <v>196</v>
      </c>
      <c r="C154" s="104">
        <f>COUNT(D253,D255:D256)+COUNT(D260:D267)+COUNT(D269:D276)*13+COUNT(D278:D284)*2</f>
        <v>129</v>
      </c>
      <c r="D154" s="104"/>
      <c r="E154" s="104">
        <f>SUM(D253,D255:D256)+SUM(D260:D267)+SUM(D269:D276)*13+SUM(D278:D284)*2</f>
        <v>41378.968800000002</v>
      </c>
      <c r="F154" s="104"/>
      <c r="G154" s="104">
        <f>SUM(F253,F255:F256)+SUM(F260:F267)+SUM(F269:F276)*13+SUM(F278:F284)*2</f>
        <v>62305.261199999994</v>
      </c>
      <c r="H154" s="104"/>
      <c r="I154" s="20"/>
      <c r="J154" s="20"/>
      <c r="K154" s="20"/>
      <c r="L154" s="81"/>
      <c r="M154" s="81"/>
      <c r="N154" s="35"/>
    </row>
    <row r="155" spans="1:15" s="36" customFormat="1" x14ac:dyDescent="0.3">
      <c r="A155" s="224"/>
      <c r="B155" s="55" t="s">
        <v>194</v>
      </c>
      <c r="C155" s="104">
        <f>COUNT(D290,D292:D293)+COUNT(D297:D304)+COUNT(D306:D313)*13+COUNT(D315:D321)*2</f>
        <v>129</v>
      </c>
      <c r="D155" s="104"/>
      <c r="E155" s="104">
        <f>SUM(D290,D292:D293)+SUM(D297:D304)+SUM(D306:D313)*13+SUM(D315:D321)*2</f>
        <v>41378.968800000002</v>
      </c>
      <c r="F155" s="104"/>
      <c r="G155" s="104">
        <f>SUM(F290,F292:F293)+SUM(F297:F304)+SUM(F306:F313)*13+SUM(F315:F321)*2</f>
        <v>62305.261199999994</v>
      </c>
      <c r="H155" s="104"/>
      <c r="L155" s="81"/>
      <c r="M155" s="81"/>
      <c r="N155" s="35"/>
    </row>
    <row r="156" spans="1:15" s="36" customFormat="1" x14ac:dyDescent="0.3">
      <c r="A156" s="103" t="s">
        <v>227</v>
      </c>
      <c r="B156" s="103"/>
      <c r="C156" s="104">
        <f>COUNT(D325:D339)+COUNT(D341:D356)*14+COUNT(D358:D369,D372:D373)*2</f>
        <v>267</v>
      </c>
      <c r="D156" s="104"/>
      <c r="E156" s="104">
        <f>SUM(D325:D339)+SUM(D341:D356)*14+SUM(D358:D369,D372:D373)*2</f>
        <v>85644.842400000023</v>
      </c>
      <c r="F156" s="104"/>
      <c r="G156" s="104">
        <f>SUM(F325:F339)+SUM(F341:F356)*14+SUM(F358:F369,F372:F373)*2</f>
        <v>128467.26360000002</v>
      </c>
      <c r="H156" s="104"/>
      <c r="J156" s="113" t="s">
        <v>231</v>
      </c>
      <c r="K156" s="113"/>
      <c r="L156" s="113"/>
      <c r="M156" s="113"/>
      <c r="N156" s="113"/>
      <c r="O156" s="113"/>
    </row>
    <row r="157" spans="1:15" s="36" customFormat="1" x14ac:dyDescent="0.3">
      <c r="A157" s="173" t="s">
        <v>149</v>
      </c>
      <c r="B157" s="173"/>
      <c r="C157" s="146">
        <f>SUM(C153:D156)</f>
        <v>792</v>
      </c>
      <c r="D157" s="147"/>
      <c r="E157" s="146">
        <f>SUM(E153:F156)</f>
        <v>254047.62240000005</v>
      </c>
      <c r="F157" s="147"/>
      <c r="G157" s="146">
        <f>SUM(G153:H156)</f>
        <v>381545.04960000003</v>
      </c>
      <c r="H157" s="147"/>
      <c r="J157" s="35"/>
      <c r="K157" s="61"/>
    </row>
    <row r="158" spans="1:15" s="36" customFormat="1" x14ac:dyDescent="0.3">
      <c r="A158" s="192" t="s">
        <v>54</v>
      </c>
      <c r="B158" s="192"/>
      <c r="C158" s="192"/>
      <c r="D158" s="192"/>
      <c r="E158" s="192"/>
      <c r="F158" s="192"/>
      <c r="G158" s="192"/>
      <c r="H158" s="192"/>
      <c r="J158" s="35"/>
    </row>
    <row r="159" spans="1:15" s="36" customFormat="1" ht="15.75" customHeight="1" x14ac:dyDescent="0.3">
      <c r="A159" s="201" t="s">
        <v>55</v>
      </c>
      <c r="B159" s="201"/>
      <c r="C159" s="201"/>
      <c r="D159" s="201"/>
      <c r="E159" s="201"/>
      <c r="F159" s="201"/>
      <c r="G159" s="201"/>
      <c r="H159" s="201"/>
      <c r="I159" s="35"/>
      <c r="L159" s="81"/>
      <c r="M159" s="81"/>
      <c r="N159" s="35"/>
    </row>
    <row r="160" spans="1:15" s="36" customFormat="1" ht="34.5" customHeight="1" x14ac:dyDescent="0.3">
      <c r="A160" s="148" t="s">
        <v>232</v>
      </c>
      <c r="B160" s="148" t="s">
        <v>119</v>
      </c>
      <c r="C160" s="148" t="s">
        <v>56</v>
      </c>
      <c r="D160" s="148" t="s">
        <v>57</v>
      </c>
      <c r="E160" s="238" t="s">
        <v>154</v>
      </c>
      <c r="F160" s="62" t="s">
        <v>148</v>
      </c>
      <c r="G160" s="240" t="s">
        <v>59</v>
      </c>
      <c r="H160" s="241"/>
      <c r="I160" s="54">
        <f>10.764</f>
        <v>10.763999999999999</v>
      </c>
      <c r="L160" s="81"/>
      <c r="M160" s="81"/>
      <c r="N160" s="35"/>
    </row>
    <row r="161" spans="1:14" s="36" customFormat="1" ht="15.75" customHeight="1" x14ac:dyDescent="0.3">
      <c r="A161" s="149"/>
      <c r="B161" s="149"/>
      <c r="C161" s="149"/>
      <c r="D161" s="149"/>
      <c r="E161" s="239"/>
      <c r="F161" s="63">
        <v>0.55000000000000004</v>
      </c>
      <c r="G161" s="242"/>
      <c r="H161" s="243"/>
      <c r="I161" s="35"/>
      <c r="L161" s="81"/>
      <c r="M161" s="81"/>
      <c r="N161" s="35"/>
    </row>
    <row r="162" spans="1:14" s="36" customFormat="1" ht="15.75" customHeight="1" x14ac:dyDescent="0.3">
      <c r="A162" s="110" t="s">
        <v>226</v>
      </c>
      <c r="B162" s="111"/>
      <c r="C162" s="111"/>
      <c r="D162" s="111"/>
      <c r="E162" s="111"/>
      <c r="F162" s="111"/>
      <c r="G162" s="111"/>
      <c r="H162" s="112"/>
      <c r="I162" s="35"/>
      <c r="L162" s="81"/>
      <c r="M162" s="81"/>
      <c r="N162" s="35"/>
    </row>
    <row r="163" spans="1:14" s="36" customFormat="1" x14ac:dyDescent="0.3">
      <c r="A163" s="175" t="s">
        <v>195</v>
      </c>
      <c r="B163" s="176"/>
      <c r="C163" s="176"/>
      <c r="D163" s="176"/>
      <c r="E163" s="176"/>
      <c r="F163" s="176"/>
      <c r="G163" s="176"/>
      <c r="H163" s="177"/>
      <c r="I163" s="35"/>
      <c r="L163" s="81"/>
      <c r="M163" s="81"/>
      <c r="N163" s="35"/>
    </row>
    <row r="164" spans="1:14" s="36" customFormat="1" x14ac:dyDescent="0.3">
      <c r="A164" s="110" t="s">
        <v>196</v>
      </c>
      <c r="B164" s="111"/>
      <c r="C164" s="111"/>
      <c r="D164" s="111"/>
      <c r="E164" s="111"/>
      <c r="F164" s="111"/>
      <c r="G164" s="111"/>
      <c r="H164" s="112"/>
      <c r="I164" s="35"/>
      <c r="L164" s="81"/>
      <c r="M164" s="81"/>
      <c r="N164" s="35"/>
    </row>
    <row r="165" spans="1:14" s="36" customFormat="1" x14ac:dyDescent="0.3">
      <c r="A165" s="110" t="s">
        <v>261</v>
      </c>
      <c r="B165" s="111"/>
      <c r="C165" s="111"/>
      <c r="D165" s="111"/>
      <c r="E165" s="111"/>
      <c r="F165" s="111"/>
      <c r="G165" s="111"/>
      <c r="H165" s="112"/>
      <c r="I165" s="35"/>
      <c r="L165" s="81"/>
      <c r="M165" s="81"/>
      <c r="N165" s="35"/>
    </row>
    <row r="166" spans="1:14" s="36" customFormat="1" x14ac:dyDescent="0.3">
      <c r="A166" s="97">
        <v>1</v>
      </c>
      <c r="B166" s="98"/>
      <c r="C166" s="64" t="s">
        <v>187</v>
      </c>
      <c r="D166" s="65">
        <f>(2.35*5.49)*(10.764)</f>
        <v>138.871746</v>
      </c>
      <c r="E166" s="64">
        <v>0</v>
      </c>
      <c r="F166" s="64">
        <f>(D166+E166)*(($F$161)+1)</f>
        <v>215.25120630000001</v>
      </c>
      <c r="G166" s="115" t="str">
        <f>A165</f>
        <v>Ground Floor For Part Commercial, Part Residential, Meter Room &amp; Creche</v>
      </c>
      <c r="H166" s="116"/>
      <c r="I166" s="35"/>
      <c r="L166" s="81"/>
      <c r="M166" s="81"/>
      <c r="N166" s="35"/>
    </row>
    <row r="167" spans="1:14" s="36" customFormat="1" x14ac:dyDescent="0.3">
      <c r="A167" s="97">
        <f t="shared" ref="A167:A177" si="2">A166+1</f>
        <v>2</v>
      </c>
      <c r="B167" s="98"/>
      <c r="C167" s="64" t="s">
        <v>187</v>
      </c>
      <c r="D167" s="65">
        <f>(2.7*5.55)*(10.764)</f>
        <v>161.29854</v>
      </c>
      <c r="E167" s="64">
        <v>0</v>
      </c>
      <c r="F167" s="64">
        <f t="shared" ref="F167:F169" si="3">(D167+E167)*(($F$161)+1)</f>
        <v>250.01273700000002</v>
      </c>
      <c r="G167" s="117"/>
      <c r="H167" s="118"/>
      <c r="I167" s="35"/>
      <c r="L167" s="81"/>
      <c r="M167" s="81"/>
      <c r="N167" s="35"/>
    </row>
    <row r="168" spans="1:14" s="36" customFormat="1" x14ac:dyDescent="0.3">
      <c r="A168" s="97">
        <f t="shared" si="2"/>
        <v>3</v>
      </c>
      <c r="B168" s="98"/>
      <c r="C168" s="64" t="s">
        <v>187</v>
      </c>
      <c r="D168" s="65">
        <f>(2.06*5.55)*(10.764)</f>
        <v>123.06481199999999</v>
      </c>
      <c r="E168" s="64">
        <v>0</v>
      </c>
      <c r="F168" s="64">
        <f t="shared" si="3"/>
        <v>190.7504586</v>
      </c>
      <c r="G168" s="117"/>
      <c r="H168" s="118"/>
      <c r="I168" s="35"/>
      <c r="L168" s="81"/>
      <c r="M168" s="81"/>
      <c r="N168" s="35"/>
    </row>
    <row r="169" spans="1:14" s="36" customFormat="1" x14ac:dyDescent="0.3">
      <c r="A169" s="97">
        <f t="shared" si="2"/>
        <v>4</v>
      </c>
      <c r="B169" s="98"/>
      <c r="C169" s="64" t="s">
        <v>187</v>
      </c>
      <c r="D169" s="65">
        <f>(2.06*5.55)*(10.764)</f>
        <v>123.06481199999999</v>
      </c>
      <c r="E169" s="64">
        <v>0</v>
      </c>
      <c r="F169" s="64">
        <f t="shared" si="3"/>
        <v>190.7504586</v>
      </c>
      <c r="G169" s="117"/>
      <c r="H169" s="118"/>
      <c r="I169" s="35"/>
      <c r="L169" s="81"/>
      <c r="M169" s="81"/>
      <c r="N169" s="35"/>
    </row>
    <row r="170" spans="1:14" s="36" customFormat="1" x14ac:dyDescent="0.3">
      <c r="A170" s="97">
        <f t="shared" si="2"/>
        <v>5</v>
      </c>
      <c r="B170" s="98"/>
      <c r="C170" s="64" t="s">
        <v>187</v>
      </c>
      <c r="D170" s="65">
        <f>(2.7*5.55)*(10.764)</f>
        <v>161.29854</v>
      </c>
      <c r="E170" s="64">
        <v>0</v>
      </c>
      <c r="F170" s="64">
        <f>(D170+E170)*(($F$161)+1)</f>
        <v>250.01273700000002</v>
      </c>
      <c r="G170" s="117"/>
      <c r="H170" s="118"/>
      <c r="I170" s="35"/>
      <c r="L170" s="81"/>
      <c r="M170" s="81"/>
      <c r="N170" s="35"/>
    </row>
    <row r="171" spans="1:14" s="36" customFormat="1" x14ac:dyDescent="0.3">
      <c r="A171" s="97">
        <f t="shared" si="2"/>
        <v>6</v>
      </c>
      <c r="B171" s="98"/>
      <c r="C171" s="64" t="s">
        <v>187</v>
      </c>
      <c r="D171" s="65">
        <f>(2.35*5.49)*(10.764)</f>
        <v>138.871746</v>
      </c>
      <c r="E171" s="64">
        <v>0</v>
      </c>
      <c r="F171" s="64">
        <f t="shared" ref="F171:F173" si="4">(D171+E171)*(($F$161)+1)</f>
        <v>215.25120630000001</v>
      </c>
      <c r="G171" s="117"/>
      <c r="H171" s="118"/>
      <c r="I171" s="35"/>
      <c r="L171" s="81"/>
      <c r="M171" s="81"/>
      <c r="N171" s="35"/>
    </row>
    <row r="172" spans="1:14" s="36" customFormat="1" x14ac:dyDescent="0.3">
      <c r="A172" s="97">
        <f t="shared" si="2"/>
        <v>7</v>
      </c>
      <c r="B172" s="98"/>
      <c r="C172" s="64" t="s">
        <v>187</v>
      </c>
      <c r="D172" s="65">
        <f>(2.35*5.49)*(10.764)</f>
        <v>138.871746</v>
      </c>
      <c r="E172" s="64">
        <v>0</v>
      </c>
      <c r="F172" s="64">
        <f t="shared" si="4"/>
        <v>215.25120630000001</v>
      </c>
      <c r="G172" s="117"/>
      <c r="H172" s="118"/>
      <c r="J172" s="35"/>
      <c r="N172" s="35"/>
    </row>
    <row r="173" spans="1:14" x14ac:dyDescent="0.3">
      <c r="A173" s="97">
        <f t="shared" si="2"/>
        <v>8</v>
      </c>
      <c r="B173" s="98"/>
      <c r="C173" s="64" t="s">
        <v>187</v>
      </c>
      <c r="D173" s="65">
        <f>(2.7*5.55)*(10.764)</f>
        <v>161.29854</v>
      </c>
      <c r="E173" s="64">
        <v>0</v>
      </c>
      <c r="F173" s="64">
        <f t="shared" si="4"/>
        <v>250.01273700000002</v>
      </c>
      <c r="G173" s="117"/>
      <c r="H173" s="118"/>
      <c r="I173" s="36"/>
      <c r="J173" s="35"/>
      <c r="K173" s="36"/>
    </row>
    <row r="174" spans="1:14" s="36" customFormat="1" x14ac:dyDescent="0.3">
      <c r="A174" s="97">
        <f t="shared" si="2"/>
        <v>9</v>
      </c>
      <c r="B174" s="98"/>
      <c r="C174" s="64" t="s">
        <v>187</v>
      </c>
      <c r="D174" s="65">
        <f>(2.06*5.55)*(10.764)</f>
        <v>123.06481199999999</v>
      </c>
      <c r="E174" s="64">
        <v>0</v>
      </c>
      <c r="F174" s="64">
        <f>(D174+E174)*(($F$161)+1)</f>
        <v>190.7504586</v>
      </c>
      <c r="G174" s="117"/>
      <c r="H174" s="118"/>
      <c r="I174" s="35"/>
    </row>
    <row r="175" spans="1:14" s="36" customFormat="1" x14ac:dyDescent="0.3">
      <c r="A175" s="97">
        <f t="shared" si="2"/>
        <v>10</v>
      </c>
      <c r="B175" s="98"/>
      <c r="C175" s="64" t="s">
        <v>187</v>
      </c>
      <c r="D175" s="65">
        <f>(2.06*5.55)*(10.764)</f>
        <v>123.06481199999999</v>
      </c>
      <c r="E175" s="64">
        <v>0</v>
      </c>
      <c r="F175" s="64">
        <f t="shared" ref="F175:F177" si="5">(D175+E175)*(($F$161)+1)</f>
        <v>190.7504586</v>
      </c>
      <c r="G175" s="117"/>
      <c r="H175" s="118"/>
      <c r="I175" s="54">
        <f>10.764</f>
        <v>10.763999999999999</v>
      </c>
    </row>
    <row r="176" spans="1:14" s="36" customFormat="1" x14ac:dyDescent="0.3">
      <c r="A176" s="97">
        <f t="shared" si="2"/>
        <v>11</v>
      </c>
      <c r="B176" s="98"/>
      <c r="C176" s="64" t="s">
        <v>187</v>
      </c>
      <c r="D176" s="65">
        <f>(2.7*5.55)*(10.764)</f>
        <v>161.29854</v>
      </c>
      <c r="E176" s="64">
        <v>0</v>
      </c>
      <c r="F176" s="64">
        <f t="shared" si="5"/>
        <v>250.01273700000002</v>
      </c>
      <c r="G176" s="117"/>
      <c r="H176" s="118"/>
      <c r="I176" s="35"/>
    </row>
    <row r="177" spans="1:14" s="36" customFormat="1" ht="15.75" customHeight="1" x14ac:dyDescent="0.3">
      <c r="A177" s="97">
        <f t="shared" si="2"/>
        <v>12</v>
      </c>
      <c r="B177" s="98"/>
      <c r="C177" s="64" t="s">
        <v>187</v>
      </c>
      <c r="D177" s="65">
        <f>(2.35*5.49)*(10.764)</f>
        <v>138.871746</v>
      </c>
      <c r="E177" s="64">
        <v>0</v>
      </c>
      <c r="F177" s="64">
        <f t="shared" si="5"/>
        <v>215.25120630000001</v>
      </c>
      <c r="G177" s="119"/>
      <c r="H177" s="120"/>
      <c r="I177" s="35"/>
      <c r="L177" s="81"/>
      <c r="M177" s="81"/>
      <c r="N177" s="35"/>
    </row>
    <row r="178" spans="1:14" s="36" customFormat="1" ht="15.75" customHeight="1" x14ac:dyDescent="0.3">
      <c r="A178" s="110" t="s">
        <v>194</v>
      </c>
      <c r="B178" s="111"/>
      <c r="C178" s="111"/>
      <c r="D178" s="111"/>
      <c r="E178" s="111"/>
      <c r="F178" s="111"/>
      <c r="G178" s="111"/>
      <c r="H178" s="112"/>
      <c r="I178" s="35"/>
      <c r="L178" s="81"/>
      <c r="M178" s="81"/>
      <c r="N178" s="35"/>
    </row>
    <row r="179" spans="1:14" s="36" customFormat="1" x14ac:dyDescent="0.3">
      <c r="A179" s="110" t="s">
        <v>262</v>
      </c>
      <c r="B179" s="111"/>
      <c r="C179" s="111"/>
      <c r="D179" s="111"/>
      <c r="E179" s="111"/>
      <c r="F179" s="111"/>
      <c r="G179" s="111"/>
      <c r="H179" s="112"/>
      <c r="I179" s="35"/>
      <c r="L179" s="81"/>
      <c r="M179" s="81"/>
      <c r="N179" s="35"/>
    </row>
    <row r="180" spans="1:14" s="36" customFormat="1" x14ac:dyDescent="0.3">
      <c r="A180" s="82">
        <v>1</v>
      </c>
      <c r="B180" s="82"/>
      <c r="C180" s="64" t="s">
        <v>187</v>
      </c>
      <c r="D180" s="65">
        <f>(2.35*5.49)*(10.764)</f>
        <v>138.871746</v>
      </c>
      <c r="E180" s="64">
        <v>0</v>
      </c>
      <c r="F180" s="64">
        <f>(D180+E180)*(($F$161)+1)</f>
        <v>215.25120630000001</v>
      </c>
      <c r="G180" s="82" t="str">
        <f>A179</f>
        <v>Ground Floor For Part Commercial, Part Residential, Meter Room &amp; Society Office</v>
      </c>
      <c r="H180" s="82"/>
      <c r="I180" s="35"/>
      <c r="L180" s="81"/>
      <c r="M180" s="81"/>
      <c r="N180" s="35"/>
    </row>
    <row r="181" spans="1:14" s="36" customFormat="1" x14ac:dyDescent="0.3">
      <c r="A181" s="82">
        <f t="shared" ref="A181:A191" si="6">A180+1</f>
        <v>2</v>
      </c>
      <c r="B181" s="82"/>
      <c r="C181" s="64" t="s">
        <v>187</v>
      </c>
      <c r="D181" s="65">
        <f>(2.7*5.55)*(10.764)</f>
        <v>161.29854</v>
      </c>
      <c r="E181" s="64">
        <v>0</v>
      </c>
      <c r="F181" s="64">
        <f t="shared" ref="F181:F183" si="7">(D181+E181)*(($F$161)+1)</f>
        <v>250.01273700000002</v>
      </c>
      <c r="G181" s="82"/>
      <c r="H181" s="82"/>
      <c r="I181" s="35"/>
      <c r="L181" s="81"/>
      <c r="M181" s="81"/>
      <c r="N181" s="35"/>
    </row>
    <row r="182" spans="1:14" s="36" customFormat="1" x14ac:dyDescent="0.3">
      <c r="A182" s="82">
        <f t="shared" si="6"/>
        <v>3</v>
      </c>
      <c r="B182" s="82"/>
      <c r="C182" s="64" t="s">
        <v>187</v>
      </c>
      <c r="D182" s="65">
        <f>(2.06*5.55)*(10.764)</f>
        <v>123.06481199999999</v>
      </c>
      <c r="E182" s="64">
        <v>0</v>
      </c>
      <c r="F182" s="64">
        <f t="shared" si="7"/>
        <v>190.7504586</v>
      </c>
      <c r="G182" s="82"/>
      <c r="H182" s="82"/>
      <c r="I182" s="35"/>
      <c r="L182" s="81"/>
      <c r="M182" s="81"/>
      <c r="N182" s="35"/>
    </row>
    <row r="183" spans="1:14" s="36" customFormat="1" x14ac:dyDescent="0.3">
      <c r="A183" s="82">
        <f t="shared" si="6"/>
        <v>4</v>
      </c>
      <c r="B183" s="82"/>
      <c r="C183" s="64" t="s">
        <v>187</v>
      </c>
      <c r="D183" s="65">
        <f>(2.06*5.55)*(10.764)</f>
        <v>123.06481199999999</v>
      </c>
      <c r="E183" s="64">
        <v>0</v>
      </c>
      <c r="F183" s="64">
        <f t="shared" si="7"/>
        <v>190.7504586</v>
      </c>
      <c r="G183" s="82"/>
      <c r="H183" s="82"/>
      <c r="I183" s="35"/>
      <c r="L183" s="81"/>
      <c r="M183" s="81"/>
      <c r="N183" s="35"/>
    </row>
    <row r="184" spans="1:14" s="36" customFormat="1" x14ac:dyDescent="0.3">
      <c r="A184" s="82">
        <f t="shared" si="6"/>
        <v>5</v>
      </c>
      <c r="B184" s="82"/>
      <c r="C184" s="64" t="s">
        <v>187</v>
      </c>
      <c r="D184" s="65">
        <f>(2.7*5.55)*(10.764)</f>
        <v>161.29854</v>
      </c>
      <c r="E184" s="64">
        <v>0</v>
      </c>
      <c r="F184" s="64">
        <f>(D184+E184)*(($F$161)+1)</f>
        <v>250.01273700000002</v>
      </c>
      <c r="G184" s="82"/>
      <c r="H184" s="82"/>
      <c r="I184" s="35"/>
      <c r="L184" s="81"/>
      <c r="M184" s="81"/>
      <c r="N184" s="35"/>
    </row>
    <row r="185" spans="1:14" s="36" customFormat="1" x14ac:dyDescent="0.3">
      <c r="A185" s="82">
        <f t="shared" si="6"/>
        <v>6</v>
      </c>
      <c r="B185" s="82"/>
      <c r="C185" s="64" t="s">
        <v>187</v>
      </c>
      <c r="D185" s="65">
        <f>(2.35*5.49)*(10.764)</f>
        <v>138.871746</v>
      </c>
      <c r="E185" s="64">
        <v>0</v>
      </c>
      <c r="F185" s="64">
        <f t="shared" ref="F185:F187" si="8">(D185+E185)*(($F$161)+1)</f>
        <v>215.25120630000001</v>
      </c>
      <c r="G185" s="82"/>
      <c r="H185" s="82"/>
      <c r="I185" s="35"/>
      <c r="L185" s="81"/>
      <c r="M185" s="81"/>
      <c r="N185" s="35"/>
    </row>
    <row r="186" spans="1:14" s="36" customFormat="1" x14ac:dyDescent="0.3">
      <c r="A186" s="82">
        <f t="shared" si="6"/>
        <v>7</v>
      </c>
      <c r="B186" s="82"/>
      <c r="C186" s="64" t="s">
        <v>187</v>
      </c>
      <c r="D186" s="65">
        <f>(2.35*5.49)*(10.764)</f>
        <v>138.871746</v>
      </c>
      <c r="E186" s="64">
        <v>0</v>
      </c>
      <c r="F186" s="64">
        <f t="shared" si="8"/>
        <v>215.25120630000001</v>
      </c>
      <c r="G186" s="82"/>
      <c r="H186" s="82"/>
      <c r="J186" s="35"/>
      <c r="N186" s="35"/>
    </row>
    <row r="187" spans="1:14" x14ac:dyDescent="0.3">
      <c r="A187" s="82">
        <f t="shared" si="6"/>
        <v>8</v>
      </c>
      <c r="B187" s="82"/>
      <c r="C187" s="64" t="s">
        <v>187</v>
      </c>
      <c r="D187" s="65">
        <f>(2.7*5.55)*(10.764)</f>
        <v>161.29854</v>
      </c>
      <c r="E187" s="64">
        <v>0</v>
      </c>
      <c r="F187" s="64">
        <f t="shared" si="8"/>
        <v>250.01273700000002</v>
      </c>
      <c r="G187" s="82"/>
      <c r="H187" s="82"/>
      <c r="I187" s="36"/>
      <c r="J187" s="35"/>
      <c r="K187" s="36"/>
    </row>
    <row r="188" spans="1:14" s="36" customFormat="1" x14ac:dyDescent="0.3">
      <c r="A188" s="82">
        <f t="shared" si="6"/>
        <v>9</v>
      </c>
      <c r="B188" s="82"/>
      <c r="C188" s="64" t="s">
        <v>187</v>
      </c>
      <c r="D188" s="65">
        <f>(2.06*5.55)*(10.764)</f>
        <v>123.06481199999999</v>
      </c>
      <c r="E188" s="64">
        <v>0</v>
      </c>
      <c r="F188" s="64">
        <f>(D188+E188)*(($F$161)+1)</f>
        <v>190.7504586</v>
      </c>
      <c r="G188" s="82"/>
      <c r="H188" s="82"/>
      <c r="I188" s="35"/>
    </row>
    <row r="189" spans="1:14" s="36" customFormat="1" x14ac:dyDescent="0.3">
      <c r="A189" s="82">
        <f t="shared" si="6"/>
        <v>10</v>
      </c>
      <c r="B189" s="82"/>
      <c r="C189" s="64" t="s">
        <v>187</v>
      </c>
      <c r="D189" s="65">
        <f>(2.06*5.55)*(10.764)</f>
        <v>123.06481199999999</v>
      </c>
      <c r="E189" s="64">
        <v>0</v>
      </c>
      <c r="F189" s="64">
        <f t="shared" ref="F189:F191" si="9">(D189+E189)*(($F$161)+1)</f>
        <v>190.7504586</v>
      </c>
      <c r="G189" s="82"/>
      <c r="H189" s="82"/>
      <c r="I189" s="54">
        <f>10.764</f>
        <v>10.763999999999999</v>
      </c>
    </row>
    <row r="190" spans="1:14" s="36" customFormat="1" x14ac:dyDescent="0.3">
      <c r="A190" s="82">
        <f t="shared" si="6"/>
        <v>11</v>
      </c>
      <c r="B190" s="82"/>
      <c r="C190" s="64" t="s">
        <v>187</v>
      </c>
      <c r="D190" s="65">
        <f>(2.7*5.55)*(10.764)</f>
        <v>161.29854</v>
      </c>
      <c r="E190" s="64">
        <v>0</v>
      </c>
      <c r="F190" s="64">
        <f t="shared" si="9"/>
        <v>250.01273700000002</v>
      </c>
      <c r="G190" s="82"/>
      <c r="H190" s="82"/>
      <c r="I190" s="35"/>
    </row>
    <row r="191" spans="1:14" s="36" customFormat="1" ht="15.75" customHeight="1" x14ac:dyDescent="0.3">
      <c r="A191" s="82">
        <f t="shared" si="6"/>
        <v>12</v>
      </c>
      <c r="B191" s="82"/>
      <c r="C191" s="64" t="s">
        <v>187</v>
      </c>
      <c r="D191" s="65">
        <f>(2.35*5.49)*(10.764)</f>
        <v>138.871746</v>
      </c>
      <c r="E191" s="64">
        <v>0</v>
      </c>
      <c r="F191" s="64">
        <f t="shared" si="9"/>
        <v>215.25120630000001</v>
      </c>
      <c r="G191" s="82"/>
      <c r="H191" s="82"/>
      <c r="I191" s="35"/>
      <c r="L191" s="81"/>
      <c r="M191" s="81"/>
      <c r="N191" s="35"/>
    </row>
    <row r="192" spans="1:14" s="36" customFormat="1" x14ac:dyDescent="0.3">
      <c r="A192" s="82"/>
      <c r="B192" s="82"/>
      <c r="C192" s="82"/>
      <c r="D192" s="82"/>
      <c r="E192" s="82"/>
      <c r="F192" s="82"/>
      <c r="G192" s="82"/>
      <c r="H192" s="82"/>
      <c r="I192" s="35"/>
      <c r="L192" s="81"/>
      <c r="M192" s="81"/>
      <c r="N192" s="35"/>
    </row>
    <row r="193" spans="1:14" s="36" customFormat="1" ht="46.8" x14ac:dyDescent="0.3">
      <c r="A193" s="150" t="s">
        <v>233</v>
      </c>
      <c r="B193" s="150" t="s">
        <v>120</v>
      </c>
      <c r="C193" s="150" t="s">
        <v>56</v>
      </c>
      <c r="D193" s="150" t="s">
        <v>57</v>
      </c>
      <c r="E193" s="226" t="s">
        <v>58</v>
      </c>
      <c r="F193" s="72" t="s">
        <v>148</v>
      </c>
      <c r="G193" s="150" t="s">
        <v>59</v>
      </c>
      <c r="H193" s="150"/>
      <c r="I193" s="35"/>
    </row>
    <row r="194" spans="1:14" s="36" customFormat="1" ht="15.75" customHeight="1" x14ac:dyDescent="0.3">
      <c r="A194" s="150"/>
      <c r="B194" s="150"/>
      <c r="C194" s="150"/>
      <c r="D194" s="150"/>
      <c r="E194" s="226"/>
      <c r="F194" s="73">
        <v>0.5</v>
      </c>
      <c r="G194" s="150"/>
      <c r="H194" s="150"/>
      <c r="I194" s="35">
        <f>2.4*3.64+2.7*4+2.1*2.6+2*1.3+0.9*1.4</f>
        <v>28.856000000000005</v>
      </c>
      <c r="L194" s="81"/>
      <c r="M194" s="81"/>
      <c r="N194" s="35"/>
    </row>
    <row r="195" spans="1:14" s="36" customFormat="1" ht="15.75" customHeight="1" x14ac:dyDescent="0.3">
      <c r="A195" s="110" t="s">
        <v>226</v>
      </c>
      <c r="B195" s="111"/>
      <c r="C195" s="111"/>
      <c r="D195" s="111"/>
      <c r="E195" s="111"/>
      <c r="F195" s="111"/>
      <c r="G195" s="111"/>
      <c r="H195" s="112"/>
      <c r="I195" s="53"/>
      <c r="L195" s="81"/>
      <c r="M195" s="81"/>
      <c r="N195" s="35"/>
    </row>
    <row r="196" spans="1:14" s="36" customFormat="1" ht="15.75" customHeight="1" x14ac:dyDescent="0.3">
      <c r="A196" s="175" t="s">
        <v>197</v>
      </c>
      <c r="B196" s="176"/>
      <c r="C196" s="176"/>
      <c r="D196" s="176"/>
      <c r="E196" s="176"/>
      <c r="F196" s="176"/>
      <c r="G196" s="176"/>
      <c r="H196" s="177"/>
      <c r="I196" s="35"/>
      <c r="L196" s="81"/>
      <c r="M196" s="81"/>
      <c r="N196" s="35"/>
    </row>
    <row r="197" spans="1:14" s="36" customFormat="1" ht="15.75" customHeight="1" x14ac:dyDescent="0.3">
      <c r="A197" s="110" t="s">
        <v>257</v>
      </c>
      <c r="B197" s="111"/>
      <c r="C197" s="111"/>
      <c r="D197" s="111"/>
      <c r="E197" s="111"/>
      <c r="F197" s="111"/>
      <c r="G197" s="111"/>
      <c r="H197" s="112"/>
      <c r="I197" s="35"/>
      <c r="L197" s="81"/>
      <c r="M197" s="81"/>
      <c r="N197" s="35"/>
    </row>
    <row r="198" spans="1:14" s="36" customFormat="1" x14ac:dyDescent="0.3">
      <c r="A198" s="97">
        <v>1</v>
      </c>
      <c r="B198" s="98"/>
      <c r="C198" s="64" t="s">
        <v>182</v>
      </c>
      <c r="D198" s="65">
        <f t="shared" ref="D198:D207" si="10">(29.8)*(10.764)</f>
        <v>320.7672</v>
      </c>
      <c r="E198" s="64">
        <v>0</v>
      </c>
      <c r="F198" s="64">
        <f t="shared" ref="F198:F205" si="11">D198*(($F$194)+1)+(IF(E198&lt;101,E198,IF(E198&lt;201,E198/2,IF(E198&lt;=301,E198/3,E198/4))))</f>
        <v>481.1508</v>
      </c>
      <c r="G198" s="115" t="str">
        <f>A197</f>
        <v>Ground Floor For Residential &amp; Society Office</v>
      </c>
      <c r="H198" s="116"/>
      <c r="I198" s="35"/>
      <c r="L198" s="81"/>
      <c r="M198" s="81"/>
      <c r="N198" s="35"/>
    </row>
    <row r="199" spans="1:14" s="36" customFormat="1" x14ac:dyDescent="0.3">
      <c r="A199" s="97">
        <f t="shared" ref="A199:A213" si="12">A198+1</f>
        <v>2</v>
      </c>
      <c r="B199" s="98"/>
      <c r="C199" s="64" t="s">
        <v>182</v>
      </c>
      <c r="D199" s="65">
        <f t="shared" si="10"/>
        <v>320.7672</v>
      </c>
      <c r="E199" s="64">
        <v>0</v>
      </c>
      <c r="F199" s="64">
        <f t="shared" si="11"/>
        <v>481.1508</v>
      </c>
      <c r="G199" s="117"/>
      <c r="H199" s="118"/>
      <c r="I199" s="35"/>
      <c r="L199" s="81"/>
      <c r="M199" s="81"/>
      <c r="N199" s="35"/>
    </row>
    <row r="200" spans="1:14" s="36" customFormat="1" x14ac:dyDescent="0.3">
      <c r="A200" s="97">
        <f t="shared" si="12"/>
        <v>3</v>
      </c>
      <c r="B200" s="98"/>
      <c r="C200" s="64" t="s">
        <v>182</v>
      </c>
      <c r="D200" s="65">
        <f t="shared" si="10"/>
        <v>320.7672</v>
      </c>
      <c r="E200" s="64">
        <v>0</v>
      </c>
      <c r="F200" s="64">
        <f t="shared" si="11"/>
        <v>481.1508</v>
      </c>
      <c r="G200" s="117"/>
      <c r="H200" s="118"/>
      <c r="I200" s="35"/>
      <c r="L200" s="81"/>
      <c r="M200" s="81"/>
      <c r="N200" s="35"/>
    </row>
    <row r="201" spans="1:14" s="36" customFormat="1" x14ac:dyDescent="0.3">
      <c r="A201" s="97">
        <f t="shared" si="12"/>
        <v>4</v>
      </c>
      <c r="B201" s="98"/>
      <c r="C201" s="64" t="s">
        <v>182</v>
      </c>
      <c r="D201" s="65">
        <f t="shared" si="10"/>
        <v>320.7672</v>
      </c>
      <c r="E201" s="64">
        <v>0</v>
      </c>
      <c r="F201" s="64">
        <f t="shared" si="11"/>
        <v>481.1508</v>
      </c>
      <c r="G201" s="117"/>
      <c r="H201" s="118"/>
      <c r="I201" s="35"/>
      <c r="L201" s="81"/>
      <c r="M201" s="81"/>
      <c r="N201" s="35"/>
    </row>
    <row r="202" spans="1:14" s="36" customFormat="1" x14ac:dyDescent="0.3">
      <c r="A202" s="97">
        <f t="shared" si="12"/>
        <v>5</v>
      </c>
      <c r="B202" s="98"/>
      <c r="C202" s="64" t="s">
        <v>182</v>
      </c>
      <c r="D202" s="65">
        <f t="shared" si="10"/>
        <v>320.7672</v>
      </c>
      <c r="E202" s="64">
        <v>0</v>
      </c>
      <c r="F202" s="64">
        <f t="shared" si="11"/>
        <v>481.1508</v>
      </c>
      <c r="G202" s="117"/>
      <c r="H202" s="118"/>
      <c r="I202" s="35"/>
      <c r="L202" s="81"/>
      <c r="M202" s="81"/>
      <c r="N202" s="35"/>
    </row>
    <row r="203" spans="1:14" s="36" customFormat="1" x14ac:dyDescent="0.3">
      <c r="A203" s="97">
        <f t="shared" si="12"/>
        <v>6</v>
      </c>
      <c r="B203" s="98"/>
      <c r="C203" s="64" t="s">
        <v>182</v>
      </c>
      <c r="D203" s="65">
        <f t="shared" si="10"/>
        <v>320.7672</v>
      </c>
      <c r="E203" s="64">
        <v>0</v>
      </c>
      <c r="F203" s="64">
        <f t="shared" si="11"/>
        <v>481.1508</v>
      </c>
      <c r="G203" s="117"/>
      <c r="H203" s="118"/>
      <c r="I203" s="35"/>
      <c r="L203" s="81"/>
      <c r="M203" s="81"/>
      <c r="N203" s="35"/>
    </row>
    <row r="204" spans="1:14" s="36" customFormat="1" x14ac:dyDescent="0.3">
      <c r="A204" s="97">
        <f t="shared" si="12"/>
        <v>7</v>
      </c>
      <c r="B204" s="98"/>
      <c r="C204" s="64" t="s">
        <v>182</v>
      </c>
      <c r="D204" s="65">
        <f t="shared" si="10"/>
        <v>320.7672</v>
      </c>
      <c r="E204" s="64">
        <v>0</v>
      </c>
      <c r="F204" s="64">
        <f t="shared" si="11"/>
        <v>481.1508</v>
      </c>
      <c r="G204" s="117"/>
      <c r="H204" s="118"/>
      <c r="I204" s="35"/>
      <c r="L204" s="81"/>
      <c r="M204" s="81"/>
      <c r="N204" s="35"/>
    </row>
    <row r="205" spans="1:14" s="36" customFormat="1" x14ac:dyDescent="0.3">
      <c r="A205" s="97">
        <f t="shared" si="12"/>
        <v>8</v>
      </c>
      <c r="B205" s="98"/>
      <c r="C205" s="64" t="s">
        <v>182</v>
      </c>
      <c r="D205" s="65">
        <f t="shared" si="10"/>
        <v>320.7672</v>
      </c>
      <c r="E205" s="64">
        <v>0</v>
      </c>
      <c r="F205" s="64">
        <f t="shared" si="11"/>
        <v>481.1508</v>
      </c>
      <c r="G205" s="117"/>
      <c r="H205" s="118"/>
      <c r="I205" s="35"/>
      <c r="L205" s="81"/>
      <c r="M205" s="81"/>
      <c r="N205" s="35"/>
    </row>
    <row r="206" spans="1:14" s="36" customFormat="1" x14ac:dyDescent="0.3">
      <c r="A206" s="97">
        <f t="shared" si="12"/>
        <v>9</v>
      </c>
      <c r="B206" s="98"/>
      <c r="C206" s="64" t="s">
        <v>182</v>
      </c>
      <c r="D206" s="65">
        <f t="shared" si="10"/>
        <v>320.7672</v>
      </c>
      <c r="E206" s="64">
        <v>0</v>
      </c>
      <c r="F206" s="64">
        <f t="shared" ref="F206:F207" si="13">D206*(($F$194)+1)+(IF(E206&lt;101,E206,IF(E206&lt;201,E206/2,IF(E206&lt;=301,E206/3,E206/4))))</f>
        <v>481.1508</v>
      </c>
      <c r="G206" s="117"/>
      <c r="H206" s="118"/>
      <c r="I206" s="35"/>
      <c r="L206" s="81"/>
      <c r="M206" s="81"/>
      <c r="N206" s="35"/>
    </row>
    <row r="207" spans="1:14" s="36" customFormat="1" x14ac:dyDescent="0.3">
      <c r="A207" s="97">
        <f t="shared" si="12"/>
        <v>10</v>
      </c>
      <c r="B207" s="98"/>
      <c r="C207" s="64" t="s">
        <v>182</v>
      </c>
      <c r="D207" s="65">
        <f t="shared" si="10"/>
        <v>320.7672</v>
      </c>
      <c r="E207" s="64">
        <v>0</v>
      </c>
      <c r="F207" s="64">
        <f t="shared" si="13"/>
        <v>481.1508</v>
      </c>
      <c r="G207" s="117"/>
      <c r="H207" s="118"/>
      <c r="J207" s="35"/>
      <c r="L207" s="81"/>
      <c r="M207" s="81"/>
      <c r="N207" s="35"/>
    </row>
    <row r="208" spans="1:14" s="36" customFormat="1" x14ac:dyDescent="0.3">
      <c r="A208" s="97">
        <f t="shared" si="12"/>
        <v>11</v>
      </c>
      <c r="B208" s="98"/>
      <c r="C208" s="64" t="s">
        <v>182</v>
      </c>
      <c r="D208" s="65">
        <f t="shared" ref="D208:D212" si="14">(29.8)*(10.764)</f>
        <v>320.7672</v>
      </c>
      <c r="E208" s="64">
        <v>0</v>
      </c>
      <c r="F208" s="64">
        <f>D208*(($F$194)+1)+(IF(E208&lt;101,E208,IF(E208&lt;201,E208/2,IF(E208&lt;=301,E208/3,E208/4))))</f>
        <v>481.1508</v>
      </c>
      <c r="G208" s="117"/>
      <c r="H208" s="118"/>
      <c r="I208" s="35">
        <f>2.7*4+2.4*3.64+2.1*2.6+2*1.3+1.3*1</f>
        <v>28.896000000000004</v>
      </c>
      <c r="L208" s="81"/>
      <c r="M208" s="81"/>
      <c r="N208" s="35"/>
    </row>
    <row r="209" spans="1:14" s="36" customFormat="1" x14ac:dyDescent="0.3">
      <c r="A209" s="97">
        <f t="shared" si="12"/>
        <v>12</v>
      </c>
      <c r="B209" s="98"/>
      <c r="C209" s="64" t="s">
        <v>182</v>
      </c>
      <c r="D209" s="65">
        <f t="shared" si="14"/>
        <v>320.7672</v>
      </c>
      <c r="E209" s="64">
        <v>0</v>
      </c>
      <c r="F209" s="64">
        <f>D209*(($F$194)+1)+(IF(E209&lt;101,E209,IF(E209&lt;201,E209/2,IF(E209&lt;=301,E209/3,E209/4))))</f>
        <v>481.1508</v>
      </c>
      <c r="G209" s="117"/>
      <c r="H209" s="118"/>
      <c r="I209" s="35"/>
      <c r="L209" s="81"/>
      <c r="M209" s="81"/>
      <c r="N209" s="35"/>
    </row>
    <row r="210" spans="1:14" s="36" customFormat="1" x14ac:dyDescent="0.3">
      <c r="A210" s="97">
        <f t="shared" si="12"/>
        <v>13</v>
      </c>
      <c r="B210" s="98"/>
      <c r="C210" s="64" t="s">
        <v>182</v>
      </c>
      <c r="D210" s="65">
        <f t="shared" si="14"/>
        <v>320.7672</v>
      </c>
      <c r="E210" s="64">
        <v>0</v>
      </c>
      <c r="F210" s="64">
        <f>D210*(($F$194)+1)+(IF(E210&lt;101,E210,IF(E210&lt;201,E210/2,IF(E210&lt;=301,E210/3,E210/4))))</f>
        <v>481.1508</v>
      </c>
      <c r="G210" s="117"/>
      <c r="H210" s="118"/>
      <c r="I210" s="35"/>
    </row>
    <row r="211" spans="1:14" s="36" customFormat="1" ht="15.75" customHeight="1" x14ac:dyDescent="0.3">
      <c r="A211" s="97">
        <f t="shared" si="12"/>
        <v>14</v>
      </c>
      <c r="B211" s="98"/>
      <c r="C211" s="64" t="s">
        <v>182</v>
      </c>
      <c r="D211" s="65">
        <f t="shared" si="14"/>
        <v>320.7672</v>
      </c>
      <c r="E211" s="64">
        <v>0</v>
      </c>
      <c r="F211" s="64">
        <f>D211*(($F$194)+1)+(IF(E211&lt;101,E211,IF(E211&lt;201,E211/2,IF(E211&lt;=301,E211/3,E211/4))))</f>
        <v>481.1508</v>
      </c>
      <c r="G211" s="117"/>
      <c r="H211" s="118"/>
      <c r="I211" s="35"/>
      <c r="L211" s="81"/>
      <c r="M211" s="81"/>
      <c r="N211" s="35"/>
    </row>
    <row r="212" spans="1:14" s="36" customFormat="1" ht="15.75" customHeight="1" x14ac:dyDescent="0.3">
      <c r="A212" s="97">
        <f t="shared" si="12"/>
        <v>15</v>
      </c>
      <c r="B212" s="98"/>
      <c r="C212" s="64" t="s">
        <v>182</v>
      </c>
      <c r="D212" s="65">
        <f t="shared" si="14"/>
        <v>320.7672</v>
      </c>
      <c r="E212" s="64">
        <v>0</v>
      </c>
      <c r="F212" s="64">
        <f>D212*(($F$194)+1)+(IF(E212&lt;101,E212,IF(E212&lt;201,E212/2,IF(E212&lt;=301,E212/3,E212/4))))</f>
        <v>481.1508</v>
      </c>
      <c r="G212" s="117"/>
      <c r="H212" s="118"/>
      <c r="I212" s="53"/>
      <c r="L212" s="81"/>
      <c r="M212" s="81"/>
      <c r="N212" s="35"/>
    </row>
    <row r="213" spans="1:14" s="36" customFormat="1" ht="15.75" customHeight="1" x14ac:dyDescent="0.3">
      <c r="A213" s="97">
        <f t="shared" si="12"/>
        <v>16</v>
      </c>
      <c r="B213" s="98"/>
      <c r="C213" s="97" t="s">
        <v>183</v>
      </c>
      <c r="D213" s="174"/>
      <c r="E213" s="174"/>
      <c r="F213" s="98"/>
      <c r="G213" s="119"/>
      <c r="H213" s="120"/>
      <c r="I213" s="35"/>
      <c r="L213" s="81"/>
      <c r="M213" s="81"/>
      <c r="N213" s="35"/>
    </row>
    <row r="214" spans="1:14" s="36" customFormat="1" ht="15.75" customHeight="1" x14ac:dyDescent="0.3">
      <c r="A214" s="110" t="s">
        <v>184</v>
      </c>
      <c r="B214" s="111"/>
      <c r="C214" s="111"/>
      <c r="D214" s="111"/>
      <c r="E214" s="111"/>
      <c r="F214" s="111"/>
      <c r="G214" s="111"/>
      <c r="H214" s="112"/>
      <c r="I214" s="35"/>
      <c r="L214" s="81"/>
      <c r="M214" s="81"/>
      <c r="N214" s="35"/>
    </row>
    <row r="215" spans="1:14" s="36" customFormat="1" x14ac:dyDescent="0.3">
      <c r="A215" s="82">
        <v>1</v>
      </c>
      <c r="B215" s="82"/>
      <c r="C215" s="64" t="s">
        <v>182</v>
      </c>
      <c r="D215" s="65">
        <f t="shared" ref="D215:D230" si="15">(29.8)*(10.764)</f>
        <v>320.7672</v>
      </c>
      <c r="E215" s="64">
        <v>0</v>
      </c>
      <c r="F215" s="64">
        <f>D215*(($F$194)+1)+(IF(E215&lt;101,E215,IF(E215&lt;201,E215/2,IF(E215&lt;=301,E215/3,E215/4))))</f>
        <v>481.1508</v>
      </c>
      <c r="G215" s="82" t="str">
        <f>A214</f>
        <v>1st to 6th, 8th to 11th, 13th to 16th Floor For Residential</v>
      </c>
      <c r="H215" s="82"/>
      <c r="I215" s="35"/>
      <c r="L215" s="81"/>
      <c r="M215" s="81"/>
      <c r="N215" s="35"/>
    </row>
    <row r="216" spans="1:14" s="36" customFormat="1" x14ac:dyDescent="0.3">
      <c r="A216" s="82">
        <f t="shared" ref="A216:A230" si="16">A215+1</f>
        <v>2</v>
      </c>
      <c r="B216" s="82"/>
      <c r="C216" s="64" t="s">
        <v>182</v>
      </c>
      <c r="D216" s="65">
        <f t="shared" si="15"/>
        <v>320.7672</v>
      </c>
      <c r="E216" s="64">
        <v>0</v>
      </c>
      <c r="F216" s="64">
        <f t="shared" ref="F216:F230" si="17">D216*(($F$194)+1)+(IF(E216&lt;101,E216,IF(E216&lt;201,E216/2,IF(E216&lt;=301,E216/3,E216/4))))</f>
        <v>481.1508</v>
      </c>
      <c r="G216" s="82"/>
      <c r="H216" s="82"/>
      <c r="I216" s="35"/>
      <c r="L216" s="81"/>
      <c r="M216" s="81"/>
      <c r="N216" s="35"/>
    </row>
    <row r="217" spans="1:14" s="36" customFormat="1" x14ac:dyDescent="0.3">
      <c r="A217" s="82">
        <f t="shared" si="16"/>
        <v>3</v>
      </c>
      <c r="B217" s="82"/>
      <c r="C217" s="64" t="s">
        <v>182</v>
      </c>
      <c r="D217" s="65">
        <f t="shared" si="15"/>
        <v>320.7672</v>
      </c>
      <c r="E217" s="64">
        <v>0</v>
      </c>
      <c r="F217" s="64">
        <f t="shared" si="17"/>
        <v>481.1508</v>
      </c>
      <c r="G217" s="82"/>
      <c r="H217" s="82"/>
      <c r="I217" s="35"/>
      <c r="L217" s="81"/>
      <c r="M217" s="81"/>
      <c r="N217" s="35"/>
    </row>
    <row r="218" spans="1:14" s="36" customFormat="1" x14ac:dyDescent="0.3">
      <c r="A218" s="82">
        <f t="shared" si="16"/>
        <v>4</v>
      </c>
      <c r="B218" s="82"/>
      <c r="C218" s="64" t="s">
        <v>182</v>
      </c>
      <c r="D218" s="65">
        <f t="shared" si="15"/>
        <v>320.7672</v>
      </c>
      <c r="E218" s="64">
        <v>0</v>
      </c>
      <c r="F218" s="64">
        <f t="shared" si="17"/>
        <v>481.1508</v>
      </c>
      <c r="G218" s="82"/>
      <c r="H218" s="82"/>
      <c r="I218" s="35"/>
      <c r="L218" s="81"/>
      <c r="M218" s="81"/>
      <c r="N218" s="35"/>
    </row>
    <row r="219" spans="1:14" s="36" customFormat="1" x14ac:dyDescent="0.3">
      <c r="A219" s="82">
        <f t="shared" si="16"/>
        <v>5</v>
      </c>
      <c r="B219" s="82"/>
      <c r="C219" s="64" t="s">
        <v>182</v>
      </c>
      <c r="D219" s="65">
        <f t="shared" si="15"/>
        <v>320.7672</v>
      </c>
      <c r="E219" s="64">
        <v>0</v>
      </c>
      <c r="F219" s="64">
        <f t="shared" si="17"/>
        <v>481.1508</v>
      </c>
      <c r="G219" s="82"/>
      <c r="H219" s="82"/>
      <c r="I219" s="35"/>
      <c r="L219" s="81"/>
      <c r="M219" s="81"/>
      <c r="N219" s="35"/>
    </row>
    <row r="220" spans="1:14" s="36" customFormat="1" x14ac:dyDescent="0.3">
      <c r="A220" s="82">
        <f t="shared" si="16"/>
        <v>6</v>
      </c>
      <c r="B220" s="82"/>
      <c r="C220" s="64" t="s">
        <v>182</v>
      </c>
      <c r="D220" s="65">
        <f t="shared" si="15"/>
        <v>320.7672</v>
      </c>
      <c r="E220" s="64">
        <v>0</v>
      </c>
      <c r="F220" s="64">
        <f t="shared" si="17"/>
        <v>481.1508</v>
      </c>
      <c r="G220" s="82"/>
      <c r="H220" s="82"/>
      <c r="I220" s="35"/>
      <c r="L220" s="81"/>
      <c r="M220" s="81"/>
      <c r="N220" s="35"/>
    </row>
    <row r="221" spans="1:14" s="36" customFormat="1" x14ac:dyDescent="0.3">
      <c r="A221" s="82">
        <f t="shared" si="16"/>
        <v>7</v>
      </c>
      <c r="B221" s="82"/>
      <c r="C221" s="64" t="s">
        <v>182</v>
      </c>
      <c r="D221" s="65">
        <f t="shared" si="15"/>
        <v>320.7672</v>
      </c>
      <c r="E221" s="64">
        <v>0</v>
      </c>
      <c r="F221" s="64">
        <f t="shared" si="17"/>
        <v>481.1508</v>
      </c>
      <c r="G221" s="82"/>
      <c r="H221" s="82"/>
      <c r="I221" s="35"/>
      <c r="L221" s="81"/>
      <c r="M221" s="81"/>
      <c r="N221" s="35"/>
    </row>
    <row r="222" spans="1:14" s="36" customFormat="1" x14ac:dyDescent="0.3">
      <c r="A222" s="82">
        <f t="shared" si="16"/>
        <v>8</v>
      </c>
      <c r="B222" s="82"/>
      <c r="C222" s="64" t="s">
        <v>182</v>
      </c>
      <c r="D222" s="65">
        <f t="shared" si="15"/>
        <v>320.7672</v>
      </c>
      <c r="E222" s="64">
        <v>0</v>
      </c>
      <c r="F222" s="64">
        <f t="shared" si="17"/>
        <v>481.1508</v>
      </c>
      <c r="G222" s="82"/>
      <c r="H222" s="82"/>
      <c r="I222" s="35"/>
      <c r="L222" s="81"/>
      <c r="M222" s="81"/>
      <c r="N222" s="35"/>
    </row>
    <row r="223" spans="1:14" s="36" customFormat="1" x14ac:dyDescent="0.3">
      <c r="A223" s="82">
        <f t="shared" si="16"/>
        <v>9</v>
      </c>
      <c r="B223" s="82"/>
      <c r="C223" s="64" t="s">
        <v>182</v>
      </c>
      <c r="D223" s="65">
        <f t="shared" si="15"/>
        <v>320.7672</v>
      </c>
      <c r="E223" s="64">
        <v>0</v>
      </c>
      <c r="F223" s="64">
        <f t="shared" si="17"/>
        <v>481.1508</v>
      </c>
      <c r="G223" s="82"/>
      <c r="H223" s="82"/>
      <c r="I223" s="35"/>
      <c r="L223" s="81"/>
      <c r="M223" s="81"/>
      <c r="N223" s="35"/>
    </row>
    <row r="224" spans="1:14" s="36" customFormat="1" x14ac:dyDescent="0.3">
      <c r="A224" s="82">
        <f t="shared" si="16"/>
        <v>10</v>
      </c>
      <c r="B224" s="82"/>
      <c r="C224" s="64" t="s">
        <v>182</v>
      </c>
      <c r="D224" s="65">
        <f t="shared" si="15"/>
        <v>320.7672</v>
      </c>
      <c r="E224" s="64">
        <v>0</v>
      </c>
      <c r="F224" s="64">
        <f t="shared" si="17"/>
        <v>481.1508</v>
      </c>
      <c r="G224" s="82"/>
      <c r="H224" s="82"/>
      <c r="J224" s="35"/>
      <c r="L224" s="81"/>
      <c r="M224" s="81"/>
      <c r="N224" s="35"/>
    </row>
    <row r="225" spans="1:14" s="36" customFormat="1" x14ac:dyDescent="0.3">
      <c r="A225" s="82">
        <f t="shared" si="16"/>
        <v>11</v>
      </c>
      <c r="B225" s="82"/>
      <c r="C225" s="64" t="s">
        <v>182</v>
      </c>
      <c r="D225" s="65">
        <f t="shared" si="15"/>
        <v>320.7672</v>
      </c>
      <c r="E225" s="64">
        <v>0</v>
      </c>
      <c r="F225" s="64">
        <f t="shared" si="17"/>
        <v>481.1508</v>
      </c>
      <c r="G225" s="82"/>
      <c r="H225" s="82"/>
      <c r="I225" s="35">
        <f>2.7*4+2.4*3.64+2.1*2.6+2*1.3+1.3*1</f>
        <v>28.896000000000004</v>
      </c>
      <c r="L225" s="81"/>
      <c r="M225" s="81"/>
      <c r="N225" s="35"/>
    </row>
    <row r="226" spans="1:14" s="36" customFormat="1" x14ac:dyDescent="0.3">
      <c r="A226" s="82">
        <f t="shared" si="16"/>
        <v>12</v>
      </c>
      <c r="B226" s="82"/>
      <c r="C226" s="64" t="s">
        <v>182</v>
      </c>
      <c r="D226" s="65">
        <f t="shared" si="15"/>
        <v>320.7672</v>
      </c>
      <c r="E226" s="64">
        <v>0</v>
      </c>
      <c r="F226" s="64">
        <f t="shared" si="17"/>
        <v>481.1508</v>
      </c>
      <c r="G226" s="82"/>
      <c r="H226" s="82"/>
      <c r="I226" s="35"/>
      <c r="L226" s="81"/>
      <c r="M226" s="81"/>
      <c r="N226" s="35"/>
    </row>
    <row r="227" spans="1:14" s="36" customFormat="1" x14ac:dyDescent="0.3">
      <c r="A227" s="82">
        <f t="shared" si="16"/>
        <v>13</v>
      </c>
      <c r="B227" s="82"/>
      <c r="C227" s="64" t="s">
        <v>182</v>
      </c>
      <c r="D227" s="65">
        <f t="shared" si="15"/>
        <v>320.7672</v>
      </c>
      <c r="E227" s="64">
        <v>0</v>
      </c>
      <c r="F227" s="64">
        <f t="shared" si="17"/>
        <v>481.1508</v>
      </c>
      <c r="G227" s="82"/>
      <c r="H227" s="82"/>
      <c r="I227" s="35"/>
      <c r="L227" s="81"/>
      <c r="M227" s="81"/>
    </row>
    <row r="228" spans="1:14" s="36" customFormat="1" x14ac:dyDescent="0.3">
      <c r="A228" s="82">
        <f t="shared" si="16"/>
        <v>14</v>
      </c>
      <c r="B228" s="82"/>
      <c r="C228" s="64" t="s">
        <v>182</v>
      </c>
      <c r="D228" s="65">
        <f t="shared" si="15"/>
        <v>320.7672</v>
      </c>
      <c r="E228" s="64">
        <v>0</v>
      </c>
      <c r="F228" s="64">
        <f t="shared" si="17"/>
        <v>481.1508</v>
      </c>
      <c r="G228" s="82"/>
      <c r="H228" s="82"/>
      <c r="I228" s="35"/>
      <c r="L228" s="81"/>
      <c r="M228" s="81"/>
    </row>
    <row r="229" spans="1:14" s="36" customFormat="1" x14ac:dyDescent="0.3">
      <c r="A229" s="82">
        <f t="shared" si="16"/>
        <v>15</v>
      </c>
      <c r="B229" s="82"/>
      <c r="C229" s="64" t="s">
        <v>182</v>
      </c>
      <c r="D229" s="65">
        <f t="shared" si="15"/>
        <v>320.7672</v>
      </c>
      <c r="E229" s="64">
        <v>0</v>
      </c>
      <c r="F229" s="64">
        <f t="shared" si="17"/>
        <v>481.1508</v>
      </c>
      <c r="G229" s="82"/>
      <c r="H229" s="82"/>
      <c r="I229" s="53"/>
      <c r="L229" s="81"/>
      <c r="M229" s="81"/>
    </row>
    <row r="230" spans="1:14" s="36" customFormat="1" ht="15.75" customHeight="1" x14ac:dyDescent="0.3">
      <c r="A230" s="82">
        <f t="shared" si="16"/>
        <v>16</v>
      </c>
      <c r="B230" s="82"/>
      <c r="C230" s="64" t="s">
        <v>182</v>
      </c>
      <c r="D230" s="65">
        <f t="shared" si="15"/>
        <v>320.7672</v>
      </c>
      <c r="E230" s="64">
        <v>0</v>
      </c>
      <c r="F230" s="64">
        <f t="shared" si="17"/>
        <v>481.1508</v>
      </c>
      <c r="G230" s="82"/>
      <c r="H230" s="82"/>
      <c r="I230" s="35"/>
      <c r="N230" s="35"/>
    </row>
    <row r="231" spans="1:14" s="36" customFormat="1" ht="15.75" customHeight="1" x14ac:dyDescent="0.3">
      <c r="A231" s="114" t="s">
        <v>258</v>
      </c>
      <c r="B231" s="114"/>
      <c r="C231" s="114"/>
      <c r="D231" s="114"/>
      <c r="E231" s="114"/>
      <c r="F231" s="114"/>
      <c r="G231" s="114"/>
      <c r="H231" s="114"/>
      <c r="I231" s="35"/>
      <c r="N231" s="35"/>
    </row>
    <row r="232" spans="1:14" s="36" customFormat="1" ht="15.75" customHeight="1" x14ac:dyDescent="0.3">
      <c r="A232" s="82">
        <v>1</v>
      </c>
      <c r="B232" s="82"/>
      <c r="C232" s="64" t="s">
        <v>182</v>
      </c>
      <c r="D232" s="65">
        <f t="shared" ref="D232:D245" si="18">(29.8)*(10.764)</f>
        <v>320.7672</v>
      </c>
      <c r="E232" s="64">
        <v>0</v>
      </c>
      <c r="F232" s="64">
        <f t="shared" ref="F232:F245" si="19">D232*(($F$194)+1)+(IF(E232&lt;101,E232,IF(E232&lt;201,E232/2,IF(E232&lt;=301,E232/3,E232/4))))</f>
        <v>481.1508</v>
      </c>
      <c r="G232" s="82" t="str">
        <f>A231</f>
        <v>7th &amp; 12th Floor (Part Refuge Area)</v>
      </c>
      <c r="H232" s="82"/>
      <c r="I232" s="35"/>
    </row>
    <row r="233" spans="1:14" s="36" customFormat="1" ht="15.75" customHeight="1" x14ac:dyDescent="0.3">
      <c r="A233" s="82">
        <f t="shared" ref="A233:A247" si="20">A232+1</f>
        <v>2</v>
      </c>
      <c r="B233" s="82"/>
      <c r="C233" s="64" t="s">
        <v>182</v>
      </c>
      <c r="D233" s="65">
        <f t="shared" si="18"/>
        <v>320.7672</v>
      </c>
      <c r="E233" s="64">
        <v>0</v>
      </c>
      <c r="F233" s="64">
        <f t="shared" si="19"/>
        <v>481.1508</v>
      </c>
      <c r="G233" s="82"/>
      <c r="H233" s="82"/>
      <c r="I233" s="35"/>
    </row>
    <row r="234" spans="1:14" s="36" customFormat="1" ht="15.75" customHeight="1" x14ac:dyDescent="0.3">
      <c r="A234" s="82">
        <f t="shared" si="20"/>
        <v>3</v>
      </c>
      <c r="B234" s="82"/>
      <c r="C234" s="64" t="s">
        <v>182</v>
      </c>
      <c r="D234" s="65">
        <f t="shared" si="18"/>
        <v>320.7672</v>
      </c>
      <c r="E234" s="64">
        <v>0</v>
      </c>
      <c r="F234" s="64">
        <f t="shared" si="19"/>
        <v>481.1508</v>
      </c>
      <c r="G234" s="82"/>
      <c r="H234" s="82"/>
      <c r="I234" s="35"/>
    </row>
    <row r="235" spans="1:14" s="36" customFormat="1" ht="15.75" customHeight="1" x14ac:dyDescent="0.3">
      <c r="A235" s="82">
        <f t="shared" si="20"/>
        <v>4</v>
      </c>
      <c r="B235" s="82"/>
      <c r="C235" s="64" t="s">
        <v>182</v>
      </c>
      <c r="D235" s="65">
        <f t="shared" si="18"/>
        <v>320.7672</v>
      </c>
      <c r="E235" s="64">
        <v>0</v>
      </c>
      <c r="F235" s="64">
        <f t="shared" si="19"/>
        <v>481.1508</v>
      </c>
      <c r="G235" s="82"/>
      <c r="H235" s="82"/>
      <c r="I235" s="35"/>
    </row>
    <row r="236" spans="1:14" s="36" customFormat="1" ht="15.75" customHeight="1" x14ac:dyDescent="0.3">
      <c r="A236" s="82">
        <f t="shared" si="20"/>
        <v>5</v>
      </c>
      <c r="B236" s="82"/>
      <c r="C236" s="64" t="s">
        <v>182</v>
      </c>
      <c r="D236" s="65">
        <f t="shared" si="18"/>
        <v>320.7672</v>
      </c>
      <c r="E236" s="64">
        <v>0</v>
      </c>
      <c r="F236" s="64">
        <f t="shared" si="19"/>
        <v>481.1508</v>
      </c>
      <c r="G236" s="82"/>
      <c r="H236" s="82"/>
      <c r="I236" s="35"/>
    </row>
    <row r="237" spans="1:14" s="36" customFormat="1" ht="15.75" customHeight="1" x14ac:dyDescent="0.3">
      <c r="A237" s="82">
        <f t="shared" si="20"/>
        <v>6</v>
      </c>
      <c r="B237" s="82"/>
      <c r="C237" s="64" t="s">
        <v>182</v>
      </c>
      <c r="D237" s="65">
        <f t="shared" si="18"/>
        <v>320.7672</v>
      </c>
      <c r="E237" s="64">
        <v>0</v>
      </c>
      <c r="F237" s="64">
        <f t="shared" si="19"/>
        <v>481.1508</v>
      </c>
      <c r="G237" s="82"/>
      <c r="H237" s="82"/>
      <c r="I237" s="35"/>
    </row>
    <row r="238" spans="1:14" s="36" customFormat="1" ht="15.75" customHeight="1" x14ac:dyDescent="0.3">
      <c r="A238" s="82">
        <f t="shared" si="20"/>
        <v>7</v>
      </c>
      <c r="B238" s="82"/>
      <c r="C238" s="64" t="s">
        <v>182</v>
      </c>
      <c r="D238" s="65">
        <f t="shared" si="18"/>
        <v>320.7672</v>
      </c>
      <c r="E238" s="64">
        <v>0</v>
      </c>
      <c r="F238" s="64">
        <f t="shared" si="19"/>
        <v>481.1508</v>
      </c>
      <c r="G238" s="82"/>
      <c r="H238" s="82"/>
      <c r="I238" s="35"/>
    </row>
    <row r="239" spans="1:14" s="36" customFormat="1" ht="15.75" customHeight="1" x14ac:dyDescent="0.3">
      <c r="A239" s="82">
        <f t="shared" si="20"/>
        <v>8</v>
      </c>
      <c r="B239" s="82"/>
      <c r="C239" s="64" t="s">
        <v>182</v>
      </c>
      <c r="D239" s="65">
        <f t="shared" si="18"/>
        <v>320.7672</v>
      </c>
      <c r="E239" s="64">
        <v>0</v>
      </c>
      <c r="F239" s="64">
        <f t="shared" si="19"/>
        <v>481.1508</v>
      </c>
      <c r="G239" s="82"/>
      <c r="H239" s="82"/>
      <c r="I239" s="35"/>
    </row>
    <row r="240" spans="1:14" s="36" customFormat="1" ht="15.75" customHeight="1" x14ac:dyDescent="0.3">
      <c r="A240" s="82">
        <f t="shared" si="20"/>
        <v>9</v>
      </c>
      <c r="B240" s="82"/>
      <c r="C240" s="64" t="s">
        <v>182</v>
      </c>
      <c r="D240" s="65">
        <f t="shared" si="18"/>
        <v>320.7672</v>
      </c>
      <c r="E240" s="64">
        <v>0</v>
      </c>
      <c r="F240" s="64">
        <f t="shared" si="19"/>
        <v>481.1508</v>
      </c>
      <c r="G240" s="82"/>
      <c r="H240" s="82"/>
      <c r="I240" s="35"/>
    </row>
    <row r="241" spans="1:13" s="36" customFormat="1" ht="15.75" customHeight="1" x14ac:dyDescent="0.3">
      <c r="A241" s="82">
        <f t="shared" si="20"/>
        <v>10</v>
      </c>
      <c r="B241" s="82"/>
      <c r="C241" s="64" t="s">
        <v>182</v>
      </c>
      <c r="D241" s="65">
        <f t="shared" si="18"/>
        <v>320.7672</v>
      </c>
      <c r="E241" s="64">
        <v>0</v>
      </c>
      <c r="F241" s="64">
        <f t="shared" si="19"/>
        <v>481.1508</v>
      </c>
      <c r="G241" s="82"/>
      <c r="H241" s="82"/>
      <c r="I241" s="35"/>
    </row>
    <row r="242" spans="1:13" s="36" customFormat="1" ht="15.75" customHeight="1" x14ac:dyDescent="0.3">
      <c r="A242" s="82">
        <f t="shared" si="20"/>
        <v>11</v>
      </c>
      <c r="B242" s="82"/>
      <c r="C242" s="64" t="s">
        <v>182</v>
      </c>
      <c r="D242" s="65">
        <f t="shared" si="18"/>
        <v>320.7672</v>
      </c>
      <c r="E242" s="64">
        <v>0</v>
      </c>
      <c r="F242" s="64">
        <f t="shared" si="19"/>
        <v>481.1508</v>
      </c>
      <c r="G242" s="82"/>
      <c r="H242" s="82"/>
      <c r="I242" s="35"/>
    </row>
    <row r="243" spans="1:13" s="36" customFormat="1" ht="15.75" customHeight="1" x14ac:dyDescent="0.3">
      <c r="A243" s="82">
        <f t="shared" si="20"/>
        <v>12</v>
      </c>
      <c r="B243" s="82"/>
      <c r="C243" s="64" t="s">
        <v>182</v>
      </c>
      <c r="D243" s="65">
        <f t="shared" si="18"/>
        <v>320.7672</v>
      </c>
      <c r="E243" s="64">
        <v>0</v>
      </c>
      <c r="F243" s="64">
        <f t="shared" si="19"/>
        <v>481.1508</v>
      </c>
      <c r="G243" s="82"/>
      <c r="H243" s="82"/>
      <c r="I243" s="35"/>
    </row>
    <row r="244" spans="1:13" s="36" customFormat="1" ht="15.75" customHeight="1" x14ac:dyDescent="0.3">
      <c r="A244" s="82">
        <f t="shared" si="20"/>
        <v>13</v>
      </c>
      <c r="B244" s="82"/>
      <c r="C244" s="64" t="s">
        <v>182</v>
      </c>
      <c r="D244" s="65">
        <f t="shared" si="18"/>
        <v>320.7672</v>
      </c>
      <c r="E244" s="64">
        <v>0</v>
      </c>
      <c r="F244" s="64">
        <f t="shared" si="19"/>
        <v>481.1508</v>
      </c>
      <c r="G244" s="82"/>
      <c r="H244" s="82"/>
      <c r="I244" s="35"/>
    </row>
    <row r="245" spans="1:13" s="36" customFormat="1" ht="15.75" customHeight="1" x14ac:dyDescent="0.3">
      <c r="A245" s="82">
        <f t="shared" si="20"/>
        <v>14</v>
      </c>
      <c r="B245" s="82"/>
      <c r="C245" s="64" t="s">
        <v>182</v>
      </c>
      <c r="D245" s="65">
        <f t="shared" si="18"/>
        <v>320.7672</v>
      </c>
      <c r="E245" s="64">
        <v>0</v>
      </c>
      <c r="F245" s="64">
        <f t="shared" si="19"/>
        <v>481.1508</v>
      </c>
      <c r="G245" s="82"/>
      <c r="H245" s="82"/>
      <c r="I245" s="35"/>
    </row>
    <row r="246" spans="1:13" s="36" customFormat="1" ht="15.75" customHeight="1" x14ac:dyDescent="0.3">
      <c r="A246" s="82">
        <f t="shared" si="20"/>
        <v>15</v>
      </c>
      <c r="B246" s="82"/>
      <c r="C246" s="82" t="s">
        <v>186</v>
      </c>
      <c r="D246" s="82"/>
      <c r="E246" s="82"/>
      <c r="F246" s="82"/>
      <c r="G246" s="82"/>
      <c r="H246" s="82"/>
      <c r="I246" s="35"/>
    </row>
    <row r="247" spans="1:13" s="36" customFormat="1" ht="15.75" customHeight="1" x14ac:dyDescent="0.3">
      <c r="A247" s="82">
        <f t="shared" si="20"/>
        <v>16</v>
      </c>
      <c r="B247" s="82"/>
      <c r="C247" s="82"/>
      <c r="D247" s="82"/>
      <c r="E247" s="82"/>
      <c r="F247" s="82"/>
      <c r="G247" s="82"/>
      <c r="H247" s="82"/>
      <c r="I247" s="35"/>
    </row>
    <row r="248" spans="1:13" s="36" customFormat="1" ht="15.75" customHeight="1" x14ac:dyDescent="0.3">
      <c r="A248" s="171" t="s">
        <v>195</v>
      </c>
      <c r="B248" s="171"/>
      <c r="C248" s="171"/>
      <c r="D248" s="171"/>
      <c r="E248" s="171"/>
      <c r="F248" s="171"/>
      <c r="G248" s="171"/>
      <c r="H248" s="171"/>
      <c r="I248" s="35"/>
    </row>
    <row r="249" spans="1:13" s="36" customFormat="1" ht="15.75" customHeight="1" x14ac:dyDescent="0.3">
      <c r="A249" s="155" t="s">
        <v>196</v>
      </c>
      <c r="B249" s="155"/>
      <c r="C249" s="155"/>
      <c r="D249" s="155"/>
      <c r="E249" s="155"/>
      <c r="F249" s="155"/>
      <c r="G249" s="155"/>
      <c r="H249" s="155"/>
      <c r="I249" s="35"/>
    </row>
    <row r="250" spans="1:13" s="36" customFormat="1" ht="15.75" customHeight="1" x14ac:dyDescent="0.3">
      <c r="A250" s="85" t="s">
        <v>263</v>
      </c>
      <c r="B250" s="86"/>
      <c r="C250" s="86"/>
      <c r="D250" s="86"/>
      <c r="E250" s="86"/>
      <c r="F250" s="86"/>
      <c r="G250" s="86"/>
      <c r="H250" s="87"/>
      <c r="I250" s="35"/>
    </row>
    <row r="251" spans="1:13" s="36" customFormat="1" ht="15.75" customHeight="1" x14ac:dyDescent="0.3">
      <c r="A251" s="83">
        <v>1</v>
      </c>
      <c r="B251" s="84"/>
      <c r="C251" s="88" t="s">
        <v>260</v>
      </c>
      <c r="D251" s="89"/>
      <c r="E251" s="89"/>
      <c r="F251" s="90"/>
      <c r="G251" s="88" t="str">
        <f>A250</f>
        <v>Ground Floor for Part Residential, Part Commercial, Meter room &amp; Creche</v>
      </c>
      <c r="H251" s="90"/>
      <c r="I251" s="35"/>
    </row>
    <row r="252" spans="1:13" s="36" customFormat="1" ht="15.75" customHeight="1" x14ac:dyDescent="0.3">
      <c r="A252" s="83">
        <f>A251+1</f>
        <v>2</v>
      </c>
      <c r="B252" s="84"/>
      <c r="C252" s="91"/>
      <c r="D252" s="92"/>
      <c r="E252" s="92"/>
      <c r="F252" s="93"/>
      <c r="G252" s="94"/>
      <c r="H252" s="95"/>
      <c r="I252" s="35"/>
    </row>
    <row r="253" spans="1:13" s="36" customFormat="1" ht="15.75" customHeight="1" x14ac:dyDescent="0.3">
      <c r="A253" s="83">
        <f t="shared" ref="A253:A255" si="21">A252+1</f>
        <v>3</v>
      </c>
      <c r="B253" s="84"/>
      <c r="C253" s="41" t="s">
        <v>182</v>
      </c>
      <c r="D253" s="54">
        <f t="shared" ref="D253:D256" si="22">(29.8)*(10.764)</f>
        <v>320.7672</v>
      </c>
      <c r="E253" s="54">
        <f>0*(10.764)</f>
        <v>0</v>
      </c>
      <c r="F253" s="41">
        <f t="shared" ref="F253:F256" si="23">D253*(($F$194)+1)+(IF(E253&lt;101,E253,IF(E253&lt;201,E253/2,IF(E253&lt;=301,E253/3,E253/4))))</f>
        <v>481.1508</v>
      </c>
      <c r="G253" s="94"/>
      <c r="H253" s="95"/>
      <c r="I253" s="35"/>
    </row>
    <row r="254" spans="1:13" s="36" customFormat="1" ht="15.75" customHeight="1" x14ac:dyDescent="0.3">
      <c r="A254" s="83">
        <f t="shared" si="21"/>
        <v>4</v>
      </c>
      <c r="B254" s="84"/>
      <c r="C254" s="83" t="s">
        <v>228</v>
      </c>
      <c r="D254" s="96"/>
      <c r="E254" s="96"/>
      <c r="F254" s="84"/>
      <c r="G254" s="94"/>
      <c r="H254" s="95"/>
      <c r="I254" s="35"/>
    </row>
    <row r="255" spans="1:13" s="36" customFormat="1" ht="15.75" customHeight="1" x14ac:dyDescent="0.3">
      <c r="A255" s="83">
        <f t="shared" si="21"/>
        <v>5</v>
      </c>
      <c r="B255" s="84"/>
      <c r="C255" s="41" t="s">
        <v>182</v>
      </c>
      <c r="D255" s="54">
        <f t="shared" si="22"/>
        <v>320.7672</v>
      </c>
      <c r="E255" s="54">
        <f>0*(10.764)</f>
        <v>0</v>
      </c>
      <c r="F255" s="41">
        <f t="shared" si="23"/>
        <v>481.1508</v>
      </c>
      <c r="G255" s="94"/>
      <c r="H255" s="95"/>
      <c r="I255" s="35"/>
    </row>
    <row r="256" spans="1:13" s="36" customFormat="1" x14ac:dyDescent="0.3">
      <c r="A256" s="83">
        <f>A255+1</f>
        <v>6</v>
      </c>
      <c r="B256" s="84"/>
      <c r="C256" s="41" t="s">
        <v>182</v>
      </c>
      <c r="D256" s="54">
        <f t="shared" si="22"/>
        <v>320.7672</v>
      </c>
      <c r="E256" s="54">
        <f>0*(10.764)</f>
        <v>0</v>
      </c>
      <c r="F256" s="41">
        <f t="shared" si="23"/>
        <v>481.1508</v>
      </c>
      <c r="G256" s="94"/>
      <c r="H256" s="95"/>
      <c r="I256" s="35"/>
      <c r="L256" s="81"/>
      <c r="M256" s="81"/>
    </row>
    <row r="257" spans="1:14" s="36" customFormat="1" x14ac:dyDescent="0.3">
      <c r="A257" s="83">
        <f t="shared" ref="A257:A258" si="24">A256+1</f>
        <v>7</v>
      </c>
      <c r="B257" s="84"/>
      <c r="C257" s="88" t="s">
        <v>260</v>
      </c>
      <c r="D257" s="89"/>
      <c r="E257" s="89"/>
      <c r="F257" s="90"/>
      <c r="G257" s="94"/>
      <c r="H257" s="95"/>
      <c r="I257" s="35"/>
      <c r="L257" s="81"/>
      <c r="M257" s="81"/>
    </row>
    <row r="258" spans="1:14" s="36" customFormat="1" ht="15.75" customHeight="1" x14ac:dyDescent="0.3">
      <c r="A258" s="83">
        <f t="shared" si="24"/>
        <v>8</v>
      </c>
      <c r="B258" s="84"/>
      <c r="C258" s="91"/>
      <c r="D258" s="92"/>
      <c r="E258" s="92"/>
      <c r="F258" s="93"/>
      <c r="G258" s="91"/>
      <c r="H258" s="93"/>
      <c r="I258" s="35"/>
      <c r="N258" s="35"/>
    </row>
    <row r="259" spans="1:14" s="36" customFormat="1" ht="15.75" customHeight="1" x14ac:dyDescent="0.3">
      <c r="A259" s="85" t="s">
        <v>188</v>
      </c>
      <c r="B259" s="86"/>
      <c r="C259" s="86"/>
      <c r="D259" s="86"/>
      <c r="E259" s="86"/>
      <c r="F259" s="86"/>
      <c r="G259" s="86"/>
      <c r="H259" s="87"/>
      <c r="I259" s="35"/>
    </row>
    <row r="260" spans="1:14" s="36" customFormat="1" ht="15.75" customHeight="1" x14ac:dyDescent="0.3">
      <c r="A260" s="83">
        <v>1</v>
      </c>
      <c r="B260" s="84"/>
      <c r="C260" s="41" t="s">
        <v>182</v>
      </c>
      <c r="D260" s="54">
        <f t="shared" ref="D260:D267" si="25">(29.8)*(10.764)</f>
        <v>320.7672</v>
      </c>
      <c r="E260" s="54">
        <f>(2.5*1.6+5*1.4)*(10.764)</f>
        <v>118.404</v>
      </c>
      <c r="F260" s="41">
        <f t="shared" ref="F260:F267" si="26">D260*(($F$194)+1)+(IF(E260&lt;101,E260,IF(E260&lt;201,E260/2,IF(E260&lt;=301,E260/3,E260/4))))</f>
        <v>540.3528</v>
      </c>
      <c r="G260" s="88" t="str">
        <f>A259</f>
        <v>1st Floor For Residential</v>
      </c>
      <c r="H260" s="90"/>
      <c r="I260" s="35"/>
    </row>
    <row r="261" spans="1:14" s="36" customFormat="1" ht="15.75" customHeight="1" x14ac:dyDescent="0.3">
      <c r="A261" s="83">
        <f>A260+1</f>
        <v>2</v>
      </c>
      <c r="B261" s="84"/>
      <c r="C261" s="41" t="s">
        <v>182</v>
      </c>
      <c r="D261" s="54">
        <f t="shared" si="25"/>
        <v>320.7672</v>
      </c>
      <c r="E261" s="54">
        <f>(2.5*1.6+5*1.4)*(10.764)</f>
        <v>118.404</v>
      </c>
      <c r="F261" s="41">
        <f t="shared" si="26"/>
        <v>540.3528</v>
      </c>
      <c r="G261" s="94"/>
      <c r="H261" s="95"/>
      <c r="I261" s="35"/>
    </row>
    <row r="262" spans="1:14" s="36" customFormat="1" ht="15.75" customHeight="1" x14ac:dyDescent="0.3">
      <c r="A262" s="83">
        <f t="shared" ref="A262:A264" si="27">A261+1</f>
        <v>3</v>
      </c>
      <c r="B262" s="84"/>
      <c r="C262" s="41" t="s">
        <v>182</v>
      </c>
      <c r="D262" s="54">
        <f t="shared" si="25"/>
        <v>320.7672</v>
      </c>
      <c r="E262" s="54">
        <f>0*(10.764)</f>
        <v>0</v>
      </c>
      <c r="F262" s="41">
        <f t="shared" si="26"/>
        <v>481.1508</v>
      </c>
      <c r="G262" s="94"/>
      <c r="H262" s="95"/>
      <c r="I262" s="35"/>
    </row>
    <row r="263" spans="1:14" s="36" customFormat="1" ht="15.75" customHeight="1" x14ac:dyDescent="0.3">
      <c r="A263" s="83">
        <f t="shared" si="27"/>
        <v>4</v>
      </c>
      <c r="B263" s="84"/>
      <c r="C263" s="41" t="s">
        <v>182</v>
      </c>
      <c r="D263" s="54">
        <f t="shared" si="25"/>
        <v>320.7672</v>
      </c>
      <c r="E263" s="54">
        <f>0*(10.764)</f>
        <v>0</v>
      </c>
      <c r="F263" s="41">
        <f t="shared" si="26"/>
        <v>481.1508</v>
      </c>
      <c r="G263" s="94"/>
      <c r="H263" s="95"/>
      <c r="I263" s="35"/>
    </row>
    <row r="264" spans="1:14" s="36" customFormat="1" ht="15.75" customHeight="1" x14ac:dyDescent="0.3">
      <c r="A264" s="83">
        <f t="shared" si="27"/>
        <v>5</v>
      </c>
      <c r="B264" s="84"/>
      <c r="C264" s="41" t="s">
        <v>182</v>
      </c>
      <c r="D264" s="54">
        <f t="shared" si="25"/>
        <v>320.7672</v>
      </c>
      <c r="E264" s="54">
        <f>0*(10.764)</f>
        <v>0</v>
      </c>
      <c r="F264" s="41">
        <f t="shared" si="26"/>
        <v>481.1508</v>
      </c>
      <c r="G264" s="94"/>
      <c r="H264" s="95"/>
      <c r="I264" s="35"/>
    </row>
    <row r="265" spans="1:14" s="36" customFormat="1" x14ac:dyDescent="0.3">
      <c r="A265" s="83">
        <f>A264+1</f>
        <v>6</v>
      </c>
      <c r="B265" s="84"/>
      <c r="C265" s="41" t="s">
        <v>182</v>
      </c>
      <c r="D265" s="54">
        <f t="shared" si="25"/>
        <v>320.7672</v>
      </c>
      <c r="E265" s="54">
        <f>0*(10.764)</f>
        <v>0</v>
      </c>
      <c r="F265" s="41">
        <f t="shared" si="26"/>
        <v>481.1508</v>
      </c>
      <c r="G265" s="94"/>
      <c r="H265" s="95"/>
      <c r="I265" s="35"/>
      <c r="L265" s="81"/>
      <c r="M265" s="81"/>
    </row>
    <row r="266" spans="1:14" s="36" customFormat="1" x14ac:dyDescent="0.3">
      <c r="A266" s="83">
        <f t="shared" ref="A266:A267" si="28">A265+1</f>
        <v>7</v>
      </c>
      <c r="B266" s="84"/>
      <c r="C266" s="41" t="s">
        <v>182</v>
      </c>
      <c r="D266" s="54">
        <f t="shared" si="25"/>
        <v>320.7672</v>
      </c>
      <c r="E266" s="54">
        <f>(2.5*1.6+5*1.4)*(10.764)</f>
        <v>118.404</v>
      </c>
      <c r="F266" s="41">
        <f t="shared" si="26"/>
        <v>540.3528</v>
      </c>
      <c r="G266" s="94"/>
      <c r="H266" s="95"/>
      <c r="I266" s="35"/>
      <c r="L266" s="81"/>
      <c r="M266" s="81"/>
    </row>
    <row r="267" spans="1:14" s="36" customFormat="1" ht="15.75" customHeight="1" x14ac:dyDescent="0.3">
      <c r="A267" s="83">
        <f t="shared" si="28"/>
        <v>8</v>
      </c>
      <c r="B267" s="84"/>
      <c r="C267" s="41" t="s">
        <v>182</v>
      </c>
      <c r="D267" s="54">
        <f t="shared" si="25"/>
        <v>320.7672</v>
      </c>
      <c r="E267" s="54">
        <f>(2.5*1.6+5*1.4)*(10.764)</f>
        <v>118.404</v>
      </c>
      <c r="F267" s="41">
        <f t="shared" si="26"/>
        <v>540.3528</v>
      </c>
      <c r="G267" s="91"/>
      <c r="H267" s="93"/>
      <c r="I267" s="35"/>
      <c r="N267" s="35"/>
    </row>
    <row r="268" spans="1:14" s="36" customFormat="1" ht="15.75" customHeight="1" x14ac:dyDescent="0.3">
      <c r="A268" s="155" t="s">
        <v>189</v>
      </c>
      <c r="B268" s="155"/>
      <c r="C268" s="155"/>
      <c r="D268" s="155"/>
      <c r="E268" s="155"/>
      <c r="F268" s="155"/>
      <c r="G268" s="155"/>
      <c r="H268" s="155"/>
      <c r="I268" s="35"/>
      <c r="N268" s="35"/>
    </row>
    <row r="269" spans="1:14" s="36" customFormat="1" ht="15.75" customHeight="1" x14ac:dyDescent="0.3">
      <c r="A269" s="156">
        <v>1</v>
      </c>
      <c r="B269" s="156"/>
      <c r="C269" s="41" t="s">
        <v>182</v>
      </c>
      <c r="D269" s="54">
        <f t="shared" ref="D269:D276" si="29">(29.8)*(10.764)</f>
        <v>320.7672</v>
      </c>
      <c r="E269" s="41">
        <v>0</v>
      </c>
      <c r="F269" s="41">
        <f t="shared" ref="F269:F276" si="30">D269*(($F$194)+1)+(IF(E269&lt;101,E269,IF(E269&lt;201,E269/2,IF(E269&lt;=301,E269/3,E269/4))))</f>
        <v>481.1508</v>
      </c>
      <c r="G269" s="156" t="str">
        <f>A268</f>
        <v>2nd to 6th, 8th to 11th &amp; 13th to 16th Floor For Residential</v>
      </c>
      <c r="H269" s="156"/>
      <c r="I269" s="35"/>
    </row>
    <row r="270" spans="1:14" s="36" customFormat="1" ht="15.75" customHeight="1" x14ac:dyDescent="0.3">
      <c r="A270" s="156">
        <f>A269+1</f>
        <v>2</v>
      </c>
      <c r="B270" s="156"/>
      <c r="C270" s="41" t="s">
        <v>182</v>
      </c>
      <c r="D270" s="54">
        <f t="shared" si="29"/>
        <v>320.7672</v>
      </c>
      <c r="E270" s="41">
        <v>0</v>
      </c>
      <c r="F270" s="41">
        <f t="shared" si="30"/>
        <v>481.1508</v>
      </c>
      <c r="G270" s="156"/>
      <c r="H270" s="156"/>
      <c r="I270" s="35"/>
    </row>
    <row r="271" spans="1:14" s="36" customFormat="1" ht="15.75" customHeight="1" x14ac:dyDescent="0.3">
      <c r="A271" s="156">
        <f t="shared" ref="A271:A273" si="31">A270+1</f>
        <v>3</v>
      </c>
      <c r="B271" s="156"/>
      <c r="C271" s="41" t="s">
        <v>182</v>
      </c>
      <c r="D271" s="54">
        <f t="shared" si="29"/>
        <v>320.7672</v>
      </c>
      <c r="E271" s="41">
        <v>0</v>
      </c>
      <c r="F271" s="41">
        <f t="shared" si="30"/>
        <v>481.1508</v>
      </c>
      <c r="G271" s="156"/>
      <c r="H271" s="156"/>
      <c r="I271" s="35"/>
    </row>
    <row r="272" spans="1:14" s="36" customFormat="1" ht="15.75" customHeight="1" x14ac:dyDescent="0.3">
      <c r="A272" s="156">
        <f t="shared" si="31"/>
        <v>4</v>
      </c>
      <c r="B272" s="156"/>
      <c r="C272" s="41" t="s">
        <v>182</v>
      </c>
      <c r="D272" s="54">
        <f t="shared" si="29"/>
        <v>320.7672</v>
      </c>
      <c r="E272" s="41">
        <v>0</v>
      </c>
      <c r="F272" s="41">
        <f t="shared" si="30"/>
        <v>481.1508</v>
      </c>
      <c r="G272" s="156"/>
      <c r="H272" s="156"/>
      <c r="I272" s="35"/>
    </row>
    <row r="273" spans="1:9" s="36" customFormat="1" ht="15.75" customHeight="1" x14ac:dyDescent="0.3">
      <c r="A273" s="156">
        <f t="shared" si="31"/>
        <v>5</v>
      </c>
      <c r="B273" s="156"/>
      <c r="C273" s="41" t="s">
        <v>182</v>
      </c>
      <c r="D273" s="54">
        <f t="shared" si="29"/>
        <v>320.7672</v>
      </c>
      <c r="E273" s="41">
        <v>0</v>
      </c>
      <c r="F273" s="41">
        <f t="shared" si="30"/>
        <v>481.1508</v>
      </c>
      <c r="G273" s="156"/>
      <c r="H273" s="156"/>
      <c r="I273" s="35"/>
    </row>
    <row r="274" spans="1:9" s="36" customFormat="1" ht="15.75" customHeight="1" x14ac:dyDescent="0.3">
      <c r="A274" s="156">
        <f>A273+1</f>
        <v>6</v>
      </c>
      <c r="B274" s="156"/>
      <c r="C274" s="41" t="s">
        <v>182</v>
      </c>
      <c r="D274" s="54">
        <f t="shared" si="29"/>
        <v>320.7672</v>
      </c>
      <c r="E274" s="41">
        <v>0</v>
      </c>
      <c r="F274" s="41">
        <f t="shared" si="30"/>
        <v>481.1508</v>
      </c>
      <c r="G274" s="156"/>
      <c r="H274" s="156"/>
      <c r="I274" s="35"/>
    </row>
    <row r="275" spans="1:9" s="36" customFormat="1" ht="15.75" customHeight="1" x14ac:dyDescent="0.3">
      <c r="A275" s="156">
        <f t="shared" ref="A275:A276" si="32">A274+1</f>
        <v>7</v>
      </c>
      <c r="B275" s="156"/>
      <c r="C275" s="41" t="s">
        <v>182</v>
      </c>
      <c r="D275" s="54">
        <f t="shared" si="29"/>
        <v>320.7672</v>
      </c>
      <c r="E275" s="41">
        <v>0</v>
      </c>
      <c r="F275" s="41">
        <f t="shared" si="30"/>
        <v>481.1508</v>
      </c>
      <c r="G275" s="156"/>
      <c r="H275" s="156"/>
      <c r="I275" s="35"/>
    </row>
    <row r="276" spans="1:9" s="36" customFormat="1" ht="15.75" customHeight="1" x14ac:dyDescent="0.3">
      <c r="A276" s="156">
        <f t="shared" si="32"/>
        <v>8</v>
      </c>
      <c r="B276" s="156"/>
      <c r="C276" s="41" t="s">
        <v>182</v>
      </c>
      <c r="D276" s="54">
        <f t="shared" si="29"/>
        <v>320.7672</v>
      </c>
      <c r="E276" s="41">
        <v>0</v>
      </c>
      <c r="F276" s="41">
        <f t="shared" si="30"/>
        <v>481.1508</v>
      </c>
      <c r="G276" s="156"/>
      <c r="H276" s="156"/>
      <c r="I276" s="35"/>
    </row>
    <row r="277" spans="1:9" s="36" customFormat="1" ht="15.75" customHeight="1" x14ac:dyDescent="0.3">
      <c r="A277" s="85" t="s">
        <v>185</v>
      </c>
      <c r="B277" s="86"/>
      <c r="C277" s="86"/>
      <c r="D277" s="86"/>
      <c r="E277" s="86"/>
      <c r="F277" s="86"/>
      <c r="G277" s="86"/>
      <c r="H277" s="87"/>
      <c r="I277" s="35"/>
    </row>
    <row r="278" spans="1:9" s="36" customFormat="1" ht="15.75" customHeight="1" x14ac:dyDescent="0.3">
      <c r="A278" s="83">
        <v>1</v>
      </c>
      <c r="B278" s="84"/>
      <c r="C278" s="41" t="s">
        <v>182</v>
      </c>
      <c r="D278" s="54">
        <f t="shared" ref="D278:D284" si="33">(29.8)*(10.764)</f>
        <v>320.7672</v>
      </c>
      <c r="E278" s="41">
        <v>0</v>
      </c>
      <c r="F278" s="41">
        <f t="shared" ref="F278:F284" si="34">D278*(($F$194)+1)+(IF(E278&lt;101,E278,IF(E278&lt;201,E278/2,IF(E278&lt;=301,E278/3,E278/4))))</f>
        <v>481.1508</v>
      </c>
      <c r="G278" s="88" t="str">
        <f>A277</f>
        <v>7th &amp; 12th Floor For Residential (Part Refuge Area)</v>
      </c>
      <c r="H278" s="90"/>
      <c r="I278" s="35"/>
    </row>
    <row r="279" spans="1:9" s="36" customFormat="1" ht="15.75" customHeight="1" x14ac:dyDescent="0.3">
      <c r="A279" s="83">
        <f>A278+1</f>
        <v>2</v>
      </c>
      <c r="B279" s="84"/>
      <c r="C279" s="41" t="s">
        <v>182</v>
      </c>
      <c r="D279" s="54">
        <f t="shared" si="33"/>
        <v>320.7672</v>
      </c>
      <c r="E279" s="41">
        <v>0</v>
      </c>
      <c r="F279" s="41">
        <f t="shared" si="34"/>
        <v>481.1508</v>
      </c>
      <c r="G279" s="94"/>
      <c r="H279" s="95"/>
      <c r="I279" s="35"/>
    </row>
    <row r="280" spans="1:9" s="36" customFormat="1" ht="15.75" customHeight="1" x14ac:dyDescent="0.3">
      <c r="A280" s="83">
        <f t="shared" ref="A280:A282" si="35">A279+1</f>
        <v>3</v>
      </c>
      <c r="B280" s="84"/>
      <c r="C280" s="41" t="s">
        <v>182</v>
      </c>
      <c r="D280" s="54">
        <f t="shared" si="33"/>
        <v>320.7672</v>
      </c>
      <c r="E280" s="41">
        <v>0</v>
      </c>
      <c r="F280" s="41">
        <f t="shared" si="34"/>
        <v>481.1508</v>
      </c>
      <c r="G280" s="94"/>
      <c r="H280" s="95"/>
      <c r="I280" s="35"/>
    </row>
    <row r="281" spans="1:9" s="36" customFormat="1" ht="15.75" customHeight="1" x14ac:dyDescent="0.3">
      <c r="A281" s="83">
        <f t="shared" si="35"/>
        <v>4</v>
      </c>
      <c r="B281" s="84"/>
      <c r="C281" s="41" t="s">
        <v>182</v>
      </c>
      <c r="D281" s="54">
        <f t="shared" si="33"/>
        <v>320.7672</v>
      </c>
      <c r="E281" s="41">
        <v>0</v>
      </c>
      <c r="F281" s="41">
        <f t="shared" si="34"/>
        <v>481.1508</v>
      </c>
      <c r="G281" s="94"/>
      <c r="H281" s="95"/>
      <c r="I281" s="35"/>
    </row>
    <row r="282" spans="1:9" s="36" customFormat="1" ht="15.75" customHeight="1" x14ac:dyDescent="0.3">
      <c r="A282" s="83">
        <f t="shared" si="35"/>
        <v>5</v>
      </c>
      <c r="B282" s="84"/>
      <c r="C282" s="41" t="s">
        <v>182</v>
      </c>
      <c r="D282" s="54">
        <f t="shared" si="33"/>
        <v>320.7672</v>
      </c>
      <c r="E282" s="41">
        <v>0</v>
      </c>
      <c r="F282" s="41">
        <f t="shared" si="34"/>
        <v>481.1508</v>
      </c>
      <c r="G282" s="94"/>
      <c r="H282" s="95"/>
      <c r="I282" s="35"/>
    </row>
    <row r="283" spans="1:9" s="36" customFormat="1" ht="15.75" customHeight="1" x14ac:dyDescent="0.3">
      <c r="A283" s="83">
        <f>A282+1</f>
        <v>6</v>
      </c>
      <c r="B283" s="84"/>
      <c r="C283" s="41" t="s">
        <v>182</v>
      </c>
      <c r="D283" s="54">
        <f t="shared" si="33"/>
        <v>320.7672</v>
      </c>
      <c r="E283" s="41">
        <v>0</v>
      </c>
      <c r="F283" s="41">
        <f t="shared" si="34"/>
        <v>481.1508</v>
      </c>
      <c r="G283" s="94"/>
      <c r="H283" s="95"/>
      <c r="I283" s="35"/>
    </row>
    <row r="284" spans="1:9" s="36" customFormat="1" ht="15.75" customHeight="1" x14ac:dyDescent="0.3">
      <c r="A284" s="83">
        <f t="shared" ref="A284:A285" si="36">A283+1</f>
        <v>7</v>
      </c>
      <c r="B284" s="84"/>
      <c r="C284" s="41" t="s">
        <v>182</v>
      </c>
      <c r="D284" s="54">
        <f t="shared" si="33"/>
        <v>320.7672</v>
      </c>
      <c r="E284" s="41">
        <v>0</v>
      </c>
      <c r="F284" s="41">
        <f t="shared" si="34"/>
        <v>481.1508</v>
      </c>
      <c r="G284" s="94"/>
      <c r="H284" s="95"/>
      <c r="I284" s="35"/>
    </row>
    <row r="285" spans="1:9" s="36" customFormat="1" ht="15.75" customHeight="1" x14ac:dyDescent="0.3">
      <c r="A285" s="83">
        <f t="shared" si="36"/>
        <v>8</v>
      </c>
      <c r="B285" s="84"/>
      <c r="C285" s="83" t="s">
        <v>186</v>
      </c>
      <c r="D285" s="96"/>
      <c r="E285" s="96"/>
      <c r="F285" s="84"/>
      <c r="G285" s="91"/>
      <c r="H285" s="93"/>
      <c r="I285" s="35"/>
    </row>
    <row r="286" spans="1:9" s="36" customFormat="1" ht="15.75" customHeight="1" x14ac:dyDescent="0.3">
      <c r="A286" s="155" t="s">
        <v>194</v>
      </c>
      <c r="B286" s="155"/>
      <c r="C286" s="155"/>
      <c r="D286" s="155"/>
      <c r="E286" s="155"/>
      <c r="F286" s="155"/>
      <c r="G286" s="155"/>
      <c r="H286" s="155"/>
      <c r="I286" s="35"/>
    </row>
    <row r="287" spans="1:9" s="36" customFormat="1" ht="15.75" customHeight="1" x14ac:dyDescent="0.3">
      <c r="A287" s="85" t="s">
        <v>264</v>
      </c>
      <c r="B287" s="86"/>
      <c r="C287" s="86"/>
      <c r="D287" s="86"/>
      <c r="E287" s="86"/>
      <c r="F287" s="86"/>
      <c r="G287" s="86"/>
      <c r="H287" s="87"/>
      <c r="I287" s="35"/>
    </row>
    <row r="288" spans="1:9" s="36" customFormat="1" ht="15.75" customHeight="1" x14ac:dyDescent="0.3">
      <c r="A288" s="83">
        <v>1</v>
      </c>
      <c r="B288" s="84"/>
      <c r="C288" s="88" t="s">
        <v>260</v>
      </c>
      <c r="D288" s="89"/>
      <c r="E288" s="89"/>
      <c r="F288" s="90"/>
      <c r="G288" s="88" t="str">
        <f>A287</f>
        <v>Ground Floor for Part Residential, Part Commercial, Meter room &amp; Society Office</v>
      </c>
      <c r="H288" s="90"/>
      <c r="I288" s="35"/>
    </row>
    <row r="289" spans="1:14" s="36" customFormat="1" ht="15.75" customHeight="1" x14ac:dyDescent="0.3">
      <c r="A289" s="83">
        <f>A288+1</f>
        <v>2</v>
      </c>
      <c r="B289" s="84"/>
      <c r="C289" s="91"/>
      <c r="D289" s="92"/>
      <c r="E289" s="92"/>
      <c r="F289" s="93"/>
      <c r="G289" s="94"/>
      <c r="H289" s="95"/>
      <c r="I289" s="35"/>
    </row>
    <row r="290" spans="1:14" s="36" customFormat="1" ht="15.75" customHeight="1" x14ac:dyDescent="0.3">
      <c r="A290" s="83">
        <f t="shared" ref="A290:A292" si="37">A289+1</f>
        <v>3</v>
      </c>
      <c r="B290" s="84"/>
      <c r="C290" s="41" t="s">
        <v>182</v>
      </c>
      <c r="D290" s="54">
        <f t="shared" ref="D290:D293" si="38">(29.8)*(10.764)</f>
        <v>320.7672</v>
      </c>
      <c r="E290" s="54">
        <f>0*(10.764)</f>
        <v>0</v>
      </c>
      <c r="F290" s="41">
        <f t="shared" ref="F290" si="39">D290*(($F$194)+1)+(IF(E290&lt;101,E290,IF(E290&lt;201,E290/2,IF(E290&lt;=301,E290/3,E290/4))))</f>
        <v>481.1508</v>
      </c>
      <c r="G290" s="94"/>
      <c r="H290" s="95"/>
      <c r="I290" s="35"/>
    </row>
    <row r="291" spans="1:14" s="36" customFormat="1" ht="15.75" customHeight="1" x14ac:dyDescent="0.3">
      <c r="A291" s="83">
        <f t="shared" si="37"/>
        <v>4</v>
      </c>
      <c r="B291" s="84"/>
      <c r="C291" s="83" t="s">
        <v>183</v>
      </c>
      <c r="D291" s="96"/>
      <c r="E291" s="96"/>
      <c r="F291" s="84"/>
      <c r="G291" s="94"/>
      <c r="H291" s="95"/>
      <c r="I291" s="35"/>
    </row>
    <row r="292" spans="1:14" s="36" customFormat="1" ht="15.75" customHeight="1" x14ac:dyDescent="0.3">
      <c r="A292" s="83">
        <f t="shared" si="37"/>
        <v>5</v>
      </c>
      <c r="B292" s="84"/>
      <c r="C292" s="41" t="s">
        <v>182</v>
      </c>
      <c r="D292" s="54">
        <f t="shared" si="38"/>
        <v>320.7672</v>
      </c>
      <c r="E292" s="54">
        <f>0*(10.764)</f>
        <v>0</v>
      </c>
      <c r="F292" s="41">
        <f t="shared" ref="F292:F293" si="40">D292*(($F$194)+1)+(IF(E292&lt;101,E292,IF(E292&lt;201,E292/2,IF(E292&lt;=301,E292/3,E292/4))))</f>
        <v>481.1508</v>
      </c>
      <c r="G292" s="94"/>
      <c r="H292" s="95"/>
      <c r="I292" s="35"/>
    </row>
    <row r="293" spans="1:14" s="36" customFormat="1" x14ac:dyDescent="0.3">
      <c r="A293" s="83">
        <f>A292+1</f>
        <v>6</v>
      </c>
      <c r="B293" s="84"/>
      <c r="C293" s="41" t="s">
        <v>182</v>
      </c>
      <c r="D293" s="54">
        <f t="shared" si="38"/>
        <v>320.7672</v>
      </c>
      <c r="E293" s="54">
        <f>0*(10.764)</f>
        <v>0</v>
      </c>
      <c r="F293" s="41">
        <f t="shared" si="40"/>
        <v>481.1508</v>
      </c>
      <c r="G293" s="94"/>
      <c r="H293" s="95"/>
      <c r="I293" s="35"/>
      <c r="L293" s="81"/>
      <c r="M293" s="81"/>
    </row>
    <row r="294" spans="1:14" s="36" customFormat="1" x14ac:dyDescent="0.3">
      <c r="A294" s="83">
        <f t="shared" ref="A294:A295" si="41">A293+1</f>
        <v>7</v>
      </c>
      <c r="B294" s="84"/>
      <c r="C294" s="88" t="s">
        <v>260</v>
      </c>
      <c r="D294" s="89"/>
      <c r="E294" s="89"/>
      <c r="F294" s="90"/>
      <c r="G294" s="94"/>
      <c r="H294" s="95"/>
      <c r="I294" s="35"/>
      <c r="L294" s="81"/>
      <c r="M294" s="81"/>
    </row>
    <row r="295" spans="1:14" s="36" customFormat="1" ht="15.75" customHeight="1" x14ac:dyDescent="0.3">
      <c r="A295" s="83">
        <f t="shared" si="41"/>
        <v>8</v>
      </c>
      <c r="B295" s="84"/>
      <c r="C295" s="91"/>
      <c r="D295" s="92"/>
      <c r="E295" s="92"/>
      <c r="F295" s="93"/>
      <c r="G295" s="91"/>
      <c r="H295" s="93"/>
      <c r="I295" s="35"/>
      <c r="N295" s="35"/>
    </row>
    <row r="296" spans="1:14" s="36" customFormat="1" ht="15.75" customHeight="1" x14ac:dyDescent="0.3">
      <c r="A296" s="85" t="s">
        <v>188</v>
      </c>
      <c r="B296" s="86"/>
      <c r="C296" s="86"/>
      <c r="D296" s="86"/>
      <c r="E296" s="86"/>
      <c r="F296" s="86"/>
      <c r="G296" s="86"/>
      <c r="H296" s="87"/>
      <c r="I296" s="35"/>
    </row>
    <row r="297" spans="1:14" s="36" customFormat="1" ht="15.75" customHeight="1" x14ac:dyDescent="0.3">
      <c r="A297" s="83">
        <v>1</v>
      </c>
      <c r="B297" s="84"/>
      <c r="C297" s="41" t="s">
        <v>182</v>
      </c>
      <c r="D297" s="54">
        <f t="shared" ref="D297:D304" si="42">(29.8)*(10.764)</f>
        <v>320.7672</v>
      </c>
      <c r="E297" s="54">
        <f>(2.5*1.6+5*1.4)*(10.764)</f>
        <v>118.404</v>
      </c>
      <c r="F297" s="41">
        <f t="shared" ref="F297:F304" si="43">D297*(($F$194)+1)+(IF(E297&lt;101,E297,IF(E297&lt;201,E297/2,IF(E297&lt;=301,E297/3,E297/4))))</f>
        <v>540.3528</v>
      </c>
      <c r="G297" s="88" t="str">
        <f>A296</f>
        <v>1st Floor For Residential</v>
      </c>
      <c r="H297" s="90"/>
      <c r="I297" s="35"/>
    </row>
    <row r="298" spans="1:14" s="36" customFormat="1" ht="15.75" customHeight="1" x14ac:dyDescent="0.3">
      <c r="A298" s="83">
        <f>A297+1</f>
        <v>2</v>
      </c>
      <c r="B298" s="84"/>
      <c r="C298" s="41" t="s">
        <v>182</v>
      </c>
      <c r="D298" s="54">
        <f t="shared" si="42"/>
        <v>320.7672</v>
      </c>
      <c r="E298" s="54">
        <f>(2.5*1.6+5*1.4)*(10.764)</f>
        <v>118.404</v>
      </c>
      <c r="F298" s="41">
        <f t="shared" si="43"/>
        <v>540.3528</v>
      </c>
      <c r="G298" s="94"/>
      <c r="H298" s="95"/>
      <c r="I298" s="35"/>
    </row>
    <row r="299" spans="1:14" s="36" customFormat="1" ht="15.75" customHeight="1" x14ac:dyDescent="0.3">
      <c r="A299" s="83">
        <f t="shared" ref="A299:A301" si="44">A298+1</f>
        <v>3</v>
      </c>
      <c r="B299" s="84"/>
      <c r="C299" s="41" t="s">
        <v>182</v>
      </c>
      <c r="D299" s="54">
        <f t="shared" si="42"/>
        <v>320.7672</v>
      </c>
      <c r="E299" s="54">
        <f>0*(10.764)</f>
        <v>0</v>
      </c>
      <c r="F299" s="41">
        <f t="shared" si="43"/>
        <v>481.1508</v>
      </c>
      <c r="G299" s="94"/>
      <c r="H299" s="95"/>
      <c r="I299" s="35"/>
    </row>
    <row r="300" spans="1:14" s="36" customFormat="1" ht="15.75" customHeight="1" x14ac:dyDescent="0.3">
      <c r="A300" s="83">
        <f t="shared" si="44"/>
        <v>4</v>
      </c>
      <c r="B300" s="84"/>
      <c r="C300" s="41" t="s">
        <v>182</v>
      </c>
      <c r="D300" s="54">
        <f t="shared" si="42"/>
        <v>320.7672</v>
      </c>
      <c r="E300" s="54">
        <f>0*(10.764)</f>
        <v>0</v>
      </c>
      <c r="F300" s="41">
        <f t="shared" si="43"/>
        <v>481.1508</v>
      </c>
      <c r="G300" s="94"/>
      <c r="H300" s="95"/>
      <c r="I300" s="35"/>
    </row>
    <row r="301" spans="1:14" s="36" customFormat="1" ht="15.75" customHeight="1" x14ac:dyDescent="0.3">
      <c r="A301" s="83">
        <f t="shared" si="44"/>
        <v>5</v>
      </c>
      <c r="B301" s="84"/>
      <c r="C301" s="41" t="s">
        <v>182</v>
      </c>
      <c r="D301" s="54">
        <f t="shared" si="42"/>
        <v>320.7672</v>
      </c>
      <c r="E301" s="54">
        <f>0*(10.764)</f>
        <v>0</v>
      </c>
      <c r="F301" s="41">
        <f t="shared" si="43"/>
        <v>481.1508</v>
      </c>
      <c r="G301" s="94"/>
      <c r="H301" s="95"/>
      <c r="I301" s="35"/>
    </row>
    <row r="302" spans="1:14" s="34" customFormat="1" x14ac:dyDescent="0.3">
      <c r="A302" s="83">
        <f>A301+1</f>
        <v>6</v>
      </c>
      <c r="B302" s="84"/>
      <c r="C302" s="41" t="s">
        <v>182</v>
      </c>
      <c r="D302" s="54">
        <f t="shared" si="42"/>
        <v>320.7672</v>
      </c>
      <c r="E302" s="54">
        <f>0*(10.764)</f>
        <v>0</v>
      </c>
      <c r="F302" s="41">
        <f t="shared" si="43"/>
        <v>481.1508</v>
      </c>
      <c r="G302" s="94"/>
      <c r="H302" s="95"/>
      <c r="I302" s="35"/>
      <c r="J302" s="36"/>
      <c r="K302" s="36"/>
    </row>
    <row r="303" spans="1:14" s="34" customFormat="1" ht="16.5" customHeight="1" x14ac:dyDescent="0.3">
      <c r="A303" s="83">
        <f t="shared" ref="A303:A304" si="45">A302+1</f>
        <v>7</v>
      </c>
      <c r="B303" s="84"/>
      <c r="C303" s="41" t="s">
        <v>182</v>
      </c>
      <c r="D303" s="54">
        <f t="shared" si="42"/>
        <v>320.7672</v>
      </c>
      <c r="E303" s="54">
        <f>(2.5*1.6+5*1.4)*(10.764)</f>
        <v>118.404</v>
      </c>
      <c r="F303" s="41">
        <f t="shared" si="43"/>
        <v>540.3528</v>
      </c>
      <c r="G303" s="94"/>
      <c r="H303" s="95"/>
      <c r="I303" s="35"/>
      <c r="J303" s="36"/>
      <c r="K303" s="36"/>
    </row>
    <row r="304" spans="1:14" s="34" customFormat="1" x14ac:dyDescent="0.3">
      <c r="A304" s="83">
        <f t="shared" si="45"/>
        <v>8</v>
      </c>
      <c r="B304" s="84"/>
      <c r="C304" s="41" t="s">
        <v>182</v>
      </c>
      <c r="D304" s="54">
        <f t="shared" si="42"/>
        <v>320.7672</v>
      </c>
      <c r="E304" s="54">
        <f>(2.5*1.6+5*1.4)*(10.764)</f>
        <v>118.404</v>
      </c>
      <c r="F304" s="41">
        <f t="shared" si="43"/>
        <v>540.3528</v>
      </c>
      <c r="G304" s="91"/>
      <c r="H304" s="93"/>
      <c r="I304" s="35"/>
      <c r="J304" s="36"/>
      <c r="K304" s="36"/>
    </row>
    <row r="305" spans="1:11" s="34" customFormat="1" x14ac:dyDescent="0.3">
      <c r="A305" s="85" t="s">
        <v>189</v>
      </c>
      <c r="B305" s="86"/>
      <c r="C305" s="86"/>
      <c r="D305" s="86"/>
      <c r="E305" s="86"/>
      <c r="F305" s="86"/>
      <c r="G305" s="86"/>
      <c r="H305" s="87"/>
      <c r="I305" s="35"/>
      <c r="J305" s="36"/>
      <c r="K305" s="36"/>
    </row>
    <row r="306" spans="1:11" s="34" customFormat="1" x14ac:dyDescent="0.3">
      <c r="A306" s="83">
        <v>1</v>
      </c>
      <c r="B306" s="84"/>
      <c r="C306" s="41" t="s">
        <v>182</v>
      </c>
      <c r="D306" s="54">
        <f t="shared" ref="D306:D313" si="46">(29.8)*(10.764)</f>
        <v>320.7672</v>
      </c>
      <c r="E306" s="41">
        <v>0</v>
      </c>
      <c r="F306" s="41">
        <f t="shared" ref="F306:F313" si="47">D306*(($F$194)+1)+(IF(E306&lt;101,E306,IF(E306&lt;201,E306/2,IF(E306&lt;=301,E306/3,E306/4))))</f>
        <v>481.1508</v>
      </c>
      <c r="G306" s="88" t="str">
        <f>A305</f>
        <v>2nd to 6th, 8th to 11th &amp; 13th to 16th Floor For Residential</v>
      </c>
      <c r="H306" s="90"/>
      <c r="I306" s="35"/>
      <c r="J306" s="36"/>
      <c r="K306" s="36"/>
    </row>
    <row r="307" spans="1:11" s="34" customFormat="1" x14ac:dyDescent="0.3">
      <c r="A307" s="83">
        <f>A306+1</f>
        <v>2</v>
      </c>
      <c r="B307" s="84"/>
      <c r="C307" s="41" t="s">
        <v>182</v>
      </c>
      <c r="D307" s="54">
        <f t="shared" si="46"/>
        <v>320.7672</v>
      </c>
      <c r="E307" s="41">
        <v>0</v>
      </c>
      <c r="F307" s="41">
        <f t="shared" si="47"/>
        <v>481.1508</v>
      </c>
      <c r="G307" s="94"/>
      <c r="H307" s="95"/>
      <c r="I307" s="35"/>
      <c r="J307" s="36"/>
      <c r="K307" s="36"/>
    </row>
    <row r="308" spans="1:11" s="34" customFormat="1" x14ac:dyDescent="0.3">
      <c r="A308" s="83">
        <f t="shared" ref="A308:A310" si="48">A307+1</f>
        <v>3</v>
      </c>
      <c r="B308" s="84"/>
      <c r="C308" s="41" t="s">
        <v>182</v>
      </c>
      <c r="D308" s="54">
        <f t="shared" si="46"/>
        <v>320.7672</v>
      </c>
      <c r="E308" s="41">
        <v>0</v>
      </c>
      <c r="F308" s="41">
        <f t="shared" si="47"/>
        <v>481.1508</v>
      </c>
      <c r="G308" s="94"/>
      <c r="H308" s="95"/>
      <c r="I308" s="35"/>
      <c r="J308" s="36"/>
      <c r="K308" s="36"/>
    </row>
    <row r="309" spans="1:11" s="34" customFormat="1" x14ac:dyDescent="0.3">
      <c r="A309" s="83">
        <f t="shared" si="48"/>
        <v>4</v>
      </c>
      <c r="B309" s="84"/>
      <c r="C309" s="41" t="s">
        <v>182</v>
      </c>
      <c r="D309" s="54">
        <f t="shared" si="46"/>
        <v>320.7672</v>
      </c>
      <c r="E309" s="41">
        <v>0</v>
      </c>
      <c r="F309" s="41">
        <f t="shared" si="47"/>
        <v>481.1508</v>
      </c>
      <c r="G309" s="94"/>
      <c r="H309" s="95"/>
      <c r="I309" s="35"/>
      <c r="J309" s="36"/>
      <c r="K309" s="36"/>
    </row>
    <row r="310" spans="1:11" s="34" customFormat="1" x14ac:dyDescent="0.3">
      <c r="A310" s="83">
        <f t="shared" si="48"/>
        <v>5</v>
      </c>
      <c r="B310" s="84"/>
      <c r="C310" s="41" t="s">
        <v>182</v>
      </c>
      <c r="D310" s="54">
        <f t="shared" si="46"/>
        <v>320.7672</v>
      </c>
      <c r="E310" s="41">
        <v>0</v>
      </c>
      <c r="F310" s="41">
        <f t="shared" si="47"/>
        <v>481.1508</v>
      </c>
      <c r="G310" s="94"/>
      <c r="H310" s="95"/>
      <c r="I310" s="35"/>
      <c r="J310" s="36"/>
      <c r="K310" s="36"/>
    </row>
    <row r="311" spans="1:11" s="34" customFormat="1" x14ac:dyDescent="0.3">
      <c r="A311" s="83">
        <f>A310+1</f>
        <v>6</v>
      </c>
      <c r="B311" s="84"/>
      <c r="C311" s="41" t="s">
        <v>182</v>
      </c>
      <c r="D311" s="54">
        <f t="shared" si="46"/>
        <v>320.7672</v>
      </c>
      <c r="E311" s="41">
        <v>0</v>
      </c>
      <c r="F311" s="41">
        <f t="shared" si="47"/>
        <v>481.1508</v>
      </c>
      <c r="G311" s="94"/>
      <c r="H311" s="95"/>
      <c r="I311" s="35"/>
      <c r="J311" s="36"/>
      <c r="K311" s="36"/>
    </row>
    <row r="312" spans="1:11" s="34" customFormat="1" x14ac:dyDescent="0.3">
      <c r="A312" s="83">
        <f t="shared" ref="A312:A313" si="49">A311+1</f>
        <v>7</v>
      </c>
      <c r="B312" s="84"/>
      <c r="C312" s="41" t="s">
        <v>182</v>
      </c>
      <c r="D312" s="54">
        <f t="shared" si="46"/>
        <v>320.7672</v>
      </c>
      <c r="E312" s="41">
        <v>0</v>
      </c>
      <c r="F312" s="41">
        <f t="shared" si="47"/>
        <v>481.1508</v>
      </c>
      <c r="G312" s="94"/>
      <c r="H312" s="95"/>
      <c r="I312" s="35"/>
      <c r="J312" s="36"/>
      <c r="K312" s="36"/>
    </row>
    <row r="313" spans="1:11" x14ac:dyDescent="0.3">
      <c r="A313" s="83">
        <f t="shared" si="49"/>
        <v>8</v>
      </c>
      <c r="B313" s="84"/>
      <c r="C313" s="41" t="s">
        <v>182</v>
      </c>
      <c r="D313" s="54">
        <f t="shared" si="46"/>
        <v>320.7672</v>
      </c>
      <c r="E313" s="41">
        <v>0</v>
      </c>
      <c r="F313" s="41">
        <f t="shared" si="47"/>
        <v>481.1508</v>
      </c>
      <c r="G313" s="91"/>
      <c r="H313" s="93"/>
      <c r="I313" s="35"/>
      <c r="J313" s="36"/>
      <c r="K313" s="36"/>
    </row>
    <row r="314" spans="1:11" x14ac:dyDescent="0.3">
      <c r="A314" s="155" t="s">
        <v>185</v>
      </c>
      <c r="B314" s="155"/>
      <c r="C314" s="155"/>
      <c r="D314" s="155"/>
      <c r="E314" s="155"/>
      <c r="F314" s="155"/>
      <c r="G314" s="155"/>
      <c r="H314" s="155"/>
      <c r="I314" s="35"/>
      <c r="J314" s="36"/>
      <c r="K314" s="36"/>
    </row>
    <row r="315" spans="1:11" ht="15.75" customHeight="1" x14ac:dyDescent="0.3">
      <c r="A315" s="156">
        <v>1</v>
      </c>
      <c r="B315" s="156"/>
      <c r="C315" s="41" t="s">
        <v>182</v>
      </c>
      <c r="D315" s="54">
        <f t="shared" ref="D315:D321" si="50">(29.8)*(10.764)</f>
        <v>320.7672</v>
      </c>
      <c r="E315" s="41">
        <v>0</v>
      </c>
      <c r="F315" s="41">
        <f t="shared" ref="F315:F321" si="51">D315*(($F$194)+1)+(IF(E315&lt;101,E315,IF(E315&lt;201,E315/2,IF(E315&lt;=301,E315/3,E315/4))))</f>
        <v>481.1508</v>
      </c>
      <c r="G315" s="156" t="str">
        <f>A314</f>
        <v>7th &amp; 12th Floor For Residential (Part Refuge Area)</v>
      </c>
      <c r="H315" s="156"/>
      <c r="I315" s="35"/>
      <c r="J315" s="36"/>
      <c r="K315" s="36"/>
    </row>
    <row r="316" spans="1:11" x14ac:dyDescent="0.3">
      <c r="A316" s="156">
        <f>A315+1</f>
        <v>2</v>
      </c>
      <c r="B316" s="156"/>
      <c r="C316" s="41" t="s">
        <v>182</v>
      </c>
      <c r="D316" s="54">
        <f t="shared" si="50"/>
        <v>320.7672</v>
      </c>
      <c r="E316" s="41">
        <v>0</v>
      </c>
      <c r="F316" s="41">
        <f t="shared" si="51"/>
        <v>481.1508</v>
      </c>
      <c r="G316" s="156"/>
      <c r="H316" s="156"/>
      <c r="I316" s="34"/>
      <c r="J316" s="34"/>
      <c r="K316" s="34"/>
    </row>
    <row r="317" spans="1:11" x14ac:dyDescent="0.3">
      <c r="A317" s="156">
        <f t="shared" ref="A317:A319" si="52">A316+1</f>
        <v>3</v>
      </c>
      <c r="B317" s="156"/>
      <c r="C317" s="41" t="s">
        <v>182</v>
      </c>
      <c r="D317" s="54">
        <f t="shared" si="50"/>
        <v>320.7672</v>
      </c>
      <c r="E317" s="41">
        <v>0</v>
      </c>
      <c r="F317" s="41">
        <f t="shared" si="51"/>
        <v>481.1508</v>
      </c>
      <c r="G317" s="156"/>
      <c r="H317" s="156"/>
      <c r="I317" s="34"/>
      <c r="J317" s="34"/>
      <c r="K317" s="34"/>
    </row>
    <row r="318" spans="1:11" x14ac:dyDescent="0.3">
      <c r="A318" s="156">
        <f t="shared" si="52"/>
        <v>4</v>
      </c>
      <c r="B318" s="156"/>
      <c r="C318" s="41" t="s">
        <v>182</v>
      </c>
      <c r="D318" s="54">
        <f t="shared" si="50"/>
        <v>320.7672</v>
      </c>
      <c r="E318" s="41">
        <v>0</v>
      </c>
      <c r="F318" s="41">
        <f t="shared" si="51"/>
        <v>481.1508</v>
      </c>
      <c r="G318" s="156"/>
      <c r="H318" s="156"/>
      <c r="I318" s="34"/>
      <c r="J318" s="34"/>
      <c r="K318" s="34"/>
    </row>
    <row r="319" spans="1:11" x14ac:dyDescent="0.3">
      <c r="A319" s="156">
        <f t="shared" si="52"/>
        <v>5</v>
      </c>
      <c r="B319" s="156"/>
      <c r="C319" s="41" t="s">
        <v>182</v>
      </c>
      <c r="D319" s="54">
        <f t="shared" si="50"/>
        <v>320.7672</v>
      </c>
      <c r="E319" s="41">
        <v>0</v>
      </c>
      <c r="F319" s="41">
        <f t="shared" si="51"/>
        <v>481.1508</v>
      </c>
      <c r="G319" s="156"/>
      <c r="H319" s="156"/>
      <c r="I319" s="34"/>
      <c r="J319" s="34"/>
      <c r="K319" s="34"/>
    </row>
    <row r="320" spans="1:11" x14ac:dyDescent="0.3">
      <c r="A320" s="156">
        <f>A319+1</f>
        <v>6</v>
      </c>
      <c r="B320" s="156"/>
      <c r="C320" s="41" t="s">
        <v>182</v>
      </c>
      <c r="D320" s="54">
        <f t="shared" si="50"/>
        <v>320.7672</v>
      </c>
      <c r="E320" s="41">
        <v>0</v>
      </c>
      <c r="F320" s="41">
        <f t="shared" si="51"/>
        <v>481.1508</v>
      </c>
      <c r="G320" s="156"/>
      <c r="H320" s="156"/>
      <c r="I320" s="34"/>
      <c r="J320" s="34"/>
      <c r="K320" s="34"/>
    </row>
    <row r="321" spans="1:15" ht="15.75" customHeight="1" x14ac:dyDescent="0.3">
      <c r="A321" s="156">
        <f t="shared" ref="A321:A322" si="53">A320+1</f>
        <v>7</v>
      </c>
      <c r="B321" s="156"/>
      <c r="C321" s="41" t="s">
        <v>182</v>
      </c>
      <c r="D321" s="54">
        <f t="shared" si="50"/>
        <v>320.7672</v>
      </c>
      <c r="E321" s="41">
        <v>0</v>
      </c>
      <c r="F321" s="41">
        <f t="shared" si="51"/>
        <v>481.1508</v>
      </c>
      <c r="G321" s="156"/>
      <c r="H321" s="156"/>
      <c r="I321" s="34"/>
      <c r="J321" s="34"/>
      <c r="K321" s="34"/>
    </row>
    <row r="322" spans="1:15" ht="18" customHeight="1" x14ac:dyDescent="0.3">
      <c r="A322" s="156">
        <f t="shared" si="53"/>
        <v>8</v>
      </c>
      <c r="B322" s="156"/>
      <c r="C322" s="156" t="s">
        <v>186</v>
      </c>
      <c r="D322" s="156"/>
      <c r="E322" s="156"/>
      <c r="F322" s="156"/>
      <c r="G322" s="156"/>
      <c r="H322" s="156"/>
      <c r="I322" s="34"/>
      <c r="J322" s="34"/>
      <c r="K322" s="34"/>
    </row>
    <row r="323" spans="1:15" x14ac:dyDescent="0.3">
      <c r="A323" s="152" t="s">
        <v>227</v>
      </c>
      <c r="B323" s="153"/>
      <c r="C323" s="153"/>
      <c r="D323" s="153"/>
      <c r="E323" s="153"/>
      <c r="F323" s="153"/>
      <c r="G323" s="153"/>
      <c r="H323" s="154"/>
      <c r="I323" s="34"/>
      <c r="J323" s="34"/>
      <c r="K323" s="34"/>
    </row>
    <row r="324" spans="1:15" x14ac:dyDescent="0.3">
      <c r="A324" s="85" t="s">
        <v>259</v>
      </c>
      <c r="B324" s="86"/>
      <c r="C324" s="86"/>
      <c r="D324" s="86"/>
      <c r="E324" s="86"/>
      <c r="F324" s="86"/>
      <c r="G324" s="86"/>
      <c r="H324" s="87"/>
      <c r="I324" s="34"/>
      <c r="J324" s="34"/>
      <c r="K324" s="34"/>
    </row>
    <row r="325" spans="1:15" ht="15.45" customHeight="1" x14ac:dyDescent="0.3">
      <c r="A325" s="83">
        <v>1</v>
      </c>
      <c r="B325" s="84"/>
      <c r="C325" s="41" t="s">
        <v>182</v>
      </c>
      <c r="D325" s="54">
        <f t="shared" ref="D325:D332" si="54">(29.8)*(10.764)</f>
        <v>320.7672</v>
      </c>
      <c r="E325" s="41">
        <v>0</v>
      </c>
      <c r="F325" s="41">
        <f t="shared" ref="F325:F332" si="55">D325*(($F$194)+1)+(IF(E325&lt;101,E325,IF(E325&lt;201,E325/2,IF(E325&lt;=301,E325/3,E325/4))))</f>
        <v>481.1508</v>
      </c>
      <c r="G325" s="88" t="str">
        <f>A324</f>
        <v>Ground Floor For Residential, Society Office, Creche &amp; Meter Room</v>
      </c>
      <c r="H325" s="90"/>
      <c r="I325" s="34"/>
      <c r="J325" s="34"/>
      <c r="K325" s="34"/>
    </row>
    <row r="326" spans="1:15" x14ac:dyDescent="0.3">
      <c r="A326" s="83">
        <f t="shared" ref="A326:A339" si="56">A325+1</f>
        <v>2</v>
      </c>
      <c r="B326" s="84"/>
      <c r="C326" s="41" t="s">
        <v>182</v>
      </c>
      <c r="D326" s="54">
        <f t="shared" si="54"/>
        <v>320.7672</v>
      </c>
      <c r="E326" s="41">
        <v>0</v>
      </c>
      <c r="F326" s="41">
        <f t="shared" si="55"/>
        <v>481.1508</v>
      </c>
      <c r="G326" s="94"/>
      <c r="H326" s="95"/>
      <c r="I326" s="34"/>
      <c r="J326" s="34"/>
      <c r="K326" s="34"/>
    </row>
    <row r="327" spans="1:15" x14ac:dyDescent="0.3">
      <c r="A327" s="83">
        <f t="shared" si="56"/>
        <v>3</v>
      </c>
      <c r="B327" s="84"/>
      <c r="C327" s="41" t="s">
        <v>182</v>
      </c>
      <c r="D327" s="54">
        <f t="shared" si="54"/>
        <v>320.7672</v>
      </c>
      <c r="E327" s="41">
        <v>0</v>
      </c>
      <c r="F327" s="41">
        <f t="shared" si="55"/>
        <v>481.1508</v>
      </c>
      <c r="G327" s="94"/>
      <c r="H327" s="95"/>
    </row>
    <row r="328" spans="1:15" x14ac:dyDescent="0.3">
      <c r="A328" s="83">
        <f t="shared" si="56"/>
        <v>4</v>
      </c>
      <c r="B328" s="84"/>
      <c r="C328" s="41" t="s">
        <v>182</v>
      </c>
      <c r="D328" s="54">
        <f t="shared" si="54"/>
        <v>320.7672</v>
      </c>
      <c r="E328" s="41">
        <v>0</v>
      </c>
      <c r="F328" s="41">
        <f t="shared" si="55"/>
        <v>481.1508</v>
      </c>
      <c r="G328" s="94"/>
      <c r="H328" s="95"/>
    </row>
    <row r="329" spans="1:15" ht="15.75" customHeight="1" x14ac:dyDescent="0.3">
      <c r="A329" s="83">
        <f t="shared" si="56"/>
        <v>5</v>
      </c>
      <c r="B329" s="84"/>
      <c r="C329" s="41" t="s">
        <v>182</v>
      </c>
      <c r="D329" s="54">
        <f t="shared" si="54"/>
        <v>320.7672</v>
      </c>
      <c r="E329" s="41">
        <v>0</v>
      </c>
      <c r="F329" s="41">
        <f t="shared" si="55"/>
        <v>481.1508</v>
      </c>
      <c r="G329" s="94"/>
      <c r="H329" s="95"/>
      <c r="I329" s="75" t="s">
        <v>200</v>
      </c>
      <c r="J329" s="76"/>
      <c r="K329" s="76"/>
      <c r="L329" s="76"/>
      <c r="M329" s="76"/>
      <c r="N329" s="76"/>
      <c r="O329" s="77"/>
    </row>
    <row r="330" spans="1:15" x14ac:dyDescent="0.3">
      <c r="A330" s="83">
        <f t="shared" si="56"/>
        <v>6</v>
      </c>
      <c r="B330" s="84"/>
      <c r="C330" s="41" t="s">
        <v>182</v>
      </c>
      <c r="D330" s="54">
        <f t="shared" si="54"/>
        <v>320.7672</v>
      </c>
      <c r="E330" s="41">
        <v>0</v>
      </c>
      <c r="F330" s="41">
        <f t="shared" si="55"/>
        <v>481.1508</v>
      </c>
      <c r="G330" s="94"/>
      <c r="H330" s="95"/>
    </row>
    <row r="331" spans="1:15" x14ac:dyDescent="0.3">
      <c r="A331" s="83">
        <f t="shared" si="56"/>
        <v>7</v>
      </c>
      <c r="B331" s="84"/>
      <c r="C331" s="41" t="s">
        <v>182</v>
      </c>
      <c r="D331" s="54">
        <f t="shared" si="54"/>
        <v>320.7672</v>
      </c>
      <c r="E331" s="41">
        <v>0</v>
      </c>
      <c r="F331" s="41">
        <f t="shared" si="55"/>
        <v>481.1508</v>
      </c>
      <c r="G331" s="94"/>
      <c r="H331" s="95"/>
    </row>
    <row r="332" spans="1:15" x14ac:dyDescent="0.3">
      <c r="A332" s="83">
        <f t="shared" si="56"/>
        <v>8</v>
      </c>
      <c r="B332" s="84"/>
      <c r="C332" s="41" t="s">
        <v>182</v>
      </c>
      <c r="D332" s="54">
        <f t="shared" si="54"/>
        <v>320.7672</v>
      </c>
      <c r="E332" s="41">
        <v>0</v>
      </c>
      <c r="F332" s="41">
        <f t="shared" si="55"/>
        <v>481.1508</v>
      </c>
      <c r="G332" s="94"/>
      <c r="H332" s="95"/>
    </row>
    <row r="333" spans="1:15" x14ac:dyDescent="0.3">
      <c r="A333" s="83">
        <f t="shared" si="56"/>
        <v>9</v>
      </c>
      <c r="B333" s="84"/>
      <c r="C333" s="41" t="s">
        <v>182</v>
      </c>
      <c r="D333" s="54">
        <f t="shared" ref="D333:D339" si="57">(29.8)*(10.764)</f>
        <v>320.7672</v>
      </c>
      <c r="E333" s="41">
        <v>0</v>
      </c>
      <c r="F333" s="41">
        <f t="shared" ref="F333:F338" si="58">D333*(($F$194)+1)+(IF(E333&lt;101,E333,IF(E333&lt;201,E333/2,IF(E333&lt;=301,E333/3,E333/4))))</f>
        <v>481.1508</v>
      </c>
      <c r="G333" s="94"/>
      <c r="H333" s="95"/>
    </row>
    <row r="334" spans="1:15" x14ac:dyDescent="0.3">
      <c r="A334" s="83">
        <f t="shared" si="56"/>
        <v>10</v>
      </c>
      <c r="B334" s="84"/>
      <c r="C334" s="41" t="s">
        <v>182</v>
      </c>
      <c r="D334" s="54">
        <f t="shared" si="57"/>
        <v>320.7672</v>
      </c>
      <c r="E334" s="41">
        <v>0</v>
      </c>
      <c r="F334" s="41">
        <f t="shared" si="58"/>
        <v>481.1508</v>
      </c>
      <c r="G334" s="94"/>
      <c r="H334" s="95"/>
    </row>
    <row r="335" spans="1:15" ht="15.75" customHeight="1" x14ac:dyDescent="0.3">
      <c r="A335" s="83">
        <f t="shared" si="56"/>
        <v>11</v>
      </c>
      <c r="B335" s="84"/>
      <c r="C335" s="41" t="s">
        <v>182</v>
      </c>
      <c r="D335" s="54">
        <f t="shared" si="57"/>
        <v>320.7672</v>
      </c>
      <c r="E335" s="41">
        <v>0</v>
      </c>
      <c r="F335" s="41">
        <f t="shared" si="58"/>
        <v>481.1508</v>
      </c>
      <c r="G335" s="94"/>
      <c r="H335" s="95"/>
    </row>
    <row r="336" spans="1:15" ht="15.75" customHeight="1" x14ac:dyDescent="0.3">
      <c r="A336" s="83">
        <f t="shared" si="56"/>
        <v>12</v>
      </c>
      <c r="B336" s="84"/>
      <c r="C336" s="41" t="s">
        <v>182</v>
      </c>
      <c r="D336" s="54">
        <f t="shared" si="57"/>
        <v>320.7672</v>
      </c>
      <c r="E336" s="41">
        <v>0</v>
      </c>
      <c r="F336" s="41">
        <f t="shared" si="58"/>
        <v>481.1508</v>
      </c>
      <c r="G336" s="94"/>
      <c r="H336" s="95"/>
    </row>
    <row r="337" spans="1:8" x14ac:dyDescent="0.3">
      <c r="A337" s="83">
        <f t="shared" si="56"/>
        <v>13</v>
      </c>
      <c r="B337" s="84"/>
      <c r="C337" s="41" t="s">
        <v>182</v>
      </c>
      <c r="D337" s="54">
        <f t="shared" si="57"/>
        <v>320.7672</v>
      </c>
      <c r="E337" s="41">
        <v>0</v>
      </c>
      <c r="F337" s="41">
        <f t="shared" si="58"/>
        <v>481.1508</v>
      </c>
      <c r="G337" s="94"/>
      <c r="H337" s="95"/>
    </row>
    <row r="338" spans="1:8" x14ac:dyDescent="0.3">
      <c r="A338" s="83">
        <f t="shared" si="56"/>
        <v>14</v>
      </c>
      <c r="B338" s="84"/>
      <c r="C338" s="41" t="s">
        <v>182</v>
      </c>
      <c r="D338" s="54">
        <f t="shared" si="57"/>
        <v>320.7672</v>
      </c>
      <c r="E338" s="41">
        <v>0</v>
      </c>
      <c r="F338" s="41">
        <f t="shared" si="58"/>
        <v>481.1508</v>
      </c>
      <c r="G338" s="94"/>
      <c r="H338" s="95"/>
    </row>
    <row r="339" spans="1:8" x14ac:dyDescent="0.3">
      <c r="A339" s="83">
        <f t="shared" si="56"/>
        <v>15</v>
      </c>
      <c r="B339" s="84"/>
      <c r="C339" s="41" t="s">
        <v>182</v>
      </c>
      <c r="D339" s="54">
        <f t="shared" si="57"/>
        <v>320.7672</v>
      </c>
      <c r="E339" s="41">
        <v>0</v>
      </c>
      <c r="F339" s="41">
        <f t="shared" ref="F339" si="59">D339*(($F$194)+1)+(IF(E339&lt;101,E339,IF(E339&lt;201,E339/2,IF(E339&lt;=301,E339/3,E339/4))))</f>
        <v>481.1508</v>
      </c>
      <c r="G339" s="91"/>
      <c r="H339" s="93"/>
    </row>
    <row r="340" spans="1:8" x14ac:dyDescent="0.3">
      <c r="A340" s="85" t="s">
        <v>184</v>
      </c>
      <c r="B340" s="86"/>
      <c r="C340" s="86"/>
      <c r="D340" s="86"/>
      <c r="E340" s="86"/>
      <c r="F340" s="86"/>
      <c r="G340" s="86"/>
      <c r="H340" s="87"/>
    </row>
    <row r="341" spans="1:8" x14ac:dyDescent="0.3">
      <c r="A341" s="97">
        <v>1</v>
      </c>
      <c r="B341" s="98"/>
      <c r="C341" s="64" t="s">
        <v>182</v>
      </c>
      <c r="D341" s="65">
        <f t="shared" ref="D341:D373" si="60">(29.8)*(10.764)</f>
        <v>320.7672</v>
      </c>
      <c r="E341" s="64">
        <v>0</v>
      </c>
      <c r="F341" s="64">
        <f>D341*(($F$194)+1)+(IF(E341&lt;101,E341,IF(E341&lt;201,E341/2,IF(E341&lt;=301,E341/3,E341/4))))</f>
        <v>481.1508</v>
      </c>
      <c r="G341" s="115" t="str">
        <f>A340</f>
        <v>1st to 6th, 8th to 11th, 13th to 16th Floor For Residential</v>
      </c>
      <c r="H341" s="116"/>
    </row>
    <row r="342" spans="1:8" x14ac:dyDescent="0.3">
      <c r="A342" s="97">
        <f t="shared" ref="A342:A356" si="61">A341+1</f>
        <v>2</v>
      </c>
      <c r="B342" s="98"/>
      <c r="C342" s="64" t="s">
        <v>182</v>
      </c>
      <c r="D342" s="65">
        <f t="shared" si="60"/>
        <v>320.7672</v>
      </c>
      <c r="E342" s="64">
        <v>0</v>
      </c>
      <c r="F342" s="64">
        <f t="shared" ref="F342:F356" si="62">D342*(($F$194)+1)+(IF(E342&lt;101,E342,IF(E342&lt;201,E342/2,IF(E342&lt;=301,E342/3,E342/4))))</f>
        <v>481.1508</v>
      </c>
      <c r="G342" s="117"/>
      <c r="H342" s="118"/>
    </row>
    <row r="343" spans="1:8" x14ac:dyDescent="0.3">
      <c r="A343" s="97">
        <f t="shared" si="61"/>
        <v>3</v>
      </c>
      <c r="B343" s="98"/>
      <c r="C343" s="64" t="s">
        <v>182</v>
      </c>
      <c r="D343" s="65">
        <f t="shared" si="60"/>
        <v>320.7672</v>
      </c>
      <c r="E343" s="64">
        <v>0</v>
      </c>
      <c r="F343" s="64">
        <f t="shared" si="62"/>
        <v>481.1508</v>
      </c>
      <c r="G343" s="117"/>
      <c r="H343" s="118"/>
    </row>
    <row r="344" spans="1:8" x14ac:dyDescent="0.3">
      <c r="A344" s="97">
        <f t="shared" si="61"/>
        <v>4</v>
      </c>
      <c r="B344" s="98"/>
      <c r="C344" s="64" t="s">
        <v>182</v>
      </c>
      <c r="D344" s="65">
        <f t="shared" si="60"/>
        <v>320.7672</v>
      </c>
      <c r="E344" s="64">
        <v>0</v>
      </c>
      <c r="F344" s="64">
        <f t="shared" si="62"/>
        <v>481.1508</v>
      </c>
      <c r="G344" s="117"/>
      <c r="H344" s="118"/>
    </row>
    <row r="345" spans="1:8" x14ac:dyDescent="0.3">
      <c r="A345" s="97">
        <f t="shared" si="61"/>
        <v>5</v>
      </c>
      <c r="B345" s="98"/>
      <c r="C345" s="64" t="s">
        <v>182</v>
      </c>
      <c r="D345" s="65">
        <f t="shared" si="60"/>
        <v>320.7672</v>
      </c>
      <c r="E345" s="64">
        <v>0</v>
      </c>
      <c r="F345" s="64">
        <f t="shared" si="62"/>
        <v>481.1508</v>
      </c>
      <c r="G345" s="117"/>
      <c r="H345" s="118"/>
    </row>
    <row r="346" spans="1:8" x14ac:dyDescent="0.3">
      <c r="A346" s="97">
        <f t="shared" si="61"/>
        <v>6</v>
      </c>
      <c r="B346" s="98"/>
      <c r="C346" s="64" t="s">
        <v>182</v>
      </c>
      <c r="D346" s="65">
        <f t="shared" si="60"/>
        <v>320.7672</v>
      </c>
      <c r="E346" s="64">
        <v>0</v>
      </c>
      <c r="F346" s="64">
        <f t="shared" si="62"/>
        <v>481.1508</v>
      </c>
      <c r="G346" s="117"/>
      <c r="H346" s="118"/>
    </row>
    <row r="347" spans="1:8" x14ac:dyDescent="0.3">
      <c r="A347" s="97">
        <f t="shared" si="61"/>
        <v>7</v>
      </c>
      <c r="B347" s="98"/>
      <c r="C347" s="64" t="s">
        <v>182</v>
      </c>
      <c r="D347" s="65">
        <f t="shared" si="60"/>
        <v>320.7672</v>
      </c>
      <c r="E347" s="64">
        <v>0</v>
      </c>
      <c r="F347" s="64">
        <f t="shared" si="62"/>
        <v>481.1508</v>
      </c>
      <c r="G347" s="117"/>
      <c r="H347" s="118"/>
    </row>
    <row r="348" spans="1:8" x14ac:dyDescent="0.3">
      <c r="A348" s="97">
        <f t="shared" si="61"/>
        <v>8</v>
      </c>
      <c r="B348" s="98"/>
      <c r="C348" s="64" t="s">
        <v>182</v>
      </c>
      <c r="D348" s="65">
        <f t="shared" si="60"/>
        <v>320.7672</v>
      </c>
      <c r="E348" s="64">
        <v>0</v>
      </c>
      <c r="F348" s="64">
        <f t="shared" si="62"/>
        <v>481.1508</v>
      </c>
      <c r="G348" s="117"/>
      <c r="H348" s="118"/>
    </row>
    <row r="349" spans="1:8" x14ac:dyDescent="0.3">
      <c r="A349" s="97">
        <f t="shared" si="61"/>
        <v>9</v>
      </c>
      <c r="B349" s="98"/>
      <c r="C349" s="64" t="s">
        <v>182</v>
      </c>
      <c r="D349" s="65">
        <f t="shared" si="60"/>
        <v>320.7672</v>
      </c>
      <c r="E349" s="64">
        <v>0</v>
      </c>
      <c r="F349" s="64">
        <f t="shared" si="62"/>
        <v>481.1508</v>
      </c>
      <c r="G349" s="117"/>
      <c r="H349" s="118"/>
    </row>
    <row r="350" spans="1:8" x14ac:dyDescent="0.3">
      <c r="A350" s="97">
        <f t="shared" si="61"/>
        <v>10</v>
      </c>
      <c r="B350" s="98"/>
      <c r="C350" s="64" t="s">
        <v>182</v>
      </c>
      <c r="D350" s="65">
        <f t="shared" si="60"/>
        <v>320.7672</v>
      </c>
      <c r="E350" s="64">
        <v>0</v>
      </c>
      <c r="F350" s="64">
        <f t="shared" si="62"/>
        <v>481.1508</v>
      </c>
      <c r="G350" s="117"/>
      <c r="H350" s="118"/>
    </row>
    <row r="351" spans="1:8" x14ac:dyDescent="0.3">
      <c r="A351" s="97">
        <f t="shared" si="61"/>
        <v>11</v>
      </c>
      <c r="B351" s="98"/>
      <c r="C351" s="64" t="s">
        <v>182</v>
      </c>
      <c r="D351" s="65">
        <f t="shared" si="60"/>
        <v>320.7672</v>
      </c>
      <c r="E351" s="64">
        <v>0</v>
      </c>
      <c r="F351" s="64">
        <f t="shared" si="62"/>
        <v>481.1508</v>
      </c>
      <c r="G351" s="117"/>
      <c r="H351" s="118"/>
    </row>
    <row r="352" spans="1:8" x14ac:dyDescent="0.3">
      <c r="A352" s="97">
        <f t="shared" si="61"/>
        <v>12</v>
      </c>
      <c r="B352" s="98"/>
      <c r="C352" s="64" t="s">
        <v>182</v>
      </c>
      <c r="D352" s="65">
        <f t="shared" si="60"/>
        <v>320.7672</v>
      </c>
      <c r="E352" s="64">
        <v>0</v>
      </c>
      <c r="F352" s="64">
        <f t="shared" si="62"/>
        <v>481.1508</v>
      </c>
      <c r="G352" s="117"/>
      <c r="H352" s="118"/>
    </row>
    <row r="353" spans="1:9" ht="15.75" customHeight="1" x14ac:dyDescent="0.3">
      <c r="A353" s="97">
        <f t="shared" si="61"/>
        <v>13</v>
      </c>
      <c r="B353" s="98"/>
      <c r="C353" s="64" t="s">
        <v>182</v>
      </c>
      <c r="D353" s="65">
        <f t="shared" si="60"/>
        <v>320.7672</v>
      </c>
      <c r="E353" s="64">
        <v>0</v>
      </c>
      <c r="F353" s="64">
        <f t="shared" si="62"/>
        <v>481.1508</v>
      </c>
      <c r="G353" s="117"/>
      <c r="H353" s="118"/>
      <c r="I353"/>
    </row>
    <row r="354" spans="1:9" ht="15.75" customHeight="1" x14ac:dyDescent="0.3">
      <c r="A354" s="97">
        <f t="shared" si="61"/>
        <v>14</v>
      </c>
      <c r="B354" s="98"/>
      <c r="C354" s="64" t="s">
        <v>182</v>
      </c>
      <c r="D354" s="65">
        <f t="shared" si="60"/>
        <v>320.7672</v>
      </c>
      <c r="E354" s="64">
        <v>0</v>
      </c>
      <c r="F354" s="64">
        <f t="shared" si="62"/>
        <v>481.1508</v>
      </c>
      <c r="G354" s="117"/>
      <c r="H354" s="118"/>
    </row>
    <row r="355" spans="1:9" x14ac:dyDescent="0.3">
      <c r="A355" s="97">
        <f t="shared" si="61"/>
        <v>15</v>
      </c>
      <c r="B355" s="98"/>
      <c r="C355" s="64" t="s">
        <v>182</v>
      </c>
      <c r="D355" s="65">
        <f t="shared" si="60"/>
        <v>320.7672</v>
      </c>
      <c r="E355" s="64">
        <v>0</v>
      </c>
      <c r="F355" s="64">
        <f t="shared" si="62"/>
        <v>481.1508</v>
      </c>
      <c r="G355" s="117"/>
      <c r="H355" s="118"/>
    </row>
    <row r="356" spans="1:9" x14ac:dyDescent="0.3">
      <c r="A356" s="97">
        <f t="shared" si="61"/>
        <v>16</v>
      </c>
      <c r="B356" s="98"/>
      <c r="C356" s="64" t="s">
        <v>182</v>
      </c>
      <c r="D356" s="65">
        <f t="shared" si="60"/>
        <v>320.7672</v>
      </c>
      <c r="E356" s="64">
        <v>0</v>
      </c>
      <c r="F356" s="64">
        <f t="shared" si="62"/>
        <v>481.1508</v>
      </c>
      <c r="G356" s="119"/>
      <c r="H356" s="120"/>
    </row>
    <row r="357" spans="1:9" x14ac:dyDescent="0.3">
      <c r="A357" s="114" t="s">
        <v>258</v>
      </c>
      <c r="B357" s="114"/>
      <c r="C357" s="114"/>
      <c r="D357" s="114"/>
      <c r="E357" s="114"/>
      <c r="F357" s="114"/>
      <c r="G357" s="114"/>
      <c r="H357" s="114"/>
    </row>
    <row r="358" spans="1:9" x14ac:dyDescent="0.3">
      <c r="A358" s="82">
        <v>1</v>
      </c>
      <c r="B358" s="82"/>
      <c r="C358" s="64" t="s">
        <v>182</v>
      </c>
      <c r="D358" s="65">
        <f t="shared" si="60"/>
        <v>320.7672</v>
      </c>
      <c r="E358" s="64">
        <v>0</v>
      </c>
      <c r="F358" s="64">
        <f t="shared" ref="F358:F369" si="63">D358*(($F$194)+1)+(IF(E358&lt;101,E358,IF(E358&lt;201,E358/2,IF(E358&lt;=301,E358/3,E358/4))))</f>
        <v>481.1508</v>
      </c>
      <c r="G358" s="82" t="str">
        <f>A357</f>
        <v>7th &amp; 12th Floor (Part Refuge Area)</v>
      </c>
      <c r="H358" s="82"/>
    </row>
    <row r="359" spans="1:9" x14ac:dyDescent="0.3">
      <c r="A359" s="82">
        <f t="shared" ref="A359:A373" si="64">A358+1</f>
        <v>2</v>
      </c>
      <c r="B359" s="82"/>
      <c r="C359" s="64" t="s">
        <v>182</v>
      </c>
      <c r="D359" s="65">
        <f t="shared" si="60"/>
        <v>320.7672</v>
      </c>
      <c r="E359" s="64">
        <v>0</v>
      </c>
      <c r="F359" s="64">
        <f t="shared" si="63"/>
        <v>481.1508</v>
      </c>
      <c r="G359" s="82"/>
      <c r="H359" s="82"/>
    </row>
    <row r="360" spans="1:9" x14ac:dyDescent="0.3">
      <c r="A360" s="82">
        <f t="shared" si="64"/>
        <v>3</v>
      </c>
      <c r="B360" s="82"/>
      <c r="C360" s="64" t="s">
        <v>182</v>
      </c>
      <c r="D360" s="65">
        <f t="shared" si="60"/>
        <v>320.7672</v>
      </c>
      <c r="E360" s="64">
        <v>0</v>
      </c>
      <c r="F360" s="64">
        <f t="shared" si="63"/>
        <v>481.1508</v>
      </c>
      <c r="G360" s="82"/>
      <c r="H360" s="82"/>
    </row>
    <row r="361" spans="1:9" x14ac:dyDescent="0.3">
      <c r="A361" s="82">
        <f t="shared" si="64"/>
        <v>4</v>
      </c>
      <c r="B361" s="82"/>
      <c r="C361" s="64" t="s">
        <v>182</v>
      </c>
      <c r="D361" s="65">
        <f t="shared" si="60"/>
        <v>320.7672</v>
      </c>
      <c r="E361" s="64">
        <v>0</v>
      </c>
      <c r="F361" s="64">
        <f t="shared" si="63"/>
        <v>481.1508</v>
      </c>
      <c r="G361" s="82"/>
      <c r="H361" s="82"/>
    </row>
    <row r="362" spans="1:9" x14ac:dyDescent="0.3">
      <c r="A362" s="82">
        <f t="shared" si="64"/>
        <v>5</v>
      </c>
      <c r="B362" s="82"/>
      <c r="C362" s="64" t="s">
        <v>182</v>
      </c>
      <c r="D362" s="65">
        <f t="shared" si="60"/>
        <v>320.7672</v>
      </c>
      <c r="E362" s="64">
        <v>0</v>
      </c>
      <c r="F362" s="64">
        <f t="shared" si="63"/>
        <v>481.1508</v>
      </c>
      <c r="G362" s="82"/>
      <c r="H362" s="82"/>
    </row>
    <row r="363" spans="1:9" x14ac:dyDescent="0.3">
      <c r="A363" s="82">
        <f t="shared" si="64"/>
        <v>6</v>
      </c>
      <c r="B363" s="82"/>
      <c r="C363" s="64" t="s">
        <v>182</v>
      </c>
      <c r="D363" s="65">
        <f t="shared" si="60"/>
        <v>320.7672</v>
      </c>
      <c r="E363" s="64">
        <v>0</v>
      </c>
      <c r="F363" s="64">
        <f t="shared" si="63"/>
        <v>481.1508</v>
      </c>
      <c r="G363" s="82"/>
      <c r="H363" s="82"/>
    </row>
    <row r="364" spans="1:9" x14ac:dyDescent="0.3">
      <c r="A364" s="82">
        <f t="shared" si="64"/>
        <v>7</v>
      </c>
      <c r="B364" s="82"/>
      <c r="C364" s="64" t="s">
        <v>182</v>
      </c>
      <c r="D364" s="65">
        <f t="shared" si="60"/>
        <v>320.7672</v>
      </c>
      <c r="E364" s="64">
        <v>0</v>
      </c>
      <c r="F364" s="64">
        <f t="shared" si="63"/>
        <v>481.1508</v>
      </c>
      <c r="G364" s="82"/>
      <c r="H364" s="82"/>
    </row>
    <row r="365" spans="1:9" x14ac:dyDescent="0.3">
      <c r="A365" s="82">
        <f t="shared" si="64"/>
        <v>8</v>
      </c>
      <c r="B365" s="82"/>
      <c r="C365" s="64" t="s">
        <v>182</v>
      </c>
      <c r="D365" s="65">
        <f t="shared" si="60"/>
        <v>320.7672</v>
      </c>
      <c r="E365" s="64">
        <v>0</v>
      </c>
      <c r="F365" s="64">
        <f t="shared" si="63"/>
        <v>481.1508</v>
      </c>
      <c r="G365" s="82"/>
      <c r="H365" s="82"/>
    </row>
    <row r="366" spans="1:9" x14ac:dyDescent="0.3">
      <c r="A366" s="82">
        <f t="shared" si="64"/>
        <v>9</v>
      </c>
      <c r="B366" s="82"/>
      <c r="C366" s="64" t="s">
        <v>182</v>
      </c>
      <c r="D366" s="65">
        <f t="shared" si="60"/>
        <v>320.7672</v>
      </c>
      <c r="E366" s="64">
        <v>0</v>
      </c>
      <c r="F366" s="64">
        <f t="shared" si="63"/>
        <v>481.1508</v>
      </c>
      <c r="G366" s="82"/>
      <c r="H366" s="82"/>
    </row>
    <row r="367" spans="1:9" x14ac:dyDescent="0.3">
      <c r="A367" s="82">
        <f t="shared" si="64"/>
        <v>10</v>
      </c>
      <c r="B367" s="82"/>
      <c r="C367" s="64" t="s">
        <v>182</v>
      </c>
      <c r="D367" s="65">
        <f t="shared" si="60"/>
        <v>320.7672</v>
      </c>
      <c r="E367" s="64">
        <v>0</v>
      </c>
      <c r="F367" s="64">
        <f t="shared" si="63"/>
        <v>481.1508</v>
      </c>
      <c r="G367" s="82"/>
      <c r="H367" s="82"/>
    </row>
    <row r="368" spans="1:9" x14ac:dyDescent="0.3">
      <c r="A368" s="82">
        <f t="shared" si="64"/>
        <v>11</v>
      </c>
      <c r="B368" s="82"/>
      <c r="C368" s="64" t="s">
        <v>182</v>
      </c>
      <c r="D368" s="65">
        <f t="shared" si="60"/>
        <v>320.7672</v>
      </c>
      <c r="E368" s="64">
        <v>0</v>
      </c>
      <c r="F368" s="64">
        <f t="shared" si="63"/>
        <v>481.1508</v>
      </c>
      <c r="G368" s="82"/>
      <c r="H368" s="82"/>
    </row>
    <row r="369" spans="1:9" x14ac:dyDescent="0.3">
      <c r="A369" s="82">
        <f t="shared" si="64"/>
        <v>12</v>
      </c>
      <c r="B369" s="82"/>
      <c r="C369" s="64" t="s">
        <v>182</v>
      </c>
      <c r="D369" s="65">
        <f t="shared" si="60"/>
        <v>320.7672</v>
      </c>
      <c r="E369" s="64">
        <v>0</v>
      </c>
      <c r="F369" s="64">
        <f t="shared" si="63"/>
        <v>481.1508</v>
      </c>
      <c r="G369" s="82"/>
      <c r="H369" s="82"/>
    </row>
    <row r="370" spans="1:9" ht="15.75" customHeight="1" x14ac:dyDescent="0.3">
      <c r="A370" s="82">
        <f t="shared" si="64"/>
        <v>13</v>
      </c>
      <c r="B370" s="82"/>
      <c r="C370" s="82" t="s">
        <v>186</v>
      </c>
      <c r="D370" s="82"/>
      <c r="E370" s="82"/>
      <c r="F370" s="82"/>
      <c r="G370" s="82"/>
      <c r="H370" s="82"/>
      <c r="I370"/>
    </row>
    <row r="371" spans="1:9" ht="15.75" customHeight="1" x14ac:dyDescent="0.3">
      <c r="A371" s="82">
        <f t="shared" si="64"/>
        <v>14</v>
      </c>
      <c r="B371" s="82"/>
      <c r="C371" s="82"/>
      <c r="D371" s="82"/>
      <c r="E371" s="82"/>
      <c r="F371" s="82"/>
      <c r="G371" s="82"/>
      <c r="H371" s="82"/>
    </row>
    <row r="372" spans="1:9" x14ac:dyDescent="0.3">
      <c r="A372" s="82">
        <f t="shared" si="64"/>
        <v>15</v>
      </c>
      <c r="B372" s="82"/>
      <c r="C372" s="64" t="s">
        <v>182</v>
      </c>
      <c r="D372" s="65">
        <f t="shared" si="60"/>
        <v>320.7672</v>
      </c>
      <c r="E372" s="64">
        <v>0</v>
      </c>
      <c r="F372" s="64">
        <f>D372*(($F$194)+1)+(IF(E372&lt;101,E372,IF(E372&lt;201,E372/2,IF(E372&lt;=301,E372/3,E372/4))))</f>
        <v>481.1508</v>
      </c>
      <c r="G372" s="82"/>
      <c r="H372" s="82"/>
    </row>
    <row r="373" spans="1:9" x14ac:dyDescent="0.3">
      <c r="A373" s="82">
        <f t="shared" si="64"/>
        <v>16</v>
      </c>
      <c r="B373" s="82"/>
      <c r="C373" s="64" t="s">
        <v>182</v>
      </c>
      <c r="D373" s="65">
        <f t="shared" si="60"/>
        <v>320.7672</v>
      </c>
      <c r="E373" s="64">
        <v>0</v>
      </c>
      <c r="F373" s="64">
        <f>D373*(($F$194)+1)+(IF(E373&lt;101,E373,IF(E373&lt;201,E373/2,IF(E373&lt;=301,E373/3,E373/4))))</f>
        <v>481.1508</v>
      </c>
      <c r="G373" s="82"/>
      <c r="H373" s="82"/>
    </row>
    <row r="374" spans="1:9" x14ac:dyDescent="0.3">
      <c r="A374" s="170" t="s">
        <v>67</v>
      </c>
      <c r="B374" s="170"/>
      <c r="C374" s="170"/>
      <c r="D374" s="170"/>
      <c r="E374" s="170"/>
      <c r="F374" s="170"/>
      <c r="G374" s="170"/>
      <c r="H374" s="170"/>
    </row>
    <row r="375" spans="1:9" ht="48" customHeight="1" x14ac:dyDescent="0.3">
      <c r="A375" s="44">
        <v>1</v>
      </c>
      <c r="B375" s="245" t="s">
        <v>269</v>
      </c>
      <c r="C375" s="246"/>
      <c r="D375" s="246"/>
      <c r="E375" s="246"/>
      <c r="F375" s="246"/>
      <c r="G375" s="246"/>
      <c r="H375" s="247"/>
    </row>
    <row r="376" spans="1:9" x14ac:dyDescent="0.3">
      <c r="A376" s="44">
        <f>A375+1</f>
        <v>2</v>
      </c>
      <c r="B376" s="245" t="str">
        <f>(IF(F193="Saleable area Loading :","We have considered Saleable area of Flats as per our Calculation.","We considered Saleable area of Flat as per Builder area Sheet."))</f>
        <v>We have considered Saleable area of Flats as per our Calculation.</v>
      </c>
      <c r="C376" s="246"/>
      <c r="D376" s="246"/>
      <c r="E376" s="246"/>
      <c r="F376" s="246"/>
      <c r="G376" s="246"/>
      <c r="H376" s="247"/>
    </row>
    <row r="377" spans="1:9" x14ac:dyDescent="0.3">
      <c r="A377" s="44">
        <f t="shared" ref="A377:A390" si="65">A376+1</f>
        <v>3</v>
      </c>
      <c r="B377" s="245" t="str">
        <f>(IF(136="Saleable area Loading :","We have considered Saleable area of Commercial as per our Calculation.","We considered Saleable area of Commercial as per Builder area Sheet."))</f>
        <v>We considered Saleable area of Commercial as per Builder area Sheet.</v>
      </c>
      <c r="C377" s="246"/>
      <c r="D377" s="246"/>
      <c r="E377" s="246"/>
      <c r="F377" s="246"/>
      <c r="G377" s="246"/>
      <c r="H377" s="247"/>
    </row>
    <row r="378" spans="1:9" x14ac:dyDescent="0.3">
      <c r="A378" s="44">
        <f t="shared" si="65"/>
        <v>4</v>
      </c>
      <c r="B378" s="78" t="s">
        <v>122</v>
      </c>
      <c r="C378" s="79"/>
      <c r="D378" s="79"/>
      <c r="E378" s="79"/>
      <c r="F378" s="79"/>
      <c r="G378" s="79"/>
      <c r="H378" s="80"/>
    </row>
    <row r="379" spans="1:9" ht="15.75" customHeight="1" x14ac:dyDescent="0.3">
      <c r="A379" s="44">
        <f t="shared" si="65"/>
        <v>5</v>
      </c>
      <c r="B379" s="78" t="s">
        <v>190</v>
      </c>
      <c r="C379" s="79"/>
      <c r="D379" s="79"/>
      <c r="E379" s="79"/>
      <c r="F379" s="79"/>
      <c r="G379" s="79"/>
      <c r="H379" s="80"/>
    </row>
    <row r="380" spans="1:9" x14ac:dyDescent="0.3">
      <c r="A380" s="44">
        <f t="shared" si="65"/>
        <v>6</v>
      </c>
      <c r="B380" s="78" t="s">
        <v>151</v>
      </c>
      <c r="C380" s="79"/>
      <c r="D380" s="79"/>
      <c r="E380" s="79"/>
      <c r="F380" s="79"/>
      <c r="G380" s="79"/>
      <c r="H380" s="80"/>
    </row>
    <row r="381" spans="1:9" x14ac:dyDescent="0.3">
      <c r="A381" s="44">
        <f t="shared" si="65"/>
        <v>7</v>
      </c>
      <c r="B381" s="78" t="s">
        <v>123</v>
      </c>
      <c r="C381" s="79"/>
      <c r="D381" s="79"/>
      <c r="E381" s="79"/>
      <c r="F381" s="79"/>
      <c r="G381" s="79"/>
      <c r="H381" s="80"/>
    </row>
    <row r="382" spans="1:9" ht="31.5" customHeight="1" x14ac:dyDescent="0.3">
      <c r="A382" s="44">
        <f t="shared" si="65"/>
        <v>8</v>
      </c>
      <c r="B382" s="78" t="s">
        <v>152</v>
      </c>
      <c r="C382" s="79"/>
      <c r="D382" s="79"/>
      <c r="E382" s="79"/>
      <c r="F382" s="79"/>
      <c r="G382" s="79"/>
      <c r="H382" s="80"/>
    </row>
    <row r="383" spans="1:9" x14ac:dyDescent="0.3">
      <c r="A383" s="44">
        <f t="shared" si="65"/>
        <v>9</v>
      </c>
      <c r="B383" s="78" t="s">
        <v>124</v>
      </c>
      <c r="C383" s="79"/>
      <c r="D383" s="79"/>
      <c r="E383" s="79"/>
      <c r="F383" s="79"/>
      <c r="G383" s="79"/>
      <c r="H383" s="80"/>
    </row>
    <row r="384" spans="1:9" x14ac:dyDescent="0.3">
      <c r="A384" s="44">
        <f t="shared" si="65"/>
        <v>10</v>
      </c>
      <c r="B384" s="78" t="s">
        <v>236</v>
      </c>
      <c r="C384" s="79"/>
      <c r="D384" s="79"/>
      <c r="E384" s="79"/>
      <c r="F384" s="79"/>
      <c r="G384" s="79"/>
      <c r="H384" s="80"/>
    </row>
    <row r="385" spans="1:9" x14ac:dyDescent="0.3">
      <c r="A385" s="44">
        <f t="shared" si="65"/>
        <v>11</v>
      </c>
      <c r="B385" s="78" t="s">
        <v>243</v>
      </c>
      <c r="C385" s="79"/>
      <c r="D385" s="79"/>
      <c r="E385" s="79"/>
      <c r="F385" s="79"/>
      <c r="G385" s="79"/>
      <c r="H385" s="80"/>
    </row>
    <row r="386" spans="1:9" ht="33.75" customHeight="1" x14ac:dyDescent="0.3">
      <c r="A386" s="44">
        <f t="shared" si="65"/>
        <v>12</v>
      </c>
      <c r="B386" s="78" t="s">
        <v>245</v>
      </c>
      <c r="C386" s="79"/>
      <c r="D386" s="79"/>
      <c r="E386" s="79"/>
      <c r="F386" s="79"/>
      <c r="G386" s="79"/>
      <c r="H386" s="80"/>
    </row>
    <row r="387" spans="1:9" ht="83.25" customHeight="1" x14ac:dyDescent="0.3">
      <c r="A387" s="44">
        <f>A386+1</f>
        <v>13</v>
      </c>
      <c r="B387" s="78" t="s">
        <v>247</v>
      </c>
      <c r="C387" s="79"/>
      <c r="D387" s="79"/>
      <c r="E387" s="79"/>
      <c r="F387" s="79"/>
      <c r="G387" s="79"/>
      <c r="H387" s="80"/>
      <c r="I387" s="68"/>
    </row>
    <row r="388" spans="1:9" ht="93.6" customHeight="1" x14ac:dyDescent="0.3">
      <c r="A388" s="44">
        <f t="shared" si="65"/>
        <v>14</v>
      </c>
      <c r="B388" s="74" t="s">
        <v>251</v>
      </c>
      <c r="C388" s="74"/>
      <c r="D388" s="74"/>
      <c r="E388" s="74"/>
      <c r="F388" s="74"/>
      <c r="G388" s="74"/>
      <c r="H388" s="74"/>
      <c r="I388" s="69" t="s">
        <v>252</v>
      </c>
    </row>
    <row r="389" spans="1:9" x14ac:dyDescent="0.3">
      <c r="A389" s="44">
        <f t="shared" si="65"/>
        <v>15</v>
      </c>
      <c r="B389" s="74" t="s">
        <v>265</v>
      </c>
      <c r="C389" s="74"/>
      <c r="D389" s="74"/>
      <c r="E389" s="74"/>
      <c r="F389" s="74"/>
      <c r="G389" s="74"/>
      <c r="H389" s="74"/>
    </row>
    <row r="390" spans="1:9" x14ac:dyDescent="0.3">
      <c r="A390" s="44">
        <f t="shared" si="65"/>
        <v>16</v>
      </c>
      <c r="B390" s="74" t="s">
        <v>266</v>
      </c>
      <c r="C390" s="74"/>
      <c r="D390" s="74"/>
      <c r="E390" s="74"/>
      <c r="F390" s="74"/>
      <c r="G390" s="74"/>
      <c r="H390" s="74"/>
    </row>
    <row r="391" spans="1:9" ht="62.55" hidden="1" customHeight="1" x14ac:dyDescent="0.3">
      <c r="A391" s="44">
        <v>16</v>
      </c>
      <c r="B391" s="75" t="s">
        <v>267</v>
      </c>
      <c r="C391" s="76"/>
      <c r="D391" s="76"/>
      <c r="E391" s="76"/>
      <c r="F391" s="76"/>
      <c r="G391" s="76"/>
      <c r="H391" s="77"/>
      <c r="I391" s="68"/>
    </row>
    <row r="392" spans="1:9" ht="32.549999999999997" customHeight="1" x14ac:dyDescent="0.3">
      <c r="A392" s="44">
        <f>A391+1</f>
        <v>17</v>
      </c>
      <c r="B392" s="78" t="s">
        <v>270</v>
      </c>
      <c r="C392" s="79"/>
      <c r="D392" s="79"/>
      <c r="E392" s="79"/>
      <c r="F392" s="79"/>
      <c r="G392" s="79"/>
      <c r="H392" s="80"/>
      <c r="I392" s="68"/>
    </row>
    <row r="393" spans="1:9" ht="64.2" customHeight="1" x14ac:dyDescent="0.3">
      <c r="A393" s="44">
        <f>A392+1</f>
        <v>18</v>
      </c>
      <c r="B393" s="78" t="s">
        <v>272</v>
      </c>
      <c r="C393" s="79"/>
      <c r="D393" s="79"/>
      <c r="E393" s="79"/>
      <c r="F393" s="79"/>
      <c r="G393" s="79"/>
      <c r="H393" s="80"/>
      <c r="I393" s="68"/>
    </row>
    <row r="394" spans="1:9" x14ac:dyDescent="0.3">
      <c r="A394" s="221" t="s">
        <v>60</v>
      </c>
      <c r="B394" s="221"/>
      <c r="C394" s="221"/>
      <c r="D394" s="221"/>
      <c r="E394" s="221"/>
      <c r="F394" s="221"/>
      <c r="G394" s="221"/>
      <c r="H394" s="221"/>
    </row>
    <row r="395" spans="1:9" x14ac:dyDescent="0.3">
      <c r="A395" s="122" t="s">
        <v>61</v>
      </c>
      <c r="B395" s="122"/>
      <c r="C395" s="122"/>
      <c r="D395" s="122"/>
      <c r="E395" s="122"/>
      <c r="F395" s="122"/>
      <c r="G395" s="122"/>
      <c r="H395" s="122"/>
    </row>
    <row r="396" spans="1:9" x14ac:dyDescent="0.3">
      <c r="A396" s="225" t="s">
        <v>62</v>
      </c>
      <c r="B396" s="225"/>
      <c r="C396" s="225"/>
      <c r="D396" s="225"/>
      <c r="E396" s="225"/>
      <c r="F396" s="225"/>
      <c r="G396" s="225"/>
      <c r="H396" s="225"/>
    </row>
    <row r="397" spans="1:9" x14ac:dyDescent="0.3">
      <c r="A397" s="122" t="s">
        <v>63</v>
      </c>
      <c r="B397" s="122"/>
      <c r="C397" s="122"/>
      <c r="D397" s="122"/>
      <c r="E397" s="122"/>
      <c r="F397" s="122"/>
      <c r="G397" s="122"/>
      <c r="H397" s="122"/>
    </row>
    <row r="398" spans="1:9" x14ac:dyDescent="0.3">
      <c r="A398" s="122" t="s">
        <v>64</v>
      </c>
      <c r="B398" s="122"/>
      <c r="C398" s="122"/>
      <c r="D398" s="122"/>
      <c r="E398" s="122"/>
      <c r="F398" s="122"/>
      <c r="G398" s="122"/>
      <c r="H398" s="122"/>
    </row>
    <row r="399" spans="1:9" x14ac:dyDescent="0.3">
      <c r="A399" s="122" t="s">
        <v>125</v>
      </c>
      <c r="B399" s="122"/>
      <c r="C399" s="122"/>
      <c r="D399" s="122"/>
      <c r="E399" s="122"/>
      <c r="F399" s="122"/>
      <c r="G399" s="122"/>
      <c r="H399" s="122"/>
    </row>
    <row r="400" spans="1:9" x14ac:dyDescent="0.3">
      <c r="A400" s="183" t="s">
        <v>126</v>
      </c>
      <c r="B400" s="183"/>
      <c r="C400" s="183"/>
      <c r="D400" s="183"/>
      <c r="E400" s="183"/>
      <c r="F400" s="183"/>
      <c r="G400" s="183"/>
      <c r="H400" s="183"/>
    </row>
    <row r="401" spans="1:8" x14ac:dyDescent="0.3">
      <c r="A401" s="220" t="s">
        <v>77</v>
      </c>
      <c r="B401" s="220"/>
      <c r="C401" s="220" t="s">
        <v>225</v>
      </c>
      <c r="D401" s="220"/>
      <c r="E401" s="220" t="s">
        <v>106</v>
      </c>
      <c r="F401" s="220"/>
      <c r="G401" s="220" t="s">
        <v>275</v>
      </c>
      <c r="H401" s="220"/>
    </row>
    <row r="402" spans="1:8" x14ac:dyDescent="0.3">
      <c r="A402" s="248" t="s">
        <v>79</v>
      </c>
      <c r="B402" s="248"/>
      <c r="C402" s="248"/>
      <c r="D402" s="248"/>
      <c r="E402" s="248"/>
      <c r="F402" s="248"/>
      <c r="G402" s="248"/>
      <c r="H402" s="248"/>
    </row>
    <row r="403" spans="1:8" x14ac:dyDescent="0.3">
      <c r="A403" s="248"/>
      <c r="B403" s="248"/>
      <c r="C403" s="248"/>
      <c r="D403" s="248"/>
      <c r="E403" s="248"/>
      <c r="F403" s="248"/>
      <c r="G403" s="248"/>
      <c r="H403" s="248"/>
    </row>
    <row r="404" spans="1:8" x14ac:dyDescent="0.3">
      <c r="A404" s="248"/>
      <c r="B404" s="248"/>
      <c r="C404" s="248"/>
      <c r="D404" s="248"/>
      <c r="E404" s="248"/>
      <c r="F404" s="248"/>
      <c r="G404" s="248"/>
      <c r="H404" s="248"/>
    </row>
    <row r="405" spans="1:8" x14ac:dyDescent="0.3">
      <c r="A405" s="248"/>
      <c r="B405" s="248"/>
      <c r="C405" s="248"/>
      <c r="D405" s="248"/>
      <c r="E405" s="248"/>
      <c r="F405" s="248"/>
      <c r="G405" s="248"/>
      <c r="H405" s="248"/>
    </row>
    <row r="406" spans="1:8" x14ac:dyDescent="0.3">
      <c r="A406" s="37" t="s">
        <v>65</v>
      </c>
      <c r="B406" s="38"/>
      <c r="C406" s="38"/>
      <c r="D406" s="37" t="str">
        <f>E8</f>
        <v>Dadasaheb Phalke</v>
      </c>
      <c r="F406" s="38"/>
      <c r="G406" s="38"/>
      <c r="H406" s="38"/>
    </row>
    <row r="407" spans="1:8" x14ac:dyDescent="0.3">
      <c r="A407" s="38"/>
      <c r="B407" s="38"/>
      <c r="C407" s="38"/>
      <c r="D407" s="38"/>
      <c r="E407" s="38"/>
      <c r="F407" s="38"/>
      <c r="G407" s="38"/>
      <c r="H407" s="38"/>
    </row>
    <row r="408" spans="1:8" x14ac:dyDescent="0.3">
      <c r="A408" s="38"/>
      <c r="B408" s="38"/>
      <c r="C408" s="38"/>
      <c r="D408" s="38"/>
      <c r="E408" s="38"/>
      <c r="F408" s="38"/>
      <c r="G408" s="38"/>
      <c r="H408" s="38"/>
    </row>
    <row r="449" spans="1:8" x14ac:dyDescent="0.3">
      <c r="A449" s="244" t="s">
        <v>248</v>
      </c>
      <c r="B449" s="244"/>
      <c r="C449" s="244"/>
      <c r="D449" s="37"/>
      <c r="F449" s="38"/>
      <c r="G449" s="38"/>
      <c r="H449" s="38"/>
    </row>
    <row r="450" spans="1:8" x14ac:dyDescent="0.3">
      <c r="A450" s="38"/>
      <c r="B450" s="38"/>
      <c r="C450" s="38"/>
      <c r="D450" s="38"/>
      <c r="E450" s="38"/>
      <c r="F450" s="38"/>
      <c r="G450" s="38"/>
      <c r="H450" s="38"/>
    </row>
    <row r="451" spans="1:8" x14ac:dyDescent="0.3">
      <c r="A451" s="38"/>
      <c r="B451" s="38"/>
      <c r="C451" s="38"/>
      <c r="D451" s="38"/>
      <c r="E451" s="38"/>
      <c r="F451" s="38"/>
      <c r="G451" s="38"/>
      <c r="H451" s="38"/>
    </row>
    <row r="478" hidden="1" x14ac:dyDescent="0.3"/>
    <row r="479" hidden="1" x14ac:dyDescent="0.3"/>
    <row r="480" hidden="1" x14ac:dyDescent="0.3"/>
    <row r="481" spans="1:10" hidden="1" x14ac:dyDescent="0.3"/>
    <row r="482" spans="1:10" hidden="1" x14ac:dyDescent="0.3"/>
    <row r="483" spans="1:10" hidden="1" x14ac:dyDescent="0.3"/>
    <row r="484" spans="1:10" hidden="1" x14ac:dyDescent="0.3"/>
    <row r="485" spans="1:10" hidden="1" x14ac:dyDescent="0.3"/>
    <row r="486" spans="1:10" hidden="1" x14ac:dyDescent="0.3"/>
    <row r="487" spans="1:10" hidden="1" x14ac:dyDescent="0.3"/>
    <row r="488" spans="1:10" hidden="1" x14ac:dyDescent="0.3"/>
    <row r="489" spans="1:10" hidden="1" x14ac:dyDescent="0.3"/>
    <row r="490" spans="1:10" hidden="1" x14ac:dyDescent="0.3"/>
    <row r="491" spans="1:10" hidden="1" x14ac:dyDescent="0.3"/>
    <row r="492" spans="1:10" x14ac:dyDescent="0.3">
      <c r="A492" s="40" t="s">
        <v>166</v>
      </c>
    </row>
    <row r="496" spans="1:10" ht="17.399999999999999" x14ac:dyDescent="0.3">
      <c r="J496" s="59"/>
    </row>
    <row r="532" spans="1:1" x14ac:dyDescent="0.3">
      <c r="A532" s="40" t="s">
        <v>66</v>
      </c>
    </row>
  </sheetData>
  <mergeCells count="663">
    <mergeCell ref="B393:H393"/>
    <mergeCell ref="A281:B281"/>
    <mergeCell ref="A282:B282"/>
    <mergeCell ref="B388:H388"/>
    <mergeCell ref="A449:C449"/>
    <mergeCell ref="G166:H177"/>
    <mergeCell ref="A165:H165"/>
    <mergeCell ref="A279:B279"/>
    <mergeCell ref="A280:B280"/>
    <mergeCell ref="A210:B210"/>
    <mergeCell ref="A395:H395"/>
    <mergeCell ref="B383:H383"/>
    <mergeCell ref="B381:H381"/>
    <mergeCell ref="B377:H377"/>
    <mergeCell ref="B375:H375"/>
    <mergeCell ref="B376:H376"/>
    <mergeCell ref="B382:H382"/>
    <mergeCell ref="B380:H380"/>
    <mergeCell ref="A244:B244"/>
    <mergeCell ref="A265:B265"/>
    <mergeCell ref="A266:B266"/>
    <mergeCell ref="A402:H405"/>
    <mergeCell ref="C285:F285"/>
    <mergeCell ref="A313:B313"/>
    <mergeCell ref="L224:M224"/>
    <mergeCell ref="A246:B246"/>
    <mergeCell ref="L225:M225"/>
    <mergeCell ref="L229:M229"/>
    <mergeCell ref="L226:M226"/>
    <mergeCell ref="L209:M209"/>
    <mergeCell ref="A223:B223"/>
    <mergeCell ref="A239:B239"/>
    <mergeCell ref="A224:B224"/>
    <mergeCell ref="A236:B236"/>
    <mergeCell ref="G198:H213"/>
    <mergeCell ref="L214:M214"/>
    <mergeCell ref="L215:M215"/>
    <mergeCell ref="L200:M200"/>
    <mergeCell ref="L201:M201"/>
    <mergeCell ref="L161:M161"/>
    <mergeCell ref="L169:M169"/>
    <mergeCell ref="A247:B247"/>
    <mergeCell ref="A311:B311"/>
    <mergeCell ref="A312:B312"/>
    <mergeCell ref="A302:B302"/>
    <mergeCell ref="A303:B303"/>
    <mergeCell ref="A304:B304"/>
    <mergeCell ref="A283:B283"/>
    <mergeCell ref="A278:B278"/>
    <mergeCell ref="G278:H285"/>
    <mergeCell ref="A286:H286"/>
    <mergeCell ref="A277:H277"/>
    <mergeCell ref="A264:B264"/>
    <mergeCell ref="A249:H249"/>
    <mergeCell ref="L166:M166"/>
    <mergeCell ref="L162:M162"/>
    <mergeCell ref="L216:M216"/>
    <mergeCell ref="L207:M207"/>
    <mergeCell ref="A229:B229"/>
    <mergeCell ref="A316:B316"/>
    <mergeCell ref="A317:B317"/>
    <mergeCell ref="A318:B318"/>
    <mergeCell ref="A319:B319"/>
    <mergeCell ref="A320:B320"/>
    <mergeCell ref="A321:B321"/>
    <mergeCell ref="A322:B322"/>
    <mergeCell ref="C322:F322"/>
    <mergeCell ref="L149:M149"/>
    <mergeCell ref="A172:B172"/>
    <mergeCell ref="A231:H231"/>
    <mergeCell ref="A232:B232"/>
    <mergeCell ref="G232:H247"/>
    <mergeCell ref="L211:M211"/>
    <mergeCell ref="A233:B233"/>
    <mergeCell ref="A238:B238"/>
    <mergeCell ref="L217:M217"/>
    <mergeCell ref="L150:M150"/>
    <mergeCell ref="L151:M151"/>
    <mergeCell ref="A175:B175"/>
    <mergeCell ref="L154:M154"/>
    <mergeCell ref="C246:F247"/>
    <mergeCell ref="L155:M155"/>
    <mergeCell ref="A177:B177"/>
    <mergeCell ref="L144:M144"/>
    <mergeCell ref="A314:H314"/>
    <mergeCell ref="A305:H305"/>
    <mergeCell ref="A306:B306"/>
    <mergeCell ref="G306:H313"/>
    <mergeCell ref="A307:B307"/>
    <mergeCell ref="A308:B308"/>
    <mergeCell ref="A309:B309"/>
    <mergeCell ref="A310:B310"/>
    <mergeCell ref="L265:M265"/>
    <mergeCell ref="L266:M266"/>
    <mergeCell ref="L205:M205"/>
    <mergeCell ref="L212:M212"/>
    <mergeCell ref="L198:M198"/>
    <mergeCell ref="L199:M199"/>
    <mergeCell ref="L148:M148"/>
    <mergeCell ref="A171:B171"/>
    <mergeCell ref="L164:M164"/>
    <mergeCell ref="A173:B173"/>
    <mergeCell ref="L159:M159"/>
    <mergeCell ref="L203:M203"/>
    <mergeCell ref="L180:M180"/>
    <mergeCell ref="L183:M183"/>
    <mergeCell ref="L177:M177"/>
    <mergeCell ref="L196:M196"/>
    <mergeCell ref="L165:M165"/>
    <mergeCell ref="E160:E161"/>
    <mergeCell ref="G160:H161"/>
    <mergeCell ref="A211:B211"/>
    <mergeCell ref="A213:B213"/>
    <mergeCell ref="A189:B189"/>
    <mergeCell ref="L181:M181"/>
    <mergeCell ref="L202:M202"/>
    <mergeCell ref="A208:B208"/>
    <mergeCell ref="L213:M213"/>
    <mergeCell ref="L208:M208"/>
    <mergeCell ref="L178:M178"/>
    <mergeCell ref="L179:M179"/>
    <mergeCell ref="G180:H191"/>
    <mergeCell ref="L192:M192"/>
    <mergeCell ref="L194:M194"/>
    <mergeCell ref="L195:M195"/>
    <mergeCell ref="L145:M145"/>
    <mergeCell ref="L146:M146"/>
    <mergeCell ref="L147:M147"/>
    <mergeCell ref="A164:H164"/>
    <mergeCell ref="A162:H162"/>
    <mergeCell ref="A160:A161"/>
    <mergeCell ref="A174:B174"/>
    <mergeCell ref="L153:M153"/>
    <mergeCell ref="L206:M206"/>
    <mergeCell ref="L170:M170"/>
    <mergeCell ref="A191:B191"/>
    <mergeCell ref="L171:M171"/>
    <mergeCell ref="A187:B187"/>
    <mergeCell ref="L167:M167"/>
    <mergeCell ref="A188:B188"/>
    <mergeCell ref="L168:M168"/>
    <mergeCell ref="A178:H178"/>
    <mergeCell ref="A192:H192"/>
    <mergeCell ref="A193:A194"/>
    <mergeCell ref="L160:M160"/>
    <mergeCell ref="L204:M204"/>
    <mergeCell ref="L197:M197"/>
    <mergeCell ref="A203:B203"/>
    <mergeCell ref="A206:B206"/>
    <mergeCell ref="A90:B90"/>
    <mergeCell ref="C90:H90"/>
    <mergeCell ref="A85:B85"/>
    <mergeCell ref="A50:B50"/>
    <mergeCell ref="C50:E50"/>
    <mergeCell ref="G50:H50"/>
    <mergeCell ref="G53:H53"/>
    <mergeCell ref="D63:H63"/>
    <mergeCell ref="C53:E53"/>
    <mergeCell ref="D66:H66"/>
    <mergeCell ref="D67:H67"/>
    <mergeCell ref="C52:E52"/>
    <mergeCell ref="A61:B61"/>
    <mergeCell ref="C61:E61"/>
    <mergeCell ref="A52:B52"/>
    <mergeCell ref="A62:H62"/>
    <mergeCell ref="A63:C63"/>
    <mergeCell ref="A64:C64"/>
    <mergeCell ref="A70:C70"/>
    <mergeCell ref="D70:H70"/>
    <mergeCell ref="D65:H65"/>
    <mergeCell ref="A399:H399"/>
    <mergeCell ref="A396:H396"/>
    <mergeCell ref="A251:B251"/>
    <mergeCell ref="A152:B152"/>
    <mergeCell ref="D193:D194"/>
    <mergeCell ref="E193:E194"/>
    <mergeCell ref="G193:H194"/>
    <mergeCell ref="A98:B98"/>
    <mergeCell ref="A99:B99"/>
    <mergeCell ref="A100:B100"/>
    <mergeCell ref="F133:H133"/>
    <mergeCell ref="G148:H148"/>
    <mergeCell ref="A196:H196"/>
    <mergeCell ref="A202:B202"/>
    <mergeCell ref="C147:D147"/>
    <mergeCell ref="F143:H143"/>
    <mergeCell ref="F141:H141"/>
    <mergeCell ref="A261:B261"/>
    <mergeCell ref="A242:B242"/>
    <mergeCell ref="A148:A149"/>
    <mergeCell ref="C155:D155"/>
    <mergeCell ref="E155:F155"/>
    <mergeCell ref="A315:B315"/>
    <mergeCell ref="G315:H322"/>
    <mergeCell ref="A138:E138"/>
    <mergeCell ref="F138:H138"/>
    <mergeCell ref="F137:H137"/>
    <mergeCell ref="D64:H64"/>
    <mergeCell ref="G61:H61"/>
    <mergeCell ref="G155:H155"/>
    <mergeCell ref="A154:A155"/>
    <mergeCell ref="A170:B170"/>
    <mergeCell ref="E80:F89"/>
    <mergeCell ref="G80:H89"/>
    <mergeCell ref="A88:B88"/>
    <mergeCell ref="A89:B89"/>
    <mergeCell ref="A87:B87"/>
    <mergeCell ref="A92:B92"/>
    <mergeCell ref="C92:H92"/>
    <mergeCell ref="A93:B93"/>
    <mergeCell ref="E93:F93"/>
    <mergeCell ref="G93:H93"/>
    <mergeCell ref="F140:H140"/>
    <mergeCell ref="A142:E142"/>
    <mergeCell ref="E152:F152"/>
    <mergeCell ref="A158:H158"/>
    <mergeCell ref="A157:B157"/>
    <mergeCell ref="E157:F157"/>
    <mergeCell ref="A80:B80"/>
    <mergeCell ref="G79:H79"/>
    <mergeCell ref="A65:C65"/>
    <mergeCell ref="G55:H55"/>
    <mergeCell ref="C56:H56"/>
    <mergeCell ref="A66:C68"/>
    <mergeCell ref="D68:H68"/>
    <mergeCell ref="A401:B401"/>
    <mergeCell ref="E401:F401"/>
    <mergeCell ref="C401:D401"/>
    <mergeCell ref="G401:H401"/>
    <mergeCell ref="A146:H146"/>
    <mergeCell ref="A144:E144"/>
    <mergeCell ref="F144:H144"/>
    <mergeCell ref="A145:E145"/>
    <mergeCell ref="F145:H145"/>
    <mergeCell ref="A250:H250"/>
    <mergeCell ref="A153:B153"/>
    <mergeCell ref="A262:B262"/>
    <mergeCell ref="A397:H397"/>
    <mergeCell ref="A151:H151"/>
    <mergeCell ref="A400:H400"/>
    <mergeCell ref="A398:H398"/>
    <mergeCell ref="A394:H394"/>
    <mergeCell ref="A10:D10"/>
    <mergeCell ref="E10:H10"/>
    <mergeCell ref="A9:D9"/>
    <mergeCell ref="E9:H9"/>
    <mergeCell ref="A72:C72"/>
    <mergeCell ref="D72:H72"/>
    <mergeCell ref="A75:C75"/>
    <mergeCell ref="D75:H75"/>
    <mergeCell ref="A73:C73"/>
    <mergeCell ref="A55:B56"/>
    <mergeCell ref="D73:H73"/>
    <mergeCell ref="A47:D47"/>
    <mergeCell ref="C54:H54"/>
    <mergeCell ref="E43:H43"/>
    <mergeCell ref="A43:D43"/>
    <mergeCell ref="A48:H48"/>
    <mergeCell ref="A1:H1"/>
    <mergeCell ref="A2:H2"/>
    <mergeCell ref="A3:D3"/>
    <mergeCell ref="E3:H3"/>
    <mergeCell ref="A4:D4"/>
    <mergeCell ref="A8:D8"/>
    <mergeCell ref="E8:H8"/>
    <mergeCell ref="A17:B17"/>
    <mergeCell ref="A14:D14"/>
    <mergeCell ref="E14:H14"/>
    <mergeCell ref="A15:D15"/>
    <mergeCell ref="A12:D12"/>
    <mergeCell ref="E12:H12"/>
    <mergeCell ref="A11:D11"/>
    <mergeCell ref="E11:H11"/>
    <mergeCell ref="E4:H4"/>
    <mergeCell ref="A13:D13"/>
    <mergeCell ref="E13:H13"/>
    <mergeCell ref="A5:D5"/>
    <mergeCell ref="E5:H5"/>
    <mergeCell ref="A6:D6"/>
    <mergeCell ref="E6:H6"/>
    <mergeCell ref="A7:D7"/>
    <mergeCell ref="E7:H7"/>
    <mergeCell ref="E15:H15"/>
    <mergeCell ref="A16:B16"/>
    <mergeCell ref="C16:H16"/>
    <mergeCell ref="C17:H17"/>
    <mergeCell ref="A18:B18"/>
    <mergeCell ref="C18:H18"/>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30:D30"/>
    <mergeCell ref="E30:H30"/>
    <mergeCell ref="A27:D27"/>
    <mergeCell ref="A23:D24"/>
    <mergeCell ref="E23:H24"/>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37:B37"/>
    <mergeCell ref="C37:E37"/>
    <mergeCell ref="A42:D42"/>
    <mergeCell ref="E42:H42"/>
    <mergeCell ref="F34:H34"/>
    <mergeCell ref="F35:H35"/>
    <mergeCell ref="A41:H41"/>
    <mergeCell ref="A69:C69"/>
    <mergeCell ref="D69:H69"/>
    <mergeCell ref="A44:D44"/>
    <mergeCell ref="E44:H44"/>
    <mergeCell ref="E45:H45"/>
    <mergeCell ref="E46:H46"/>
    <mergeCell ref="E47:H47"/>
    <mergeCell ref="A39:B39"/>
    <mergeCell ref="C39:H39"/>
    <mergeCell ref="A46:D46"/>
    <mergeCell ref="A40:B40"/>
    <mergeCell ref="C40:H40"/>
    <mergeCell ref="A49:B49"/>
    <mergeCell ref="C49:H49"/>
    <mergeCell ref="A45:D45"/>
    <mergeCell ref="C55:E55"/>
    <mergeCell ref="F37:H37"/>
    <mergeCell ref="G147:H147"/>
    <mergeCell ref="C148:D148"/>
    <mergeCell ref="E148:F148"/>
    <mergeCell ref="A182:B182"/>
    <mergeCell ref="A226:B226"/>
    <mergeCell ref="C213:F213"/>
    <mergeCell ref="A163:H163"/>
    <mergeCell ref="A38:H38"/>
    <mergeCell ref="G52:H52"/>
    <mergeCell ref="A53:B54"/>
    <mergeCell ref="A86:B86"/>
    <mergeCell ref="A79:B79"/>
    <mergeCell ref="A82:B82"/>
    <mergeCell ref="A78:B78"/>
    <mergeCell ref="A76:B76"/>
    <mergeCell ref="C76:H76"/>
    <mergeCell ref="A84:B84"/>
    <mergeCell ref="A71:C71"/>
    <mergeCell ref="D71:H71"/>
    <mergeCell ref="C78:H78"/>
    <mergeCell ref="A81:B81"/>
    <mergeCell ref="A83:B83"/>
    <mergeCell ref="E79:F79"/>
    <mergeCell ref="A143:E143"/>
    <mergeCell ref="C149:D149"/>
    <mergeCell ref="E149:F149"/>
    <mergeCell ref="G149:H149"/>
    <mergeCell ref="A150:B150"/>
    <mergeCell ref="C150:D150"/>
    <mergeCell ref="E150:F150"/>
    <mergeCell ref="G150:H150"/>
    <mergeCell ref="C154:D154"/>
    <mergeCell ref="E154:F154"/>
    <mergeCell ref="G154:H154"/>
    <mergeCell ref="C152:D152"/>
    <mergeCell ref="G152:H152"/>
    <mergeCell ref="C153:D153"/>
    <mergeCell ref="E153:F153"/>
    <mergeCell ref="G153:H153"/>
    <mergeCell ref="B378:H378"/>
    <mergeCell ref="B379:H379"/>
    <mergeCell ref="A374:H374"/>
    <mergeCell ref="C160:C161"/>
    <mergeCell ref="B193:B194"/>
    <mergeCell ref="A259:H259"/>
    <mergeCell ref="A201:B201"/>
    <mergeCell ref="A198:B198"/>
    <mergeCell ref="A169:B169"/>
    <mergeCell ref="A166:B166"/>
    <mergeCell ref="A167:B167"/>
    <mergeCell ref="A168:B168"/>
    <mergeCell ref="D160:D161"/>
    <mergeCell ref="A199:B199"/>
    <mergeCell ref="A200:B200"/>
    <mergeCell ref="A267:B267"/>
    <mergeCell ref="A222:B222"/>
    <mergeCell ref="A225:B225"/>
    <mergeCell ref="A248:H248"/>
    <mergeCell ref="A337:B337"/>
    <mergeCell ref="A338:B338"/>
    <mergeCell ref="G297:H304"/>
    <mergeCell ref="A298:B298"/>
    <mergeCell ref="A299:B299"/>
    <mergeCell ref="A95:B95"/>
    <mergeCell ref="A96:B96"/>
    <mergeCell ref="A97:B97"/>
    <mergeCell ref="F134:H134"/>
    <mergeCell ref="A134:E134"/>
    <mergeCell ref="A136:E136"/>
    <mergeCell ref="A104:B104"/>
    <mergeCell ref="C104:H104"/>
    <mergeCell ref="A106:B106"/>
    <mergeCell ref="C106:H106"/>
    <mergeCell ref="A107:B107"/>
    <mergeCell ref="E107:F107"/>
    <mergeCell ref="G107:H107"/>
    <mergeCell ref="A108:B108"/>
    <mergeCell ref="E108:F117"/>
    <mergeCell ref="G108:H117"/>
    <mergeCell ref="A102:B102"/>
    <mergeCell ref="F132:H132"/>
    <mergeCell ref="G94:H103"/>
    <mergeCell ref="A133:E133"/>
    <mergeCell ref="A103:B103"/>
    <mergeCell ref="A118:B118"/>
    <mergeCell ref="C118:H118"/>
    <mergeCell ref="A120:B120"/>
    <mergeCell ref="F139:H139"/>
    <mergeCell ref="A237:B237"/>
    <mergeCell ref="A195:H195"/>
    <mergeCell ref="C193:C194"/>
    <mergeCell ref="A135:E135"/>
    <mergeCell ref="A132:E132"/>
    <mergeCell ref="A323:H323"/>
    <mergeCell ref="A324:H324"/>
    <mergeCell ref="A325:B325"/>
    <mergeCell ref="A284:B284"/>
    <mergeCell ref="A285:B285"/>
    <mergeCell ref="A268:H268"/>
    <mergeCell ref="A269:B269"/>
    <mergeCell ref="G269:H276"/>
    <mergeCell ref="A270:B270"/>
    <mergeCell ref="A271:B271"/>
    <mergeCell ref="A272:B272"/>
    <mergeCell ref="A273:B273"/>
    <mergeCell ref="A274:B274"/>
    <mergeCell ref="A275:B275"/>
    <mergeCell ref="A276:B276"/>
    <mergeCell ref="A296:H296"/>
    <mergeCell ref="A297:B297"/>
    <mergeCell ref="A252:B252"/>
    <mergeCell ref="C157:D157"/>
    <mergeCell ref="A197:H197"/>
    <mergeCell ref="B160:B161"/>
    <mergeCell ref="A184:B184"/>
    <mergeCell ref="A263:B263"/>
    <mergeCell ref="A260:B260"/>
    <mergeCell ref="G157:H157"/>
    <mergeCell ref="A241:B241"/>
    <mergeCell ref="A228:B228"/>
    <mergeCell ref="A243:B243"/>
    <mergeCell ref="A235:B235"/>
    <mergeCell ref="A209:B209"/>
    <mergeCell ref="A204:B204"/>
    <mergeCell ref="A257:B257"/>
    <mergeCell ref="A205:B205"/>
    <mergeCell ref="A159:H159"/>
    <mergeCell ref="A234:B234"/>
    <mergeCell ref="A230:B230"/>
    <mergeCell ref="C120:H120"/>
    <mergeCell ref="A113:B113"/>
    <mergeCell ref="A114:B114"/>
    <mergeCell ref="A115:B115"/>
    <mergeCell ref="A116:B116"/>
    <mergeCell ref="A117:B117"/>
    <mergeCell ref="A109:B109"/>
    <mergeCell ref="A110:B110"/>
    <mergeCell ref="A111:B111"/>
    <mergeCell ref="A112:B112"/>
    <mergeCell ref="A94:B94"/>
    <mergeCell ref="E94:F103"/>
    <mergeCell ref="A101:B101"/>
    <mergeCell ref="A74:C74"/>
    <mergeCell ref="D74:H74"/>
    <mergeCell ref="A333:B333"/>
    <mergeCell ref="A335:B335"/>
    <mergeCell ref="A336:B336"/>
    <mergeCell ref="I329:O329"/>
    <mergeCell ref="A121:B121"/>
    <mergeCell ref="E121:F121"/>
    <mergeCell ref="G121:H121"/>
    <mergeCell ref="A122:B122"/>
    <mergeCell ref="E122:F131"/>
    <mergeCell ref="G122:H131"/>
    <mergeCell ref="A123:B123"/>
    <mergeCell ref="A124:B124"/>
    <mergeCell ref="A125:B125"/>
    <mergeCell ref="A126:B126"/>
    <mergeCell ref="A127:B127"/>
    <mergeCell ref="A128:B128"/>
    <mergeCell ref="A129:B129"/>
    <mergeCell ref="A130:B130"/>
    <mergeCell ref="A131:B131"/>
    <mergeCell ref="A139:E139"/>
    <mergeCell ref="A141:E141"/>
    <mergeCell ref="F135:H135"/>
    <mergeCell ref="A140:E140"/>
    <mergeCell ref="A137:E137"/>
    <mergeCell ref="A354:B354"/>
    <mergeCell ref="A355:B355"/>
    <mergeCell ref="A340:H340"/>
    <mergeCell ref="A344:B344"/>
    <mergeCell ref="A253:B253"/>
    <mergeCell ref="A254:B254"/>
    <mergeCell ref="A255:B255"/>
    <mergeCell ref="A256:B256"/>
    <mergeCell ref="A295:B295"/>
    <mergeCell ref="F142:H142"/>
    <mergeCell ref="E147:F147"/>
    <mergeCell ref="A147:B147"/>
    <mergeCell ref="G260:H267"/>
    <mergeCell ref="A176:B176"/>
    <mergeCell ref="A214:H214"/>
    <mergeCell ref="A215:B215"/>
    <mergeCell ref="G215:H230"/>
    <mergeCell ref="A216:B216"/>
    <mergeCell ref="A217:B217"/>
    <mergeCell ref="J156:O156"/>
    <mergeCell ref="A357:H357"/>
    <mergeCell ref="A341:B341"/>
    <mergeCell ref="G341:H356"/>
    <mergeCell ref="F136:H136"/>
    <mergeCell ref="A345:B345"/>
    <mergeCell ref="A346:B346"/>
    <mergeCell ref="A347:B347"/>
    <mergeCell ref="A348:B348"/>
    <mergeCell ref="A349:B349"/>
    <mergeCell ref="A350:B350"/>
    <mergeCell ref="A351:B351"/>
    <mergeCell ref="A352:B352"/>
    <mergeCell ref="A326:B326"/>
    <mergeCell ref="A327:B327"/>
    <mergeCell ref="A328:B328"/>
    <mergeCell ref="A329:B329"/>
    <mergeCell ref="A330:B330"/>
    <mergeCell ref="A331:B331"/>
    <mergeCell ref="A332:B332"/>
    <mergeCell ref="A356:B356"/>
    <mergeCell ref="A334:B334"/>
    <mergeCell ref="A342:B342"/>
    <mergeCell ref="A343:B343"/>
    <mergeCell ref="B385:H385"/>
    <mergeCell ref="B386:H386"/>
    <mergeCell ref="B387:H387"/>
    <mergeCell ref="A51:B51"/>
    <mergeCell ref="C51:E51"/>
    <mergeCell ref="G51:H51"/>
    <mergeCell ref="A156:B156"/>
    <mergeCell ref="C156:D156"/>
    <mergeCell ref="E156:F156"/>
    <mergeCell ref="G156:H156"/>
    <mergeCell ref="B384:H384"/>
    <mergeCell ref="A57:B58"/>
    <mergeCell ref="C57:E57"/>
    <mergeCell ref="G57:H57"/>
    <mergeCell ref="C58:H58"/>
    <mergeCell ref="A59:B60"/>
    <mergeCell ref="C59:E59"/>
    <mergeCell ref="G59:H59"/>
    <mergeCell ref="C60:H60"/>
    <mergeCell ref="A353:B353"/>
    <mergeCell ref="A181:B181"/>
    <mergeCell ref="A180:B180"/>
    <mergeCell ref="A179:H179"/>
    <mergeCell ref="G251:H258"/>
    <mergeCell ref="L294:M294"/>
    <mergeCell ref="A185:B185"/>
    <mergeCell ref="A186:B186"/>
    <mergeCell ref="L163:M163"/>
    <mergeCell ref="A339:B339"/>
    <mergeCell ref="G325:H339"/>
    <mergeCell ref="A358:B358"/>
    <mergeCell ref="G358:H373"/>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C370:F371"/>
    <mergeCell ref="L257:M257"/>
    <mergeCell ref="A258:B258"/>
    <mergeCell ref="C251:F252"/>
    <mergeCell ref="C254:F254"/>
    <mergeCell ref="C257:F258"/>
    <mergeCell ref="L191:M191"/>
    <mergeCell ref="A190:B190"/>
    <mergeCell ref="A245:B245"/>
    <mergeCell ref="L227:M227"/>
    <mergeCell ref="L223:M223"/>
    <mergeCell ref="L218:M218"/>
    <mergeCell ref="A212:B212"/>
    <mergeCell ref="A207:B207"/>
    <mergeCell ref="A218:B218"/>
    <mergeCell ref="A219:B219"/>
    <mergeCell ref="A227:B227"/>
    <mergeCell ref="A220:B220"/>
    <mergeCell ref="A221:B221"/>
    <mergeCell ref="L219:M219"/>
    <mergeCell ref="L220:M220"/>
    <mergeCell ref="L221:M221"/>
    <mergeCell ref="L222:M222"/>
    <mergeCell ref="L228:M228"/>
    <mergeCell ref="A240:B240"/>
    <mergeCell ref="B389:H389"/>
    <mergeCell ref="B390:H390"/>
    <mergeCell ref="B391:H391"/>
    <mergeCell ref="B392:H392"/>
    <mergeCell ref="L185:M185"/>
    <mergeCell ref="L184:M184"/>
    <mergeCell ref="A183:B183"/>
    <mergeCell ref="L182:M182"/>
    <mergeCell ref="A301:B301"/>
    <mergeCell ref="A300:B300"/>
    <mergeCell ref="A287:H287"/>
    <mergeCell ref="A288:B288"/>
    <mergeCell ref="C288:F289"/>
    <mergeCell ref="G288:H295"/>
    <mergeCell ref="A289:B289"/>
    <mergeCell ref="A290:B290"/>
    <mergeCell ref="A291:B291"/>
    <mergeCell ref="C291:F291"/>
    <mergeCell ref="A292:B292"/>
    <mergeCell ref="A293:B293"/>
    <mergeCell ref="L293:M293"/>
    <mergeCell ref="A294:B294"/>
    <mergeCell ref="C294:F295"/>
    <mergeCell ref="L256:M256"/>
  </mergeCells>
  <hyperlinks>
    <hyperlink ref="C40" r:id="rId1" xr:uid="{00000000-0004-0000-0000-000000000000}"/>
    <hyperlink ref="I68" r:id="rId2" xr:uid="{00000000-0004-0000-0000-000001000000}"/>
  </hyperlinks>
  <printOptions horizontalCentered="1"/>
  <pageMargins left="0.39370078740157483" right="0.39370078740157483" top="0.82677165354330717" bottom="0.78740157480314965" header="0.15748031496062992" footer="0.19685039370078741"/>
  <pageSetup paperSize="2" scale="99" fitToHeight="0" orientation="portrait" r:id="rId3"/>
  <headerFooter>
    <oddHeader>&amp;C&amp;G</oddHeader>
    <oddFooter>&amp;L&amp;"Times New Roman,Bold"&amp;12Ref No: &amp;F&amp;C&amp;G&amp;R&amp;"Times New Roman,Bold"&amp;12&amp;P</oddFooter>
  </headerFooter>
  <rowBreaks count="5" manualBreakCount="5">
    <brk id="145" max="7" man="1"/>
    <brk id="405" max="7" man="1"/>
    <brk id="448" max="16383" man="1"/>
    <brk id="491" max="7" man="1"/>
    <brk id="531" max="7"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49" t="s">
        <v>107</v>
      </c>
      <c r="C3" s="249"/>
      <c r="D3" s="249"/>
      <c r="E3" s="249"/>
      <c r="F3" s="249"/>
      <c r="G3" s="249"/>
      <c r="H3" s="249"/>
    </row>
    <row r="4" spans="1:9" x14ac:dyDescent="0.3">
      <c r="A4" s="2"/>
      <c r="B4" s="3" t="s">
        <v>108</v>
      </c>
      <c r="C4" s="3" t="s">
        <v>109</v>
      </c>
      <c r="D4" s="3" t="s">
        <v>68</v>
      </c>
      <c r="E4" s="3" t="s">
        <v>110</v>
      </c>
      <c r="F4" s="3" t="s">
        <v>116</v>
      </c>
      <c r="G4" s="3" t="s">
        <v>117</v>
      </c>
      <c r="H4" s="3" t="s">
        <v>111</v>
      </c>
    </row>
    <row r="5" spans="1:9" ht="15" customHeight="1" x14ac:dyDescent="0.3">
      <c r="A5" s="2"/>
      <c r="B5" s="5" t="s">
        <v>112</v>
      </c>
      <c r="C5" s="6"/>
      <c r="D5" s="5"/>
      <c r="E5" s="5"/>
      <c r="F5" s="7">
        <f>E5*1.6</f>
        <v>0</v>
      </c>
      <c r="G5" s="7" t="e">
        <f>H5/F5</f>
        <v>#DIV/0!</v>
      </c>
      <c r="H5" s="8"/>
    </row>
    <row r="6" spans="1:9" x14ac:dyDescent="0.3">
      <c r="A6" s="2"/>
      <c r="B6" s="5" t="s">
        <v>112</v>
      </c>
      <c r="C6" s="9"/>
      <c r="D6" s="5"/>
      <c r="E6" s="5"/>
      <c r="F6" s="7">
        <f t="shared" ref="F6:F11" si="0">E6*1.6</f>
        <v>0</v>
      </c>
      <c r="G6" s="7" t="e">
        <f t="shared" ref="G6:G11" si="1">H6/F6</f>
        <v>#DIV/0!</v>
      </c>
      <c r="H6" s="8"/>
    </row>
    <row r="7" spans="1:9" ht="15" customHeight="1" x14ac:dyDescent="0.3">
      <c r="A7" s="2"/>
      <c r="B7" s="5" t="s">
        <v>112</v>
      </c>
      <c r="C7" s="6"/>
      <c r="D7" s="5"/>
      <c r="E7" s="5"/>
      <c r="F7" s="7">
        <f t="shared" si="0"/>
        <v>0</v>
      </c>
      <c r="G7" s="7" t="e">
        <f t="shared" si="1"/>
        <v>#DIV/0!</v>
      </c>
      <c r="H7" s="8"/>
    </row>
    <row r="8" spans="1:9" x14ac:dyDescent="0.3">
      <c r="A8" s="2"/>
      <c r="B8" s="5" t="s">
        <v>112</v>
      </c>
      <c r="C8" s="9"/>
      <c r="D8" s="5"/>
      <c r="E8" s="5"/>
      <c r="F8" s="7">
        <f t="shared" si="0"/>
        <v>0</v>
      </c>
      <c r="G8" s="7" t="e">
        <f t="shared" si="1"/>
        <v>#DIV/0!</v>
      </c>
      <c r="H8" s="8"/>
    </row>
    <row r="9" spans="1:9" ht="15" customHeight="1" x14ac:dyDescent="0.3">
      <c r="A9" s="2"/>
      <c r="B9" s="5" t="s">
        <v>112</v>
      </c>
      <c r="C9" s="9"/>
      <c r="D9" s="5"/>
      <c r="E9" s="5"/>
      <c r="F9" s="7">
        <f t="shared" si="0"/>
        <v>0</v>
      </c>
      <c r="G9" s="7" t="e">
        <f t="shared" si="1"/>
        <v>#DIV/0!</v>
      </c>
      <c r="H9" s="8"/>
    </row>
    <row r="10" spans="1:9" ht="15" customHeight="1" x14ac:dyDescent="0.3">
      <c r="A10" s="2"/>
      <c r="B10" s="5" t="s">
        <v>113</v>
      </c>
      <c r="C10" s="6"/>
      <c r="D10" s="5"/>
      <c r="E10" s="5"/>
      <c r="F10" s="7">
        <f t="shared" si="0"/>
        <v>0</v>
      </c>
      <c r="G10" s="7" t="e">
        <f t="shared" si="1"/>
        <v>#DIV/0!</v>
      </c>
      <c r="H10" s="8"/>
    </row>
    <row r="11" spans="1:9" ht="15" customHeight="1" x14ac:dyDescent="0.3">
      <c r="A11" s="2"/>
      <c r="B11" s="5" t="s">
        <v>113</v>
      </c>
      <c r="C11" s="6"/>
      <c r="D11" s="5"/>
      <c r="E11" s="5"/>
      <c r="F11" s="7">
        <f t="shared" si="0"/>
        <v>0</v>
      </c>
      <c r="G11" s="7" t="e">
        <f t="shared" si="1"/>
        <v>#DIV/0!</v>
      </c>
      <c r="H11" s="8"/>
    </row>
    <row r="12" spans="1:9" ht="15" customHeight="1" x14ac:dyDescent="0.3">
      <c r="A12" s="2"/>
      <c r="B12" s="10" t="s">
        <v>114</v>
      </c>
      <c r="C12" s="5"/>
      <c r="D12" s="5"/>
      <c r="E12" s="5"/>
      <c r="F12" s="5"/>
      <c r="G12" s="11" t="e">
        <f>AVERAGE(G5:G11)</f>
        <v>#DIV/0!</v>
      </c>
      <c r="H12" s="5"/>
    </row>
    <row r="13" spans="1:9" ht="15" customHeight="1" x14ac:dyDescent="0.3">
      <c r="B13" s="10" t="s">
        <v>115</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2025-07-13T14:58:10Z</cp:lastPrinted>
  <dcterms:created xsi:type="dcterms:W3CDTF">2019-07-16T09:29:46Z</dcterms:created>
  <dcterms:modified xsi:type="dcterms:W3CDTF">2025-07-13T14:58:15Z</dcterms:modified>
</cp:coreProperties>
</file>