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2AB42789-491C-4909-9D5E-2F7DB36DFAD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1" l="1"/>
  <c r="K132" i="1"/>
  <c r="D185" i="1"/>
  <c r="D184" i="1"/>
  <c r="D209" i="1" l="1"/>
  <c r="F209" i="1" s="1"/>
  <c r="D208" i="1"/>
  <c r="F208" i="1" s="1"/>
  <c r="D207" i="1"/>
  <c r="F207" i="1" s="1"/>
  <c r="D204" i="1"/>
  <c r="F204" i="1" s="1"/>
  <c r="J121" i="1" s="1"/>
  <c r="D203" i="1"/>
  <c r="F203" i="1" s="1"/>
  <c r="D202" i="1"/>
  <c r="F202" i="1" s="1"/>
  <c r="D201" i="1"/>
  <c r="F201" i="1" s="1"/>
  <c r="D198" i="1"/>
  <c r="F198" i="1" s="1"/>
  <c r="D197" i="1"/>
  <c r="F197" i="1" s="1"/>
  <c r="D193" i="1"/>
  <c r="F193" i="1" s="1"/>
  <c r="D192" i="1"/>
  <c r="F192" i="1" s="1"/>
  <c r="D191" i="1"/>
  <c r="F191" i="1" s="1"/>
  <c r="D186" i="1"/>
  <c r="F186" i="1" s="1"/>
  <c r="J127" i="1" s="1"/>
  <c r="D181" i="1"/>
  <c r="F181" i="1" s="1"/>
  <c r="D180" i="1"/>
  <c r="F180" i="1" s="1"/>
  <c r="D179" i="1"/>
  <c r="F179" i="1" s="1"/>
  <c r="L132" i="1" s="1"/>
  <c r="D178" i="1"/>
  <c r="F178" i="1" s="1"/>
  <c r="K153" i="1" s="1"/>
  <c r="D175" i="1"/>
  <c r="F175" i="1" s="1"/>
  <c r="D174" i="1"/>
  <c r="F174" i="1" s="1"/>
  <c r="D170" i="1"/>
  <c r="F170" i="1" s="1"/>
  <c r="J168" i="1" s="1"/>
  <c r="D169" i="1"/>
  <c r="F169" i="1" s="1"/>
  <c r="D168" i="1"/>
  <c r="D163" i="1"/>
  <c r="F163" i="1" s="1"/>
  <c r="D161" i="1"/>
  <c r="F161" i="1" s="1"/>
  <c r="D159" i="1"/>
  <c r="F159" i="1" s="1"/>
  <c r="D158" i="1"/>
  <c r="F158" i="1" s="1"/>
  <c r="D157" i="1"/>
  <c r="F157" i="1" s="1"/>
  <c r="D153" i="1"/>
  <c r="D150" i="1"/>
  <c r="D149" i="1"/>
  <c r="F149" i="1" s="1"/>
  <c r="L131" i="1" s="1"/>
  <c r="A207" i="1"/>
  <c r="A208" i="1" s="1"/>
  <c r="A209" i="1" s="1"/>
  <c r="G206" i="1"/>
  <c r="G207" i="1" s="1"/>
  <c r="G208" i="1" s="1"/>
  <c r="G209" i="1" s="1"/>
  <c r="G168" i="1"/>
  <c r="G191" i="1"/>
  <c r="G196" i="1"/>
  <c r="A202" i="1"/>
  <c r="A203" i="1" s="1"/>
  <c r="A204" i="1" s="1"/>
  <c r="G201" i="1"/>
  <c r="G202" i="1" s="1"/>
  <c r="G203" i="1" s="1"/>
  <c r="G204" i="1" s="1"/>
  <c r="J198" i="1"/>
  <c r="A197" i="1"/>
  <c r="A198" i="1" s="1"/>
  <c r="A199" i="1" s="1"/>
  <c r="J193" i="1"/>
  <c r="A192" i="1"/>
  <c r="A193" i="1" s="1"/>
  <c r="A194" i="1" s="1"/>
  <c r="F184" i="1"/>
  <c r="F185" i="1"/>
  <c r="A184" i="1"/>
  <c r="A185" i="1" s="1"/>
  <c r="A186" i="1" s="1"/>
  <c r="G183" i="1"/>
  <c r="G184" i="1" s="1"/>
  <c r="G185" i="1" s="1"/>
  <c r="G186" i="1" s="1"/>
  <c r="A179" i="1"/>
  <c r="A180" i="1" s="1"/>
  <c r="A181" i="1" s="1"/>
  <c r="G178" i="1"/>
  <c r="G179" i="1" s="1"/>
  <c r="G180" i="1" s="1"/>
  <c r="G181" i="1" s="1"/>
  <c r="G173" i="1"/>
  <c r="J175" i="1"/>
  <c r="A174" i="1"/>
  <c r="A175" i="1" s="1"/>
  <c r="A176" i="1" s="1"/>
  <c r="J170" i="1"/>
  <c r="A169" i="1"/>
  <c r="A170" i="1" s="1"/>
  <c r="A171" i="1" s="1"/>
  <c r="A162" i="1"/>
  <c r="A163" i="1" s="1"/>
  <c r="G161" i="1"/>
  <c r="G162" i="1" s="1"/>
  <c r="G163" i="1" s="1"/>
  <c r="A158" i="1"/>
  <c r="A159" i="1" s="1"/>
  <c r="G157" i="1"/>
  <c r="G158" i="1" s="1"/>
  <c r="G159" i="1" s="1"/>
  <c r="J150" i="1"/>
  <c r="A154" i="1"/>
  <c r="A155" i="1" s="1"/>
  <c r="G153" i="1"/>
  <c r="F153" i="1"/>
  <c r="F150" i="1"/>
  <c r="J149" i="1"/>
  <c r="A150" i="1"/>
  <c r="A151" i="1" s="1"/>
  <c r="G149" i="1"/>
  <c r="J120" i="1" l="1"/>
  <c r="J128" i="1" s="1"/>
  <c r="K151" i="1"/>
  <c r="G129" i="1"/>
  <c r="L133" i="1"/>
  <c r="C129" i="1"/>
  <c r="C130" i="1"/>
  <c r="E129" i="1"/>
  <c r="G131" i="1"/>
  <c r="E130" i="1"/>
  <c r="F168" i="1"/>
  <c r="G130" i="1" s="1"/>
  <c r="E131" i="1"/>
  <c r="C131" i="1"/>
  <c r="E43" i="1"/>
  <c r="E44" i="1" s="1"/>
  <c r="E132" i="1" l="1"/>
  <c r="E133" i="1" s="1"/>
  <c r="C132" i="1"/>
  <c r="C133" i="1" s="1"/>
  <c r="G132" i="1"/>
  <c r="G133" i="1" s="1"/>
  <c r="C15" i="1"/>
  <c r="E30" i="1" l="1"/>
  <c r="F213" i="1" l="1"/>
  <c r="F214" i="1"/>
  <c r="F215" i="1"/>
  <c r="F212" i="1"/>
  <c r="A213" i="1"/>
  <c r="A214" i="1" s="1"/>
  <c r="A215" i="1" s="1"/>
  <c r="G212" i="1"/>
  <c r="G213" i="1" s="1"/>
  <c r="G214" i="1" s="1"/>
  <c r="G215" i="1" s="1"/>
  <c r="F121" i="1" l="1"/>
  <c r="F140" i="1" l="1"/>
  <c r="F141" i="1"/>
  <c r="F142" i="1"/>
  <c r="F139" i="1"/>
  <c r="B243" i="1" l="1"/>
  <c r="A229" i="1"/>
  <c r="A223" i="1"/>
  <c r="A235" i="1"/>
  <c r="F239" i="1" l="1"/>
  <c r="F238" i="1"/>
  <c r="F237" i="1"/>
  <c r="F236" i="1"/>
  <c r="F235" i="1"/>
  <c r="F233" i="1"/>
  <c r="F232" i="1"/>
  <c r="F231" i="1"/>
  <c r="F230" i="1"/>
  <c r="F229" i="1"/>
  <c r="F227" i="1"/>
  <c r="F226" i="1"/>
  <c r="F225" i="1"/>
  <c r="F224" i="1"/>
  <c r="F223" i="1"/>
  <c r="F221" i="1"/>
  <c r="F220" i="1"/>
  <c r="F218" i="1"/>
  <c r="F217" i="1"/>
  <c r="F219" i="1"/>
  <c r="A236" i="1"/>
  <c r="A224" i="1"/>
  <c r="A230" i="1"/>
  <c r="B244" i="1" l="1"/>
  <c r="A237" i="1"/>
  <c r="A225" i="1"/>
  <c r="A23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9" i="1"/>
  <c r="G235" i="1"/>
  <c r="G236" i="1" s="1"/>
  <c r="G237" i="1" s="1"/>
  <c r="G238" i="1" s="1"/>
  <c r="G239" i="1" s="1"/>
  <c r="G229" i="1"/>
  <c r="G230" i="1" s="1"/>
  <c r="G231" i="1" s="1"/>
  <c r="G232" i="1" s="1"/>
  <c r="G233" i="1" s="1"/>
  <c r="G223" i="1"/>
  <c r="G224" i="1" s="1"/>
  <c r="G225" i="1" s="1"/>
  <c r="G226" i="1" s="1"/>
  <c r="G227" i="1" s="1"/>
  <c r="G217" i="1"/>
  <c r="G218" i="1" s="1"/>
  <c r="G219" i="1" s="1"/>
  <c r="G220" i="1" s="1"/>
  <c r="G221" i="1" s="1"/>
  <c r="A217" i="1"/>
  <c r="A218" i="1" s="1"/>
  <c r="A219" i="1" s="1"/>
  <c r="A220" i="1" s="1"/>
  <c r="A221" i="1" s="1"/>
  <c r="A140" i="1"/>
  <c r="A141" i="1" s="1"/>
  <c r="A142" i="1" s="1"/>
  <c r="G139" i="1"/>
  <c r="G140" i="1" s="1"/>
  <c r="G141" i="1" s="1"/>
  <c r="G142" i="1" s="1"/>
  <c r="B67" i="1"/>
  <c r="D55" i="1"/>
  <c r="G50" i="1"/>
  <c r="C50" i="1"/>
  <c r="E27" i="1"/>
  <c r="E25" i="1"/>
  <c r="E7" i="1"/>
  <c r="E3" i="1"/>
  <c r="A238" i="1"/>
  <c r="A232" i="1"/>
  <c r="A226" i="1"/>
  <c r="D60" i="1" l="1"/>
  <c r="A227" i="1"/>
  <c r="H67" i="1"/>
  <c r="A233" i="1"/>
  <c r="A239" i="1"/>
  <c r="D77" i="1" l="1"/>
  <c r="D73" i="1"/>
  <c r="D76" i="1"/>
  <c r="D75" i="1"/>
  <c r="J72" i="1"/>
  <c r="D79" i="1"/>
  <c r="J66" i="1"/>
  <c r="J68" i="1" s="1"/>
  <c r="D78" i="1"/>
  <c r="D74" i="1"/>
  <c r="J71" i="1"/>
  <c r="C70" i="1" s="1"/>
  <c r="J70" i="1"/>
  <c r="J69" i="1"/>
  <c r="J74" i="1"/>
  <c r="J75" i="1" s="1"/>
  <c r="J76" i="1" s="1"/>
  <c r="J77" i="1" s="1"/>
  <c r="D72" i="1"/>
  <c r="J73" i="1" l="1"/>
  <c r="J78" i="1" s="1"/>
  <c r="J79" i="1" s="1"/>
  <c r="C71" i="1" s="1"/>
  <c r="B81" i="1"/>
  <c r="H81" i="1"/>
  <c r="J85" i="1" l="1"/>
  <c r="C84" i="1" s="1"/>
  <c r="D93" i="1"/>
  <c r="D91" i="1"/>
  <c r="D89" i="1"/>
  <c r="D87" i="1"/>
  <c r="J84" i="1"/>
  <c r="D92" i="1"/>
  <c r="D90" i="1"/>
  <c r="D88" i="1"/>
  <c r="D86" i="1"/>
  <c r="J83" i="1"/>
  <c r="J80" i="1"/>
  <c r="J82" i="1" s="1"/>
  <c r="J91" i="1"/>
  <c r="J89" i="1"/>
  <c r="J90" i="1"/>
  <c r="J88" i="1"/>
  <c r="J86" i="1"/>
  <c r="D71" i="1"/>
  <c r="E70" i="1"/>
  <c r="G70" i="1"/>
  <c r="D64" i="1" s="1"/>
  <c r="D70" i="1"/>
  <c r="J67" i="1" s="1"/>
  <c r="J87" i="1" l="1"/>
  <c r="B95" i="1"/>
  <c r="D84" i="1"/>
  <c r="I67" i="1"/>
  <c r="I68" i="1" s="1"/>
  <c r="D65" i="1"/>
  <c r="F65" i="1"/>
  <c r="H95" i="1"/>
  <c r="J92" i="1" l="1"/>
  <c r="J93" i="1" s="1"/>
  <c r="C85" i="1" s="1"/>
  <c r="G84" i="1" s="1"/>
  <c r="J99" i="1"/>
  <c r="C98" i="1" s="1"/>
  <c r="D107" i="1"/>
  <c r="D105" i="1"/>
  <c r="D103" i="1"/>
  <c r="D101" i="1"/>
  <c r="J98" i="1"/>
  <c r="D106" i="1"/>
  <c r="D104" i="1"/>
  <c r="D102" i="1"/>
  <c r="D100" i="1"/>
  <c r="J97" i="1"/>
  <c r="J94" i="1"/>
  <c r="J96" i="1" s="1"/>
  <c r="J105" i="1"/>
  <c r="J103" i="1"/>
  <c r="J104" i="1"/>
  <c r="J102" i="1"/>
  <c r="J100" i="1"/>
  <c r="I66" i="1"/>
  <c r="C68" i="1" s="1"/>
  <c r="D85" i="1" l="1"/>
  <c r="I81" i="1" s="1"/>
  <c r="I82" i="1" s="1"/>
  <c r="E84" i="1"/>
  <c r="J81" i="1"/>
  <c r="J101" i="1"/>
  <c r="J106" i="1" s="1"/>
  <c r="J107" i="1" s="1"/>
  <c r="C99" i="1" s="1"/>
  <c r="G98" i="1" s="1"/>
  <c r="D98" i="1"/>
  <c r="I80" i="1" l="1"/>
  <c r="C82" i="1" s="1"/>
  <c r="E98" i="1"/>
  <c r="D99" i="1"/>
  <c r="I95" i="1" s="1"/>
  <c r="I96" i="1" s="1"/>
  <c r="J95" i="1"/>
  <c r="I94" i="1" l="1"/>
  <c r="C96" i="1" s="1"/>
</calcChain>
</file>

<file path=xl/sharedStrings.xml><?xml version="1.0" encoding="utf-8"?>
<sst xmlns="http://schemas.openxmlformats.org/spreadsheetml/2006/main" count="406" uniqueCount="261">
  <si>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</si>
  <si>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</si>
  <si>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</si>
  <si>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</si>
  <si>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</si>
  <si>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</si>
  <si>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</si>
  <si>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</si>
  <si>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</si>
  <si>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</si>
  <si>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</si>
  <si>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</si>
  <si>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</si>
  <si>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</si>
  <si>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</si>
  <si>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</si>
  <si>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</si>
  <si>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</si>
  <si>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</si>
  <si>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</si>
  <si>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</si>
  <si>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</si>
  <si>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</si>
  <si>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</si>
  <si>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</si>
  <si>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</si>
  <si>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</si>
  <si>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</si>
  <si>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</si>
  <si>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</si>
  <si>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</si>
  <si>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</si>
  <si>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</si>
  <si>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</si>
  <si>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</si>
  <si>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</si>
  <si>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</si>
  <si>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</si>
  <si>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</si>
  <si>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</si>
  <si>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</si>
  <si>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</si>
  <si>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</si>
  <si>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</si>
  <si>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</si>
  <si>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</si>
  <si>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</si>
  <si>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</si>
  <si>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</si>
  <si>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</si>
  <si>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</si>
  <si>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</si>
  <si>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</si>
  <si>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</si>
  <si>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</si>
  <si>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</si>
  <si>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</si>
  <si>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</si>
  <si>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</si>
  <si>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</si>
  <si>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</si>
  <si>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</si>
  <si>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</si>
  <si>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</si>
  <si>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</si>
  <si>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</si>
  <si>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</si>
  <si>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</si>
  <si>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</si>
  <si>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</si>
  <si>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</si>
  <si>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</si>
  <si>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</si>
  <si>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</si>
  <si>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</si>
  <si>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</si>
  <si>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</si>
  <si>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</si>
  <si>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</si>
  <si>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</si>
  <si>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</si>
  <si>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</si>
  <si>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</si>
  <si>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</si>
  <si>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</si>
  <si>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</si>
  <si>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</si>
  <si>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</si>
  <si>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</si>
  <si>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</si>
  <si>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</si>
  <si>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</si>
  <si>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</si>
  <si>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</si>
  <si>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</si>
  <si>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</si>
  <si>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</si>
  <si>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</si>
  <si>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</si>
  <si>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</si>
  <si>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</si>
  <si>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</si>
  <si>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</si>
  <si>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</si>
  <si>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</si>
  <si>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</si>
  <si>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</si>
  <si>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</si>
  <si>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</si>
  <si>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</si>
  <si>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</si>
  <si>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</si>
  <si>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</si>
  <si>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</si>
  <si>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</si>
  <si>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</si>
  <si>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</si>
  <si>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</si>
  <si>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</si>
  <si>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</si>
  <si>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</si>
  <si>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</si>
  <si>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</si>
  <si>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</si>
  <si>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</si>
  <si>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</si>
  <si>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</si>
  <si>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</si>
  <si>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</si>
  <si>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</si>
  <si>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</si>
  <si>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</si>
  <si>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</si>
  <si>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</si>
  <si>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</si>
  <si>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</si>
  <si>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</si>
  <si>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</si>
  <si>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</si>
  <si>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</si>
  <si>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</si>
  <si>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</si>
  <si>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</si>
  <si>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</si>
  <si>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</si>
  <si>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</si>
  <si>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</si>
  <si>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</si>
  <si>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</si>
  <si>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</si>
  <si>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</si>
  <si>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</si>
  <si>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</si>
  <si>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</si>
  <si>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</si>
  <si>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</si>
  <si>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</si>
  <si>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</si>
  <si>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</si>
  <si>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</si>
  <si>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</si>
  <si>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</si>
  <si>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</si>
  <si>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</si>
  <si>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</si>
  <si>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</si>
  <si>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</si>
  <si>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</si>
  <si>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</si>
  <si>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</si>
  <si>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</si>
  <si>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</si>
  <si>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</si>
  <si>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</si>
  <si>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</si>
  <si>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</si>
  <si>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</si>
  <si>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</si>
  <si>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</si>
  <si>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</si>
  <si>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</si>
  <si>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</si>
  <si>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</si>
  <si>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</si>
  <si>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Leo Eminence</t>
  </si>
  <si>
    <t>Leo Infrastructure Private Limited</t>
  </si>
  <si>
    <t>P51800046335</t>
  </si>
  <si>
    <t>Wing A, B, C</t>
  </si>
  <si>
    <t>CTS No</t>
  </si>
  <si>
    <t>341(Pt) Redevlopement of " Building No.67 = Jalkiran Chsl &amp; Building No.68 = Shri Ganesh Chsl "</t>
  </si>
  <si>
    <t>Existing Name / No of the Building</t>
  </si>
  <si>
    <t>Building No.67 = Jalkiran Chsl
Building No.68 = Shri Ganesh Chsl</t>
  </si>
  <si>
    <t>Gandhi Nagar</t>
  </si>
  <si>
    <t>https://goo.gl/maps/1mHHYQcFWnAUmHow5</t>
  </si>
  <si>
    <t>Road No.7</t>
  </si>
  <si>
    <t>Bandra</t>
  </si>
  <si>
    <t>Andheri</t>
  </si>
  <si>
    <t>Mumbai</t>
  </si>
  <si>
    <t>Elite Chs</t>
  </si>
  <si>
    <t>Ayyappa Temple</t>
  </si>
  <si>
    <t>Internal Road</t>
  </si>
  <si>
    <t>1.7KM from Bandra Junction Railway Station</t>
  </si>
  <si>
    <t>3 Wings</t>
  </si>
  <si>
    <t>Maharashtra Housing and Area Development Authority</t>
  </si>
  <si>
    <t>Mhada94/1024/2022</t>
  </si>
  <si>
    <t>A, B,C Wing = G + 1st to 16th Floor</t>
  </si>
  <si>
    <t>As per RERA - 31/12/2025</t>
  </si>
  <si>
    <t>Wing A</t>
  </si>
  <si>
    <t>1st to 7th &amp; 9th Floor For Residential</t>
  </si>
  <si>
    <t>8th Floor (Part Refuge Area)</t>
  </si>
  <si>
    <t>Mechanical Car Paarking Tower</t>
  </si>
  <si>
    <t>Refuge Area</t>
  </si>
  <si>
    <t>10th to 14th &amp; 16th Floor</t>
  </si>
  <si>
    <t>15th Floor (Part Refuge Area)</t>
  </si>
  <si>
    <t>Wing B</t>
  </si>
  <si>
    <t>Ground Floor For Parking &amp; Meter Panel</t>
  </si>
  <si>
    <t>Ground Floor For Parking, OWC Room, Meter Room &amp; Flushing Tank</t>
  </si>
  <si>
    <t>Mechanical Car Parking Tower</t>
  </si>
  <si>
    <t>Wing C</t>
  </si>
  <si>
    <t>Ground Floor For Parking,  Meter Room &amp; Fire Tanks</t>
  </si>
  <si>
    <t>Terrce Floor For Fitness Center</t>
  </si>
  <si>
    <t>We considered Gross carpet area = Net carpet.</t>
  </si>
  <si>
    <t>Flats - 143</t>
  </si>
  <si>
    <t>Yoga Deck.Indoor Games, Library, Sit our Area, Meditation Zop, Rooftop, Swimming pool, Gymnasium, Barbeque, Amphitheater, Multipurpose Lawn, Kids play Area, Senior citizen Area</t>
  </si>
  <si>
    <t>Bandra (East)</t>
  </si>
  <si>
    <t>Wing A - Work has not yet started.</t>
  </si>
  <si>
    <t>Sheet</t>
  </si>
  <si>
    <t>35000 to 36000</t>
  </si>
  <si>
    <t>Inspection Sheet</t>
  </si>
  <si>
    <t>Housing</t>
  </si>
  <si>
    <t>https://www.magicbricks.com/leo-eminence-andheri-mumbai-pdpid-4d4235333333383337</t>
  </si>
  <si>
    <t>https://housing.com/in/buy/projects/page/286391-leo-eminence-by-leo-infrastructure-private-limited-in-bandra-east</t>
  </si>
  <si>
    <t>https://blox.xyz/projects/leo-eminence</t>
  </si>
  <si>
    <t>https://www.magicbricks.com/address-51-bandra-east-mumbai-pdpid-4d4235333332333131</t>
  </si>
  <si>
    <t>Address 51</t>
  </si>
  <si>
    <t>0.650KM</t>
  </si>
  <si>
    <t>https://www.magicbricks.com/bkc-28-bandra-east-mumbai-pdpid-4d4235323338353735</t>
  </si>
  <si>
    <t>BKC 28</t>
  </si>
  <si>
    <t>1KM</t>
  </si>
  <si>
    <t>https://www.magicbricks.com/2-bhk-flats-in-bandra-east-mumbai-for-sale-pppfs</t>
  </si>
  <si>
    <t>Flat for sale in Bandra East</t>
  </si>
  <si>
    <t>We have updated latest CC from Mhada site (On 03/10/2023).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</si>
  <si>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</si>
  <si>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19.059510,72.848874</t>
  </si>
  <si>
    <t>Mr. Ganesh 9321945120</t>
  </si>
  <si>
    <t>Recommended Rates of the Property have been revised on 08/10/2024.</t>
  </si>
  <si>
    <t>Rate 28K  By Nilesh Sir Verbal On 08/10/2024</t>
  </si>
  <si>
    <t>We have updated latest CC from Mhada site (On 11/10/2024).</t>
  </si>
  <si>
    <t>A, B,C Wing = G + 1st to 22nd Floor</t>
  </si>
  <si>
    <t>A Wing = G + 1st to 22nd Floor</t>
  </si>
  <si>
    <t>B Wing = G + 1st to 22nd Floor</t>
  </si>
  <si>
    <t>C Wing = G + 1st to 22nd Floor</t>
  </si>
  <si>
    <t>Proposed structure has been revised to G + 22 with ref to building picture on builder website.</t>
  </si>
  <si>
    <t>Wing A, B &amp; C = Construction work is in process at the time of Visit.(Internal visit not allowed).</t>
  </si>
  <si>
    <t xml:space="preserve">Mr. kartik chandra - 7977534484 </t>
  </si>
  <si>
    <t>Kunal Kdam</t>
  </si>
  <si>
    <t>MH/EE/(BP)/GM/MHADA-94/1024/2025/FCC/3/Amend</t>
  </si>
  <si>
    <t>This C.C is further extended for wing C Up to top of 21th floor to 22nd floor (i.e. for height of 69.90mt.AGL) &amp; wing A&amp;B extended Up to top of 21th floor to 22nd floor+ terrace Floor users for, Fitness Center, Society office and pt. for Swimming Pool (i.e. for height of 69.90mt.AGL) as per approved plan u/no MH/ EE/(B.P) / GM/ MHADA-94 /1024/2023 dtd. 23/08/2023</t>
  </si>
  <si>
    <t>Please provide revised approved plans, As the construction work goes beyond the approved no of floors.</t>
  </si>
  <si>
    <t>We have updated revised approved CC from MHADA site (on 11/04/2025).</t>
  </si>
  <si>
    <t>Priyash Bhuwad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</si>
</sst>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right"/>
    </xf>
    <xf numFmtId="167" fontId="7" fillId="0" borderId="0" xfId="9" applyNumberFormat="1" applyFont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0" fontId="26" fillId="0" borderId="0" xfId="10"/>
    <xf numFmtId="1" fontId="26" fillId="0" borderId="0" xfId="10" applyNumberFormat="1" applyAlignment="1">
      <alignment horizontal="center" vertical="center"/>
    </xf>
    <xf numFmtId="0" fontId="26" fillId="0" borderId="0" xfId="10" applyFill="1" applyAlignment="1">
      <alignment horizontal="center" vertic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250548</xdr:colOff>
      <xdr:row>52</xdr:row>
      <xdr:rowOff>95663</xdr:rowOff>
    </xdr:from>
    <xdr:to>
      <xdr:col>11</xdr:col>
      <xdr:colOff>226891</xdr:colOff>
      <xdr:row>61</xdr:row>
      <xdr:rowOff>203752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8358BC-7C95-4137-93EC-6E407A65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961" y="12991685"/>
          <a:ext cx="3380495" cy="189713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314</xdr:row>
      <xdr:rowOff>28575</xdr:rowOff>
    </xdr:from>
    <xdr:to>
      <xdr:col>7</xdr:col>
      <xdr:colOff>324392</xdr:colOff>
      <xdr:row>327</xdr:row>
      <xdr:rowOff>128251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10A4C2-D9BE-4CA8-B77A-BFF84601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51501675"/>
          <a:ext cx="5591717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361950</xdr:colOff>
      <xdr:row>373</xdr:row>
      <xdr:rowOff>141937</xdr:rowOff>
    </xdr:from>
    <xdr:to>
      <xdr:col>7</xdr:col>
      <xdr:colOff>426000</xdr:colOff>
      <xdr:row>388</xdr:row>
      <xdr:rowOff>157984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9B6877-81D9-4B76-88A1-E7506AD247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1950" y="63940387"/>
          <a:ext cx="5760000" cy="30164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371475</xdr:colOff>
      <xdr:row>357</xdr:row>
      <xdr:rowOff>133350</xdr:rowOff>
    </xdr:from>
    <xdr:to>
      <xdr:col>7</xdr:col>
      <xdr:colOff>435525</xdr:colOff>
      <xdr:row>372</xdr:row>
      <xdr:rowOff>149398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E3A4C84-D8B7-4D75-B121-874EF7D1C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60731400"/>
          <a:ext cx="5760000" cy="30164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688756</xdr:colOff>
      <xdr:row>328</xdr:row>
      <xdr:rowOff>9854</xdr:rowOff>
    </xdr:from>
    <xdr:to>
      <xdr:col>6</xdr:col>
      <xdr:colOff>112143</xdr:colOff>
      <xdr:row>349</xdr:row>
      <xdr:rowOff>126372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EDC2FBF-7122-410E-9BCA-F91745A96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0756" y="53829388"/>
          <a:ext cx="3581542" cy="42549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57150</xdr:colOff>
      <xdr:row>317</xdr:row>
      <xdr:rowOff>47625</xdr:rowOff>
    </xdr:from>
    <xdr:to>
      <xdr:col>2</xdr:col>
      <xdr:colOff>790575</xdr:colOff>
      <xdr:row>322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9150" y="52644675"/>
          <a:ext cx="1533525" cy="11239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781050</xdr:colOff>
      <xdr:row>317</xdr:row>
      <xdr:rowOff>38100</xdr:rowOff>
    </xdr:from>
    <xdr:to>
      <xdr:col>4</xdr:col>
      <xdr:colOff>523875</xdr:colOff>
      <xdr:row>322</xdr:row>
      <xdr:rowOff>161925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343150" y="52635150"/>
          <a:ext cx="1533525" cy="11239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504825</xdr:colOff>
      <xdr:row>317</xdr:row>
      <xdr:rowOff>38100</xdr:rowOff>
    </xdr:from>
    <xdr:to>
      <xdr:col>6</xdr:col>
      <xdr:colOff>742950</xdr:colOff>
      <xdr:row>322</xdr:row>
      <xdr:rowOff>161925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857625" y="52635150"/>
          <a:ext cx="1800225" cy="11239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495300</xdr:colOff>
      <xdr:row>315</xdr:row>
      <xdr:rowOff>28575</xdr:rowOff>
    </xdr:from>
    <xdr:ext cx="722442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57300" y="52225575"/>
          <a:ext cx="72244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oneCellAnchor>
    <xdr:from>
      <xdr:col>3</xdr:col>
      <xdr:colOff>381000</xdr:colOff>
      <xdr:row>315</xdr:row>
      <xdr:rowOff>0</xdr:rowOff>
    </xdr:from>
    <xdr:ext cx="714298" cy="31149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790825" y="52197000"/>
          <a:ext cx="714298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oneCellAnchor>
    <xdr:from>
      <xdr:col>5</xdr:col>
      <xdr:colOff>266700</xdr:colOff>
      <xdr:row>314</xdr:row>
      <xdr:rowOff>190500</xdr:rowOff>
    </xdr:from>
    <xdr:ext cx="708656" cy="31149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400550" y="52187475"/>
          <a:ext cx="708656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</a:t>
          </a:r>
        </a:p>
      </xdr:txBody>
    </xdr:sp>
    <xdr:clientData/>
  </xdr:oneCellAnchor>
  <xdr:twoCellAnchor>
    <xdr:from>
      <xdr:col>3</xdr:col>
      <xdr:colOff>28574</xdr:colOff>
      <xdr:row>378</xdr:row>
      <xdr:rowOff>114300</xdr:rowOff>
    </xdr:from>
    <xdr:to>
      <xdr:col>5</xdr:col>
      <xdr:colOff>314324</xdr:colOff>
      <xdr:row>381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438399" y="64912875"/>
          <a:ext cx="2009775" cy="6667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260350</xdr:colOff>
      <xdr:row>248</xdr:row>
      <xdr:rowOff>419100</xdr:rowOff>
    </xdr:from>
    <xdr:to>
      <xdr:col>13</xdr:col>
      <xdr:colOff>447000</xdr:colOff>
      <xdr:row>262</xdr:row>
      <xdr:rowOff>77212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44602400"/>
          <a:ext cx="5400000" cy="28750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1135380</xdr:colOff>
      <xdr:row>270</xdr:row>
      <xdr:rowOff>114300</xdr:rowOff>
    </xdr:from>
    <xdr:to>
      <xdr:col>15</xdr:col>
      <xdr:colOff>470055</xdr:colOff>
      <xdr:row>307</xdr:row>
      <xdr:rowOff>94080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7D7F84-604B-6701-F7C5-053F7E2301DD}"/>
            </a:ext>
          </a:extLst>
        </xdr:cNvPr>
        <xdr:cNvGrpSpPr/>
      </xdr:nvGrpSpPr>
      <xdr:grpSpPr>
        <a:xfrm>
          <a:off x="8282940" y="49339500"/>
          <a:ext cx="6002175" cy="7302600"/>
          <a:chOff x="220662" y="197800"/>
          <a:chExt cx="6002175" cy="730260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0802A16-4DD2-12BD-64F3-9BDC557864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5460" y="29491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736F84C-FF9C-BFA0-9BFA-43C29EC998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061" y="29491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DD199E3D-3471-3805-3E84-088B3637F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662" y="29491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9CEE1AA-76D7-2068-BF03-0645B172E6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062" y="1978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3BA26B0B-39E2-00DF-ABBC-E8FBF37DFF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662" y="1978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EA69AC51-57F6-EB64-7DD1-5E141B9175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5462" y="1978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CC9B2B58-99E8-FF71-C84B-ECF8015E5815}"/>
              </a:ext>
            </a:extLst>
          </xdr:cNvPr>
          <xdr:cNvGrpSpPr/>
        </xdr:nvGrpSpPr>
        <xdr:grpSpPr>
          <a:xfrm>
            <a:off x="505266" y="5700400"/>
            <a:ext cx="5432964" cy="1800000"/>
            <a:chOff x="-288629" y="5700400"/>
            <a:chExt cx="5432964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A48702D9-730D-A300-2C15-18D2F88B71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88629" y="5700400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DFCABFE9-9895-6E77-36A4-3794978E59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96210" y="570040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53F785AD-57BB-A9C3-3658-E3108D7D56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78061" y="570040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662940</xdr:colOff>
      <xdr:row>270</xdr:row>
      <xdr:rowOff>15240</xdr:rowOff>
    </xdr:from>
    <xdr:to>
      <xdr:col>7</xdr:col>
      <xdr:colOff>815624</xdr:colOff>
      <xdr:row>310</xdr:row>
      <xdr:rowOff>18060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43B41A3-30E7-C234-BB50-39322C9C7D8E}"/>
            </a:ext>
          </a:extLst>
        </xdr:cNvPr>
        <xdr:cNvGrpSpPr/>
      </xdr:nvGrpSpPr>
      <xdr:grpSpPr>
        <a:xfrm>
          <a:off x="662940" y="49240440"/>
          <a:ext cx="5997224" cy="7920000"/>
          <a:chOff x="231782" y="235131"/>
          <a:chExt cx="5997224" cy="7920000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43EA81F7-5607-A8FF-2CBE-E37D66DFC83C}"/>
              </a:ext>
            </a:extLst>
          </xdr:cNvPr>
          <xdr:cNvGrpSpPr/>
        </xdr:nvGrpSpPr>
        <xdr:grpSpPr>
          <a:xfrm>
            <a:off x="1242876" y="5635131"/>
            <a:ext cx="3975036" cy="2520000"/>
            <a:chOff x="2253970" y="5635131"/>
            <a:chExt cx="3975036" cy="2520000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E173DDEE-9E2E-1D1A-E0D7-07686F5BDE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41631" y="563513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5B1C327C-8A0B-3580-C96A-649BEC8B37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53970" y="563513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9FF12FC3-A295-C302-0626-1F63CF893FB4}"/>
              </a:ext>
            </a:extLst>
          </xdr:cNvPr>
          <xdr:cNvGrpSpPr/>
        </xdr:nvGrpSpPr>
        <xdr:grpSpPr>
          <a:xfrm>
            <a:off x="231782" y="235131"/>
            <a:ext cx="5997224" cy="5220000"/>
            <a:chOff x="231782" y="235131"/>
            <a:chExt cx="5997224" cy="522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3F324442-992A-399C-39A0-9A8BE20C16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1782" y="235131"/>
              <a:ext cx="3909563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1D188144-5A8F-D4ED-7CF6-64DBF490AB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41631" y="293513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09905CA7-131F-B6FE-B411-A7E7D85195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41631" y="23513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526676</xdr:colOff>
      <xdr:row>24</xdr:row>
      <xdr:rowOff>78442</xdr:rowOff>
    </xdr:from>
    <xdr:to>
      <xdr:col>4</xdr:col>
      <xdr:colOff>666071</xdr:colOff>
      <xdr:row>33</xdr:row>
      <xdr:rowOff>163942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6" y="4661648"/>
          <a:ext cx="5428571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5</xdr:col>
      <xdr:colOff>864863</xdr:colOff>
      <xdr:row>23</xdr:row>
      <xdr:rowOff>56929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2678206"/>
          <a:ext cx="6333333" cy="17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114300</xdr:rowOff>
    </xdr:to>
    <xdr:sp macro="" textlink="">
      <xdr:nvSpPr>
        <xdr:cNvPr id="2049" name="AutoShape 1" descr="blob:https://web.whatsapp.com/89e5f0c0-5f0a-484f-8bf0-b526df2037d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8315325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21</xdr:row>
      <xdr:rowOff>114300</xdr:rowOff>
    </xdr:to>
    <xdr:sp macro="" textlink="">
      <xdr:nvSpPr>
        <xdr:cNvPr id="2050" name="AutoShape 2" descr="blob:https://web.whatsapp.com/89e5f0c0-5f0a-484f-8bf0-b526df2037d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8315325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277090</xdr:colOff>
      <xdr:row>0</xdr:row>
      <xdr:rowOff>0</xdr:rowOff>
    </xdr:from>
    <xdr:to>
      <xdr:col>15</xdr:col>
      <xdr:colOff>78573</xdr:colOff>
      <xdr:row>38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734"/>
        <a:stretch/>
      </xdr:blipFill>
      <xdr:spPr>
        <a:xfrm>
          <a:off x="9683028" y="0"/>
          <a:ext cx="3801983" cy="731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176892</xdr:colOff>
      <xdr:row>2</xdr:row>
      <xdr:rowOff>27215</xdr:rowOff>
    </xdr:from>
    <xdr:to>
      <xdr:col>21</xdr:col>
      <xdr:colOff>542439</xdr:colOff>
      <xdr:row>15</xdr:row>
      <xdr:rowOff>156156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02392" y="408215"/>
          <a:ext cx="3876190" cy="26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408214</xdr:colOff>
      <xdr:row>16</xdr:row>
      <xdr:rowOff>149678</xdr:rowOff>
    </xdr:from>
    <xdr:to>
      <xdr:col>22</xdr:col>
      <xdr:colOff>245797</xdr:colOff>
      <xdr:row>29</xdr:row>
      <xdr:rowOff>158892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33714" y="3211285"/>
          <a:ext cx="3933333" cy="2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housing.com/in/buy/projects/page/286391-leo-eminence-by-leo-infrastructure-private-limited-in-bandra-east" TargetMode="External"/><Relationship Id="rId7" Type="http://schemas.openxmlformats.org/officeDocument/2006/relationships/hyperlink" Target="https://www.magicbricks.com/2-bhk-flats-in-bandra-east-mumbai-for-sale-pppfs" TargetMode="External"/><Relationship Id="rId2" Type="http://schemas.openxmlformats.org/officeDocument/2006/relationships/hyperlink" Target="https://www.magicbricks.com/leo-eminence-andheri-mumbai-pdpid-4d4235333333383337" TargetMode="External"/><Relationship Id="rId1" Type="http://schemas.openxmlformats.org/officeDocument/2006/relationships/hyperlink" Target="https://goo.gl/maps/1mHHYQcFWnAUmHow5" TargetMode="External"/><Relationship Id="rId6" Type="http://schemas.openxmlformats.org/officeDocument/2006/relationships/hyperlink" Target="https://www.magicbricks.com/bkc-28-bandra-east-mumbai-pdpid-4d4235323338353735" TargetMode="External"/><Relationship Id="rId5" Type="http://schemas.openxmlformats.org/officeDocument/2006/relationships/hyperlink" Target="https://www.magicbricks.com/address-51-bandra-east-mumbai-pdpid-4d4235333332333131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blox.xyz/projects/leo-eminence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6"/>
  <sheetViews>
    <sheetView tabSelected="1" view="pageBreakPreview" topLeftCell="A88" zoomScaleNormal="100" zoomScaleSheetLayoutView="100" workbookViewId="0">
      <selection activeCell="M100" sqref="M100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9" style="40" customWidth="1"/>
    <col min="9" max="9" width="17.44140625" style="21" customWidth="1"/>
    <col min="10" max="10" width="14.88671875" style="21" customWidth="1"/>
    <col min="11" max="11" width="18.6640625" style="21" customWidth="1"/>
    <col min="12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12" ht="46.5" customHeight="1" x14ac:dyDescent="0.3">
      <c r="A1" s="131" t="s">
        <v>242</v>
      </c>
      <c r="B1" s="131"/>
      <c r="C1" s="131"/>
      <c r="D1" s="131"/>
      <c r="E1" s="131"/>
      <c r="F1" s="131"/>
      <c r="G1" s="131"/>
      <c r="H1" s="131"/>
    </row>
    <row r="2" spans="1:12" ht="16.5" customHeight="1" x14ac:dyDescent="0.3">
      <c r="A2" s="105" t="s">
        <v>0</v>
      </c>
      <c r="B2" s="105"/>
      <c r="C2" s="105"/>
      <c r="D2" s="105"/>
      <c r="E2" s="105"/>
      <c r="F2" s="105"/>
      <c r="G2" s="105"/>
      <c r="H2" s="105"/>
    </row>
    <row r="3" spans="1:12" x14ac:dyDescent="0.3">
      <c r="A3" s="74" t="s">
        <v>1</v>
      </c>
      <c r="B3" s="74"/>
      <c r="C3" s="74"/>
      <c r="D3" s="74"/>
      <c r="E3" s="74" t="str">
        <f ca="1">TEXT(TODAY(),"DD/MM/YYYY")</f>
        <v>14/07/2025</v>
      </c>
      <c r="F3" s="74"/>
      <c r="G3" s="74"/>
      <c r="H3" s="74"/>
    </row>
    <row r="4" spans="1:12" ht="15" customHeight="1" x14ac:dyDescent="0.3">
      <c r="A4" s="74" t="s">
        <v>2</v>
      </c>
      <c r="B4" s="74"/>
      <c r="C4" s="74"/>
      <c r="D4" s="74"/>
      <c r="E4" s="74" t="s">
        <v>183</v>
      </c>
      <c r="F4" s="74"/>
      <c r="G4" s="74"/>
      <c r="H4" s="74"/>
    </row>
    <row r="5" spans="1:12" x14ac:dyDescent="0.3">
      <c r="A5" s="74" t="s">
        <v>3</v>
      </c>
      <c r="B5" s="74"/>
      <c r="C5" s="74"/>
      <c r="D5" s="74"/>
      <c r="E5" s="92">
        <v>45848</v>
      </c>
      <c r="F5" s="92"/>
      <c r="G5" s="92"/>
      <c r="H5" s="92"/>
    </row>
    <row r="6" spans="1:12" ht="16.5" customHeight="1" x14ac:dyDescent="0.3">
      <c r="A6" s="74" t="s">
        <v>4</v>
      </c>
      <c r="B6" s="74"/>
      <c r="C6" s="74"/>
      <c r="D6" s="74"/>
      <c r="E6" s="74" t="s">
        <v>185</v>
      </c>
      <c r="F6" s="74"/>
      <c r="G6" s="74"/>
      <c r="H6" s="74"/>
    </row>
    <row r="7" spans="1:12" ht="15" customHeight="1" x14ac:dyDescent="0.3">
      <c r="A7" s="74" t="s">
        <v>5</v>
      </c>
      <c r="B7" s="74"/>
      <c r="C7" s="74"/>
      <c r="D7" s="74"/>
      <c r="E7" s="74" t="str">
        <f>E6</f>
        <v>Leo Infrastructure Private Limited</v>
      </c>
      <c r="F7" s="74"/>
      <c r="G7" s="74"/>
      <c r="H7" s="74"/>
    </row>
    <row r="8" spans="1:12" x14ac:dyDescent="0.3">
      <c r="A8" s="74" t="s">
        <v>6</v>
      </c>
      <c r="B8" s="74"/>
      <c r="C8" s="74"/>
      <c r="D8" s="74"/>
      <c r="E8" s="132" t="s">
        <v>184</v>
      </c>
      <c r="F8" s="132"/>
      <c r="G8" s="132"/>
      <c r="H8" s="132"/>
    </row>
    <row r="9" spans="1:12" x14ac:dyDescent="0.3">
      <c r="A9" s="74" t="s">
        <v>181</v>
      </c>
      <c r="B9" s="74"/>
      <c r="C9" s="74"/>
      <c r="D9" s="74"/>
      <c r="E9" s="74">
        <v>8104127845</v>
      </c>
      <c r="F9" s="74"/>
      <c r="G9" s="74"/>
      <c r="H9" s="74"/>
    </row>
    <row r="10" spans="1:12" x14ac:dyDescent="0.3">
      <c r="A10" s="74" t="s">
        <v>182</v>
      </c>
      <c r="B10" s="74"/>
      <c r="C10" s="74"/>
      <c r="D10" s="74"/>
      <c r="E10" s="74" t="s">
        <v>254</v>
      </c>
      <c r="F10" s="74"/>
      <c r="G10" s="74"/>
      <c r="H10" s="74"/>
      <c r="I10" s="74" t="s">
        <v>244</v>
      </c>
      <c r="J10" s="74"/>
      <c r="K10" s="74"/>
      <c r="L10" s="74"/>
    </row>
    <row r="11" spans="1:12" x14ac:dyDescent="0.3">
      <c r="A11" s="74" t="s">
        <v>7</v>
      </c>
      <c r="B11" s="74"/>
      <c r="C11" s="74"/>
      <c r="D11" s="74"/>
      <c r="E11" s="74" t="s">
        <v>187</v>
      </c>
      <c r="F11" s="74"/>
      <c r="G11" s="74"/>
      <c r="H11" s="74"/>
    </row>
    <row r="12" spans="1:12" ht="32.25" customHeight="1" x14ac:dyDescent="0.3">
      <c r="A12" s="74" t="s">
        <v>190</v>
      </c>
      <c r="B12" s="74"/>
      <c r="C12" s="74"/>
      <c r="D12" s="74"/>
      <c r="E12" s="73" t="s">
        <v>191</v>
      </c>
      <c r="F12" s="74"/>
      <c r="G12" s="74"/>
      <c r="H12" s="74"/>
    </row>
    <row r="13" spans="1:12" ht="32.25" customHeight="1" x14ac:dyDescent="0.3">
      <c r="A13" s="87" t="s">
        <v>8</v>
      </c>
      <c r="B13" s="87"/>
      <c r="C13" s="87"/>
      <c r="D13" s="87"/>
      <c r="E13" s="73" t="s">
        <v>109</v>
      </c>
      <c r="F13" s="73"/>
      <c r="G13" s="73"/>
      <c r="H13" s="73"/>
    </row>
    <row r="14" spans="1:12" x14ac:dyDescent="0.3">
      <c r="A14" s="87" t="s">
        <v>9</v>
      </c>
      <c r="B14" s="87"/>
      <c r="C14" s="87"/>
      <c r="D14" s="87"/>
      <c r="E14" s="73" t="s">
        <v>186</v>
      </c>
      <c r="F14" s="74"/>
      <c r="G14" s="74"/>
      <c r="H14" s="74"/>
    </row>
    <row r="15" spans="1:12" ht="48.75" customHeight="1" x14ac:dyDescent="0.3">
      <c r="A15" s="72" t="s">
        <v>10</v>
      </c>
      <c r="B15" s="72"/>
      <c r="C15" s="7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Leo Eminence, CTS No.341(Pt) Redevlopement of " Building No.67 = Jalkiran Chsl &amp; Building No.68 = Shri Ganesh Chsl ", near Elite Chs, Road No.7, Gandhi Nagar, Bandra, Bandra (East), Andheri, Mumbai - 400051.</v>
      </c>
      <c r="D15" s="72"/>
      <c r="E15" s="72"/>
      <c r="F15" s="72"/>
      <c r="G15" s="72"/>
      <c r="H15" s="72"/>
    </row>
    <row r="16" spans="1:12" ht="31.5" customHeight="1" x14ac:dyDescent="0.3">
      <c r="A16" s="73" t="s">
        <v>188</v>
      </c>
      <c r="B16" s="73"/>
      <c r="C16" s="73" t="s">
        <v>189</v>
      </c>
      <c r="D16" s="73"/>
      <c r="E16" s="73"/>
      <c r="F16" s="73"/>
      <c r="G16" s="73"/>
      <c r="H16" s="73"/>
    </row>
    <row r="17" spans="1:8" ht="15.75" customHeight="1" x14ac:dyDescent="0.3">
      <c r="A17" s="73" t="s">
        <v>177</v>
      </c>
      <c r="B17" s="73"/>
      <c r="C17" s="73" t="s">
        <v>192</v>
      </c>
      <c r="D17" s="73"/>
      <c r="E17" s="73"/>
      <c r="F17" s="73"/>
      <c r="G17" s="73"/>
      <c r="H17" s="73"/>
    </row>
    <row r="18" spans="1:8" ht="15.75" customHeight="1" x14ac:dyDescent="0.3">
      <c r="A18" s="72" t="s">
        <v>11</v>
      </c>
      <c r="B18" s="72"/>
      <c r="C18" s="74" t="s">
        <v>194</v>
      </c>
      <c r="D18" s="74"/>
      <c r="E18" s="72" t="s">
        <v>75</v>
      </c>
      <c r="F18" s="72"/>
      <c r="G18" s="73" t="s">
        <v>195</v>
      </c>
      <c r="H18" s="73"/>
    </row>
    <row r="19" spans="1:8" x14ac:dyDescent="0.3">
      <c r="A19" s="87" t="s">
        <v>13</v>
      </c>
      <c r="B19" s="87"/>
      <c r="C19" s="73" t="s">
        <v>224</v>
      </c>
      <c r="D19" s="73"/>
      <c r="E19" s="72" t="s">
        <v>12</v>
      </c>
      <c r="F19" s="72"/>
      <c r="G19" s="133" t="s">
        <v>197</v>
      </c>
      <c r="H19" s="133"/>
    </row>
    <row r="20" spans="1:8" x14ac:dyDescent="0.3">
      <c r="A20" s="87" t="s">
        <v>76</v>
      </c>
      <c r="B20" s="87"/>
      <c r="C20" s="73" t="s">
        <v>196</v>
      </c>
      <c r="D20" s="73"/>
      <c r="E20" s="72" t="s">
        <v>14</v>
      </c>
      <c r="F20" s="72"/>
      <c r="G20" s="73">
        <v>400051</v>
      </c>
      <c r="H20" s="73"/>
    </row>
    <row r="21" spans="1:8" ht="32.25" customHeight="1" x14ac:dyDescent="0.3">
      <c r="A21" s="87" t="s">
        <v>131</v>
      </c>
      <c r="B21" s="87"/>
      <c r="C21" s="73" t="s">
        <v>198</v>
      </c>
      <c r="D21" s="73"/>
      <c r="E21" s="72" t="s">
        <v>15</v>
      </c>
      <c r="F21" s="72"/>
      <c r="G21" s="73" t="s">
        <v>201</v>
      </c>
      <c r="H21" s="73"/>
    </row>
    <row r="22" spans="1:8" ht="15" customHeight="1" x14ac:dyDescent="0.3">
      <c r="A22" s="72" t="s">
        <v>79</v>
      </c>
      <c r="B22" s="72"/>
      <c r="C22" s="72"/>
      <c r="D22" s="72"/>
      <c r="E22" s="74" t="s">
        <v>16</v>
      </c>
      <c r="F22" s="74"/>
      <c r="G22" s="74"/>
      <c r="H22" s="74"/>
    </row>
    <row r="23" spans="1:8" ht="18.75" customHeight="1" x14ac:dyDescent="0.3">
      <c r="A23" s="72"/>
      <c r="B23" s="72"/>
      <c r="C23" s="72"/>
      <c r="D23" s="72"/>
      <c r="E23" s="74"/>
      <c r="F23" s="74"/>
      <c r="G23" s="74"/>
      <c r="H23" s="74"/>
    </row>
    <row r="24" spans="1:8" ht="15" customHeight="1" x14ac:dyDescent="0.3">
      <c r="A24" s="72" t="s">
        <v>17</v>
      </c>
      <c r="B24" s="72"/>
      <c r="C24" s="72"/>
      <c r="D24" s="72"/>
      <c r="E24" s="73" t="s">
        <v>18</v>
      </c>
      <c r="F24" s="73"/>
      <c r="G24" s="73"/>
      <c r="H24" s="73"/>
    </row>
    <row r="25" spans="1:8" ht="15" customHeight="1" x14ac:dyDescent="0.3">
      <c r="A25" s="87" t="s">
        <v>19</v>
      </c>
      <c r="B25" s="87"/>
      <c r="C25" s="87"/>
      <c r="D25" s="87"/>
      <c r="E25" s="73" t="str">
        <f>IF(AND(G19="Mumbai"),"Upper Class","Middle Class")</f>
        <v>Upper Class</v>
      </c>
      <c r="F25" s="73"/>
      <c r="G25" s="73"/>
      <c r="H25" s="73"/>
    </row>
    <row r="26" spans="1:8" x14ac:dyDescent="0.3">
      <c r="A26" s="87" t="s">
        <v>20</v>
      </c>
      <c r="B26" s="87"/>
      <c r="C26" s="87"/>
      <c r="D26" s="87"/>
      <c r="E26" s="73" t="s">
        <v>21</v>
      </c>
      <c r="F26" s="73"/>
      <c r="G26" s="73"/>
      <c r="H26" s="73"/>
    </row>
    <row r="27" spans="1:8" ht="15.75" customHeight="1" x14ac:dyDescent="0.3">
      <c r="A27" s="87" t="s">
        <v>22</v>
      </c>
      <c r="B27" s="87"/>
      <c r="C27" s="87"/>
      <c r="D27" s="87"/>
      <c r="E27" s="73" t="str">
        <f>IF(AND(G19="Mumbai"),"Developed","Developing")</f>
        <v>Developed</v>
      </c>
      <c r="F27" s="73"/>
      <c r="G27" s="73"/>
      <c r="H27" s="73"/>
    </row>
    <row r="28" spans="1:8" x14ac:dyDescent="0.3">
      <c r="A28" s="87" t="s">
        <v>23</v>
      </c>
      <c r="B28" s="87"/>
      <c r="C28" s="87"/>
      <c r="D28" s="87"/>
      <c r="E28" s="73" t="s">
        <v>24</v>
      </c>
      <c r="F28" s="73"/>
      <c r="G28" s="73"/>
      <c r="H28" s="73"/>
    </row>
    <row r="29" spans="1:8" ht="15.75" customHeight="1" x14ac:dyDescent="0.3">
      <c r="A29" s="87" t="s">
        <v>84</v>
      </c>
      <c r="B29" s="87"/>
      <c r="C29" s="87"/>
      <c r="D29" s="87"/>
      <c r="E29" s="73" t="s">
        <v>85</v>
      </c>
      <c r="F29" s="73"/>
      <c r="G29" s="73"/>
      <c r="H29" s="73"/>
    </row>
    <row r="30" spans="1:8" ht="15" customHeight="1" x14ac:dyDescent="0.3">
      <c r="A30" s="87" t="s">
        <v>33</v>
      </c>
      <c r="B30" s="87"/>
      <c r="C30" s="87"/>
      <c r="D30" s="87"/>
      <c r="E30" s="7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73"/>
      <c r="G30" s="73"/>
      <c r="H30" s="73"/>
    </row>
    <row r="31" spans="1:8" ht="15.75" customHeight="1" x14ac:dyDescent="0.3">
      <c r="A31" s="87" t="s">
        <v>96</v>
      </c>
      <c r="B31" s="87"/>
      <c r="C31" s="87"/>
      <c r="D31" s="87"/>
      <c r="E31" s="73" t="s">
        <v>34</v>
      </c>
      <c r="F31" s="73"/>
      <c r="G31" s="73"/>
      <c r="H31" s="73"/>
    </row>
    <row r="32" spans="1:8" s="22" customFormat="1" x14ac:dyDescent="0.3">
      <c r="A32" s="137" t="s">
        <v>97</v>
      </c>
      <c r="B32" s="137"/>
      <c r="C32" s="136" t="s">
        <v>29</v>
      </c>
      <c r="D32" s="136"/>
      <c r="E32" s="136"/>
      <c r="F32" s="136" t="s">
        <v>31</v>
      </c>
      <c r="G32" s="136"/>
      <c r="H32" s="136"/>
    </row>
    <row r="33" spans="1:8" s="22" customFormat="1" x14ac:dyDescent="0.3">
      <c r="A33" s="134" t="s">
        <v>25</v>
      </c>
      <c r="B33" s="134" t="s">
        <v>30</v>
      </c>
      <c r="C33" s="135" t="s">
        <v>30</v>
      </c>
      <c r="D33" s="135"/>
      <c r="E33" s="135"/>
      <c r="F33" s="135" t="s">
        <v>194</v>
      </c>
      <c r="G33" s="135"/>
      <c r="H33" s="135"/>
    </row>
    <row r="34" spans="1:8" x14ac:dyDescent="0.3">
      <c r="A34" s="134" t="s">
        <v>26</v>
      </c>
      <c r="B34" s="134" t="s">
        <v>30</v>
      </c>
      <c r="C34" s="135" t="s">
        <v>30</v>
      </c>
      <c r="D34" s="135"/>
      <c r="E34" s="135"/>
      <c r="F34" s="135" t="s">
        <v>199</v>
      </c>
      <c r="G34" s="135"/>
      <c r="H34" s="135"/>
    </row>
    <row r="35" spans="1:8" s="22" customFormat="1" x14ac:dyDescent="0.3">
      <c r="A35" s="134" t="s">
        <v>28</v>
      </c>
      <c r="B35" s="134" t="s">
        <v>30</v>
      </c>
      <c r="C35" s="135" t="s">
        <v>30</v>
      </c>
      <c r="D35" s="135"/>
      <c r="E35" s="135"/>
      <c r="F35" s="135" t="s">
        <v>200</v>
      </c>
      <c r="G35" s="135"/>
      <c r="H35" s="135"/>
    </row>
    <row r="36" spans="1:8" x14ac:dyDescent="0.3">
      <c r="A36" s="134" t="s">
        <v>27</v>
      </c>
      <c r="B36" s="134" t="s">
        <v>30</v>
      </c>
      <c r="C36" s="135" t="s">
        <v>30</v>
      </c>
      <c r="D36" s="135"/>
      <c r="E36" s="135"/>
      <c r="F36" s="135" t="s">
        <v>198</v>
      </c>
      <c r="G36" s="135"/>
      <c r="H36" s="135"/>
    </row>
    <row r="37" spans="1:8" x14ac:dyDescent="0.3">
      <c r="A37" s="87" t="s">
        <v>32</v>
      </c>
      <c r="B37" s="87"/>
      <c r="C37" s="87"/>
      <c r="D37" s="87"/>
      <c r="E37" s="87"/>
      <c r="F37" s="87"/>
      <c r="G37" s="87"/>
      <c r="H37" s="87"/>
    </row>
    <row r="38" spans="1:8" ht="15.75" customHeight="1" x14ac:dyDescent="0.3">
      <c r="A38" s="139" t="s">
        <v>179</v>
      </c>
      <c r="B38" s="139"/>
      <c r="C38" s="87" t="s">
        <v>243</v>
      </c>
      <c r="D38" s="87"/>
      <c r="E38" s="87"/>
      <c r="F38" s="87"/>
      <c r="G38" s="87"/>
      <c r="H38" s="87"/>
    </row>
    <row r="39" spans="1:8" x14ac:dyDescent="0.3">
      <c r="A39" s="139" t="s">
        <v>176</v>
      </c>
      <c r="B39" s="139"/>
      <c r="C39" s="179" t="s">
        <v>193</v>
      </c>
      <c r="D39" s="73"/>
      <c r="E39" s="73"/>
      <c r="F39" s="73"/>
      <c r="G39" s="73"/>
      <c r="H39" s="73"/>
    </row>
    <row r="40" spans="1:8" x14ac:dyDescent="0.3">
      <c r="A40" s="139" t="s">
        <v>35</v>
      </c>
      <c r="B40" s="139"/>
      <c r="C40" s="139"/>
      <c r="D40" s="139"/>
      <c r="E40" s="139"/>
      <c r="F40" s="139"/>
      <c r="G40" s="139"/>
      <c r="H40" s="139"/>
    </row>
    <row r="41" spans="1:8" x14ac:dyDescent="0.3">
      <c r="A41" s="87" t="s">
        <v>36</v>
      </c>
      <c r="B41" s="87"/>
      <c r="C41" s="87"/>
      <c r="D41" s="87"/>
      <c r="E41" s="138">
        <v>1211</v>
      </c>
      <c r="F41" s="138"/>
      <c r="G41" s="138"/>
      <c r="H41" s="138"/>
    </row>
    <row r="42" spans="1:8" x14ac:dyDescent="0.3">
      <c r="A42" s="87" t="s">
        <v>37</v>
      </c>
      <c r="B42" s="87"/>
      <c r="C42" s="87"/>
      <c r="D42" s="87"/>
      <c r="E42" s="86">
        <v>3</v>
      </c>
      <c r="F42" s="86"/>
      <c r="G42" s="86"/>
      <c r="H42" s="86"/>
    </row>
    <row r="43" spans="1:8" x14ac:dyDescent="0.3">
      <c r="A43" s="87" t="s">
        <v>38</v>
      </c>
      <c r="B43" s="87"/>
      <c r="C43" s="87"/>
      <c r="D43" s="87"/>
      <c r="E43" s="86">
        <f>E45/E41-E42</f>
        <v>5.5483319570602809</v>
      </c>
      <c r="F43" s="86"/>
      <c r="G43" s="86"/>
      <c r="H43" s="86"/>
    </row>
    <row r="44" spans="1:8" x14ac:dyDescent="0.3">
      <c r="A44" s="87" t="s">
        <v>39</v>
      </c>
      <c r="B44" s="87"/>
      <c r="C44" s="87"/>
      <c r="D44" s="87"/>
      <c r="E44" s="86">
        <f>E42+E43</f>
        <v>8.5483319570602809</v>
      </c>
      <c r="F44" s="86"/>
      <c r="G44" s="86"/>
      <c r="H44" s="86"/>
    </row>
    <row r="45" spans="1:8" x14ac:dyDescent="0.3">
      <c r="A45" s="87" t="s">
        <v>95</v>
      </c>
      <c r="B45" s="87"/>
      <c r="C45" s="87"/>
      <c r="D45" s="87"/>
      <c r="E45" s="161">
        <v>10352.030000000001</v>
      </c>
      <c r="F45" s="161"/>
      <c r="G45" s="161"/>
      <c r="H45" s="161"/>
    </row>
    <row r="46" spans="1:8" x14ac:dyDescent="0.3">
      <c r="A46" s="74" t="s">
        <v>40</v>
      </c>
      <c r="B46" s="74"/>
      <c r="C46" s="74"/>
      <c r="D46" s="74"/>
      <c r="E46" s="74" t="s">
        <v>202</v>
      </c>
      <c r="F46" s="74"/>
      <c r="G46" s="74"/>
      <c r="H46" s="74"/>
    </row>
    <row r="47" spans="1:8" x14ac:dyDescent="0.3">
      <c r="A47" s="132" t="s">
        <v>41</v>
      </c>
      <c r="B47" s="132"/>
      <c r="C47" s="132"/>
      <c r="D47" s="132"/>
      <c r="E47" s="132"/>
      <c r="F47" s="132"/>
      <c r="G47" s="132"/>
      <c r="H47" s="132"/>
    </row>
    <row r="48" spans="1:8" ht="33.75" customHeight="1" x14ac:dyDescent="0.3">
      <c r="A48" s="88" t="s">
        <v>163</v>
      </c>
      <c r="B48" s="89"/>
      <c r="C48" s="180" t="s">
        <v>203</v>
      </c>
      <c r="D48" s="181"/>
      <c r="E48" s="181"/>
      <c r="F48" s="181"/>
      <c r="G48" s="181"/>
      <c r="H48" s="182"/>
    </row>
    <row r="49" spans="1:14" ht="15.75" customHeight="1" x14ac:dyDescent="0.3">
      <c r="A49" s="88" t="s">
        <v>42</v>
      </c>
      <c r="B49" s="89"/>
      <c r="C49" s="88" t="s">
        <v>204</v>
      </c>
      <c r="D49" s="90"/>
      <c r="E49" s="89"/>
      <c r="F49" s="54" t="s">
        <v>43</v>
      </c>
      <c r="G49" s="92">
        <v>44578</v>
      </c>
      <c r="H49" s="92"/>
    </row>
    <row r="50" spans="1:14" x14ac:dyDescent="0.3">
      <c r="A50" s="68" t="s">
        <v>44</v>
      </c>
      <c r="B50" s="69"/>
      <c r="C50" s="68" t="str">
        <f>C49</f>
        <v>Mhada94/1024/2022</v>
      </c>
      <c r="D50" s="91"/>
      <c r="E50" s="69"/>
      <c r="F50" s="18" t="s">
        <v>43</v>
      </c>
      <c r="G50" s="92">
        <f>G49</f>
        <v>44578</v>
      </c>
      <c r="H50" s="92"/>
    </row>
    <row r="51" spans="1:14" s="23" customFormat="1" ht="32.25" customHeight="1" x14ac:dyDescent="0.3">
      <c r="A51" s="142" t="s">
        <v>167</v>
      </c>
      <c r="B51" s="143"/>
      <c r="C51" s="68" t="s">
        <v>256</v>
      </c>
      <c r="D51" s="91"/>
      <c r="E51" s="69"/>
      <c r="F51" s="18" t="s">
        <v>43</v>
      </c>
      <c r="G51" s="92">
        <v>45667</v>
      </c>
      <c r="H51" s="92"/>
    </row>
    <row r="52" spans="1:14" s="23" customFormat="1" ht="156.9" customHeight="1" x14ac:dyDescent="0.3">
      <c r="A52" s="144"/>
      <c r="B52" s="145"/>
      <c r="C52" s="68" t="s">
        <v>257</v>
      </c>
      <c r="D52" s="91"/>
      <c r="E52" s="69"/>
      <c r="F52" s="18" t="s">
        <v>130</v>
      </c>
      <c r="G52" s="92">
        <v>45800</v>
      </c>
      <c r="H52" s="92"/>
    </row>
    <row r="53" spans="1:14" x14ac:dyDescent="0.3">
      <c r="A53" s="65" t="s">
        <v>45</v>
      </c>
      <c r="B53" s="67"/>
      <c r="C53" s="65" t="s">
        <v>110</v>
      </c>
      <c r="D53" s="66"/>
      <c r="E53" s="67"/>
      <c r="F53" s="46" t="s">
        <v>43</v>
      </c>
      <c r="G53" s="146" t="s">
        <v>30</v>
      </c>
      <c r="H53" s="147"/>
    </row>
    <row r="54" spans="1:14" x14ac:dyDescent="0.3">
      <c r="A54" s="70" t="s">
        <v>47</v>
      </c>
      <c r="B54" s="70"/>
      <c r="C54" s="70"/>
      <c r="D54" s="70"/>
      <c r="E54" s="70"/>
      <c r="F54" s="70"/>
      <c r="G54" s="70"/>
      <c r="H54" s="70"/>
    </row>
    <row r="55" spans="1:14" x14ac:dyDescent="0.3">
      <c r="A55" s="72" t="s">
        <v>94</v>
      </c>
      <c r="B55" s="72"/>
      <c r="C55" s="72"/>
      <c r="D55" s="87">
        <f>E45</f>
        <v>10352.030000000001</v>
      </c>
      <c r="E55" s="87"/>
      <c r="F55" s="87"/>
      <c r="G55" s="87"/>
      <c r="H55" s="87"/>
    </row>
    <row r="56" spans="1:14" x14ac:dyDescent="0.3">
      <c r="A56" s="73" t="s">
        <v>48</v>
      </c>
      <c r="B56" s="74"/>
      <c r="C56" s="74"/>
      <c r="D56" s="74" t="s">
        <v>222</v>
      </c>
      <c r="E56" s="74"/>
      <c r="F56" s="74"/>
      <c r="G56" s="74"/>
      <c r="H56" s="74"/>
      <c r="I56" s="24"/>
    </row>
    <row r="57" spans="1:14" x14ac:dyDescent="0.3">
      <c r="A57" s="93" t="s">
        <v>49</v>
      </c>
      <c r="B57" s="94"/>
      <c r="C57" s="141"/>
      <c r="D57" s="97" t="s">
        <v>205</v>
      </c>
      <c r="E57" s="140"/>
      <c r="F57" s="140"/>
      <c r="G57" s="140"/>
      <c r="H57" s="140"/>
    </row>
    <row r="58" spans="1:14" ht="15.75" customHeight="1" x14ac:dyDescent="0.3">
      <c r="A58" s="93" t="s">
        <v>92</v>
      </c>
      <c r="B58" s="94"/>
      <c r="C58" s="94"/>
      <c r="D58" s="73" t="s">
        <v>248</v>
      </c>
      <c r="E58" s="74"/>
      <c r="F58" s="74"/>
      <c r="G58" s="74"/>
      <c r="H58" s="74"/>
    </row>
    <row r="59" spans="1:14" ht="15.75" customHeight="1" x14ac:dyDescent="0.3">
      <c r="A59" s="87" t="s">
        <v>46</v>
      </c>
      <c r="B59" s="87"/>
      <c r="C59" s="87"/>
      <c r="D59" s="71" t="s">
        <v>206</v>
      </c>
      <c r="E59" s="71"/>
      <c r="F59" s="71"/>
      <c r="G59" s="71"/>
      <c r="H59" s="71"/>
      <c r="J59" s="25"/>
      <c r="K59" s="24"/>
      <c r="N59" s="24"/>
    </row>
    <row r="60" spans="1:14" ht="15.75" customHeight="1" x14ac:dyDescent="0.3">
      <c r="A60" s="87" t="s">
        <v>90</v>
      </c>
      <c r="B60" s="87"/>
      <c r="C60" s="87"/>
      <c r="D60" s="160" t="str">
        <f>(IF(G53="NA","60 Years After Completion",IF(G53&lt;&gt;"NA",""&amp;60-ROUNDDOWN((E3-G53)/360,0)&amp;" Years"," ")))</f>
        <v>60 Years After Completion</v>
      </c>
      <c r="E60" s="160"/>
      <c r="F60" s="160"/>
      <c r="G60" s="160"/>
      <c r="H60" s="160"/>
      <c r="N60" s="24"/>
    </row>
    <row r="61" spans="1:14" ht="15.75" customHeight="1" x14ac:dyDescent="0.3">
      <c r="A61" s="87" t="s">
        <v>91</v>
      </c>
      <c r="B61" s="87"/>
      <c r="C61" s="87"/>
      <c r="D61" s="72" t="s">
        <v>24</v>
      </c>
      <c r="E61" s="72"/>
      <c r="F61" s="72"/>
      <c r="G61" s="72"/>
      <c r="H61" s="72"/>
      <c r="J61" s="26"/>
      <c r="K61" s="26"/>
    </row>
    <row r="62" spans="1:14" ht="51" customHeight="1" x14ac:dyDescent="0.3">
      <c r="A62" s="87" t="s">
        <v>77</v>
      </c>
      <c r="B62" s="87"/>
      <c r="C62" s="87"/>
      <c r="D62" s="73" t="s">
        <v>223</v>
      </c>
      <c r="E62" s="72"/>
      <c r="F62" s="72"/>
      <c r="G62" s="72"/>
      <c r="H62" s="72"/>
    </row>
    <row r="63" spans="1:14" x14ac:dyDescent="0.3">
      <c r="A63" s="72" t="s">
        <v>159</v>
      </c>
      <c r="B63" s="72"/>
      <c r="C63" s="72"/>
      <c r="D63" s="72" t="s">
        <v>30</v>
      </c>
      <c r="E63" s="72"/>
      <c r="F63" s="72"/>
      <c r="G63" s="72"/>
      <c r="H63" s="72"/>
      <c r="I63" s="27"/>
      <c r="J63" s="27"/>
      <c r="K63" s="27"/>
      <c r="L63" s="27"/>
      <c r="M63" s="27"/>
      <c r="N63" s="27"/>
    </row>
    <row r="64" spans="1:14" ht="15.75" customHeight="1" x14ac:dyDescent="0.3">
      <c r="A64" s="98" t="s">
        <v>89</v>
      </c>
      <c r="B64" s="98"/>
      <c r="C64" s="98"/>
      <c r="D64" s="97" t="str">
        <f ca="1">(IF(G70&gt;95%,"Nothing",IF(G70&gt;0%,"Cement, Aggregate, Steel, etc",IF(G70=0%,"Work not yet Started"))))</f>
        <v>Cement, Aggregate, Steel, etc</v>
      </c>
      <c r="E64" s="97"/>
      <c r="F64" s="97"/>
      <c r="G64" s="97"/>
      <c r="H64" s="97"/>
      <c r="J64" s="26"/>
    </row>
    <row r="65" spans="1:10" ht="33.75" customHeight="1" thickBot="1" x14ac:dyDescent="0.35">
      <c r="A65" s="96" t="s">
        <v>123</v>
      </c>
      <c r="B65" s="96"/>
      <c r="C65" s="96"/>
      <c r="D65" s="97" t="str">
        <f ca="1">(IF(D64="Nothing","Yes",IF(D64="Cement, Aggregate, Steel, etc","Under Construction",IF(D64="Work not yet Started","Work not yet Started"))))</f>
        <v>Under Construction</v>
      </c>
      <c r="E65" s="97"/>
      <c r="F65" s="97" t="str">
        <f ca="1">(IF(D64="Nothing","Yes",IF(D64="Cement, Aggregate, Steel, etc","Under Construction",IF(D64="Work not yet Started","Work not yet Started"))))</f>
        <v>Under Construction</v>
      </c>
      <c r="G65" s="97"/>
      <c r="H65" s="97"/>
    </row>
    <row r="66" spans="1:10" ht="15.75" customHeight="1" x14ac:dyDescent="0.3">
      <c r="A66" s="163" t="s">
        <v>149</v>
      </c>
      <c r="B66" s="164"/>
      <c r="C66" s="165" t="s">
        <v>249</v>
      </c>
      <c r="D66" s="166"/>
      <c r="E66" s="166"/>
      <c r="F66" s="166"/>
      <c r="G66" s="166"/>
      <c r="H66" s="167"/>
      <c r="I66" s="48" t="str">
        <f ca="1">IF(D79=100%,"All work Completed. Possession granted to the Building.",IF(D78=100%,"All work Completed, Waiting for OC",I67&amp;""&amp;I68&amp;""&amp;J67&amp;""&amp;J66&amp;" "&amp;J68))</f>
        <v>Excavation, Plinth Completed, RCC upto 22 Slab, Brickwork upto 17 Floor, Internal Plaster upto 10 Floor, External Plaster upto 10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22 Slab, Brickwork upto 17 Floor, Internal Plaster upto 10 Floor, External Plaster upto 10 Floor</v>
      </c>
    </row>
    <row r="67" spans="1:10" x14ac:dyDescent="0.3">
      <c r="A67" s="16" t="s">
        <v>151</v>
      </c>
      <c r="B67" s="52">
        <f>IF(AND(ISNUMBER(SEARCH("1B",C66))),1,IF(AND(ISNUMBER(SEARCH("2B",C66))),2,IF(AND(ISNUMBER(SEARCH("3B",C66))),3,IF(AND(ISNUMBER(SEARCH("4B",C66))),4,IF(ISNUMBER(SEARCH("5B",C66)),5,0)))))</f>
        <v>0</v>
      </c>
      <c r="C67" s="52" t="s">
        <v>74</v>
      </c>
      <c r="D67" s="52">
        <v>1</v>
      </c>
      <c r="E67" s="52" t="s">
        <v>73</v>
      </c>
      <c r="F67" s="52">
        <v>0</v>
      </c>
      <c r="G67" s="52" t="s">
        <v>83</v>
      </c>
      <c r="H67" s="17">
        <f ca="1">--TRIM(RIGHT(SUBSTITUTE(LEFT(C66,_xlfn.AGGREGATE(16,6,FIND({0,1,2,3,4,5,6,7,8,9},C66,ROW(INDIRECT("1:"&amp;LEN(C66)))),1))," ",REPT(" ",LEN(C66))),LEN(C66)))</f>
        <v>22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5" customHeight="1" x14ac:dyDescent="0.3">
      <c r="A68" s="162" t="s">
        <v>93</v>
      </c>
      <c r="B68" s="132"/>
      <c r="C68" s="168" t="str">
        <f ca="1">I66</f>
        <v>Excavation, Plinth Completed, RCC upto 22 Slab, Brickwork upto 17 Floor, Internal Plaster upto 10 Floor, External Plaster upto 10 Floor Completed</v>
      </c>
      <c r="D68" s="168"/>
      <c r="E68" s="168"/>
      <c r="F68" s="168"/>
      <c r="G68" s="168"/>
      <c r="H68" s="169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">
      <c r="A69" s="116" t="s">
        <v>50</v>
      </c>
      <c r="B69" s="99"/>
      <c r="C69" s="44" t="s">
        <v>148</v>
      </c>
      <c r="D69" s="44" t="s">
        <v>86</v>
      </c>
      <c r="E69" s="99" t="s">
        <v>88</v>
      </c>
      <c r="F69" s="99"/>
      <c r="G69" s="99" t="s">
        <v>87</v>
      </c>
      <c r="H69" s="148"/>
      <c r="I69" s="14" t="s">
        <v>150</v>
      </c>
      <c r="J69" s="28">
        <f ca="1">H67*25%</f>
        <v>5.5</v>
      </c>
    </row>
    <row r="70" spans="1:10" x14ac:dyDescent="0.3">
      <c r="A70" s="116" t="s">
        <v>137</v>
      </c>
      <c r="B70" s="99"/>
      <c r="C70" s="44">
        <f ca="1">J71</f>
        <v>22</v>
      </c>
      <c r="D70" s="19">
        <f ca="1">((100/H67)*C70)/100</f>
        <v>1.0000000000000002</v>
      </c>
      <c r="E70" s="149">
        <f ca="1">(((C71/H67*10)+(40/(D67+F67+H67)*C72)+(7.5/(H67)*C73)+(7.5/(H67)*C74)+(10/H67*C75)+(10/H67*C76)+(5/H67*C77)+(5/H67*C78)+(5/H67*C79))/100)</f>
        <v>0.62010869565217386</v>
      </c>
      <c r="F70" s="150"/>
      <c r="G70" s="149">
        <f ca="1">((((C70/H67)*20)+((C71/H67)*25)+(30/(H67+F67+D67)*C72)+(5/H67*C73)+(5/H67*C74)+(5/H67*C75)+(5/H67*C76)+(0/H67*C77)+(0/H67*C78)+(5/H67*C79))/100)</f>
        <v>0.82104743083003939</v>
      </c>
      <c r="H70" s="155"/>
      <c r="I70" s="14" t="s">
        <v>104</v>
      </c>
      <c r="J70" s="29">
        <f ca="1">H67*50%</f>
        <v>11</v>
      </c>
    </row>
    <row r="71" spans="1:10" x14ac:dyDescent="0.3">
      <c r="A71" s="116" t="s">
        <v>51</v>
      </c>
      <c r="B71" s="99"/>
      <c r="C71" s="56">
        <f ca="1">J79</f>
        <v>22</v>
      </c>
      <c r="D71" s="19">
        <f ca="1">((100/H67)*C71)/100</f>
        <v>1.0000000000000002</v>
      </c>
      <c r="E71" s="151"/>
      <c r="F71" s="152"/>
      <c r="G71" s="151"/>
      <c r="H71" s="156"/>
      <c r="I71" s="14" t="s">
        <v>105</v>
      </c>
      <c r="J71" s="29">
        <f ca="1">H67</f>
        <v>22</v>
      </c>
    </row>
    <row r="72" spans="1:10" ht="15.75" customHeight="1" x14ac:dyDescent="0.3">
      <c r="A72" s="116" t="s">
        <v>138</v>
      </c>
      <c r="B72" s="99"/>
      <c r="C72" s="44">
        <v>22</v>
      </c>
      <c r="D72" s="19">
        <f ca="1">((100/(D67+F67+H67))*C72)/100</f>
        <v>0.9565217391304347</v>
      </c>
      <c r="E72" s="151"/>
      <c r="F72" s="152"/>
      <c r="G72" s="151"/>
      <c r="H72" s="156"/>
      <c r="I72" s="14" t="s">
        <v>106</v>
      </c>
      <c r="J72" s="30">
        <f ca="1">(IF(B67&gt;1,(H67/(B67+2)),H67/4))</f>
        <v>5.5</v>
      </c>
    </row>
    <row r="73" spans="1:10" ht="15.75" customHeight="1" x14ac:dyDescent="0.3">
      <c r="A73" s="116" t="s">
        <v>145</v>
      </c>
      <c r="B73" s="99" t="s">
        <v>139</v>
      </c>
      <c r="C73" s="44">
        <v>17</v>
      </c>
      <c r="D73" s="19">
        <f ca="1">((100/H67)*C73)/100</f>
        <v>0.77272727272727282</v>
      </c>
      <c r="E73" s="151"/>
      <c r="F73" s="152"/>
      <c r="G73" s="151"/>
      <c r="H73" s="156"/>
      <c r="I73" s="14" t="s">
        <v>107</v>
      </c>
      <c r="J73" s="30">
        <f ca="1">(IF(B67&gt;1,(H67/(B67+2)+J72),H67/4+J72))</f>
        <v>11</v>
      </c>
    </row>
    <row r="74" spans="1:10" ht="15.75" customHeight="1" x14ac:dyDescent="0.3">
      <c r="A74" s="116" t="s">
        <v>146</v>
      </c>
      <c r="B74" s="99" t="s">
        <v>139</v>
      </c>
      <c r="C74" s="44">
        <v>10</v>
      </c>
      <c r="D74" s="19">
        <f ca="1">((100/H67)*C74)/100</f>
        <v>0.45454545454545459</v>
      </c>
      <c r="E74" s="151"/>
      <c r="F74" s="152"/>
      <c r="G74" s="151"/>
      <c r="H74" s="156"/>
      <c r="I74" s="14" t="s">
        <v>157</v>
      </c>
      <c r="J74" s="30">
        <f>(IF(B67&gt;1,(H67/(B67+2)+J73),0))</f>
        <v>0</v>
      </c>
    </row>
    <row r="75" spans="1:10" ht="15" customHeight="1" x14ac:dyDescent="0.3">
      <c r="A75" s="116" t="s">
        <v>144</v>
      </c>
      <c r="B75" s="99" t="s">
        <v>141</v>
      </c>
      <c r="C75" s="44">
        <v>10</v>
      </c>
      <c r="D75" s="19">
        <f ca="1">((100/(H67))*C75)/100</f>
        <v>0.45454545454545459</v>
      </c>
      <c r="E75" s="151"/>
      <c r="F75" s="152"/>
      <c r="G75" s="151"/>
      <c r="H75" s="156"/>
      <c r="I75" s="14" t="s">
        <v>152</v>
      </c>
      <c r="J75" s="30">
        <f>(IF(B67&gt;2,(H67/(B67+2)+J74),0))</f>
        <v>0</v>
      </c>
    </row>
    <row r="76" spans="1:10" ht="15.75" customHeight="1" x14ac:dyDescent="0.3">
      <c r="A76" s="116" t="s">
        <v>140</v>
      </c>
      <c r="B76" s="99" t="s">
        <v>140</v>
      </c>
      <c r="C76" s="44">
        <v>0</v>
      </c>
      <c r="D76" s="19">
        <f ca="1">((100/H67)*C76)/100</f>
        <v>0</v>
      </c>
      <c r="E76" s="151"/>
      <c r="F76" s="152"/>
      <c r="G76" s="151"/>
      <c r="H76" s="156"/>
      <c r="I76" s="14" t="s">
        <v>153</v>
      </c>
      <c r="J76" s="31">
        <f>(IF(B67&gt;3,(H67/(B67+2)+J75),0))</f>
        <v>0</v>
      </c>
    </row>
    <row r="77" spans="1:10" ht="15.75" customHeight="1" x14ac:dyDescent="0.3">
      <c r="A77" s="116" t="s">
        <v>147</v>
      </c>
      <c r="B77" s="99"/>
      <c r="C77" s="44">
        <v>0</v>
      </c>
      <c r="D77" s="19">
        <f ca="1">((100/H67)*C77)/100</f>
        <v>0</v>
      </c>
      <c r="E77" s="151"/>
      <c r="F77" s="152"/>
      <c r="G77" s="151"/>
      <c r="H77" s="156"/>
      <c r="I77" s="14" t="s">
        <v>154</v>
      </c>
      <c r="J77" s="30">
        <f>(IF(B67&gt;4,(H67/(B67+2)+J76),0))</f>
        <v>0</v>
      </c>
    </row>
    <row r="78" spans="1:10" ht="15.75" customHeight="1" x14ac:dyDescent="0.3">
      <c r="A78" s="116" t="s">
        <v>142</v>
      </c>
      <c r="B78" s="99" t="s">
        <v>142</v>
      </c>
      <c r="C78" s="44">
        <v>0</v>
      </c>
      <c r="D78" s="19">
        <f ca="1">((100/(H67))*C78)/100</f>
        <v>0</v>
      </c>
      <c r="E78" s="151"/>
      <c r="F78" s="152"/>
      <c r="G78" s="151"/>
      <c r="H78" s="156"/>
      <c r="I78" s="14" t="s">
        <v>158</v>
      </c>
      <c r="J78" s="30">
        <f ca="1">(IF(B67=1,(H67/(B67+3)+J73),IF(B67=0,(H67/4+J73),IF(B67&gt;1,0))))</f>
        <v>16.5</v>
      </c>
    </row>
    <row r="79" spans="1:10" ht="16.2" thickBot="1" x14ac:dyDescent="0.35">
      <c r="A79" s="158" t="s">
        <v>143</v>
      </c>
      <c r="B79" s="159"/>
      <c r="C79" s="45">
        <v>0</v>
      </c>
      <c r="D79" s="20">
        <f ca="1">((100/(H67))*C79)/100</f>
        <v>0</v>
      </c>
      <c r="E79" s="153"/>
      <c r="F79" s="154"/>
      <c r="G79" s="153"/>
      <c r="H79" s="157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22</v>
      </c>
    </row>
    <row r="80" spans="1:10" ht="15.75" customHeight="1" x14ac:dyDescent="0.3">
      <c r="A80" s="163" t="s">
        <v>149</v>
      </c>
      <c r="B80" s="164"/>
      <c r="C80" s="165" t="s">
        <v>250</v>
      </c>
      <c r="D80" s="166"/>
      <c r="E80" s="166"/>
      <c r="F80" s="166"/>
      <c r="G80" s="166"/>
      <c r="H80" s="167"/>
      <c r="I80" s="48" t="str">
        <f ca="1">IF(D93=100%,"All work Completed. Possession granted to the Building.",IF(D92=100%,"All work Completed, Waiting for OC",I81&amp;""&amp;I82&amp;""&amp;J81&amp;""&amp;J80&amp;" "&amp;J82))</f>
        <v>Excavation, Plinth, RCC Slab, Brickwork Completed, Internal Plaster upto 12 Floor, External Plaster upto 12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Internal Plaster upto 12 Floor, External Plaster upto 12 Floor</v>
      </c>
    </row>
    <row r="81" spans="1:10" x14ac:dyDescent="0.3">
      <c r="A81" s="16" t="s">
        <v>151</v>
      </c>
      <c r="B81" s="52">
        <f>IF(AND(ISNUMBER(SEARCH("1B",C80))),1,IF(AND(ISNUMBER(SEARCH("2B",C80))),2,IF(AND(ISNUMBER(SEARCH("3B",C80))),3,IF(AND(ISNUMBER(SEARCH("4B",C80))),4,IF(ISNUMBER(SEARCH("5B",C80)),5,0)))))</f>
        <v>0</v>
      </c>
      <c r="C81" s="52" t="s">
        <v>74</v>
      </c>
      <c r="D81" s="52">
        <v>1</v>
      </c>
      <c r="E81" s="52" t="s">
        <v>73</v>
      </c>
      <c r="F81" s="52">
        <v>0</v>
      </c>
      <c r="G81" s="52" t="s">
        <v>83</v>
      </c>
      <c r="H81" s="17">
        <f ca="1">--TRIM(RIGHT(SUBSTITUTE(LEFT(C80,_xlfn.AGGREGATE(16,6,FIND({0,1,2,3,4,5,6,7,8,9},C80,ROW(INDIRECT("1:"&amp;LEN(C80)))),1))," ",REPT(" ",LEN(C80))),LEN(C80)))</f>
        <v>22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1.5" customHeight="1" x14ac:dyDescent="0.3">
      <c r="A82" s="162" t="s">
        <v>93</v>
      </c>
      <c r="B82" s="132"/>
      <c r="C82" s="168" t="str">
        <f ca="1">I80</f>
        <v>Excavation, Plinth, RCC Slab, Brickwork Completed, Internal Plaster upto 12 Floor, External Plaster upto 12 Floor Completed</v>
      </c>
      <c r="D82" s="168"/>
      <c r="E82" s="168"/>
      <c r="F82" s="168"/>
      <c r="G82" s="168"/>
      <c r="H82" s="169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3">
      <c r="A83" s="116" t="s">
        <v>50</v>
      </c>
      <c r="B83" s="99"/>
      <c r="C83" s="44" t="s">
        <v>148</v>
      </c>
      <c r="D83" s="44" t="s">
        <v>86</v>
      </c>
      <c r="E83" s="99" t="s">
        <v>88</v>
      </c>
      <c r="F83" s="99"/>
      <c r="G83" s="99" t="s">
        <v>87</v>
      </c>
      <c r="H83" s="148"/>
      <c r="I83" s="14" t="s">
        <v>150</v>
      </c>
      <c r="J83" s="28">
        <f ca="1">H81*25%</f>
        <v>5.5</v>
      </c>
    </row>
    <row r="84" spans="1:10" x14ac:dyDescent="0.3">
      <c r="A84" s="116" t="s">
        <v>137</v>
      </c>
      <c r="B84" s="99"/>
      <c r="C84" s="44">
        <f ca="1">J85</f>
        <v>22</v>
      </c>
      <c r="D84" s="19">
        <f ca="1">((100/H81)*C84)/100</f>
        <v>1.0000000000000002</v>
      </c>
      <c r="E84" s="149">
        <f ca="1">(((C85/H81*10)+(40/(D81+F81+H81)*C86)+(7.5/(H81)*C87)+(7.5/(H81)*C88)+(10/H81*C89)+(10/H81*C90)+(5/H81*C91)+(5/H81*C92)+(5/H81*C93))/100)</f>
        <v>0.67045454545454541</v>
      </c>
      <c r="F84" s="150"/>
      <c r="G84" s="149">
        <f ca="1">((((C84/H81)*20)+((C85/H81)*25)+(30/(H81+F81+D81)*C86)+(5/H81*C87)+(5/H81*C88)+(5/H81*C89)+(5/H81*C90)+(0/H81*C91)+(0/H81*C92)+(5/H81*C93))/100)</f>
        <v>0.85454545454545472</v>
      </c>
      <c r="H84" s="155"/>
      <c r="I84" s="14" t="s">
        <v>104</v>
      </c>
      <c r="J84" s="29">
        <f ca="1">H81*50%</f>
        <v>11</v>
      </c>
    </row>
    <row r="85" spans="1:10" x14ac:dyDescent="0.3">
      <c r="A85" s="116" t="s">
        <v>51</v>
      </c>
      <c r="B85" s="99"/>
      <c r="C85" s="56">
        <f ca="1">J93</f>
        <v>22</v>
      </c>
      <c r="D85" s="19">
        <f ca="1">((100/H81)*C85)/100</f>
        <v>1.0000000000000002</v>
      </c>
      <c r="E85" s="151"/>
      <c r="F85" s="152"/>
      <c r="G85" s="151"/>
      <c r="H85" s="156"/>
      <c r="I85" s="14" t="s">
        <v>105</v>
      </c>
      <c r="J85" s="29">
        <f ca="1">H81</f>
        <v>22</v>
      </c>
    </row>
    <row r="86" spans="1:10" ht="15.75" customHeight="1" x14ac:dyDescent="0.3">
      <c r="A86" s="116" t="s">
        <v>138</v>
      </c>
      <c r="B86" s="99"/>
      <c r="C86" s="44">
        <v>23</v>
      </c>
      <c r="D86" s="19">
        <f ca="1">((100/(D81+F81+H81))*C86)/100</f>
        <v>1</v>
      </c>
      <c r="E86" s="151"/>
      <c r="F86" s="152"/>
      <c r="G86" s="151"/>
      <c r="H86" s="156"/>
      <c r="I86" s="14" t="s">
        <v>106</v>
      </c>
      <c r="J86" s="30">
        <f ca="1">(IF(B81&gt;1,(H81/(B81+2)),H81/4))</f>
        <v>5.5</v>
      </c>
    </row>
    <row r="87" spans="1:10" ht="15.75" customHeight="1" x14ac:dyDescent="0.3">
      <c r="A87" s="116" t="s">
        <v>145</v>
      </c>
      <c r="B87" s="99" t="s">
        <v>139</v>
      </c>
      <c r="C87" s="44">
        <v>22</v>
      </c>
      <c r="D87" s="19">
        <f ca="1">((100/H81)*C87)/100</f>
        <v>1.0000000000000002</v>
      </c>
      <c r="E87" s="151"/>
      <c r="F87" s="152"/>
      <c r="G87" s="151"/>
      <c r="H87" s="156"/>
      <c r="I87" s="14" t="s">
        <v>107</v>
      </c>
      <c r="J87" s="30">
        <f ca="1">(IF(B81&gt;1,(H81/(B81+2)+J86),H81/4+J86))</f>
        <v>11</v>
      </c>
    </row>
    <row r="88" spans="1:10" ht="15.75" customHeight="1" x14ac:dyDescent="0.3">
      <c r="A88" s="116" t="s">
        <v>146</v>
      </c>
      <c r="B88" s="99" t="s">
        <v>139</v>
      </c>
      <c r="C88" s="44">
        <v>12</v>
      </c>
      <c r="D88" s="19">
        <f ca="1">((100/H81)*C88)/100</f>
        <v>0.54545454545454541</v>
      </c>
      <c r="E88" s="151"/>
      <c r="F88" s="152"/>
      <c r="G88" s="151"/>
      <c r="H88" s="156"/>
      <c r="I88" s="14" t="s">
        <v>157</v>
      </c>
      <c r="J88" s="30">
        <f>(IF(B81&gt;1,(H81/(B81+2)+J87),0))</f>
        <v>0</v>
      </c>
    </row>
    <row r="89" spans="1:10" ht="15" customHeight="1" x14ac:dyDescent="0.3">
      <c r="A89" s="116" t="s">
        <v>144</v>
      </c>
      <c r="B89" s="99" t="s">
        <v>141</v>
      </c>
      <c r="C89" s="44">
        <v>12</v>
      </c>
      <c r="D89" s="19">
        <f ca="1">((100/(H81))*C89)/100</f>
        <v>0.54545454545454541</v>
      </c>
      <c r="E89" s="151"/>
      <c r="F89" s="152"/>
      <c r="G89" s="151"/>
      <c r="H89" s="156"/>
      <c r="I89" s="14" t="s">
        <v>152</v>
      </c>
      <c r="J89" s="30">
        <f>(IF(B81&gt;2,(H81/(B81+2)+J88),0))</f>
        <v>0</v>
      </c>
    </row>
    <row r="90" spans="1:10" ht="15.75" customHeight="1" x14ac:dyDescent="0.3">
      <c r="A90" s="116" t="s">
        <v>140</v>
      </c>
      <c r="B90" s="99" t="s">
        <v>140</v>
      </c>
      <c r="C90" s="44">
        <v>0</v>
      </c>
      <c r="D90" s="19">
        <f ca="1">((100/H81)*C90)/100</f>
        <v>0</v>
      </c>
      <c r="E90" s="151"/>
      <c r="F90" s="152"/>
      <c r="G90" s="151"/>
      <c r="H90" s="156"/>
      <c r="I90" s="14" t="s">
        <v>153</v>
      </c>
      <c r="J90" s="31">
        <f>(IF(B81&gt;3,(H81/(B81+2)+J89),0))</f>
        <v>0</v>
      </c>
    </row>
    <row r="91" spans="1:10" ht="15.75" customHeight="1" x14ac:dyDescent="0.3">
      <c r="A91" s="116" t="s">
        <v>147</v>
      </c>
      <c r="B91" s="99"/>
      <c r="C91" s="44">
        <v>0</v>
      </c>
      <c r="D91" s="19">
        <f ca="1">((100/H81)*C91)/100</f>
        <v>0</v>
      </c>
      <c r="E91" s="151"/>
      <c r="F91" s="152"/>
      <c r="G91" s="151"/>
      <c r="H91" s="156"/>
      <c r="I91" s="14" t="s">
        <v>154</v>
      </c>
      <c r="J91" s="30">
        <f>(IF(B81&gt;4,(H81/(B81+2)+J90),0))</f>
        <v>0</v>
      </c>
    </row>
    <row r="92" spans="1:10" ht="15.75" customHeight="1" x14ac:dyDescent="0.3">
      <c r="A92" s="116" t="s">
        <v>142</v>
      </c>
      <c r="B92" s="99" t="s">
        <v>142</v>
      </c>
      <c r="C92" s="44">
        <v>0</v>
      </c>
      <c r="D92" s="19">
        <f ca="1">((100/(H81))*C92)/100</f>
        <v>0</v>
      </c>
      <c r="E92" s="151"/>
      <c r="F92" s="152"/>
      <c r="G92" s="151"/>
      <c r="H92" s="156"/>
      <c r="I92" s="14" t="s">
        <v>158</v>
      </c>
      <c r="J92" s="30">
        <f ca="1">(IF(B81=1,(H81/(B81+3)+J87),IF(B81=0,(H81/4+J87),IF(B81&gt;1,0))))</f>
        <v>16.5</v>
      </c>
    </row>
    <row r="93" spans="1:10" ht="16.2" thickBot="1" x14ac:dyDescent="0.35">
      <c r="A93" s="158" t="s">
        <v>143</v>
      </c>
      <c r="B93" s="159"/>
      <c r="C93" s="45">
        <v>0</v>
      </c>
      <c r="D93" s="20">
        <f ca="1">((100/(H81))*C93)/100</f>
        <v>0</v>
      </c>
      <c r="E93" s="153"/>
      <c r="F93" s="154"/>
      <c r="G93" s="153"/>
      <c r="H93" s="157"/>
      <c r="I93" s="15" t="s">
        <v>108</v>
      </c>
      <c r="J93" s="32">
        <f ca="1">(IF(B81&gt;1.5,(H81/(B81+2)+J87+MAX(0,J88-J87)+MAX(0,J89-J88)+MAX(0,J90-J89)+MAX(0,J91-J90)+MAX(0,J92-J91)),IF(B81=1,(H81/(B81+3)+J92),IF(B81=0,H81/4+J92))))</f>
        <v>22</v>
      </c>
    </row>
    <row r="94" spans="1:10" ht="15.75" customHeight="1" x14ac:dyDescent="0.3">
      <c r="A94" s="163" t="s">
        <v>149</v>
      </c>
      <c r="B94" s="164"/>
      <c r="C94" s="165" t="s">
        <v>251</v>
      </c>
      <c r="D94" s="166"/>
      <c r="E94" s="166"/>
      <c r="F94" s="166"/>
      <c r="G94" s="166"/>
      <c r="H94" s="167"/>
      <c r="I94" s="48" t="str">
        <f ca="1">IF(D107=100%,"All work Completed. Possession granted to the Building.",IF(D106=100%,"All work Completed, Waiting for OC",I95&amp;""&amp;I96&amp;""&amp;J95&amp;""&amp;J94&amp;" "&amp;J96))</f>
        <v>Excavation, Plinth, RCC Slab, Brickwork Completed, Internal Plaster upto 12 Floor, External Plaster upto 12 Floor Completed</v>
      </c>
      <c r="J94" s="49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Internal Plaster upto 12 Floor, External Plaster upto 12 Floor</v>
      </c>
    </row>
    <row r="95" spans="1:10" x14ac:dyDescent="0.3">
      <c r="A95" s="16" t="s">
        <v>151</v>
      </c>
      <c r="B95" s="52">
        <f>IF(AND(ISNUMBER(SEARCH("1B",C94))),1,IF(AND(ISNUMBER(SEARCH("2B",C94))),2,IF(AND(ISNUMBER(SEARCH("3B",C94))),3,IF(AND(ISNUMBER(SEARCH("4B",C94))),4,IF(ISNUMBER(SEARCH("5B",C94)),5,0)))))</f>
        <v>0</v>
      </c>
      <c r="C95" s="52" t="s">
        <v>74</v>
      </c>
      <c r="D95" s="52">
        <v>1</v>
      </c>
      <c r="E95" s="52" t="s">
        <v>73</v>
      </c>
      <c r="F95" s="52">
        <v>0</v>
      </c>
      <c r="G95" s="52" t="s">
        <v>83</v>
      </c>
      <c r="H95" s="17">
        <f ca="1">--TRIM(RIGHT(SUBSTITUTE(LEFT(C94,_xlfn.AGGREGATE(16,6,FIND({0,1,2,3,4,5,6,7,8,9},C94,ROW(INDIRECT("1:"&amp;LEN(C94)))),1))," ",REPT(" ",LEN(C94))),LEN(C94)))</f>
        <v>22</v>
      </c>
      <c r="I95" s="50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</v>
      </c>
      <c r="J95" s="51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4.200000000000003" customHeight="1" x14ac:dyDescent="0.3">
      <c r="A96" s="162" t="s">
        <v>93</v>
      </c>
      <c r="B96" s="132"/>
      <c r="C96" s="168" t="str">
        <f ca="1">I94</f>
        <v>Excavation, Plinth, RCC Slab, Brickwork Completed, Internal Plaster upto 12 Floor, External Plaster upto 12 Floor Completed</v>
      </c>
      <c r="D96" s="168"/>
      <c r="E96" s="168"/>
      <c r="F96" s="168"/>
      <c r="G96" s="168"/>
      <c r="H96" s="169"/>
      <c r="I96" s="50" t="str">
        <f ca="1">IF(I95&lt;&gt;""," Completed","")</f>
        <v xml:space="preserve"> Completed</v>
      </c>
      <c r="J96" s="51" t="str">
        <f ca="1">IF(J94&lt;&gt;"","Completed","")</f>
        <v>Completed</v>
      </c>
    </row>
    <row r="97" spans="1:10" ht="15.75" customHeight="1" x14ac:dyDescent="0.3">
      <c r="A97" s="116" t="s">
        <v>50</v>
      </c>
      <c r="B97" s="99"/>
      <c r="C97" s="44" t="s">
        <v>148</v>
      </c>
      <c r="D97" s="44" t="s">
        <v>86</v>
      </c>
      <c r="E97" s="99" t="s">
        <v>88</v>
      </c>
      <c r="F97" s="99"/>
      <c r="G97" s="99" t="s">
        <v>87</v>
      </c>
      <c r="H97" s="148"/>
      <c r="I97" s="14" t="s">
        <v>150</v>
      </c>
      <c r="J97" s="28">
        <f ca="1">H95*25%</f>
        <v>5.5</v>
      </c>
    </row>
    <row r="98" spans="1:10" x14ac:dyDescent="0.3">
      <c r="A98" s="116" t="s">
        <v>137</v>
      </c>
      <c r="B98" s="99"/>
      <c r="C98" s="44">
        <f ca="1">J99</f>
        <v>22</v>
      </c>
      <c r="D98" s="19">
        <f ca="1">((100/H95)*C98)/100</f>
        <v>1.0000000000000002</v>
      </c>
      <c r="E98" s="149">
        <f ca="1">(((C99/H95*10)+(40/(D95+F95+H95)*C100)+(7.5/(H95)*C101)+(7.5/(H95)*C102)+(10/H95*C103)+(10/H95*C104)+(5/H95*C105)+(5/H95*C106)+(5/H95*C107))/100)</f>
        <v>0.67045454545454541</v>
      </c>
      <c r="F98" s="150"/>
      <c r="G98" s="149">
        <f ca="1">((((C98/H95)*20)+((C99/H95)*25)+(30/(H95+F95+D95)*C100)+(5/H95*C101)+(5/H95*C102)+(5/H95*C103)+(5/H95*C104)+(0/H95*C105)+(0/H95*C106)+(5/H95*C107))/100)</f>
        <v>0.85454545454545472</v>
      </c>
      <c r="H98" s="155"/>
      <c r="I98" s="14" t="s">
        <v>104</v>
      </c>
      <c r="J98" s="29">
        <f ca="1">H95*50%</f>
        <v>11</v>
      </c>
    </row>
    <row r="99" spans="1:10" x14ac:dyDescent="0.3">
      <c r="A99" s="116" t="s">
        <v>51</v>
      </c>
      <c r="B99" s="99"/>
      <c r="C99" s="56">
        <f ca="1">J107</f>
        <v>22</v>
      </c>
      <c r="D99" s="19">
        <f ca="1">((100/H95)*C99)/100</f>
        <v>1.0000000000000002</v>
      </c>
      <c r="E99" s="151"/>
      <c r="F99" s="152"/>
      <c r="G99" s="151"/>
      <c r="H99" s="156"/>
      <c r="I99" s="14" t="s">
        <v>105</v>
      </c>
      <c r="J99" s="29">
        <f ca="1">H95</f>
        <v>22</v>
      </c>
    </row>
    <row r="100" spans="1:10" ht="15.75" customHeight="1" x14ac:dyDescent="0.3">
      <c r="A100" s="116" t="s">
        <v>138</v>
      </c>
      <c r="B100" s="99"/>
      <c r="C100" s="44">
        <v>23</v>
      </c>
      <c r="D100" s="19">
        <f ca="1">((100/(D95+F95+H95))*C100)/100</f>
        <v>1</v>
      </c>
      <c r="E100" s="151"/>
      <c r="F100" s="152"/>
      <c r="G100" s="151"/>
      <c r="H100" s="156"/>
      <c r="I100" s="14" t="s">
        <v>106</v>
      </c>
      <c r="J100" s="30">
        <f ca="1">(IF(B95&gt;1,(H95/(B95+2)),H95/4))</f>
        <v>5.5</v>
      </c>
    </row>
    <row r="101" spans="1:10" ht="15.75" customHeight="1" x14ac:dyDescent="0.3">
      <c r="A101" s="116" t="s">
        <v>145</v>
      </c>
      <c r="B101" s="99" t="s">
        <v>139</v>
      </c>
      <c r="C101" s="44">
        <v>22</v>
      </c>
      <c r="D101" s="19">
        <f ca="1">((100/H95)*C101)/100</f>
        <v>1.0000000000000002</v>
      </c>
      <c r="E101" s="151"/>
      <c r="F101" s="152"/>
      <c r="G101" s="151"/>
      <c r="H101" s="156"/>
      <c r="I101" s="14" t="s">
        <v>107</v>
      </c>
      <c r="J101" s="30">
        <f ca="1">(IF(B95&gt;1,(H95/(B95+2)+J100),H95/4+J100))</f>
        <v>11</v>
      </c>
    </row>
    <row r="102" spans="1:10" ht="15.75" customHeight="1" x14ac:dyDescent="0.3">
      <c r="A102" s="116" t="s">
        <v>146</v>
      </c>
      <c r="B102" s="99" t="s">
        <v>139</v>
      </c>
      <c r="C102" s="44">
        <v>12</v>
      </c>
      <c r="D102" s="19">
        <f ca="1">((100/H95)*C102)/100</f>
        <v>0.54545454545454541</v>
      </c>
      <c r="E102" s="151"/>
      <c r="F102" s="152"/>
      <c r="G102" s="151"/>
      <c r="H102" s="156"/>
      <c r="I102" s="14" t="s">
        <v>157</v>
      </c>
      <c r="J102" s="30">
        <f>(IF(B95&gt;1,(H95/(B95+2)+J101),0))</f>
        <v>0</v>
      </c>
    </row>
    <row r="103" spans="1:10" ht="15" customHeight="1" x14ac:dyDescent="0.3">
      <c r="A103" s="116" t="s">
        <v>144</v>
      </c>
      <c r="B103" s="99" t="s">
        <v>141</v>
      </c>
      <c r="C103" s="44">
        <v>12</v>
      </c>
      <c r="D103" s="19">
        <f ca="1">((100/(H95))*C103)/100</f>
        <v>0.54545454545454541</v>
      </c>
      <c r="E103" s="151"/>
      <c r="F103" s="152"/>
      <c r="G103" s="151"/>
      <c r="H103" s="156"/>
      <c r="I103" s="14" t="s">
        <v>152</v>
      </c>
      <c r="J103" s="30">
        <f>(IF(B95&gt;2,(H95/(B95+2)+J102),0))</f>
        <v>0</v>
      </c>
    </row>
    <row r="104" spans="1:10" ht="15.75" customHeight="1" x14ac:dyDescent="0.3">
      <c r="A104" s="116" t="s">
        <v>140</v>
      </c>
      <c r="B104" s="99" t="s">
        <v>140</v>
      </c>
      <c r="C104" s="44">
        <v>0</v>
      </c>
      <c r="D104" s="19">
        <f ca="1">((100/H95)*C104)/100</f>
        <v>0</v>
      </c>
      <c r="E104" s="151"/>
      <c r="F104" s="152"/>
      <c r="G104" s="151"/>
      <c r="H104" s="156"/>
      <c r="I104" s="14" t="s">
        <v>153</v>
      </c>
      <c r="J104" s="31">
        <f>(IF(B95&gt;3,(H95/(B95+2)+J103),0))</f>
        <v>0</v>
      </c>
    </row>
    <row r="105" spans="1:10" ht="15.75" customHeight="1" x14ac:dyDescent="0.3">
      <c r="A105" s="116" t="s">
        <v>147</v>
      </c>
      <c r="B105" s="99"/>
      <c r="C105" s="44">
        <v>0</v>
      </c>
      <c r="D105" s="19">
        <f ca="1">((100/H95)*C105)/100</f>
        <v>0</v>
      </c>
      <c r="E105" s="151"/>
      <c r="F105" s="152"/>
      <c r="G105" s="151"/>
      <c r="H105" s="156"/>
      <c r="I105" s="14" t="s">
        <v>154</v>
      </c>
      <c r="J105" s="30">
        <f>(IF(B95&gt;4,(H95/(B95+2)+J104),0))</f>
        <v>0</v>
      </c>
    </row>
    <row r="106" spans="1:10" ht="15.75" customHeight="1" x14ac:dyDescent="0.3">
      <c r="A106" s="116" t="s">
        <v>142</v>
      </c>
      <c r="B106" s="99" t="s">
        <v>142</v>
      </c>
      <c r="C106" s="44">
        <v>0</v>
      </c>
      <c r="D106" s="19">
        <f ca="1">((100/(H95))*C106)/100</f>
        <v>0</v>
      </c>
      <c r="E106" s="151"/>
      <c r="F106" s="152"/>
      <c r="G106" s="151"/>
      <c r="H106" s="156"/>
      <c r="I106" s="14" t="s">
        <v>158</v>
      </c>
      <c r="J106" s="30">
        <f ca="1">(IF(B95=1,(H95/(B95+3)+J101),IF(B95=0,(H95/4+J101),IF(B95&gt;1,0))))</f>
        <v>16.5</v>
      </c>
    </row>
    <row r="107" spans="1:10" ht="16.2" thickBot="1" x14ac:dyDescent="0.35">
      <c r="A107" s="158" t="s">
        <v>143</v>
      </c>
      <c r="B107" s="159"/>
      <c r="C107" s="45">
        <v>0</v>
      </c>
      <c r="D107" s="20">
        <f ca="1">((100/(H95))*C107)/100</f>
        <v>0</v>
      </c>
      <c r="E107" s="153"/>
      <c r="F107" s="154"/>
      <c r="G107" s="153"/>
      <c r="H107" s="157"/>
      <c r="I107" s="15" t="s">
        <v>108</v>
      </c>
      <c r="J107" s="32">
        <f ca="1">(IF(B95&gt;1.5,(H95/(B95+2)+J101+MAX(0,J102-J101)+MAX(0,J103-J102)+MAX(0,J104-J103)+MAX(0,J105-J104)+MAX(0,J106-J105)),IF(B95=1,(H95/(B95+3)+J106),IF(B95=0,H95/4+J106))))</f>
        <v>22</v>
      </c>
    </row>
    <row r="108" spans="1:10" x14ac:dyDescent="0.3">
      <c r="A108" s="176" t="s">
        <v>169</v>
      </c>
      <c r="B108" s="176"/>
      <c r="C108" s="176"/>
      <c r="D108" s="176"/>
      <c r="E108" s="176"/>
      <c r="F108" s="171" t="s">
        <v>174</v>
      </c>
      <c r="G108" s="171"/>
      <c r="H108" s="171"/>
    </row>
    <row r="109" spans="1:10" x14ac:dyDescent="0.3">
      <c r="A109" s="87" t="s">
        <v>172</v>
      </c>
      <c r="B109" s="87"/>
      <c r="C109" s="87"/>
      <c r="D109" s="87"/>
      <c r="E109" s="87"/>
      <c r="F109" s="123">
        <v>28000</v>
      </c>
      <c r="G109" s="123"/>
      <c r="H109" s="123"/>
      <c r="I109" s="21" t="s">
        <v>246</v>
      </c>
      <c r="J109" s="59" t="s">
        <v>229</v>
      </c>
    </row>
    <row r="110" spans="1:10" hidden="1" x14ac:dyDescent="0.3">
      <c r="A110" s="87" t="s">
        <v>171</v>
      </c>
      <c r="B110" s="87"/>
      <c r="C110" s="87"/>
      <c r="D110" s="87"/>
      <c r="E110" s="87"/>
      <c r="F110" s="103"/>
      <c r="G110" s="103"/>
      <c r="H110" s="103"/>
    </row>
    <row r="111" spans="1:10" hidden="1" x14ac:dyDescent="0.3">
      <c r="A111" s="87" t="s">
        <v>173</v>
      </c>
      <c r="B111" s="87"/>
      <c r="C111" s="87"/>
      <c r="D111" s="87"/>
      <c r="E111" s="87"/>
      <c r="F111" s="103"/>
      <c r="G111" s="103"/>
      <c r="H111" s="103"/>
    </row>
    <row r="112" spans="1:10" s="33" customFormat="1" hidden="1" x14ac:dyDescent="0.25">
      <c r="A112" s="87" t="s">
        <v>170</v>
      </c>
      <c r="B112" s="87"/>
      <c r="C112" s="87"/>
      <c r="D112" s="87"/>
      <c r="E112" s="87"/>
      <c r="F112" s="103"/>
      <c r="G112" s="103"/>
      <c r="H112" s="103"/>
    </row>
    <row r="113" spans="1:10" s="33" customFormat="1" hidden="1" x14ac:dyDescent="0.25">
      <c r="A113" s="87" t="s">
        <v>98</v>
      </c>
      <c r="B113" s="87"/>
      <c r="C113" s="87"/>
      <c r="D113" s="87"/>
      <c r="E113" s="87"/>
      <c r="F113" s="103"/>
      <c r="G113" s="103"/>
      <c r="H113" s="103"/>
    </row>
    <row r="114" spans="1:10" s="33" customFormat="1" hidden="1" x14ac:dyDescent="0.25">
      <c r="A114" s="87" t="s">
        <v>99</v>
      </c>
      <c r="B114" s="87"/>
      <c r="C114" s="87"/>
      <c r="D114" s="87"/>
      <c r="E114" s="87"/>
      <c r="F114" s="103"/>
      <c r="G114" s="103"/>
      <c r="H114" s="103"/>
    </row>
    <row r="115" spans="1:10" s="33" customFormat="1" hidden="1" x14ac:dyDescent="0.25">
      <c r="A115" s="87" t="s">
        <v>175</v>
      </c>
      <c r="B115" s="87"/>
      <c r="C115" s="87"/>
      <c r="D115" s="87"/>
      <c r="E115" s="87"/>
      <c r="F115" s="103"/>
      <c r="G115" s="103"/>
      <c r="H115" s="103"/>
    </row>
    <row r="116" spans="1:10" s="33" customFormat="1" hidden="1" x14ac:dyDescent="0.25">
      <c r="A116" s="87" t="s">
        <v>100</v>
      </c>
      <c r="B116" s="87"/>
      <c r="C116" s="87"/>
      <c r="D116" s="87"/>
      <c r="E116" s="87"/>
      <c r="F116" s="103"/>
      <c r="G116" s="103"/>
      <c r="H116" s="103"/>
    </row>
    <row r="117" spans="1:10" s="33" customFormat="1" hidden="1" x14ac:dyDescent="0.25">
      <c r="A117" s="87" t="s">
        <v>101</v>
      </c>
      <c r="B117" s="87"/>
      <c r="C117" s="87"/>
      <c r="D117" s="87"/>
      <c r="E117" s="87"/>
      <c r="F117" s="103"/>
      <c r="G117" s="103"/>
      <c r="H117" s="103"/>
    </row>
    <row r="118" spans="1:10" s="33" customFormat="1" hidden="1" x14ac:dyDescent="0.25">
      <c r="A118" s="87" t="s">
        <v>102</v>
      </c>
      <c r="B118" s="87"/>
      <c r="C118" s="87"/>
      <c r="D118" s="87"/>
      <c r="E118" s="87"/>
      <c r="F118" s="103"/>
      <c r="G118" s="103"/>
      <c r="H118" s="103"/>
    </row>
    <row r="119" spans="1:10" s="33" customFormat="1" hidden="1" x14ac:dyDescent="0.25">
      <c r="A119" s="87" t="s">
        <v>103</v>
      </c>
      <c r="B119" s="87"/>
      <c r="C119" s="87"/>
      <c r="D119" s="87"/>
      <c r="E119" s="87"/>
      <c r="F119" s="103"/>
      <c r="G119" s="103"/>
      <c r="H119" s="103"/>
    </row>
    <row r="120" spans="1:10" x14ac:dyDescent="0.3">
      <c r="A120" s="87" t="s">
        <v>52</v>
      </c>
      <c r="B120" s="87"/>
      <c r="C120" s="87"/>
      <c r="D120" s="87"/>
      <c r="E120" s="87"/>
      <c r="F120" s="103">
        <v>1000000</v>
      </c>
      <c r="G120" s="103"/>
      <c r="H120" s="103"/>
      <c r="J120" s="60">
        <f>13800000/F169</f>
        <v>22015.700276495176</v>
      </c>
    </row>
    <row r="121" spans="1:10" s="34" customFormat="1" x14ac:dyDescent="0.3">
      <c r="A121" s="139" t="s">
        <v>53</v>
      </c>
      <c r="B121" s="139"/>
      <c r="C121" s="139"/>
      <c r="D121" s="139"/>
      <c r="E121" s="139"/>
      <c r="F121" s="103">
        <f>F109*0.8</f>
        <v>22400</v>
      </c>
      <c r="G121" s="103"/>
      <c r="H121" s="103"/>
      <c r="J121" s="60">
        <f>16700000/F204</f>
        <v>19645.672301316052</v>
      </c>
    </row>
    <row r="122" spans="1:10" s="35" customFormat="1" ht="15.75" hidden="1" customHeight="1" x14ac:dyDescent="0.3">
      <c r="A122" s="129" t="s">
        <v>78</v>
      </c>
      <c r="B122" s="129"/>
      <c r="C122" s="129"/>
      <c r="D122" s="129"/>
      <c r="E122" s="129"/>
      <c r="F122" s="129"/>
      <c r="G122" s="129"/>
      <c r="H122" s="129"/>
      <c r="J122" s="57"/>
    </row>
    <row r="123" spans="1:10" s="35" customFormat="1" ht="15.75" hidden="1" customHeight="1" x14ac:dyDescent="0.3">
      <c r="A123" s="106" t="s">
        <v>54</v>
      </c>
      <c r="B123" s="106"/>
      <c r="C123" s="104" t="s">
        <v>81</v>
      </c>
      <c r="D123" s="104"/>
      <c r="E123" s="126" t="s">
        <v>55</v>
      </c>
      <c r="F123" s="126"/>
      <c r="G123" s="106" t="s">
        <v>56</v>
      </c>
      <c r="H123" s="106"/>
      <c r="J123" s="57"/>
    </row>
    <row r="124" spans="1:10" s="35" customFormat="1" hidden="1" x14ac:dyDescent="0.3">
      <c r="A124" s="125"/>
      <c r="B124" s="125"/>
      <c r="C124" s="107"/>
      <c r="D124" s="107"/>
      <c r="E124" s="108"/>
      <c r="F124" s="108"/>
      <c r="G124" s="124"/>
      <c r="H124" s="124"/>
      <c r="J124" s="57"/>
    </row>
    <row r="125" spans="1:10" s="35" customFormat="1" hidden="1" x14ac:dyDescent="0.3">
      <c r="A125" s="125"/>
      <c r="B125" s="125"/>
      <c r="C125" s="107"/>
      <c r="D125" s="107"/>
      <c r="E125" s="108"/>
      <c r="F125" s="108"/>
      <c r="G125" s="124"/>
      <c r="H125" s="124"/>
      <c r="J125" s="57"/>
    </row>
    <row r="126" spans="1:10" s="35" customFormat="1" hidden="1" x14ac:dyDescent="0.3">
      <c r="A126" s="129" t="s">
        <v>162</v>
      </c>
      <c r="B126" s="129"/>
      <c r="C126" s="104"/>
      <c r="D126" s="104"/>
      <c r="E126" s="126"/>
      <c r="F126" s="126"/>
      <c r="G126" s="106"/>
      <c r="H126" s="106"/>
      <c r="J126" s="57"/>
    </row>
    <row r="127" spans="1:10" s="35" customFormat="1" x14ac:dyDescent="0.3">
      <c r="A127" s="129" t="s">
        <v>72</v>
      </c>
      <c r="B127" s="129"/>
      <c r="C127" s="129"/>
      <c r="D127" s="129"/>
      <c r="E127" s="129"/>
      <c r="F127" s="129"/>
      <c r="G127" s="129"/>
      <c r="H127" s="129"/>
      <c r="J127" s="60">
        <f>19000000/F186</f>
        <v>20570.845020171724</v>
      </c>
    </row>
    <row r="128" spans="1:10" s="35" customFormat="1" ht="15.75" customHeight="1" x14ac:dyDescent="0.3">
      <c r="A128" s="106" t="s">
        <v>54</v>
      </c>
      <c r="B128" s="106"/>
      <c r="C128" s="104" t="s">
        <v>81</v>
      </c>
      <c r="D128" s="104"/>
      <c r="E128" s="126" t="s">
        <v>55</v>
      </c>
      <c r="F128" s="126"/>
      <c r="G128" s="106" t="s">
        <v>56</v>
      </c>
      <c r="H128" s="106"/>
      <c r="J128" s="61">
        <f>AVERAGE(J120:J127)</f>
        <v>20744.072532660983</v>
      </c>
    </row>
    <row r="129" spans="1:14" s="35" customFormat="1" x14ac:dyDescent="0.3">
      <c r="A129" s="125" t="s">
        <v>207</v>
      </c>
      <c r="B129" s="125"/>
      <c r="C129" s="130">
        <f>COUNT(D149:D150)*8+COUNT(D153)+COUNT(D157:D159)*6+COUNT(D161,D163)</f>
        <v>37</v>
      </c>
      <c r="D129" s="130"/>
      <c r="E129" s="130">
        <f>SUM(D149:D150)*8+SUM(D153)+SUM(D157:D159)*6+SUM(D161,D163)</f>
        <v>22714.623359999994</v>
      </c>
      <c r="F129" s="130"/>
      <c r="G129" s="130">
        <f>SUM(F149:F150)*8+SUM(F153)+SUM(F157:F159)*6+SUM(F161,F163)</f>
        <v>35207.666208000002</v>
      </c>
      <c r="H129" s="130"/>
    </row>
    <row r="130" spans="1:14" s="35" customFormat="1" x14ac:dyDescent="0.3">
      <c r="A130" s="125" t="s">
        <v>214</v>
      </c>
      <c r="B130" s="125"/>
      <c r="C130" s="130">
        <f>COUNT(D168:D170)*8+COUNT(D174:D175)+COUNT(D178:D181)*6+COUNT(D184:D186)</f>
        <v>53</v>
      </c>
      <c r="D130" s="130"/>
      <c r="E130" s="130">
        <f>SUM(D168:D170)*8+SUM(D174:D175)+SUM(D178:D181)*6+SUM(D184:D186)</f>
        <v>25267.4136</v>
      </c>
      <c r="F130" s="130"/>
      <c r="G130" s="130">
        <f>SUM(F168:F170)*8+SUM(F174:F175)+SUM(F178:F181)*6+SUM(F184:F186)</f>
        <v>39164.49108</v>
      </c>
      <c r="H130" s="130"/>
      <c r="J130" s="35" t="s">
        <v>226</v>
      </c>
      <c r="K130" s="35" t="s">
        <v>228</v>
      </c>
      <c r="L130" s="35" t="s">
        <v>117</v>
      </c>
    </row>
    <row r="131" spans="1:14" s="35" customFormat="1" x14ac:dyDescent="0.3">
      <c r="A131" s="125" t="s">
        <v>218</v>
      </c>
      <c r="B131" s="125"/>
      <c r="C131" s="130">
        <f>COUNT(D191:D193)*8+COUNT(D197:D198)+COUNT(D201:D204)*6+COUNT(D207:D209)</f>
        <v>53</v>
      </c>
      <c r="D131" s="130"/>
      <c r="E131" s="130">
        <f>SUM(D191:D193)*8+SUM(D197:D198)+SUM(D201:D204)*6+SUM(D207:D209)</f>
        <v>27320.646599999993</v>
      </c>
      <c r="F131" s="130"/>
      <c r="G131" s="130">
        <f>SUM(F191:F193)*8+SUM(F197:F198)+SUM(F201:F204)*6+SUM(F207:F209)</f>
        <v>42347.002229999998</v>
      </c>
      <c r="H131" s="130"/>
      <c r="J131" s="35" t="s">
        <v>227</v>
      </c>
      <c r="K131" s="35">
        <v>32000</v>
      </c>
      <c r="L131" s="57">
        <f>22000000/F149</f>
        <v>22262.583476516658</v>
      </c>
    </row>
    <row r="132" spans="1:14" s="35" customFormat="1" ht="16.2" thickBot="1" x14ac:dyDescent="0.35">
      <c r="A132" s="177" t="s">
        <v>162</v>
      </c>
      <c r="B132" s="177"/>
      <c r="C132" s="111">
        <f>SUM(C129:C131)</f>
        <v>143</v>
      </c>
      <c r="D132" s="111"/>
      <c r="E132" s="178">
        <f>SUM(E129:E131)</f>
        <v>75302.68355999999</v>
      </c>
      <c r="F132" s="178"/>
      <c r="G132" s="173">
        <f>SUM(G129:G131)</f>
        <v>116719.159518</v>
      </c>
      <c r="H132" s="173"/>
      <c r="J132" s="58">
        <f>35000/1.55</f>
        <v>22580.645161290322</v>
      </c>
      <c r="K132" s="58">
        <f>K131/1.55</f>
        <v>20645.16129032258</v>
      </c>
      <c r="L132" s="57">
        <f>15000000/F179</f>
        <v>23930.108996190411</v>
      </c>
    </row>
    <row r="133" spans="1:14" s="35" customFormat="1" ht="16.2" thickBot="1" x14ac:dyDescent="0.35">
      <c r="A133" s="80" t="s">
        <v>180</v>
      </c>
      <c r="B133" s="81"/>
      <c r="C133" s="82">
        <f>C126+C132</f>
        <v>143</v>
      </c>
      <c r="D133" s="82"/>
      <c r="E133" s="83">
        <f>E126+E132</f>
        <v>75302.68355999999</v>
      </c>
      <c r="F133" s="83"/>
      <c r="G133" s="84">
        <f>G126+G132</f>
        <v>116719.159518</v>
      </c>
      <c r="H133" s="85"/>
      <c r="L133" s="58">
        <f>AVERAGE(L131:L132)</f>
        <v>23096.346236353536</v>
      </c>
    </row>
    <row r="134" spans="1:14" s="34" customFormat="1" x14ac:dyDescent="0.3">
      <c r="A134" s="171" t="s">
        <v>57</v>
      </c>
      <c r="B134" s="171"/>
      <c r="C134" s="171"/>
      <c r="D134" s="171"/>
      <c r="E134" s="171"/>
      <c r="F134" s="171"/>
      <c r="G134" s="171"/>
      <c r="H134" s="171"/>
      <c r="I134" s="62" t="s">
        <v>230</v>
      </c>
    </row>
    <row r="135" spans="1:14" x14ac:dyDescent="0.3">
      <c r="A135" s="105" t="s">
        <v>58</v>
      </c>
      <c r="B135" s="105"/>
      <c r="C135" s="105"/>
      <c r="D135" s="105"/>
      <c r="E135" s="105"/>
      <c r="F135" s="105"/>
      <c r="G135" s="105"/>
      <c r="H135" s="105"/>
      <c r="I135" s="62" t="s">
        <v>231</v>
      </c>
    </row>
    <row r="136" spans="1:14" ht="47.25" hidden="1" customHeight="1" x14ac:dyDescent="0.3">
      <c r="A136" s="109" t="s">
        <v>127</v>
      </c>
      <c r="B136" s="109" t="s">
        <v>126</v>
      </c>
      <c r="C136" s="109" t="s">
        <v>59</v>
      </c>
      <c r="D136" s="109" t="s">
        <v>60</v>
      </c>
      <c r="E136" s="117" t="s">
        <v>168</v>
      </c>
      <c r="F136" s="43" t="s">
        <v>160</v>
      </c>
      <c r="G136" s="119" t="s">
        <v>62</v>
      </c>
      <c r="H136" s="120"/>
    </row>
    <row r="137" spans="1:14" s="37" customFormat="1" hidden="1" x14ac:dyDescent="0.3">
      <c r="A137" s="110"/>
      <c r="B137" s="110"/>
      <c r="C137" s="110"/>
      <c r="D137" s="110"/>
      <c r="E137" s="118"/>
      <c r="F137" s="13">
        <v>0.6</v>
      </c>
      <c r="G137" s="121"/>
      <c r="H137" s="122"/>
    </row>
    <row r="138" spans="1:14" s="37" customFormat="1" hidden="1" x14ac:dyDescent="0.3">
      <c r="A138" s="112" t="s">
        <v>124</v>
      </c>
      <c r="B138" s="113"/>
      <c r="C138" s="113"/>
      <c r="D138" s="113"/>
      <c r="E138" s="113"/>
      <c r="F138" s="113"/>
      <c r="G138" s="113"/>
      <c r="H138" s="114"/>
      <c r="J138" s="36"/>
    </row>
    <row r="139" spans="1:14" s="37" customFormat="1" hidden="1" x14ac:dyDescent="0.3">
      <c r="A139" s="78">
        <v>1</v>
      </c>
      <c r="B139" s="79"/>
      <c r="C139" s="42"/>
      <c r="D139" s="42"/>
      <c r="E139" s="42">
        <v>0</v>
      </c>
      <c r="F139" s="42">
        <f>(D139+E139)*(($F$137)+1)</f>
        <v>0</v>
      </c>
      <c r="G139" s="78" t="str">
        <f>A138</f>
        <v>Ground Floor</v>
      </c>
      <c r="H139" s="79"/>
      <c r="I139" s="36"/>
      <c r="L139" s="170"/>
      <c r="M139" s="170"/>
      <c r="N139" s="36"/>
    </row>
    <row r="140" spans="1:14" s="37" customFormat="1" hidden="1" x14ac:dyDescent="0.3">
      <c r="A140" s="78">
        <f t="shared" ref="A140:A142" si="0">A139+1</f>
        <v>2</v>
      </c>
      <c r="B140" s="79"/>
      <c r="C140" s="42"/>
      <c r="D140" s="42"/>
      <c r="E140" s="42">
        <v>0</v>
      </c>
      <c r="F140" s="42">
        <f t="shared" ref="F140:F142" si="1">(D140+E140)*(($F$137)+1)</f>
        <v>0</v>
      </c>
      <c r="G140" s="78" t="str">
        <f t="shared" ref="G140:G142" si="2">G139</f>
        <v>Ground Floor</v>
      </c>
      <c r="H140" s="79"/>
      <c r="I140" s="36"/>
      <c r="L140" s="170"/>
      <c r="M140" s="170"/>
      <c r="N140" s="36"/>
    </row>
    <row r="141" spans="1:14" s="37" customFormat="1" hidden="1" x14ac:dyDescent="0.3">
      <c r="A141" s="78">
        <f t="shared" si="0"/>
        <v>3</v>
      </c>
      <c r="B141" s="79"/>
      <c r="C141" s="42"/>
      <c r="D141" s="42"/>
      <c r="E141" s="42">
        <v>0</v>
      </c>
      <c r="F141" s="42">
        <f t="shared" si="1"/>
        <v>0</v>
      </c>
      <c r="G141" s="78" t="str">
        <f t="shared" si="2"/>
        <v>Ground Floor</v>
      </c>
      <c r="H141" s="79"/>
      <c r="I141" s="36"/>
      <c r="L141" s="170"/>
      <c r="M141" s="170"/>
      <c r="N141" s="36"/>
    </row>
    <row r="142" spans="1:14" s="37" customFormat="1" hidden="1" x14ac:dyDescent="0.3">
      <c r="A142" s="78">
        <f t="shared" si="0"/>
        <v>4</v>
      </c>
      <c r="B142" s="79"/>
      <c r="C142" s="42"/>
      <c r="D142" s="42"/>
      <c r="E142" s="42">
        <v>0</v>
      </c>
      <c r="F142" s="42">
        <f t="shared" si="1"/>
        <v>0</v>
      </c>
      <c r="G142" s="78" t="str">
        <f t="shared" si="2"/>
        <v>Ground Floor</v>
      </c>
      <c r="H142" s="79"/>
      <c r="I142" s="36"/>
      <c r="L142" s="170"/>
      <c r="M142" s="170"/>
      <c r="N142" s="36"/>
    </row>
    <row r="143" spans="1:14" s="37" customFormat="1" x14ac:dyDescent="0.3">
      <c r="A143" s="78"/>
      <c r="B143" s="172"/>
      <c r="C143" s="172"/>
      <c r="D143" s="172"/>
      <c r="E143" s="172"/>
      <c r="F143" s="172"/>
      <c r="G143" s="172"/>
      <c r="H143" s="79"/>
      <c r="I143" s="36"/>
      <c r="N143" s="36"/>
    </row>
    <row r="144" spans="1:14" ht="47.25" customHeight="1" x14ac:dyDescent="0.3">
      <c r="A144" s="119" t="s">
        <v>128</v>
      </c>
      <c r="B144" s="119" t="s">
        <v>129</v>
      </c>
      <c r="C144" s="109" t="s">
        <v>59</v>
      </c>
      <c r="D144" s="109" t="s">
        <v>60</v>
      </c>
      <c r="E144" s="117" t="s">
        <v>61</v>
      </c>
      <c r="F144" s="43" t="s">
        <v>160</v>
      </c>
      <c r="G144" s="119" t="s">
        <v>62</v>
      </c>
      <c r="H144" s="120"/>
      <c r="I144" s="63" t="s">
        <v>232</v>
      </c>
    </row>
    <row r="145" spans="1:14" s="37" customFormat="1" x14ac:dyDescent="0.3">
      <c r="A145" s="121"/>
      <c r="B145" s="121"/>
      <c r="C145" s="110"/>
      <c r="D145" s="110"/>
      <c r="E145" s="118"/>
      <c r="F145" s="13">
        <v>0.55000000000000004</v>
      </c>
      <c r="G145" s="121"/>
      <c r="H145" s="122"/>
      <c r="I145" s="63" t="s">
        <v>233</v>
      </c>
      <c r="L145" s="37" t="s">
        <v>234</v>
      </c>
      <c r="M145" s="37" t="s">
        <v>235</v>
      </c>
    </row>
    <row r="146" spans="1:14" s="37" customFormat="1" x14ac:dyDescent="0.3">
      <c r="A146" s="112" t="s">
        <v>207</v>
      </c>
      <c r="B146" s="113"/>
      <c r="C146" s="113"/>
      <c r="D146" s="113"/>
      <c r="E146" s="113"/>
      <c r="F146" s="113"/>
      <c r="G146" s="113"/>
      <c r="H146" s="114"/>
      <c r="I146" s="64" t="s">
        <v>236</v>
      </c>
      <c r="J146" s="36"/>
      <c r="L146" s="37" t="s">
        <v>237</v>
      </c>
      <c r="M146" s="37" t="s">
        <v>238</v>
      </c>
    </row>
    <row r="147" spans="1:14" s="37" customFormat="1" x14ac:dyDescent="0.3">
      <c r="A147" s="112" t="s">
        <v>215</v>
      </c>
      <c r="B147" s="113"/>
      <c r="C147" s="113"/>
      <c r="D147" s="113"/>
      <c r="E147" s="113"/>
      <c r="F147" s="113"/>
      <c r="G147" s="113"/>
      <c r="H147" s="114"/>
      <c r="I147" s="64" t="s">
        <v>239</v>
      </c>
      <c r="J147" s="36"/>
      <c r="L147" s="37" t="s">
        <v>240</v>
      </c>
    </row>
    <row r="148" spans="1:14" s="37" customFormat="1" x14ac:dyDescent="0.3">
      <c r="A148" s="112" t="s">
        <v>208</v>
      </c>
      <c r="B148" s="113"/>
      <c r="C148" s="113"/>
      <c r="D148" s="113"/>
      <c r="E148" s="113"/>
      <c r="F148" s="113"/>
      <c r="G148" s="113"/>
      <c r="H148" s="114"/>
    </row>
    <row r="149" spans="1:14" s="37" customFormat="1" ht="15.75" customHeight="1" x14ac:dyDescent="0.3">
      <c r="A149" s="78">
        <v>1</v>
      </c>
      <c r="B149" s="79"/>
      <c r="C149" s="53">
        <v>2</v>
      </c>
      <c r="D149" s="55">
        <f>(59.23)*(10.764)</f>
        <v>637.55171999999993</v>
      </c>
      <c r="E149" s="42">
        <v>0</v>
      </c>
      <c r="F149" s="42">
        <f>D149*(($F$145)+1)+(IF(E149&lt;101,E149,IF(E149&lt;201,E149/2,IF(E149&lt;=301,E149/3,E149/4))))</f>
        <v>988.20516599999996</v>
      </c>
      <c r="G149" s="186" t="str">
        <f>A148</f>
        <v>1st to 7th &amp; 9th Floor For Residential</v>
      </c>
      <c r="H149" s="187"/>
      <c r="I149" s="36"/>
      <c r="J149" s="37">
        <f>3.05*5.5+1.95*3.05+2.85*3.05+3.05*3.05+1.95*1.3+2.2*1.3+2.15*1.33+2.3*1+1.45*2.35</f>
        <v>54.67949999999999</v>
      </c>
      <c r="L149" s="170"/>
      <c r="M149" s="170"/>
      <c r="N149" s="36"/>
    </row>
    <row r="150" spans="1:14" s="37" customFormat="1" ht="15.75" customHeight="1" x14ac:dyDescent="0.3">
      <c r="A150" s="78">
        <f t="shared" ref="A150:A151" si="3">A149+1</f>
        <v>2</v>
      </c>
      <c r="B150" s="79"/>
      <c r="C150" s="53">
        <v>2</v>
      </c>
      <c r="D150" s="55">
        <f>(55.36)*(10.764)</f>
        <v>595.89503999999999</v>
      </c>
      <c r="E150" s="42">
        <v>0</v>
      </c>
      <c r="F150" s="42">
        <f>D150*(($F$145)+1)+(IF(E150&lt;101,E150,IF(E150&lt;201,E150/2,IF(E150&lt;=301,E150/3,E150/4))))</f>
        <v>923.63731200000007</v>
      </c>
      <c r="G150" s="188"/>
      <c r="H150" s="189"/>
      <c r="I150" s="36"/>
      <c r="J150" s="37">
        <f>3.05*5.5+1.95*3.05+2.85*3.05+3.05*3.05+1.95*1.3+2.2*1.3+2.15*1.33+2.3*1+1.45*2.35</f>
        <v>54.67949999999999</v>
      </c>
      <c r="L150" s="170"/>
      <c r="M150" s="170"/>
      <c r="N150" s="36"/>
    </row>
    <row r="151" spans="1:14" s="37" customFormat="1" ht="15.75" customHeight="1" x14ac:dyDescent="0.3">
      <c r="A151" s="78">
        <f t="shared" si="3"/>
        <v>3</v>
      </c>
      <c r="B151" s="79"/>
      <c r="C151" s="183" t="s">
        <v>210</v>
      </c>
      <c r="D151" s="184"/>
      <c r="E151" s="184"/>
      <c r="F151" s="185"/>
      <c r="G151" s="190"/>
      <c r="H151" s="191"/>
      <c r="I151" s="36"/>
      <c r="J151" s="36"/>
      <c r="K151" s="36">
        <f>32000*F169</f>
        <v>20058412.608000003</v>
      </c>
      <c r="L151" s="170"/>
      <c r="M151" s="170"/>
      <c r="N151" s="36"/>
    </row>
    <row r="152" spans="1:14" s="37" customFormat="1" x14ac:dyDescent="0.3">
      <c r="A152" s="112" t="s">
        <v>209</v>
      </c>
      <c r="B152" s="113"/>
      <c r="C152" s="113"/>
      <c r="D152" s="113"/>
      <c r="E152" s="113"/>
      <c r="F152" s="113"/>
      <c r="G152" s="113"/>
      <c r="H152" s="114"/>
    </row>
    <row r="153" spans="1:14" s="37" customFormat="1" ht="15.75" customHeight="1" x14ac:dyDescent="0.3">
      <c r="A153" s="78">
        <v>1</v>
      </c>
      <c r="B153" s="79"/>
      <c r="C153" s="53">
        <v>2</v>
      </c>
      <c r="D153" s="55">
        <f>(59.23)*(10.764)</f>
        <v>637.55171999999993</v>
      </c>
      <c r="E153" s="42">
        <v>0</v>
      </c>
      <c r="F153" s="42">
        <f>D153*(($F$145)+1)+(IF(E153&lt;101,E153,IF(E153&lt;201,E153/2,IF(E153&lt;=301,E153/3,E153/4))))</f>
        <v>988.20516599999996</v>
      </c>
      <c r="G153" s="186" t="str">
        <f>A152</f>
        <v>8th Floor (Part Refuge Area)</v>
      </c>
      <c r="H153" s="187"/>
      <c r="I153" s="36"/>
      <c r="K153" s="36">
        <f>22200000/F178</f>
        <v>24035.40839199012</v>
      </c>
      <c r="L153" s="170"/>
      <c r="M153" s="170"/>
      <c r="N153" s="36"/>
    </row>
    <row r="154" spans="1:14" s="37" customFormat="1" ht="15.75" customHeight="1" x14ac:dyDescent="0.3">
      <c r="A154" s="78">
        <f t="shared" ref="A154:A155" si="4">A153+1</f>
        <v>2</v>
      </c>
      <c r="B154" s="79"/>
      <c r="C154" s="183" t="s">
        <v>211</v>
      </c>
      <c r="D154" s="184"/>
      <c r="E154" s="184"/>
      <c r="F154" s="185"/>
      <c r="G154" s="188"/>
      <c r="H154" s="189"/>
      <c r="I154" s="36"/>
      <c r="L154" s="170"/>
      <c r="M154" s="170"/>
      <c r="N154" s="36"/>
    </row>
    <row r="155" spans="1:14" s="37" customFormat="1" ht="15.75" customHeight="1" x14ac:dyDescent="0.3">
      <c r="A155" s="78">
        <f t="shared" si="4"/>
        <v>3</v>
      </c>
      <c r="B155" s="79"/>
      <c r="C155" s="183" t="s">
        <v>217</v>
      </c>
      <c r="D155" s="184"/>
      <c r="E155" s="184"/>
      <c r="F155" s="185"/>
      <c r="G155" s="190"/>
      <c r="H155" s="191"/>
      <c r="I155" s="36"/>
      <c r="J155" s="36"/>
      <c r="L155" s="170"/>
      <c r="M155" s="170"/>
      <c r="N155" s="36"/>
    </row>
    <row r="156" spans="1:14" s="37" customFormat="1" x14ac:dyDescent="0.3">
      <c r="A156" s="112" t="s">
        <v>212</v>
      </c>
      <c r="B156" s="113"/>
      <c r="C156" s="113"/>
      <c r="D156" s="113"/>
      <c r="E156" s="113"/>
      <c r="F156" s="113"/>
      <c r="G156" s="113"/>
      <c r="H156" s="114"/>
    </row>
    <row r="157" spans="1:14" s="37" customFormat="1" ht="15.75" customHeight="1" x14ac:dyDescent="0.3">
      <c r="A157" s="78">
        <v>1</v>
      </c>
      <c r="B157" s="79"/>
      <c r="C157" s="53">
        <v>2</v>
      </c>
      <c r="D157" s="55">
        <f>(59.23)*(10.764)</f>
        <v>637.55171999999993</v>
      </c>
      <c r="E157" s="42">
        <v>0</v>
      </c>
      <c r="F157" s="42">
        <f>D157*(($F$145)+1)+(IF(E157&lt;101,E157,IF(E157&lt;201,E157/2,IF(E157&lt;=301,E157/3,E157/4))))</f>
        <v>988.20516599999996</v>
      </c>
      <c r="G157" s="186" t="str">
        <f>A156</f>
        <v>10th to 14th &amp; 16th Floor</v>
      </c>
      <c r="H157" s="187"/>
      <c r="I157" s="36"/>
      <c r="L157" s="170"/>
      <c r="M157" s="170"/>
      <c r="N157" s="36"/>
    </row>
    <row r="158" spans="1:14" s="37" customFormat="1" ht="15.75" customHeight="1" x14ac:dyDescent="0.3">
      <c r="A158" s="78">
        <f t="shared" ref="A158:A159" si="5">A157+1</f>
        <v>2</v>
      </c>
      <c r="B158" s="79"/>
      <c r="C158" s="53">
        <v>2</v>
      </c>
      <c r="D158" s="55">
        <f>(55.36)*(10.764)</f>
        <v>595.89503999999999</v>
      </c>
      <c r="E158" s="42">
        <v>0</v>
      </c>
      <c r="F158" s="42">
        <f>D158*(($F$145)+1)+(IF(E158&lt;101,E158,IF(E158&lt;201,E158/2,IF(E158&lt;=301,E158/3,E158/4))))</f>
        <v>923.63731200000007</v>
      </c>
      <c r="G158" s="188" t="str">
        <f t="shared" ref="G158:G159" si="6">G157</f>
        <v>10th to 14th &amp; 16th Floor</v>
      </c>
      <c r="H158" s="189"/>
      <c r="I158" s="36"/>
      <c r="L158" s="170"/>
      <c r="M158" s="170"/>
      <c r="N158" s="36"/>
    </row>
    <row r="159" spans="1:14" s="37" customFormat="1" ht="15.75" customHeight="1" x14ac:dyDescent="0.3">
      <c r="A159" s="78">
        <f t="shared" si="5"/>
        <v>3</v>
      </c>
      <c r="B159" s="79"/>
      <c r="C159" s="53">
        <v>2</v>
      </c>
      <c r="D159" s="55">
        <f>(55.36)*(10.764)</f>
        <v>595.89503999999999</v>
      </c>
      <c r="E159" s="42">
        <v>0</v>
      </c>
      <c r="F159" s="42">
        <f>D159*(($F$145)+1)+(IF(E159&lt;101,E159,IF(E159&lt;201,E159/2,IF(E159&lt;=301,E159/3,E159/4))))</f>
        <v>923.63731200000007</v>
      </c>
      <c r="G159" s="190" t="str">
        <f t="shared" si="6"/>
        <v>10th to 14th &amp; 16th Floor</v>
      </c>
      <c r="H159" s="191"/>
      <c r="I159" s="36"/>
      <c r="J159" s="36"/>
      <c r="L159" s="170"/>
      <c r="M159" s="170"/>
      <c r="N159" s="36"/>
    </row>
    <row r="160" spans="1:14" s="37" customFormat="1" ht="15.75" customHeight="1" x14ac:dyDescent="0.3">
      <c r="A160" s="112" t="s">
        <v>213</v>
      </c>
      <c r="B160" s="113"/>
      <c r="C160" s="113"/>
      <c r="D160" s="113"/>
      <c r="E160" s="113"/>
      <c r="F160" s="113"/>
      <c r="G160" s="113"/>
      <c r="H160" s="114"/>
    </row>
    <row r="161" spans="1:14" s="37" customFormat="1" ht="15.75" customHeight="1" x14ac:dyDescent="0.3">
      <c r="A161" s="78">
        <v>1</v>
      </c>
      <c r="B161" s="79"/>
      <c r="C161" s="53">
        <v>2</v>
      </c>
      <c r="D161" s="55">
        <f>(59.23)*(10.764)</f>
        <v>637.55171999999993</v>
      </c>
      <c r="E161" s="42">
        <v>0</v>
      </c>
      <c r="F161" s="42">
        <f>D161*(($F$145)+1)+(IF(E161&lt;101,E161,IF(E161&lt;201,E161/2,IF(E161&lt;=301,E161/3,E161/4))))</f>
        <v>988.20516599999996</v>
      </c>
      <c r="G161" s="186" t="str">
        <f>A160</f>
        <v>15th Floor (Part Refuge Area)</v>
      </c>
      <c r="H161" s="187"/>
      <c r="I161" s="36"/>
      <c r="L161" s="170"/>
      <c r="M161" s="170"/>
      <c r="N161" s="36"/>
    </row>
    <row r="162" spans="1:14" s="37" customFormat="1" ht="15.75" customHeight="1" x14ac:dyDescent="0.3">
      <c r="A162" s="78">
        <f t="shared" ref="A162:A163" si="7">A161+1</f>
        <v>2</v>
      </c>
      <c r="B162" s="79"/>
      <c r="C162" s="183" t="s">
        <v>211</v>
      </c>
      <c r="D162" s="184"/>
      <c r="E162" s="184"/>
      <c r="F162" s="185"/>
      <c r="G162" s="188" t="str">
        <f t="shared" ref="G162:G163" si="8">G161</f>
        <v>15th Floor (Part Refuge Area)</v>
      </c>
      <c r="H162" s="189"/>
      <c r="I162" s="36"/>
      <c r="L162" s="170"/>
      <c r="M162" s="170"/>
      <c r="N162" s="36"/>
    </row>
    <row r="163" spans="1:14" s="37" customFormat="1" ht="15.75" customHeight="1" x14ac:dyDescent="0.3">
      <c r="A163" s="78">
        <f t="shared" si="7"/>
        <v>3</v>
      </c>
      <c r="B163" s="79"/>
      <c r="C163" s="53">
        <v>2</v>
      </c>
      <c r="D163" s="55">
        <f>(55.36)*(10.764)</f>
        <v>595.89503999999999</v>
      </c>
      <c r="E163" s="42">
        <v>0</v>
      </c>
      <c r="F163" s="42">
        <f>D163*(($F$145)+1)+(IF(E163&lt;101,E163,IF(E163&lt;201,E163/2,IF(E163&lt;=301,E163/3,E163/4))))</f>
        <v>923.63731200000007</v>
      </c>
      <c r="G163" s="190" t="str">
        <f t="shared" si="8"/>
        <v>15th Floor (Part Refuge Area)</v>
      </c>
      <c r="H163" s="191"/>
      <c r="I163" s="36"/>
      <c r="J163" s="36"/>
      <c r="L163" s="170"/>
      <c r="M163" s="170"/>
      <c r="N163" s="36"/>
    </row>
    <row r="164" spans="1:14" s="37" customFormat="1" x14ac:dyDescent="0.3">
      <c r="A164" s="112" t="s">
        <v>220</v>
      </c>
      <c r="B164" s="113"/>
      <c r="C164" s="113"/>
      <c r="D164" s="113"/>
      <c r="E164" s="113"/>
      <c r="F164" s="113"/>
      <c r="G164" s="113"/>
      <c r="H164" s="114"/>
      <c r="J164" s="36"/>
    </row>
    <row r="165" spans="1:14" s="37" customFormat="1" x14ac:dyDescent="0.3">
      <c r="A165" s="112" t="s">
        <v>214</v>
      </c>
      <c r="B165" s="113"/>
      <c r="C165" s="113"/>
      <c r="D165" s="113"/>
      <c r="E165" s="113"/>
      <c r="F165" s="113"/>
      <c r="G165" s="113"/>
      <c r="H165" s="114"/>
      <c r="J165" s="36"/>
    </row>
    <row r="166" spans="1:14" s="37" customFormat="1" x14ac:dyDescent="0.3">
      <c r="A166" s="112" t="s">
        <v>216</v>
      </c>
      <c r="B166" s="113"/>
      <c r="C166" s="113"/>
      <c r="D166" s="113"/>
      <c r="E166" s="113"/>
      <c r="F166" s="113"/>
      <c r="G166" s="113"/>
      <c r="H166" s="114"/>
      <c r="J166" s="36"/>
    </row>
    <row r="167" spans="1:14" s="37" customFormat="1" x14ac:dyDescent="0.3">
      <c r="A167" s="112" t="s">
        <v>208</v>
      </c>
      <c r="B167" s="113"/>
      <c r="C167" s="113"/>
      <c r="D167" s="113"/>
      <c r="E167" s="113"/>
      <c r="F167" s="113"/>
      <c r="G167" s="113"/>
      <c r="H167" s="114"/>
    </row>
    <row r="168" spans="1:14" s="37" customFormat="1" ht="15.75" customHeight="1" x14ac:dyDescent="0.3">
      <c r="A168" s="78">
        <v>1</v>
      </c>
      <c r="B168" s="79"/>
      <c r="C168" s="53">
        <v>2</v>
      </c>
      <c r="D168" s="55">
        <f>(55.36)*(10.764)</f>
        <v>595.89503999999999</v>
      </c>
      <c r="E168" s="42">
        <v>0</v>
      </c>
      <c r="F168" s="42">
        <f>D168*(($F$145)+1)+(IF(E168&lt;101,E168,IF(E168&lt;201,E168/2,IF(E168&lt;=301,E168/3,E168/4))))</f>
        <v>923.63731200000007</v>
      </c>
      <c r="G168" s="186" t="str">
        <f>A167</f>
        <v>1st to 7th &amp; 9th Floor For Residential</v>
      </c>
      <c r="H168" s="187"/>
      <c r="I168" s="36"/>
      <c r="J168" s="37">
        <f>14770000/F170</f>
        <v>23887.444612261424</v>
      </c>
      <c r="L168" s="170"/>
      <c r="M168" s="170"/>
      <c r="N168" s="36"/>
    </row>
    <row r="169" spans="1:14" s="37" customFormat="1" ht="15.75" customHeight="1" x14ac:dyDescent="0.3">
      <c r="A169" s="78">
        <f t="shared" ref="A169:A171" si="9">A168+1</f>
        <v>2</v>
      </c>
      <c r="B169" s="79"/>
      <c r="C169" s="53">
        <v>1</v>
      </c>
      <c r="D169" s="55">
        <f>(37.57)*(10.764)</f>
        <v>404.40348</v>
      </c>
      <c r="E169" s="42">
        <v>0</v>
      </c>
      <c r="F169" s="42">
        <f>D169*(($F$145)+1)+(IF(E169&lt;101,E169,IF(E169&lt;201,E169/2,IF(E169&lt;=301,E169/3,E169/4))))</f>
        <v>626.82539400000007</v>
      </c>
      <c r="G169" s="188"/>
      <c r="H169" s="189"/>
      <c r="I169" s="36"/>
      <c r="L169" s="170"/>
      <c r="M169" s="170"/>
      <c r="N169" s="36"/>
    </row>
    <row r="170" spans="1:14" s="37" customFormat="1" ht="15.75" customHeight="1" x14ac:dyDescent="0.3">
      <c r="A170" s="78">
        <f t="shared" si="9"/>
        <v>3</v>
      </c>
      <c r="B170" s="79"/>
      <c r="C170" s="53">
        <v>1</v>
      </c>
      <c r="D170" s="55">
        <f>(37.06)*(10.764)</f>
        <v>398.91383999999999</v>
      </c>
      <c r="E170" s="42">
        <v>0</v>
      </c>
      <c r="F170" s="42">
        <f>D170*(($F$145)+1)+(IF(E170&lt;101,E170,IF(E170&lt;201,E170/2,IF(E170&lt;=301,E170/3,E170/4))))</f>
        <v>618.31645200000003</v>
      </c>
      <c r="G170" s="188"/>
      <c r="H170" s="189"/>
      <c r="I170" s="36"/>
      <c r="J170" s="37">
        <f>3.05*5.5+1.95*3.05+2.85*3.05+3.05*3.05+1.95*1.3+2.2*1.3+2.15*1.33+2.3*1+1.45*2.35</f>
        <v>54.67949999999999</v>
      </c>
      <c r="L170" s="170"/>
      <c r="M170" s="170"/>
      <c r="N170" s="36"/>
    </row>
    <row r="171" spans="1:14" s="37" customFormat="1" ht="15.75" customHeight="1" x14ac:dyDescent="0.3">
      <c r="A171" s="78">
        <f t="shared" si="9"/>
        <v>4</v>
      </c>
      <c r="B171" s="79"/>
      <c r="C171" s="183" t="s">
        <v>217</v>
      </c>
      <c r="D171" s="184"/>
      <c r="E171" s="184"/>
      <c r="F171" s="185"/>
      <c r="G171" s="190"/>
      <c r="H171" s="191"/>
      <c r="I171" s="36"/>
      <c r="J171" s="36"/>
      <c r="L171" s="170"/>
      <c r="M171" s="170"/>
      <c r="N171" s="36"/>
    </row>
    <row r="172" spans="1:14" s="37" customFormat="1" ht="15.75" customHeight="1" x14ac:dyDescent="0.3">
      <c r="A172" s="112" t="s">
        <v>209</v>
      </c>
      <c r="B172" s="113"/>
      <c r="C172" s="113"/>
      <c r="D172" s="113"/>
      <c r="E172" s="113"/>
      <c r="F172" s="113"/>
      <c r="G172" s="113"/>
      <c r="H172" s="114"/>
    </row>
    <row r="173" spans="1:14" s="37" customFormat="1" ht="15.75" customHeight="1" x14ac:dyDescent="0.3">
      <c r="A173" s="78">
        <v>1</v>
      </c>
      <c r="B173" s="79"/>
      <c r="C173" s="183" t="s">
        <v>211</v>
      </c>
      <c r="D173" s="184"/>
      <c r="E173" s="184"/>
      <c r="F173" s="185"/>
      <c r="G173" s="186" t="str">
        <f>A172</f>
        <v>8th Floor (Part Refuge Area)</v>
      </c>
      <c r="H173" s="187"/>
      <c r="I173" s="36"/>
      <c r="L173" s="170"/>
      <c r="M173" s="170"/>
      <c r="N173" s="36"/>
    </row>
    <row r="174" spans="1:14" s="37" customFormat="1" ht="15.75" customHeight="1" x14ac:dyDescent="0.3">
      <c r="A174" s="78">
        <f t="shared" ref="A174:A176" si="10">A173+1</f>
        <v>2</v>
      </c>
      <c r="B174" s="79"/>
      <c r="C174" s="53">
        <v>1</v>
      </c>
      <c r="D174" s="55">
        <f>(37.57)*(10.764)</f>
        <v>404.40348</v>
      </c>
      <c r="E174" s="42">
        <v>0</v>
      </c>
      <c r="F174" s="42">
        <f>D174*(($F$145)+1)+(IF(E174&lt;101,E174,IF(E174&lt;201,E174/2,IF(E174&lt;=301,E174/3,E174/4))))</f>
        <v>626.82539400000007</v>
      </c>
      <c r="G174" s="188"/>
      <c r="H174" s="189"/>
      <c r="I174" s="36"/>
      <c r="L174" s="170"/>
      <c r="M174" s="170"/>
      <c r="N174" s="36"/>
    </row>
    <row r="175" spans="1:14" s="37" customFormat="1" ht="15.75" customHeight="1" x14ac:dyDescent="0.3">
      <c r="A175" s="78">
        <f t="shared" si="10"/>
        <v>3</v>
      </c>
      <c r="B175" s="79"/>
      <c r="C175" s="53">
        <v>1</v>
      </c>
      <c r="D175" s="55">
        <f>(37.06)*(10.764)</f>
        <v>398.91383999999999</v>
      </c>
      <c r="E175" s="42">
        <v>0</v>
      </c>
      <c r="F175" s="42">
        <f>D175*(($F$145)+1)+(IF(E175&lt;101,E175,IF(E175&lt;201,E175/2,IF(E175&lt;=301,E175/3,E175/4))))</f>
        <v>618.31645200000003</v>
      </c>
      <c r="G175" s="188"/>
      <c r="H175" s="189"/>
      <c r="I175" s="36"/>
      <c r="J175" s="37">
        <f>3.05*5.5+1.95*3.05+2.85*3.05+3.05*3.05+1.95*1.3+2.2*1.3+2.15*1.33+2.3*1+1.45*2.35</f>
        <v>54.67949999999999</v>
      </c>
      <c r="L175" s="170"/>
      <c r="M175" s="170"/>
      <c r="N175" s="36"/>
    </row>
    <row r="176" spans="1:14" s="37" customFormat="1" ht="15.75" customHeight="1" x14ac:dyDescent="0.3">
      <c r="A176" s="78">
        <f t="shared" si="10"/>
        <v>4</v>
      </c>
      <c r="B176" s="79"/>
      <c r="C176" s="183" t="s">
        <v>217</v>
      </c>
      <c r="D176" s="184"/>
      <c r="E176" s="184"/>
      <c r="F176" s="185"/>
      <c r="G176" s="190"/>
      <c r="H176" s="191"/>
      <c r="I176" s="36"/>
      <c r="J176" s="36"/>
      <c r="L176" s="170"/>
      <c r="M176" s="170"/>
      <c r="N176" s="36"/>
    </row>
    <row r="177" spans="1:14" s="37" customFormat="1" ht="15.75" customHeight="1" x14ac:dyDescent="0.3">
      <c r="A177" s="112" t="s">
        <v>212</v>
      </c>
      <c r="B177" s="113"/>
      <c r="C177" s="113"/>
      <c r="D177" s="113"/>
      <c r="E177" s="113"/>
      <c r="F177" s="113"/>
      <c r="G177" s="113"/>
      <c r="H177" s="114"/>
    </row>
    <row r="178" spans="1:14" s="37" customFormat="1" ht="15.75" customHeight="1" x14ac:dyDescent="0.3">
      <c r="A178" s="78">
        <v>1</v>
      </c>
      <c r="B178" s="79"/>
      <c r="C178" s="53">
        <v>2</v>
      </c>
      <c r="D178" s="55">
        <f>(55.36)*(10.764)</f>
        <v>595.89503999999999</v>
      </c>
      <c r="E178" s="42">
        <v>0</v>
      </c>
      <c r="F178" s="42">
        <f>D178*(($F$145)+1)+(IF(E178&lt;101,E178,IF(E178&lt;201,E178/2,IF(E178&lt;=301,E178/3,E178/4))))</f>
        <v>923.63731200000007</v>
      </c>
      <c r="G178" s="186" t="str">
        <f>A177</f>
        <v>10th to 14th &amp; 16th Floor</v>
      </c>
      <c r="H178" s="187"/>
      <c r="I178" s="36"/>
      <c r="L178" s="170"/>
      <c r="M178" s="170"/>
      <c r="N178" s="36"/>
    </row>
    <row r="179" spans="1:14" s="37" customFormat="1" ht="15.75" customHeight="1" x14ac:dyDescent="0.3">
      <c r="A179" s="78">
        <f t="shared" ref="A179:A181" si="11">A178+1</f>
        <v>2</v>
      </c>
      <c r="B179" s="79"/>
      <c r="C179" s="53">
        <v>1</v>
      </c>
      <c r="D179" s="55">
        <f>(37.57)*(10.764)</f>
        <v>404.40348</v>
      </c>
      <c r="E179" s="42">
        <v>0</v>
      </c>
      <c r="F179" s="42">
        <f>D179*(($F$145)+1)+(IF(E179&lt;101,E179,IF(E179&lt;201,E179/2,IF(E179&lt;=301,E179/3,E179/4))))</f>
        <v>626.82539400000007</v>
      </c>
      <c r="G179" s="188" t="str">
        <f t="shared" ref="G179:G181" si="12">G178</f>
        <v>10th to 14th &amp; 16th Floor</v>
      </c>
      <c r="H179" s="189"/>
      <c r="I179" s="36"/>
      <c r="L179" s="170"/>
      <c r="M179" s="170"/>
      <c r="N179" s="36"/>
    </row>
    <row r="180" spans="1:14" s="37" customFormat="1" ht="15.75" customHeight="1" x14ac:dyDescent="0.3">
      <c r="A180" s="78">
        <f t="shared" si="11"/>
        <v>3</v>
      </c>
      <c r="B180" s="79"/>
      <c r="C180" s="53">
        <v>1</v>
      </c>
      <c r="D180" s="55">
        <f>(37.06)*(10.764)</f>
        <v>398.91383999999999</v>
      </c>
      <c r="E180" s="42">
        <v>0</v>
      </c>
      <c r="F180" s="42">
        <f>D180*(($F$145)+1)+(IF(E180&lt;101,E180,IF(E180&lt;201,E180/2,IF(E180&lt;=301,E180/3,E180/4))))</f>
        <v>618.31645200000003</v>
      </c>
      <c r="G180" s="188" t="str">
        <f t="shared" si="12"/>
        <v>10th to 14th &amp; 16th Floor</v>
      </c>
      <c r="H180" s="189"/>
      <c r="I180" s="36"/>
      <c r="L180" s="170"/>
      <c r="M180" s="170"/>
      <c r="N180" s="36"/>
    </row>
    <row r="181" spans="1:14" s="37" customFormat="1" ht="15.75" customHeight="1" x14ac:dyDescent="0.3">
      <c r="A181" s="78">
        <f t="shared" si="11"/>
        <v>4</v>
      </c>
      <c r="B181" s="79"/>
      <c r="C181" s="53">
        <v>2</v>
      </c>
      <c r="D181" s="55">
        <f>(55.36)*(10.764)</f>
        <v>595.89503999999999</v>
      </c>
      <c r="E181" s="42">
        <v>0</v>
      </c>
      <c r="F181" s="42">
        <f>D181*(($F$145)+1)+(IF(E181&lt;101,E181,IF(E181&lt;201,E181/2,IF(E181&lt;=301,E181/3,E181/4))))</f>
        <v>923.63731200000007</v>
      </c>
      <c r="G181" s="190" t="str">
        <f t="shared" si="12"/>
        <v>10th to 14th &amp; 16th Floor</v>
      </c>
      <c r="H181" s="191"/>
      <c r="I181" s="36"/>
      <c r="J181" s="36"/>
      <c r="L181" s="170"/>
      <c r="M181" s="170"/>
      <c r="N181" s="36"/>
    </row>
    <row r="182" spans="1:14" s="37" customFormat="1" ht="15.75" customHeight="1" x14ac:dyDescent="0.3">
      <c r="A182" s="112" t="s">
        <v>213</v>
      </c>
      <c r="B182" s="113"/>
      <c r="C182" s="113"/>
      <c r="D182" s="113"/>
      <c r="E182" s="113"/>
      <c r="F182" s="113"/>
      <c r="G182" s="113"/>
      <c r="H182" s="114"/>
    </row>
    <row r="183" spans="1:14" s="37" customFormat="1" ht="15.75" customHeight="1" x14ac:dyDescent="0.3">
      <c r="A183" s="78">
        <v>1</v>
      </c>
      <c r="B183" s="79"/>
      <c r="C183" s="183" t="s">
        <v>211</v>
      </c>
      <c r="D183" s="184"/>
      <c r="E183" s="184"/>
      <c r="F183" s="185"/>
      <c r="G183" s="186" t="str">
        <f>A182</f>
        <v>15th Floor (Part Refuge Area)</v>
      </c>
      <c r="H183" s="187"/>
      <c r="I183" s="36"/>
      <c r="L183" s="170"/>
      <c r="M183" s="170"/>
      <c r="N183" s="36"/>
    </row>
    <row r="184" spans="1:14" s="37" customFormat="1" ht="15.75" customHeight="1" x14ac:dyDescent="0.3">
      <c r="A184" s="78">
        <f t="shared" ref="A184:A186" si="13">A183+1</f>
        <v>2</v>
      </c>
      <c r="B184" s="79"/>
      <c r="C184" s="53">
        <v>0</v>
      </c>
      <c r="D184" s="55">
        <f>(28.33)*(10.764)</f>
        <v>304.94411999999994</v>
      </c>
      <c r="E184" s="42">
        <v>0</v>
      </c>
      <c r="F184" s="42">
        <f>D184*(($F$145)+1)+(IF(E184&lt;101,E184,IF(E184&lt;201,E184/2,IF(E184&lt;=301,E184/3,E184/4))))</f>
        <v>472.66338599999995</v>
      </c>
      <c r="G184" s="188" t="str">
        <f t="shared" ref="G184:G186" si="14">G183</f>
        <v>15th Floor (Part Refuge Area)</v>
      </c>
      <c r="H184" s="189"/>
      <c r="I184" s="36"/>
      <c r="L184" s="170"/>
      <c r="M184" s="170"/>
      <c r="N184" s="36"/>
    </row>
    <row r="185" spans="1:14" s="37" customFormat="1" ht="15.75" customHeight="1" x14ac:dyDescent="0.3">
      <c r="A185" s="78">
        <f t="shared" si="13"/>
        <v>3</v>
      </c>
      <c r="B185" s="79"/>
      <c r="C185" s="53">
        <v>1</v>
      </c>
      <c r="D185" s="55">
        <f>(37.06)*(10.764)</f>
        <v>398.91383999999999</v>
      </c>
      <c r="E185" s="42">
        <v>0</v>
      </c>
      <c r="F185" s="42">
        <f>D185*(($F$145)+1)+(IF(E185&lt;101,E185,IF(E185&lt;201,E185/2,IF(E185&lt;=301,E185/3,E185/4))))</f>
        <v>618.31645200000003</v>
      </c>
      <c r="G185" s="188" t="str">
        <f t="shared" si="14"/>
        <v>15th Floor (Part Refuge Area)</v>
      </c>
      <c r="H185" s="189"/>
      <c r="I185" s="36"/>
      <c r="L185" s="170"/>
      <c r="M185" s="170"/>
      <c r="N185" s="36"/>
    </row>
    <row r="186" spans="1:14" s="37" customFormat="1" ht="15.75" customHeight="1" x14ac:dyDescent="0.3">
      <c r="A186" s="78">
        <f t="shared" si="13"/>
        <v>4</v>
      </c>
      <c r="B186" s="79"/>
      <c r="C186" s="53">
        <v>2</v>
      </c>
      <c r="D186" s="55">
        <f>(55.36)*(10.764)</f>
        <v>595.89503999999999</v>
      </c>
      <c r="E186" s="42">
        <v>0</v>
      </c>
      <c r="F186" s="42">
        <f>D186*(($F$145)+1)+(IF(E186&lt;101,E186,IF(E186&lt;201,E186/2,IF(E186&lt;=301,E186/3,E186/4))))</f>
        <v>923.63731200000007</v>
      </c>
      <c r="G186" s="190" t="str">
        <f t="shared" si="14"/>
        <v>15th Floor (Part Refuge Area)</v>
      </c>
      <c r="H186" s="191"/>
      <c r="I186" s="36"/>
      <c r="J186" s="36"/>
      <c r="L186" s="170"/>
      <c r="M186" s="170"/>
      <c r="N186" s="36"/>
    </row>
    <row r="187" spans="1:14" s="37" customFormat="1" x14ac:dyDescent="0.3">
      <c r="A187" s="112" t="s">
        <v>220</v>
      </c>
      <c r="B187" s="113"/>
      <c r="C187" s="113"/>
      <c r="D187" s="113"/>
      <c r="E187" s="113"/>
      <c r="F187" s="113"/>
      <c r="G187" s="113"/>
      <c r="H187" s="114"/>
      <c r="J187" s="36"/>
    </row>
    <row r="188" spans="1:14" s="37" customFormat="1" x14ac:dyDescent="0.3">
      <c r="A188" s="112" t="s">
        <v>218</v>
      </c>
      <c r="B188" s="113"/>
      <c r="C188" s="113"/>
      <c r="D188" s="113"/>
      <c r="E188" s="113"/>
      <c r="F188" s="113"/>
      <c r="G188" s="113"/>
      <c r="H188" s="114"/>
      <c r="J188" s="36"/>
    </row>
    <row r="189" spans="1:14" s="37" customFormat="1" x14ac:dyDescent="0.3">
      <c r="A189" s="112" t="s">
        <v>219</v>
      </c>
      <c r="B189" s="113"/>
      <c r="C189" s="113"/>
      <c r="D189" s="113"/>
      <c r="E189" s="113"/>
      <c r="F189" s="113"/>
      <c r="G189" s="113"/>
      <c r="H189" s="114"/>
      <c r="J189" s="36"/>
    </row>
    <row r="190" spans="1:14" s="37" customFormat="1" x14ac:dyDescent="0.3">
      <c r="A190" s="112" t="s">
        <v>208</v>
      </c>
      <c r="B190" s="113"/>
      <c r="C190" s="113"/>
      <c r="D190" s="113"/>
      <c r="E190" s="113"/>
      <c r="F190" s="113"/>
      <c r="G190" s="113"/>
      <c r="H190" s="114"/>
    </row>
    <row r="191" spans="1:14" s="37" customFormat="1" ht="15.75" customHeight="1" x14ac:dyDescent="0.3">
      <c r="A191" s="78">
        <v>1</v>
      </c>
      <c r="B191" s="79"/>
      <c r="C191" s="53">
        <v>2</v>
      </c>
      <c r="D191" s="55">
        <f>(47.41)*(10.764)</f>
        <v>510.32123999999993</v>
      </c>
      <c r="E191" s="42">
        <v>0</v>
      </c>
      <c r="F191" s="42">
        <f>D191*(($F$145)+1)+(IF(E191&lt;101,E191,IF(E191&lt;201,E191/2,IF(E191&lt;=301,E191/3,E191/4))))</f>
        <v>790.9979219999999</v>
      </c>
      <c r="G191" s="186" t="str">
        <f>A190</f>
        <v>1st to 7th &amp; 9th Floor For Residential</v>
      </c>
      <c r="H191" s="187"/>
      <c r="I191" s="36"/>
      <c r="L191" s="170"/>
      <c r="M191" s="170"/>
      <c r="N191" s="36"/>
    </row>
    <row r="192" spans="1:14" s="37" customFormat="1" ht="15.75" customHeight="1" x14ac:dyDescent="0.3">
      <c r="A192" s="78">
        <f t="shared" ref="A192:A194" si="15">A191+1</f>
        <v>2</v>
      </c>
      <c r="B192" s="79"/>
      <c r="C192" s="53">
        <v>2</v>
      </c>
      <c r="D192" s="55">
        <f>(47.4)*(10.764)</f>
        <v>510.21359999999993</v>
      </c>
      <c r="E192" s="42">
        <v>0</v>
      </c>
      <c r="F192" s="42">
        <f>D192*(($F$145)+1)+(IF(E192&lt;101,E192,IF(E192&lt;201,E192/2,IF(E192&lt;=301,E192/3,E192/4))))</f>
        <v>790.83107999999993</v>
      </c>
      <c r="G192" s="188"/>
      <c r="H192" s="189"/>
      <c r="I192" s="36"/>
      <c r="L192" s="170"/>
      <c r="M192" s="170"/>
      <c r="N192" s="36"/>
    </row>
    <row r="193" spans="1:14" s="37" customFormat="1" ht="15.75" customHeight="1" x14ac:dyDescent="0.3">
      <c r="A193" s="78">
        <f t="shared" si="15"/>
        <v>3</v>
      </c>
      <c r="B193" s="79"/>
      <c r="C193" s="53">
        <v>2</v>
      </c>
      <c r="D193" s="55">
        <f>(47.46)*(10.764)</f>
        <v>510.85944000000001</v>
      </c>
      <c r="E193" s="42">
        <v>0</v>
      </c>
      <c r="F193" s="42">
        <f>D193*(($F$145)+1)+(IF(E193&lt;101,E193,IF(E193&lt;201,E193/2,IF(E193&lt;=301,E193/3,E193/4))))</f>
        <v>791.832132</v>
      </c>
      <c r="G193" s="188"/>
      <c r="H193" s="189"/>
      <c r="I193" s="36"/>
      <c r="J193" s="37">
        <f>3.05*5.5+1.95*3.05+2.85*3.05+3.05*3.05+1.95*1.3+2.2*1.3+2.15*1.33+2.3*1+1.45*2.35</f>
        <v>54.67949999999999</v>
      </c>
      <c r="L193" s="170"/>
      <c r="M193" s="170"/>
      <c r="N193" s="36"/>
    </row>
    <row r="194" spans="1:14" s="37" customFormat="1" ht="15.75" customHeight="1" x14ac:dyDescent="0.3">
      <c r="A194" s="78">
        <f t="shared" si="15"/>
        <v>4</v>
      </c>
      <c r="B194" s="79"/>
      <c r="C194" s="183" t="s">
        <v>217</v>
      </c>
      <c r="D194" s="184"/>
      <c r="E194" s="184"/>
      <c r="F194" s="185"/>
      <c r="G194" s="190"/>
      <c r="H194" s="191"/>
      <c r="I194" s="36"/>
      <c r="J194" s="36"/>
      <c r="L194" s="170"/>
      <c r="M194" s="170"/>
      <c r="N194" s="36"/>
    </row>
    <row r="195" spans="1:14" s="37" customFormat="1" ht="15.75" customHeight="1" x14ac:dyDescent="0.3">
      <c r="A195" s="112" t="s">
        <v>209</v>
      </c>
      <c r="B195" s="113"/>
      <c r="C195" s="113"/>
      <c r="D195" s="113"/>
      <c r="E195" s="113"/>
      <c r="F195" s="113"/>
      <c r="G195" s="113"/>
      <c r="H195" s="114"/>
    </row>
    <row r="196" spans="1:14" s="37" customFormat="1" ht="15.75" customHeight="1" x14ac:dyDescent="0.3">
      <c r="A196" s="78">
        <v>1</v>
      </c>
      <c r="B196" s="79"/>
      <c r="C196" s="183" t="s">
        <v>211</v>
      </c>
      <c r="D196" s="184"/>
      <c r="E196" s="184"/>
      <c r="F196" s="185"/>
      <c r="G196" s="186" t="str">
        <f>A195</f>
        <v>8th Floor (Part Refuge Area)</v>
      </c>
      <c r="H196" s="187"/>
      <c r="I196" s="36"/>
      <c r="L196" s="170"/>
      <c r="M196" s="170"/>
      <c r="N196" s="36"/>
    </row>
    <row r="197" spans="1:14" s="37" customFormat="1" ht="15.75" customHeight="1" x14ac:dyDescent="0.3">
      <c r="A197" s="78">
        <f t="shared" ref="A197:A199" si="16">A196+1</f>
        <v>2</v>
      </c>
      <c r="B197" s="79"/>
      <c r="C197" s="53">
        <v>2</v>
      </c>
      <c r="D197" s="55">
        <f>(47.4)*(10.764)</f>
        <v>510.21359999999993</v>
      </c>
      <c r="E197" s="42">
        <v>0</v>
      </c>
      <c r="F197" s="42">
        <f>D197*(($F$145)+1)+(IF(E197&lt;101,E197,IF(E197&lt;201,E197/2,IF(E197&lt;=301,E197/3,E197/4))))</f>
        <v>790.83107999999993</v>
      </c>
      <c r="G197" s="188"/>
      <c r="H197" s="189"/>
      <c r="I197" s="36"/>
      <c r="L197" s="170"/>
      <c r="M197" s="170"/>
      <c r="N197" s="36"/>
    </row>
    <row r="198" spans="1:14" s="37" customFormat="1" ht="15.75" customHeight="1" x14ac:dyDescent="0.3">
      <c r="A198" s="78">
        <f t="shared" si="16"/>
        <v>3</v>
      </c>
      <c r="B198" s="79"/>
      <c r="C198" s="53">
        <v>2</v>
      </c>
      <c r="D198" s="55">
        <f>(47.46)*(10.764)</f>
        <v>510.85944000000001</v>
      </c>
      <c r="E198" s="42">
        <v>0</v>
      </c>
      <c r="F198" s="42">
        <f>D198*(($F$145)+1)+(IF(E198&lt;101,E198,IF(E198&lt;201,E198/2,IF(E198&lt;=301,E198/3,E198/4))))</f>
        <v>791.832132</v>
      </c>
      <c r="G198" s="188"/>
      <c r="H198" s="189"/>
      <c r="I198" s="36"/>
      <c r="J198" s="37">
        <f>3.05*5.5+1.95*3.05+2.85*3.05+3.05*3.05+1.95*1.3+2.2*1.3+2.15*1.33+2.3*1+1.45*2.35</f>
        <v>54.67949999999999</v>
      </c>
      <c r="L198" s="170"/>
      <c r="M198" s="170"/>
      <c r="N198" s="36"/>
    </row>
    <row r="199" spans="1:14" s="37" customFormat="1" ht="15.75" customHeight="1" x14ac:dyDescent="0.3">
      <c r="A199" s="78">
        <f t="shared" si="16"/>
        <v>4</v>
      </c>
      <c r="B199" s="79"/>
      <c r="C199" s="183" t="s">
        <v>217</v>
      </c>
      <c r="D199" s="184"/>
      <c r="E199" s="184"/>
      <c r="F199" s="185"/>
      <c r="G199" s="190"/>
      <c r="H199" s="191"/>
      <c r="I199" s="36"/>
      <c r="J199" s="36"/>
      <c r="L199" s="170"/>
      <c r="M199" s="170"/>
      <c r="N199" s="36"/>
    </row>
    <row r="200" spans="1:14" s="37" customFormat="1" ht="15.75" customHeight="1" x14ac:dyDescent="0.3">
      <c r="A200" s="112" t="s">
        <v>212</v>
      </c>
      <c r="B200" s="113"/>
      <c r="C200" s="113"/>
      <c r="D200" s="113"/>
      <c r="E200" s="113"/>
      <c r="F200" s="113"/>
      <c r="G200" s="113"/>
      <c r="H200" s="114"/>
    </row>
    <row r="201" spans="1:14" s="37" customFormat="1" ht="15.75" customHeight="1" x14ac:dyDescent="0.3">
      <c r="A201" s="78">
        <v>1</v>
      </c>
      <c r="B201" s="79"/>
      <c r="C201" s="53">
        <v>2</v>
      </c>
      <c r="D201" s="55">
        <f>(47.41)*(10.764)</f>
        <v>510.32123999999993</v>
      </c>
      <c r="E201" s="42">
        <v>0</v>
      </c>
      <c r="F201" s="42">
        <f>D201*(($F$145)+1)+(IF(E201&lt;101,E201,IF(E201&lt;201,E201/2,IF(E201&lt;=301,E201/3,E201/4))))</f>
        <v>790.9979219999999</v>
      </c>
      <c r="G201" s="186" t="str">
        <f>A200</f>
        <v>10th to 14th &amp; 16th Floor</v>
      </c>
      <c r="H201" s="187"/>
      <c r="I201" s="36"/>
      <c r="L201" s="170"/>
      <c r="M201" s="170"/>
      <c r="N201" s="36"/>
    </row>
    <row r="202" spans="1:14" s="37" customFormat="1" ht="15.75" customHeight="1" x14ac:dyDescent="0.3">
      <c r="A202" s="78">
        <f t="shared" ref="A202:A204" si="17">A201+1</f>
        <v>2</v>
      </c>
      <c r="B202" s="79"/>
      <c r="C202" s="53">
        <v>2</v>
      </c>
      <c r="D202" s="55">
        <f>(47.4)*(10.764)</f>
        <v>510.21359999999993</v>
      </c>
      <c r="E202" s="42">
        <v>0</v>
      </c>
      <c r="F202" s="42">
        <f>D202*(($F$145)+1)+(IF(E202&lt;101,E202,IF(E202&lt;201,E202/2,IF(E202&lt;=301,E202/3,E202/4))))</f>
        <v>790.83107999999993</v>
      </c>
      <c r="G202" s="188" t="str">
        <f t="shared" ref="G202:G204" si="18">G201</f>
        <v>10th to 14th &amp; 16th Floor</v>
      </c>
      <c r="H202" s="189"/>
      <c r="I202" s="36"/>
      <c r="L202" s="170"/>
      <c r="M202" s="170"/>
      <c r="N202" s="36"/>
    </row>
    <row r="203" spans="1:14" s="37" customFormat="1" ht="15.75" customHeight="1" x14ac:dyDescent="0.3">
      <c r="A203" s="78">
        <f t="shared" si="17"/>
        <v>3</v>
      </c>
      <c r="B203" s="79"/>
      <c r="C203" s="53">
        <v>2</v>
      </c>
      <c r="D203" s="55">
        <f>(47.46)*(10.764)</f>
        <v>510.85944000000001</v>
      </c>
      <c r="E203" s="42">
        <v>0</v>
      </c>
      <c r="F203" s="42">
        <f>D203*(($F$145)+1)+(IF(E203&lt;101,E203,IF(E203&lt;201,E203/2,IF(E203&lt;=301,E203/3,E203/4))))</f>
        <v>791.832132</v>
      </c>
      <c r="G203" s="188" t="str">
        <f t="shared" si="18"/>
        <v>10th to 14th &amp; 16th Floor</v>
      </c>
      <c r="H203" s="189"/>
      <c r="I203" s="36"/>
      <c r="L203" s="170"/>
      <c r="M203" s="170"/>
      <c r="N203" s="36"/>
    </row>
    <row r="204" spans="1:14" s="37" customFormat="1" ht="15.75" customHeight="1" x14ac:dyDescent="0.3">
      <c r="A204" s="78">
        <f t="shared" si="17"/>
        <v>4</v>
      </c>
      <c r="B204" s="79"/>
      <c r="C204" s="53">
        <v>2</v>
      </c>
      <c r="D204" s="55">
        <f>(50.95)*(10.764)</f>
        <v>548.42579999999998</v>
      </c>
      <c r="E204" s="42">
        <v>0</v>
      </c>
      <c r="F204" s="42">
        <f>D204*(($F$145)+1)+(IF(E204&lt;101,E204,IF(E204&lt;201,E204/2,IF(E204&lt;=301,E204/3,E204/4))))</f>
        <v>850.05998999999997</v>
      </c>
      <c r="G204" s="190" t="str">
        <f t="shared" si="18"/>
        <v>10th to 14th &amp; 16th Floor</v>
      </c>
      <c r="H204" s="191"/>
      <c r="I204" s="36"/>
      <c r="J204" s="36"/>
      <c r="L204" s="170"/>
      <c r="M204" s="170"/>
      <c r="N204" s="36"/>
    </row>
    <row r="205" spans="1:14" s="37" customFormat="1" ht="15.75" customHeight="1" x14ac:dyDescent="0.3">
      <c r="A205" s="112" t="s">
        <v>213</v>
      </c>
      <c r="B205" s="113"/>
      <c r="C205" s="113"/>
      <c r="D205" s="113"/>
      <c r="E205" s="113"/>
      <c r="F205" s="113"/>
      <c r="G205" s="113"/>
      <c r="H205" s="114"/>
    </row>
    <row r="206" spans="1:14" s="37" customFormat="1" ht="15.75" customHeight="1" x14ac:dyDescent="0.3">
      <c r="A206" s="78">
        <v>1</v>
      </c>
      <c r="B206" s="79"/>
      <c r="C206" s="183" t="s">
        <v>211</v>
      </c>
      <c r="D206" s="184"/>
      <c r="E206" s="184"/>
      <c r="F206" s="185"/>
      <c r="G206" s="186" t="str">
        <f>A205</f>
        <v>15th Floor (Part Refuge Area)</v>
      </c>
      <c r="H206" s="187"/>
      <c r="I206" s="36"/>
      <c r="L206" s="170"/>
      <c r="M206" s="170"/>
      <c r="N206" s="36"/>
    </row>
    <row r="207" spans="1:14" s="37" customFormat="1" ht="15.75" customHeight="1" x14ac:dyDescent="0.3">
      <c r="A207" s="78">
        <f t="shared" ref="A207:A209" si="19">A206+1</f>
        <v>2</v>
      </c>
      <c r="B207" s="79"/>
      <c r="C207" s="53">
        <v>2</v>
      </c>
      <c r="D207" s="55">
        <f>(47.4)*(10.764)</f>
        <v>510.21359999999993</v>
      </c>
      <c r="E207" s="42">
        <v>0</v>
      </c>
      <c r="F207" s="42">
        <f>D207*(($F$145)+1)+(IF(E207&lt;101,E207,IF(E207&lt;201,E207/2,IF(E207&lt;=301,E207/3,E207/4))))</f>
        <v>790.83107999999993</v>
      </c>
      <c r="G207" s="188" t="str">
        <f t="shared" ref="G207:G209" si="20">G206</f>
        <v>15th Floor (Part Refuge Area)</v>
      </c>
      <c r="H207" s="189"/>
      <c r="I207" s="36"/>
      <c r="L207" s="170"/>
      <c r="M207" s="170"/>
      <c r="N207" s="36"/>
    </row>
    <row r="208" spans="1:14" s="37" customFormat="1" ht="15.75" customHeight="1" x14ac:dyDescent="0.3">
      <c r="A208" s="78">
        <f t="shared" si="19"/>
        <v>3</v>
      </c>
      <c r="B208" s="79"/>
      <c r="C208" s="53">
        <v>2</v>
      </c>
      <c r="D208" s="55">
        <f>(47.46)*(10.764)</f>
        <v>510.85944000000001</v>
      </c>
      <c r="E208" s="42">
        <v>0</v>
      </c>
      <c r="F208" s="42">
        <f>D208*(($F$145)+1)+(IF(E208&lt;101,E208,IF(E208&lt;201,E208/2,IF(E208&lt;=301,E208/3,E208/4))))</f>
        <v>791.832132</v>
      </c>
      <c r="G208" s="188" t="str">
        <f t="shared" si="20"/>
        <v>15th Floor (Part Refuge Area)</v>
      </c>
      <c r="H208" s="189"/>
      <c r="I208" s="36"/>
      <c r="L208" s="170"/>
      <c r="M208" s="170"/>
      <c r="N208" s="36"/>
    </row>
    <row r="209" spans="1:14" s="37" customFormat="1" ht="15.75" customHeight="1" x14ac:dyDescent="0.3">
      <c r="A209" s="78">
        <f t="shared" si="19"/>
        <v>4</v>
      </c>
      <c r="B209" s="79"/>
      <c r="C209" s="53">
        <v>2</v>
      </c>
      <c r="D209" s="55">
        <f>(50.95)*(10.764)</f>
        <v>548.42579999999998</v>
      </c>
      <c r="E209" s="42">
        <v>0</v>
      </c>
      <c r="F209" s="42">
        <f>D209*(($F$145)+1)+(IF(E209&lt;101,E209,IF(E209&lt;201,E209/2,IF(E209&lt;=301,E209/3,E209/4))))</f>
        <v>850.05998999999997</v>
      </c>
      <c r="G209" s="190" t="str">
        <f t="shared" si="20"/>
        <v>15th Floor (Part Refuge Area)</v>
      </c>
      <c r="H209" s="191"/>
      <c r="I209" s="36"/>
      <c r="J209" s="36"/>
      <c r="L209" s="170"/>
      <c r="M209" s="170"/>
      <c r="N209" s="36"/>
    </row>
    <row r="210" spans="1:14" s="37" customFormat="1" x14ac:dyDescent="0.3">
      <c r="A210" s="112" t="s">
        <v>220</v>
      </c>
      <c r="B210" s="113"/>
      <c r="C210" s="113"/>
      <c r="D210" s="113"/>
      <c r="E210" s="113"/>
      <c r="F210" s="113"/>
      <c r="G210" s="113"/>
      <c r="H210" s="114"/>
      <c r="J210" s="36"/>
    </row>
    <row r="211" spans="1:14" s="37" customFormat="1" hidden="1" x14ac:dyDescent="0.3">
      <c r="A211" s="112" t="s">
        <v>124</v>
      </c>
      <c r="B211" s="113"/>
      <c r="C211" s="113"/>
      <c r="D211" s="113"/>
      <c r="E211" s="113"/>
      <c r="F211" s="113"/>
      <c r="G211" s="113"/>
      <c r="H211" s="114"/>
    </row>
    <row r="212" spans="1:14" s="37" customFormat="1" hidden="1" x14ac:dyDescent="0.3">
      <c r="A212" s="78">
        <v>1</v>
      </c>
      <c r="B212" s="79"/>
      <c r="C212" s="53"/>
      <c r="D212" s="42"/>
      <c r="E212" s="42">
        <v>0</v>
      </c>
      <c r="F212" s="42">
        <f>D212*(($F$145)+1)+(IF(E212&lt;101,E212,IF(E212&lt;201,E212/2,IF(E212&lt;=301,E212/3,E212/4))))</f>
        <v>0</v>
      </c>
      <c r="G212" s="78" t="str">
        <f>A211</f>
        <v>Ground Floor</v>
      </c>
      <c r="H212" s="79"/>
      <c r="I212" s="36"/>
      <c r="L212" s="170"/>
      <c r="M212" s="170"/>
      <c r="N212" s="36"/>
    </row>
    <row r="213" spans="1:14" s="37" customFormat="1" hidden="1" x14ac:dyDescent="0.3">
      <c r="A213" s="78">
        <f t="shared" ref="A213:A215" si="21">A212+1</f>
        <v>2</v>
      </c>
      <c r="B213" s="79"/>
      <c r="C213" s="53"/>
      <c r="D213" s="42"/>
      <c r="E213" s="42">
        <v>0</v>
      </c>
      <c r="F213" s="42">
        <f>D213*(($F$145)+1)+(IF(E213&lt;101,E213,IF(E213&lt;201,E213/2,IF(E213&lt;=301,E213/3,E213/4))))</f>
        <v>0</v>
      </c>
      <c r="G213" s="78" t="str">
        <f t="shared" ref="G213:G215" si="22">G212</f>
        <v>Ground Floor</v>
      </c>
      <c r="H213" s="79"/>
      <c r="I213" s="36"/>
      <c r="L213" s="170"/>
      <c r="M213" s="170"/>
      <c r="N213" s="36"/>
    </row>
    <row r="214" spans="1:14" s="37" customFormat="1" hidden="1" x14ac:dyDescent="0.3">
      <c r="A214" s="78">
        <f t="shared" si="21"/>
        <v>3</v>
      </c>
      <c r="B214" s="79"/>
      <c r="C214" s="53"/>
      <c r="D214" s="42"/>
      <c r="E214" s="42">
        <v>0</v>
      </c>
      <c r="F214" s="42">
        <f>D214*(($F$145)+1)+(IF(E214&lt;101,E214,IF(E214&lt;201,E214/2,IF(E214&lt;=301,E214/3,E214/4))))</f>
        <v>0</v>
      </c>
      <c r="G214" s="78" t="str">
        <f t="shared" si="22"/>
        <v>Ground Floor</v>
      </c>
      <c r="H214" s="79"/>
      <c r="I214" s="36"/>
      <c r="L214" s="170"/>
      <c r="M214" s="170"/>
      <c r="N214" s="36"/>
    </row>
    <row r="215" spans="1:14" s="37" customFormat="1" hidden="1" x14ac:dyDescent="0.3">
      <c r="A215" s="78">
        <f t="shared" si="21"/>
        <v>4</v>
      </c>
      <c r="B215" s="79"/>
      <c r="C215" s="53"/>
      <c r="D215" s="42"/>
      <c r="E215" s="42">
        <v>0</v>
      </c>
      <c r="F215" s="42">
        <f>D215*(($F$145)+1)+(IF(E215&lt;101,E215,IF(E215&lt;201,E215/2,IF(E215&lt;=301,E215/3,E215/4))))</f>
        <v>0</v>
      </c>
      <c r="G215" s="78" t="str">
        <f t="shared" si="22"/>
        <v>Ground Floor</v>
      </c>
      <c r="H215" s="79"/>
      <c r="I215" s="36"/>
      <c r="L215" s="170"/>
      <c r="M215" s="170"/>
      <c r="N215" s="36"/>
    </row>
    <row r="216" spans="1:14" s="37" customFormat="1" hidden="1" x14ac:dyDescent="0.3">
      <c r="A216" s="175" t="s">
        <v>125</v>
      </c>
      <c r="B216" s="175"/>
      <c r="C216" s="175"/>
      <c r="D216" s="175"/>
      <c r="E216" s="175"/>
      <c r="F216" s="175"/>
      <c r="G216" s="175"/>
      <c r="H216" s="175"/>
      <c r="I216" s="36"/>
      <c r="L216" s="170"/>
      <c r="M216" s="170"/>
    </row>
    <row r="217" spans="1:14" s="37" customFormat="1" hidden="1" x14ac:dyDescent="0.3">
      <c r="A217" s="95">
        <f>LEFT(A216,SUM(LEN(A216)-LEN(SUBSTITUTE(A216,{"0","1","2","3","4","5","6","7","8","9"},""))))*100+1</f>
        <v>201</v>
      </c>
      <c r="B217" s="95"/>
      <c r="C217" s="53"/>
      <c r="D217" s="42"/>
      <c r="E217" s="42">
        <v>0</v>
      </c>
      <c r="F217" s="42">
        <f t="shared" ref="F217:F218" si="23">D217*(($F$145)+1)+(IF(E217&lt;101,E217,IF(E217&lt;201,E217/2,IF(E217&lt;=301,E217/3,E217/4))))</f>
        <v>0</v>
      </c>
      <c r="G217" s="95" t="str">
        <f>A216</f>
        <v>2nd Floor</v>
      </c>
      <c r="H217" s="95"/>
      <c r="I217" s="36"/>
      <c r="N217" s="36"/>
    </row>
    <row r="218" spans="1:14" s="37" customFormat="1" hidden="1" x14ac:dyDescent="0.3">
      <c r="A218" s="95">
        <f>A217+1</f>
        <v>202</v>
      </c>
      <c r="B218" s="95"/>
      <c r="C218" s="53"/>
      <c r="D218" s="42"/>
      <c r="E218" s="42">
        <v>0</v>
      </c>
      <c r="F218" s="42">
        <f t="shared" si="23"/>
        <v>0</v>
      </c>
      <c r="G218" s="95" t="str">
        <f>G217</f>
        <v>2nd Floor</v>
      </c>
      <c r="H218" s="95"/>
      <c r="I218" s="36"/>
      <c r="N218" s="36"/>
    </row>
    <row r="219" spans="1:14" s="37" customFormat="1" hidden="1" x14ac:dyDescent="0.3">
      <c r="A219" s="95">
        <f>A218+1</f>
        <v>203</v>
      </c>
      <c r="B219" s="95"/>
      <c r="C219" s="53"/>
      <c r="D219" s="42"/>
      <c r="E219" s="42">
        <v>0</v>
      </c>
      <c r="F219" s="42">
        <f>D219*(($F$145)+1)+(IF(E219&lt;101,E219,IF(E219&lt;201,E219/2,IF(E219&lt;=301,E219/3,E219/4))))</f>
        <v>0</v>
      </c>
      <c r="G219" s="95" t="str">
        <f>G218</f>
        <v>2nd Floor</v>
      </c>
      <c r="H219" s="95"/>
      <c r="I219" s="36"/>
      <c r="N219" s="36"/>
    </row>
    <row r="220" spans="1:14" s="37" customFormat="1" hidden="1" x14ac:dyDescent="0.3">
      <c r="A220" s="95">
        <f>A219+1</f>
        <v>204</v>
      </c>
      <c r="B220" s="95"/>
      <c r="C220" s="53"/>
      <c r="D220" s="42"/>
      <c r="E220" s="42">
        <v>0</v>
      </c>
      <c r="F220" s="42">
        <f>D220*(($F$145)+1)+(IF(E220&lt;101,E220,IF(E220&lt;201,E220/2,IF(E220&lt;=301,E220/3,E220/4))))</f>
        <v>0</v>
      </c>
      <c r="G220" s="95" t="str">
        <f>G219</f>
        <v>2nd Floor</v>
      </c>
      <c r="H220" s="95"/>
      <c r="I220" s="36"/>
      <c r="N220" s="36"/>
    </row>
    <row r="221" spans="1:14" s="37" customFormat="1" hidden="1" x14ac:dyDescent="0.3">
      <c r="A221" s="95">
        <f>A220+1</f>
        <v>205</v>
      </c>
      <c r="B221" s="95"/>
      <c r="C221" s="53"/>
      <c r="D221" s="42"/>
      <c r="E221" s="42">
        <v>0</v>
      </c>
      <c r="F221" s="42">
        <f>D221*(($F$145)+1)+(IF(E221&lt;101,E221,IF(E221&lt;201,E221/2,IF(E221&lt;=301,E221/3,E221/4))))</f>
        <v>0</v>
      </c>
      <c r="G221" s="95" t="str">
        <f>G220</f>
        <v>2nd Floor</v>
      </c>
      <c r="H221" s="95"/>
      <c r="I221" s="36"/>
      <c r="N221" s="36"/>
    </row>
    <row r="222" spans="1:14" s="37" customFormat="1" ht="15.75" hidden="1" customHeight="1" x14ac:dyDescent="0.3">
      <c r="A222" s="112" t="s">
        <v>161</v>
      </c>
      <c r="B222" s="113"/>
      <c r="C222" s="113"/>
      <c r="D222" s="113"/>
      <c r="E222" s="113"/>
      <c r="F222" s="113"/>
      <c r="G222" s="113"/>
      <c r="H222" s="114"/>
      <c r="I222" s="36"/>
    </row>
    <row r="223" spans="1:14" s="37" customFormat="1" hidden="1" x14ac:dyDescent="0.3">
      <c r="A223" s="78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10^ROW(INDIRECT("1:"&amp;LEN((LEFT(A222,SUM(LEN(A222)-LEN(SUBSTITUTE(A222,{"0","1","2"},""))))))))/10))*100+1&amp;""&amp;" ,..,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",LEN(A222))),LEN(A222)))))))/10))*100+1</f>
        <v>301 ,.., 1501</v>
      </c>
      <c r="B223" s="79"/>
      <c r="C223" s="53"/>
      <c r="D223" s="42"/>
      <c r="E223" s="42">
        <v>0</v>
      </c>
      <c r="F223" s="42">
        <f>D223*(($F$145)+1)+(IF(E223&lt;101,E223,IF(E223&lt;201,E223/2,IF(E223&lt;=301,E223/3,E223/4))))</f>
        <v>0</v>
      </c>
      <c r="G223" s="78" t="str">
        <f>A222</f>
        <v>3rd, 5th, 7th, 9th, 11th, 13th, 15th Floor</v>
      </c>
      <c r="H223" s="79"/>
      <c r="I223" s="36"/>
    </row>
    <row r="224" spans="1:14" s="37" customFormat="1" hidden="1" x14ac:dyDescent="0.3">
      <c r="A224" s="78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10^ROW(INDIRECT("1:"&amp;LEN((LEFT(A223,SUM(LEN(A223)-LEN(SUBSTITUTE(A223,{"0","1","2"},""))))))))/10))*1+1&amp;""&amp;" ,..,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",LEN(A223))),LEN(A223)))))))/10))*1+1</f>
        <v>302 ,.., 1502</v>
      </c>
      <c r="B224" s="79"/>
      <c r="C224" s="53"/>
      <c r="D224" s="42"/>
      <c r="E224" s="42">
        <v>0</v>
      </c>
      <c r="F224" s="42">
        <f>D224*(($F$145)+1)+(IF(E224&lt;101,E224,IF(E224&lt;201,E224/2,IF(E224&lt;=301,E224/3,E224/4))))</f>
        <v>0</v>
      </c>
      <c r="G224" s="78" t="str">
        <f>G223</f>
        <v>3rd, 5th, 7th, 9th, 11th, 13th, 15th Floor</v>
      </c>
      <c r="H224" s="79"/>
      <c r="I224" s="36"/>
    </row>
    <row r="225" spans="1:10" s="37" customFormat="1" ht="15.75" hidden="1" customHeight="1" x14ac:dyDescent="0.3">
      <c r="A225" s="78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303 ,.., 1503</v>
      </c>
      <c r="B225" s="79"/>
      <c r="C225" s="53"/>
      <c r="D225" s="42"/>
      <c r="E225" s="42">
        <v>0</v>
      </c>
      <c r="F225" s="42">
        <f>D225*(($F$145)+1)+(IF(E225&lt;101,E225,IF(E225&lt;201,E225/2,IF(E225&lt;=301,E225/3,E225/4))))</f>
        <v>0</v>
      </c>
      <c r="G225" s="78" t="str">
        <f>G224</f>
        <v>3rd, 5th, 7th, 9th, 11th, 13th, 15th Floor</v>
      </c>
      <c r="H225" s="79"/>
      <c r="I225" s="36"/>
    </row>
    <row r="226" spans="1:10" s="37" customFormat="1" ht="15.75" hidden="1" customHeight="1" x14ac:dyDescent="0.3">
      <c r="A226" s="78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304 ,.., 1504</v>
      </c>
      <c r="B226" s="79"/>
      <c r="C226" s="53"/>
      <c r="D226" s="42"/>
      <c r="E226" s="42">
        <v>0</v>
      </c>
      <c r="F226" s="42">
        <f>D226*(($F$145)+1)+(IF(E226&lt;101,E226,IF(E226&lt;201,E226/2,IF(E226&lt;=301,E226/3,E226/4))))</f>
        <v>0</v>
      </c>
      <c r="G226" s="78" t="str">
        <f>G225</f>
        <v>3rd, 5th, 7th, 9th, 11th, 13th, 15th Floor</v>
      </c>
      <c r="H226" s="79"/>
      <c r="I226" s="36"/>
    </row>
    <row r="227" spans="1:10" s="37" customFormat="1" ht="15.75" hidden="1" customHeight="1" x14ac:dyDescent="0.3">
      <c r="A227" s="78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,..,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305 ,.., 1505</v>
      </c>
      <c r="B227" s="79"/>
      <c r="C227" s="53"/>
      <c r="D227" s="42"/>
      <c r="E227" s="42">
        <v>0</v>
      </c>
      <c r="F227" s="42">
        <f>D227*(($F$145)+1)+(IF(E227&lt;101,E227,IF(E227&lt;201,E227/2,IF(E227&lt;=301,E227/3,E227/4))))</f>
        <v>0</v>
      </c>
      <c r="G227" s="78" t="str">
        <f>G226</f>
        <v>3rd, 5th, 7th, 9th, 11th, 13th, 15th Floor</v>
      </c>
      <c r="H227" s="79"/>
      <c r="I227" s="36"/>
    </row>
    <row r="228" spans="1:10" s="37" customFormat="1" hidden="1" x14ac:dyDescent="0.3">
      <c r="A228" s="112" t="s">
        <v>155</v>
      </c>
      <c r="B228" s="113"/>
      <c r="C228" s="113"/>
      <c r="D228" s="113"/>
      <c r="E228" s="113"/>
      <c r="F228" s="113"/>
      <c r="G228" s="113"/>
      <c r="H228" s="114"/>
      <c r="I228" s="36"/>
    </row>
    <row r="229" spans="1:10" s="37" customFormat="1" hidden="1" x14ac:dyDescent="0.3">
      <c r="A229" s="78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201 to 501</v>
      </c>
      <c r="B229" s="79"/>
      <c r="C229" s="53"/>
      <c r="D229" s="42"/>
      <c r="E229" s="42">
        <v>0</v>
      </c>
      <c r="F229" s="42">
        <f>D229*(($F$145)+1)+(IF(E229&lt;101,E229,IF(E229&lt;201,E229/2,IF(E229&lt;=301,E229/3,E229/4))))</f>
        <v>0</v>
      </c>
      <c r="G229" s="78" t="str">
        <f>A228</f>
        <v>2nd to 5th Floor</v>
      </c>
      <c r="H229" s="79"/>
      <c r="I229" s="36"/>
    </row>
    <row r="230" spans="1:10" s="37" customFormat="1" hidden="1" x14ac:dyDescent="0.3">
      <c r="A230" s="78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to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202 to 502</v>
      </c>
      <c r="B230" s="79"/>
      <c r="C230" s="53"/>
      <c r="D230" s="42"/>
      <c r="E230" s="42">
        <v>0</v>
      </c>
      <c r="F230" s="42">
        <f>D230*(($F$145)+1)+(IF(E230&lt;101,E230,IF(E230&lt;201,E230/2,IF(E230&lt;=301,E230/3,E230/4))))</f>
        <v>0</v>
      </c>
      <c r="G230" s="78" t="str">
        <f>G229</f>
        <v>2nd to 5th Floor</v>
      </c>
      <c r="H230" s="79"/>
      <c r="I230" s="36"/>
    </row>
    <row r="231" spans="1:10" s="37" customFormat="1" hidden="1" x14ac:dyDescent="0.3">
      <c r="A231" s="78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203 to 503</v>
      </c>
      <c r="B231" s="79"/>
      <c r="C231" s="53"/>
      <c r="D231" s="42"/>
      <c r="E231" s="42">
        <v>0</v>
      </c>
      <c r="F231" s="42">
        <f>D231*(($F$145)+1)+(IF(E231&lt;101,E231,IF(E231&lt;201,E231/2,IF(E231&lt;=301,E231/3,E231/4))))</f>
        <v>0</v>
      </c>
      <c r="G231" s="78" t="str">
        <f>G230</f>
        <v>2nd to 5th Floor</v>
      </c>
      <c r="H231" s="79"/>
      <c r="I231" s="36"/>
    </row>
    <row r="232" spans="1:10" s="37" customFormat="1" hidden="1" x14ac:dyDescent="0.3">
      <c r="A232" s="78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204 to 504</v>
      </c>
      <c r="B232" s="79"/>
      <c r="C232" s="53"/>
      <c r="D232" s="42"/>
      <c r="E232" s="42">
        <v>0</v>
      </c>
      <c r="F232" s="42">
        <f>D232*(($F$145)+1)+(IF(E232&lt;101,E232,IF(E232&lt;201,E232/2,IF(E232&lt;=301,E232/3,E232/4))))</f>
        <v>0</v>
      </c>
      <c r="G232" s="78" t="str">
        <f>G231</f>
        <v>2nd to 5th Floor</v>
      </c>
      <c r="H232" s="79"/>
      <c r="I232" s="36"/>
    </row>
    <row r="233" spans="1:10" s="37" customFormat="1" hidden="1" x14ac:dyDescent="0.3">
      <c r="A233" s="78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to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205 to 505</v>
      </c>
      <c r="B233" s="79"/>
      <c r="C233" s="53"/>
      <c r="D233" s="42"/>
      <c r="E233" s="42">
        <v>0</v>
      </c>
      <c r="F233" s="42">
        <f>D233*(($F$145)+1)+(IF(E233&lt;101,E233,IF(E233&lt;201,E233/2,IF(E233&lt;=301,E233/3,E233/4))))</f>
        <v>0</v>
      </c>
      <c r="G233" s="78" t="str">
        <f>G232</f>
        <v>2nd to 5th Floor</v>
      </c>
      <c r="H233" s="79"/>
      <c r="I233" s="36"/>
    </row>
    <row r="234" spans="1:10" s="37" customFormat="1" hidden="1" x14ac:dyDescent="0.3">
      <c r="A234" s="112" t="s">
        <v>156</v>
      </c>
      <c r="B234" s="113"/>
      <c r="C234" s="113"/>
      <c r="D234" s="113"/>
      <c r="E234" s="113"/>
      <c r="F234" s="113"/>
      <c r="G234" s="113"/>
      <c r="H234" s="114"/>
      <c r="I234" s="36"/>
    </row>
    <row r="235" spans="1:10" s="37" customFormat="1" hidden="1" x14ac:dyDescent="0.3">
      <c r="A235" s="78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10^ROW(INDIRECT("1:"&amp;LEN((LEFT(A234,SUM(LEN(A234)-LEN(SUBSTITUTE(A234,{"0","1","2"},""))))))))/10))*100+1&amp;""&amp;"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",LEN(A234))),LEN(A234)))))))/10))*100+1</f>
        <v>201 &amp; 501</v>
      </c>
      <c r="B235" s="79"/>
      <c r="C235" s="53"/>
      <c r="D235" s="42"/>
      <c r="E235" s="42">
        <v>0</v>
      </c>
      <c r="F235" s="42">
        <f>D235*(($F$145)+1)+(IF(E235&lt;101,E235,IF(E235&lt;201,E235/2,IF(E235&lt;=301,E235/3,E235/4))))</f>
        <v>0</v>
      </c>
      <c r="G235" s="78" t="str">
        <f>A234</f>
        <v>2nd &amp; 5th Floor</v>
      </c>
      <c r="H235" s="79"/>
      <c r="I235" s="36"/>
    </row>
    <row r="236" spans="1:10" s="37" customFormat="1" hidden="1" x14ac:dyDescent="0.3">
      <c r="A236" s="78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202 &amp; 502</v>
      </c>
      <c r="B236" s="79"/>
      <c r="C236" s="53"/>
      <c r="D236" s="42"/>
      <c r="E236" s="42">
        <v>0</v>
      </c>
      <c r="F236" s="42">
        <f>D236*(($F$145)+1)+(IF(E236&lt;101,E236,IF(E236&lt;201,E236/2,IF(E236&lt;=301,E236/3,E236/4))))</f>
        <v>0</v>
      </c>
      <c r="G236" s="78" t="str">
        <f t="shared" ref="G236:G239" si="24">G235</f>
        <v>2nd &amp; 5th Floor</v>
      </c>
      <c r="H236" s="79"/>
      <c r="I236" s="36"/>
    </row>
    <row r="237" spans="1:10" s="37" customFormat="1" hidden="1" x14ac:dyDescent="0.3">
      <c r="A237" s="78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203 &amp; 503</v>
      </c>
      <c r="B237" s="79"/>
      <c r="C237" s="53"/>
      <c r="D237" s="42"/>
      <c r="E237" s="42">
        <v>0</v>
      </c>
      <c r="F237" s="42">
        <f>D237*(($F$145)+1)+(IF(E237&lt;101,E237,IF(E237&lt;201,E237/2,IF(E237&lt;=301,E237/3,E237/4))))</f>
        <v>0</v>
      </c>
      <c r="G237" s="78" t="str">
        <f t="shared" si="24"/>
        <v>2nd &amp; 5th Floor</v>
      </c>
      <c r="H237" s="79"/>
      <c r="I237" s="36"/>
    </row>
    <row r="238" spans="1:10" s="37" customFormat="1" hidden="1" x14ac:dyDescent="0.3">
      <c r="A238" s="78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204 &amp; 504</v>
      </c>
      <c r="B238" s="79"/>
      <c r="C238" s="53"/>
      <c r="D238" s="42"/>
      <c r="E238" s="42">
        <v>0</v>
      </c>
      <c r="F238" s="42">
        <f>D238*(($F$145)+1)+(IF(E238&lt;101,E238,IF(E238&lt;201,E238/2,IF(E238&lt;=301,E238/3,E238/4))))</f>
        <v>0</v>
      </c>
      <c r="G238" s="78" t="str">
        <f t="shared" si="24"/>
        <v>2nd &amp; 5th Floor</v>
      </c>
      <c r="H238" s="79"/>
      <c r="I238" s="36"/>
    </row>
    <row r="239" spans="1:10" s="37" customFormat="1" hidden="1" x14ac:dyDescent="0.3">
      <c r="A239" s="78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205 &amp; 505</v>
      </c>
      <c r="B239" s="79"/>
      <c r="C239" s="53"/>
      <c r="D239" s="42"/>
      <c r="E239" s="42">
        <v>0</v>
      </c>
      <c r="F239" s="42">
        <f>D239*(($F$145)+1)+(IF(E239&lt;101,E239,IF(E239&lt;201,E239/2,IF(E239&lt;=301,E239/3,E239/4))))</f>
        <v>0</v>
      </c>
      <c r="G239" s="78" t="str">
        <f t="shared" si="24"/>
        <v>2nd &amp; 5th Floor</v>
      </c>
      <c r="H239" s="79"/>
      <c r="I239" s="36"/>
      <c r="J239" s="35"/>
    </row>
    <row r="240" spans="1:10" s="35" customFormat="1" x14ac:dyDescent="0.3">
      <c r="A240" s="174" t="s">
        <v>70</v>
      </c>
      <c r="B240" s="174"/>
      <c r="C240" s="174"/>
      <c r="D240" s="174"/>
      <c r="E240" s="174"/>
      <c r="F240" s="174"/>
      <c r="G240" s="174"/>
      <c r="H240" s="174"/>
    </row>
    <row r="241" spans="1:10" s="35" customFormat="1" x14ac:dyDescent="0.3">
      <c r="A241" s="47" t="s">
        <v>165</v>
      </c>
      <c r="B241" s="100" t="s">
        <v>253</v>
      </c>
      <c r="C241" s="101"/>
      <c r="D241" s="101"/>
      <c r="E241" s="101"/>
      <c r="F241" s="101"/>
      <c r="G241" s="101"/>
      <c r="H241" s="102"/>
    </row>
    <row r="242" spans="1:10" s="35" customFormat="1" hidden="1" x14ac:dyDescent="0.3">
      <c r="A242" s="47" t="s">
        <v>165</v>
      </c>
      <c r="B242" s="100" t="s">
        <v>225</v>
      </c>
      <c r="C242" s="101"/>
      <c r="D242" s="101"/>
      <c r="E242" s="101"/>
      <c r="F242" s="101"/>
      <c r="G242" s="101"/>
      <c r="H242" s="102"/>
    </row>
    <row r="243" spans="1:10" s="35" customFormat="1" x14ac:dyDescent="0.3">
      <c r="A243" s="47" t="s">
        <v>165</v>
      </c>
      <c r="B243" s="100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43" s="101"/>
      <c r="D243" s="101"/>
      <c r="E243" s="101"/>
      <c r="F243" s="101"/>
      <c r="G243" s="101"/>
      <c r="H243" s="102"/>
    </row>
    <row r="244" spans="1:10" s="35" customFormat="1" x14ac:dyDescent="0.3">
      <c r="A244" s="47" t="s">
        <v>165</v>
      </c>
      <c r="B244" s="100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4" s="101"/>
      <c r="D244" s="101"/>
      <c r="E244" s="101"/>
      <c r="F244" s="101"/>
      <c r="G244" s="101"/>
      <c r="H244" s="102"/>
    </row>
    <row r="245" spans="1:10" s="35" customFormat="1" x14ac:dyDescent="0.3">
      <c r="A245" s="47" t="s">
        <v>165</v>
      </c>
      <c r="B245" s="75" t="s">
        <v>132</v>
      </c>
      <c r="C245" s="76"/>
      <c r="D245" s="76"/>
      <c r="E245" s="76"/>
      <c r="F245" s="76"/>
      <c r="G245" s="76"/>
      <c r="H245" s="77"/>
    </row>
    <row r="246" spans="1:10" s="35" customFormat="1" x14ac:dyDescent="0.3">
      <c r="A246" s="47" t="s">
        <v>165</v>
      </c>
      <c r="B246" s="75" t="s">
        <v>221</v>
      </c>
      <c r="C246" s="76"/>
      <c r="D246" s="76"/>
      <c r="E246" s="76"/>
      <c r="F246" s="76"/>
      <c r="G246" s="76"/>
      <c r="H246" s="77"/>
    </row>
    <row r="247" spans="1:10" s="35" customFormat="1" x14ac:dyDescent="0.3">
      <c r="A247" s="47" t="s">
        <v>165</v>
      </c>
      <c r="B247" s="75" t="s">
        <v>164</v>
      </c>
      <c r="C247" s="76"/>
      <c r="D247" s="76"/>
      <c r="E247" s="76"/>
      <c r="F247" s="76"/>
      <c r="G247" s="76"/>
      <c r="H247" s="77"/>
    </row>
    <row r="248" spans="1:10" s="35" customFormat="1" x14ac:dyDescent="0.3">
      <c r="A248" s="47" t="s">
        <v>165</v>
      </c>
      <c r="B248" s="75" t="s">
        <v>133</v>
      </c>
      <c r="C248" s="76"/>
      <c r="D248" s="76"/>
      <c r="E248" s="76"/>
      <c r="F248" s="76"/>
      <c r="G248" s="76"/>
      <c r="H248" s="77"/>
    </row>
    <row r="249" spans="1:10" s="35" customFormat="1" ht="34.5" customHeight="1" x14ac:dyDescent="0.3">
      <c r="A249" s="47" t="s">
        <v>165</v>
      </c>
      <c r="B249" s="75" t="s">
        <v>166</v>
      </c>
      <c r="C249" s="76"/>
      <c r="D249" s="76"/>
      <c r="E249" s="76"/>
      <c r="F249" s="76"/>
      <c r="G249" s="76"/>
      <c r="H249" s="77"/>
    </row>
    <row r="250" spans="1:10" s="35" customFormat="1" x14ac:dyDescent="0.3">
      <c r="A250" s="47" t="s">
        <v>165</v>
      </c>
      <c r="B250" s="75" t="s">
        <v>134</v>
      </c>
      <c r="C250" s="76"/>
      <c r="D250" s="76"/>
      <c r="E250" s="76"/>
      <c r="F250" s="76"/>
      <c r="G250" s="76"/>
      <c r="H250" s="77"/>
      <c r="J250" s="21"/>
    </row>
    <row r="251" spans="1:10" s="35" customFormat="1" x14ac:dyDescent="0.3">
      <c r="A251" s="47" t="s">
        <v>165</v>
      </c>
      <c r="B251" s="75" t="s">
        <v>241</v>
      </c>
      <c r="C251" s="76"/>
      <c r="D251" s="76"/>
      <c r="E251" s="76"/>
      <c r="F251" s="76"/>
      <c r="G251" s="76"/>
      <c r="H251" s="77"/>
      <c r="J251" s="21"/>
    </row>
    <row r="252" spans="1:10" s="35" customFormat="1" x14ac:dyDescent="0.3">
      <c r="A252" s="47" t="s">
        <v>165</v>
      </c>
      <c r="B252" s="75" t="s">
        <v>245</v>
      </c>
      <c r="C252" s="76"/>
      <c r="D252" s="76"/>
      <c r="E252" s="76"/>
      <c r="F252" s="76"/>
      <c r="G252" s="76"/>
      <c r="H252" s="77"/>
      <c r="J252" s="21"/>
    </row>
    <row r="253" spans="1:10" s="35" customFormat="1" x14ac:dyDescent="0.3">
      <c r="A253" s="47" t="s">
        <v>165</v>
      </c>
      <c r="B253" s="75" t="s">
        <v>247</v>
      </c>
      <c r="C253" s="76"/>
      <c r="D253" s="76"/>
      <c r="E253" s="76"/>
      <c r="F253" s="76"/>
      <c r="G253" s="76"/>
      <c r="H253" s="77"/>
      <c r="J253" s="21"/>
    </row>
    <row r="254" spans="1:10" s="35" customFormat="1" x14ac:dyDescent="0.3">
      <c r="A254" s="47" t="s">
        <v>165</v>
      </c>
      <c r="B254" s="75" t="s">
        <v>252</v>
      </c>
      <c r="C254" s="76"/>
      <c r="D254" s="76"/>
      <c r="E254" s="76"/>
      <c r="F254" s="76"/>
      <c r="G254" s="76"/>
      <c r="H254" s="77"/>
      <c r="J254" s="21"/>
    </row>
    <row r="255" spans="1:10" s="35" customFormat="1" x14ac:dyDescent="0.3">
      <c r="A255" s="47" t="s">
        <v>165</v>
      </c>
      <c r="B255" s="75" t="s">
        <v>259</v>
      </c>
      <c r="C255" s="76"/>
      <c r="D255" s="76"/>
      <c r="E255" s="76"/>
      <c r="F255" s="76"/>
      <c r="G255" s="76"/>
      <c r="H255" s="77"/>
      <c r="J255" s="21"/>
    </row>
    <row r="256" spans="1:10" s="35" customFormat="1" ht="33" customHeight="1" x14ac:dyDescent="0.3">
      <c r="A256" s="47" t="s">
        <v>165</v>
      </c>
      <c r="B256" s="75" t="s">
        <v>258</v>
      </c>
      <c r="C256" s="76"/>
      <c r="D256" s="76"/>
      <c r="E256" s="76"/>
      <c r="F256" s="76"/>
      <c r="G256" s="76"/>
      <c r="H256" s="77"/>
      <c r="J256" s="21"/>
    </row>
    <row r="257" spans="1:8" x14ac:dyDescent="0.3">
      <c r="A257" s="70" t="s">
        <v>63</v>
      </c>
      <c r="B257" s="70"/>
      <c r="C257" s="70"/>
      <c r="D257" s="70"/>
      <c r="E257" s="70"/>
      <c r="F257" s="70"/>
      <c r="G257" s="70"/>
      <c r="H257" s="70"/>
    </row>
    <row r="258" spans="1:8" x14ac:dyDescent="0.3">
      <c r="A258" s="87" t="s">
        <v>64</v>
      </c>
      <c r="B258" s="87"/>
      <c r="C258" s="87"/>
      <c r="D258" s="87"/>
      <c r="E258" s="87"/>
      <c r="F258" s="87"/>
      <c r="G258" s="87"/>
      <c r="H258" s="87"/>
    </row>
    <row r="259" spans="1:8" ht="15.75" customHeight="1" x14ac:dyDescent="0.3">
      <c r="A259" s="115" t="s">
        <v>65</v>
      </c>
      <c r="B259" s="115"/>
      <c r="C259" s="115"/>
      <c r="D259" s="115"/>
      <c r="E259" s="115"/>
      <c r="F259" s="115"/>
      <c r="G259" s="115"/>
      <c r="H259" s="115"/>
    </row>
    <row r="260" spans="1:8" x14ac:dyDescent="0.3">
      <c r="A260" s="87" t="s">
        <v>66</v>
      </c>
      <c r="B260" s="87"/>
      <c r="C260" s="87"/>
      <c r="D260" s="87"/>
      <c r="E260" s="87"/>
      <c r="F260" s="87"/>
      <c r="G260" s="87"/>
      <c r="H260" s="87"/>
    </row>
    <row r="261" spans="1:8" x14ac:dyDescent="0.3">
      <c r="A261" s="87" t="s">
        <v>67</v>
      </c>
      <c r="B261" s="87"/>
      <c r="C261" s="87"/>
      <c r="D261" s="87"/>
      <c r="E261" s="87"/>
      <c r="F261" s="87"/>
      <c r="G261" s="87"/>
      <c r="H261" s="87"/>
    </row>
    <row r="262" spans="1:8" x14ac:dyDescent="0.3">
      <c r="A262" s="87" t="s">
        <v>135</v>
      </c>
      <c r="B262" s="87"/>
      <c r="C262" s="87"/>
      <c r="D262" s="87"/>
      <c r="E262" s="87"/>
      <c r="F262" s="87"/>
      <c r="G262" s="87"/>
      <c r="H262" s="87"/>
    </row>
    <row r="263" spans="1:8" x14ac:dyDescent="0.3">
      <c r="A263" s="72" t="s">
        <v>136</v>
      </c>
      <c r="B263" s="72"/>
      <c r="C263" s="72"/>
      <c r="D263" s="72"/>
      <c r="E263" s="72"/>
      <c r="F263" s="72"/>
      <c r="G263" s="72"/>
      <c r="H263" s="72"/>
    </row>
    <row r="264" spans="1:8" x14ac:dyDescent="0.3">
      <c r="A264" s="128" t="s">
        <v>80</v>
      </c>
      <c r="B264" s="128"/>
      <c r="C264" s="128" t="s">
        <v>260</v>
      </c>
      <c r="D264" s="128"/>
      <c r="E264" s="128" t="s">
        <v>111</v>
      </c>
      <c r="F264" s="128"/>
      <c r="G264" s="128" t="s">
        <v>255</v>
      </c>
      <c r="H264" s="128"/>
    </row>
    <row r="265" spans="1:8" x14ac:dyDescent="0.3">
      <c r="A265" s="127" t="s">
        <v>82</v>
      </c>
      <c r="B265" s="127"/>
      <c r="C265" s="127"/>
      <c r="D265" s="127"/>
      <c r="E265" s="127"/>
      <c r="F265" s="127"/>
      <c r="G265" s="127"/>
      <c r="H265" s="127"/>
    </row>
    <row r="266" spans="1:8" x14ac:dyDescent="0.3">
      <c r="A266" s="127"/>
      <c r="B266" s="127"/>
      <c r="C266" s="127"/>
      <c r="D266" s="127"/>
      <c r="E266" s="127"/>
      <c r="F266" s="127"/>
      <c r="G266" s="127"/>
      <c r="H266" s="127"/>
    </row>
    <row r="267" spans="1:8" x14ac:dyDescent="0.3">
      <c r="A267" s="127"/>
      <c r="B267" s="127"/>
      <c r="C267" s="127"/>
      <c r="D267" s="127"/>
      <c r="E267" s="127"/>
      <c r="F267" s="127"/>
      <c r="G267" s="127"/>
      <c r="H267" s="127"/>
    </row>
    <row r="268" spans="1:8" x14ac:dyDescent="0.3">
      <c r="A268" s="127"/>
      <c r="B268" s="127"/>
      <c r="C268" s="127"/>
      <c r="D268" s="127"/>
      <c r="E268" s="127"/>
      <c r="F268" s="127"/>
      <c r="G268" s="127"/>
      <c r="H268" s="127"/>
    </row>
    <row r="269" spans="1:8" x14ac:dyDescent="0.3">
      <c r="A269" s="38" t="s">
        <v>68</v>
      </c>
      <c r="B269" s="39"/>
      <c r="C269" s="39"/>
      <c r="D269" s="38" t="str">
        <f>E8</f>
        <v>Leo Eminence</v>
      </c>
      <c r="F269" s="39"/>
      <c r="G269" s="39"/>
      <c r="H269" s="39"/>
    </row>
    <row r="270" spans="1:8" x14ac:dyDescent="0.3">
      <c r="A270" s="39"/>
      <c r="B270" s="39"/>
      <c r="C270" s="39"/>
      <c r="D270" s="39"/>
      <c r="E270" s="39"/>
      <c r="F270" s="39"/>
      <c r="G270" s="39"/>
      <c r="H270" s="39"/>
    </row>
    <row r="271" spans="1:8" x14ac:dyDescent="0.3">
      <c r="A271" s="39"/>
      <c r="B271" s="39"/>
      <c r="C271" s="39"/>
      <c r="D271" s="39"/>
      <c r="E271" s="39"/>
      <c r="F271" s="39"/>
      <c r="G271" s="39"/>
      <c r="H271" s="39"/>
    </row>
    <row r="272" spans="1:8" ht="15" customHeight="1" x14ac:dyDescent="0.3"/>
    <row r="312" spans="1:1" x14ac:dyDescent="0.3">
      <c r="A312" s="41" t="s">
        <v>178</v>
      </c>
    </row>
    <row r="353" spans="1:1" hidden="1" x14ac:dyDescent="0.3"/>
    <row r="354" spans="1:1" hidden="1" x14ac:dyDescent="0.3"/>
    <row r="355" spans="1:1" hidden="1" x14ac:dyDescent="0.3"/>
    <row r="356" spans="1:1" x14ac:dyDescent="0.3">
      <c r="A356" s="41" t="s">
        <v>69</v>
      </c>
    </row>
  </sheetData>
  <mergeCells count="515">
    <mergeCell ref="A111:E111"/>
    <mergeCell ref="B251:H251"/>
    <mergeCell ref="B242:H242"/>
    <mergeCell ref="A208:B208"/>
    <mergeCell ref="A200:H200"/>
    <mergeCell ref="A195:H195"/>
    <mergeCell ref="A196:B196"/>
    <mergeCell ref="G196:H199"/>
    <mergeCell ref="A188:H188"/>
    <mergeCell ref="A189:H189"/>
    <mergeCell ref="A190:H190"/>
    <mergeCell ref="A191:B191"/>
    <mergeCell ref="G191:H194"/>
    <mergeCell ref="A177:H177"/>
    <mergeCell ref="A179:B179"/>
    <mergeCell ref="A165:H165"/>
    <mergeCell ref="A166:H166"/>
    <mergeCell ref="A167:H167"/>
    <mergeCell ref="A122:H122"/>
    <mergeCell ref="A120:E120"/>
    <mergeCell ref="F120:H120"/>
    <mergeCell ref="A121:E121"/>
    <mergeCell ref="F121:H121"/>
    <mergeCell ref="A129:B129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L208:M208"/>
    <mergeCell ref="A209:B209"/>
    <mergeCell ref="L209:M209"/>
    <mergeCell ref="C206:F206"/>
    <mergeCell ref="G201:H204"/>
    <mergeCell ref="G206:H209"/>
    <mergeCell ref="A204:B204"/>
    <mergeCell ref="L204:M204"/>
    <mergeCell ref="A205:H205"/>
    <mergeCell ref="A206:B206"/>
    <mergeCell ref="L206:M206"/>
    <mergeCell ref="A207:B207"/>
    <mergeCell ref="L207:M207"/>
    <mergeCell ref="A201:B201"/>
    <mergeCell ref="L201:M201"/>
    <mergeCell ref="A202:B202"/>
    <mergeCell ref="L202:M202"/>
    <mergeCell ref="A203:B203"/>
    <mergeCell ref="L203:M203"/>
    <mergeCell ref="L196:M196"/>
    <mergeCell ref="A197:B197"/>
    <mergeCell ref="L197:M197"/>
    <mergeCell ref="A198:B198"/>
    <mergeCell ref="L198:M198"/>
    <mergeCell ref="A199:B199"/>
    <mergeCell ref="C199:F199"/>
    <mergeCell ref="L199:M199"/>
    <mergeCell ref="C196:F196"/>
    <mergeCell ref="L191:M191"/>
    <mergeCell ref="A192:B192"/>
    <mergeCell ref="L192:M192"/>
    <mergeCell ref="A193:B193"/>
    <mergeCell ref="L193:M193"/>
    <mergeCell ref="A194:B194"/>
    <mergeCell ref="C194:F194"/>
    <mergeCell ref="L194:M194"/>
    <mergeCell ref="A181:B181"/>
    <mergeCell ref="L181:M181"/>
    <mergeCell ref="G178:H181"/>
    <mergeCell ref="A182:H182"/>
    <mergeCell ref="A183:B183"/>
    <mergeCell ref="G183:H186"/>
    <mergeCell ref="L183:M183"/>
    <mergeCell ref="A184:B184"/>
    <mergeCell ref="L184:M184"/>
    <mergeCell ref="A185:B185"/>
    <mergeCell ref="L185:M185"/>
    <mergeCell ref="A186:B186"/>
    <mergeCell ref="L186:M186"/>
    <mergeCell ref="C183:F183"/>
    <mergeCell ref="A178:B178"/>
    <mergeCell ref="L178:M178"/>
    <mergeCell ref="L179:M179"/>
    <mergeCell ref="A180:B180"/>
    <mergeCell ref="L180:M180"/>
    <mergeCell ref="A171:B171"/>
    <mergeCell ref="C171:F171"/>
    <mergeCell ref="L171:M171"/>
    <mergeCell ref="G168:H171"/>
    <mergeCell ref="A172:H172"/>
    <mergeCell ref="A173:B173"/>
    <mergeCell ref="G173:H176"/>
    <mergeCell ref="L173:M173"/>
    <mergeCell ref="A174:B174"/>
    <mergeCell ref="L174:M174"/>
    <mergeCell ref="A175:B175"/>
    <mergeCell ref="L175:M175"/>
    <mergeCell ref="A176:B176"/>
    <mergeCell ref="C176:F176"/>
    <mergeCell ref="L176:M176"/>
    <mergeCell ref="C173:F173"/>
    <mergeCell ref="A168:B168"/>
    <mergeCell ref="L168:M168"/>
    <mergeCell ref="A169:B169"/>
    <mergeCell ref="L169:M169"/>
    <mergeCell ref="A170:B170"/>
    <mergeCell ref="A80:B80"/>
    <mergeCell ref="C80:H80"/>
    <mergeCell ref="A82:B82"/>
    <mergeCell ref="L170:M170"/>
    <mergeCell ref="A162:B162"/>
    <mergeCell ref="L162:M162"/>
    <mergeCell ref="A163:B163"/>
    <mergeCell ref="L163:M163"/>
    <mergeCell ref="G157:H159"/>
    <mergeCell ref="G161:H163"/>
    <mergeCell ref="C162:F162"/>
    <mergeCell ref="A158:B158"/>
    <mergeCell ref="L158:M158"/>
    <mergeCell ref="A159:B159"/>
    <mergeCell ref="L159:M159"/>
    <mergeCell ref="A160:H160"/>
    <mergeCell ref="A161:B161"/>
    <mergeCell ref="L161:M161"/>
    <mergeCell ref="C82:H82"/>
    <mergeCell ref="A83:B83"/>
    <mergeCell ref="E83:F83"/>
    <mergeCell ref="G83:H83"/>
    <mergeCell ref="A84:B84"/>
    <mergeCell ref="E84:F93"/>
    <mergeCell ref="L155:M155"/>
    <mergeCell ref="C151:F151"/>
    <mergeCell ref="C154:F154"/>
    <mergeCell ref="C155:F155"/>
    <mergeCell ref="G149:H151"/>
    <mergeCell ref="G153:H155"/>
    <mergeCell ref="A156:H156"/>
    <mergeCell ref="A157:B157"/>
    <mergeCell ref="L157:M157"/>
    <mergeCell ref="L149:M149"/>
    <mergeCell ref="A150:B150"/>
    <mergeCell ref="L150:M150"/>
    <mergeCell ref="A152:H152"/>
    <mergeCell ref="A153:B153"/>
    <mergeCell ref="L153:M153"/>
    <mergeCell ref="A154:B154"/>
    <mergeCell ref="L154:M154"/>
    <mergeCell ref="A151:B151"/>
    <mergeCell ref="L151:M151"/>
    <mergeCell ref="A108:E108"/>
    <mergeCell ref="F112:H112"/>
    <mergeCell ref="A113:E113"/>
    <mergeCell ref="A132:B132"/>
    <mergeCell ref="E132:F132"/>
    <mergeCell ref="A39:B39"/>
    <mergeCell ref="C39:H39"/>
    <mergeCell ref="B249:H249"/>
    <mergeCell ref="A48:B48"/>
    <mergeCell ref="C48:H48"/>
    <mergeCell ref="B247:H247"/>
    <mergeCell ref="F110:H110"/>
    <mergeCell ref="A110:E110"/>
    <mergeCell ref="G224:H224"/>
    <mergeCell ref="G220:H220"/>
    <mergeCell ref="G217:H217"/>
    <mergeCell ref="D136:D137"/>
    <mergeCell ref="A112:E112"/>
    <mergeCell ref="A139:B139"/>
    <mergeCell ref="A140:B140"/>
    <mergeCell ref="A146:H146"/>
    <mergeCell ref="A147:H147"/>
    <mergeCell ref="A148:H148"/>
    <mergeCell ref="A60:C60"/>
    <mergeCell ref="L213:M213"/>
    <mergeCell ref="A214:B214"/>
    <mergeCell ref="G214:H214"/>
    <mergeCell ref="L214:M214"/>
    <mergeCell ref="B245:H245"/>
    <mergeCell ref="G229:H229"/>
    <mergeCell ref="A227:B227"/>
    <mergeCell ref="G235:H235"/>
    <mergeCell ref="G233:H233"/>
    <mergeCell ref="A240:H240"/>
    <mergeCell ref="A232:B232"/>
    <mergeCell ref="A233:B233"/>
    <mergeCell ref="G231:H231"/>
    <mergeCell ref="A228:H228"/>
    <mergeCell ref="A222:H222"/>
    <mergeCell ref="A215:B215"/>
    <mergeCell ref="G225:H225"/>
    <mergeCell ref="G223:H223"/>
    <mergeCell ref="A230:B230"/>
    <mergeCell ref="A216:H216"/>
    <mergeCell ref="A225:B225"/>
    <mergeCell ref="B244:H244"/>
    <mergeCell ref="A237:B237"/>
    <mergeCell ref="G237:H237"/>
    <mergeCell ref="F108:H108"/>
    <mergeCell ref="F113:H113"/>
    <mergeCell ref="L216:M216"/>
    <mergeCell ref="A143:H143"/>
    <mergeCell ref="A144:A145"/>
    <mergeCell ref="A221:B221"/>
    <mergeCell ref="A218:B218"/>
    <mergeCell ref="A219:B219"/>
    <mergeCell ref="A119:E119"/>
    <mergeCell ref="G132:H132"/>
    <mergeCell ref="C125:D125"/>
    <mergeCell ref="E125:F125"/>
    <mergeCell ref="G125:H125"/>
    <mergeCell ref="A126:B126"/>
    <mergeCell ref="C126:D126"/>
    <mergeCell ref="E126:F126"/>
    <mergeCell ref="G126:H126"/>
    <mergeCell ref="A130:B130"/>
    <mergeCell ref="C130:D130"/>
    <mergeCell ref="E130:F130"/>
    <mergeCell ref="G130:H130"/>
    <mergeCell ref="L215:M215"/>
    <mergeCell ref="L142:M142"/>
    <mergeCell ref="L212:M212"/>
    <mergeCell ref="A73:B73"/>
    <mergeCell ref="L141:M141"/>
    <mergeCell ref="L140:M140"/>
    <mergeCell ref="L139:M139"/>
    <mergeCell ref="A77:B77"/>
    <mergeCell ref="C129:D129"/>
    <mergeCell ref="E129:F129"/>
    <mergeCell ref="G129:H129"/>
    <mergeCell ref="F115:H115"/>
    <mergeCell ref="A109:E109"/>
    <mergeCell ref="A138:H138"/>
    <mergeCell ref="E136:E137"/>
    <mergeCell ref="G136:H137"/>
    <mergeCell ref="A114:E114"/>
    <mergeCell ref="F114:H114"/>
    <mergeCell ref="A115:E115"/>
    <mergeCell ref="A117:E117"/>
    <mergeCell ref="F111:H111"/>
    <mergeCell ref="A116:E116"/>
    <mergeCell ref="C128:D128"/>
    <mergeCell ref="G128:H128"/>
    <mergeCell ref="C136:C137"/>
    <mergeCell ref="G140:H140"/>
    <mergeCell ref="A134:H134"/>
    <mergeCell ref="G69:H69"/>
    <mergeCell ref="A142:B142"/>
    <mergeCell ref="A141:B141"/>
    <mergeCell ref="E70:F79"/>
    <mergeCell ref="G70:H79"/>
    <mergeCell ref="A78:B78"/>
    <mergeCell ref="A79:B79"/>
    <mergeCell ref="D60:H60"/>
    <mergeCell ref="A43:D43"/>
    <mergeCell ref="E43:H43"/>
    <mergeCell ref="E44:H44"/>
    <mergeCell ref="E45:H45"/>
    <mergeCell ref="E46:H46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37:H37"/>
    <mergeCell ref="A36:B36"/>
    <mergeCell ref="C36:E36"/>
    <mergeCell ref="A41:D41"/>
    <mergeCell ref="E41:H41"/>
    <mergeCell ref="F33:H33"/>
    <mergeCell ref="F34:H34"/>
    <mergeCell ref="A40:H40"/>
    <mergeCell ref="A59:C59"/>
    <mergeCell ref="A44:D44"/>
    <mergeCell ref="F36:H36"/>
    <mergeCell ref="A46:D46"/>
    <mergeCell ref="A47:H47"/>
    <mergeCell ref="D57:H57"/>
    <mergeCell ref="A57:C57"/>
    <mergeCell ref="G50:H50"/>
    <mergeCell ref="A51:B52"/>
    <mergeCell ref="A38:B38"/>
    <mergeCell ref="C38:H38"/>
    <mergeCell ref="A45:D45"/>
    <mergeCell ref="D55:H55"/>
    <mergeCell ref="G51:H51"/>
    <mergeCell ref="D56:H56"/>
    <mergeCell ref="G53:H53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231:B231"/>
    <mergeCell ref="A210:H210"/>
    <mergeCell ref="A187:H187"/>
    <mergeCell ref="A164:H164"/>
    <mergeCell ref="G236:H236"/>
    <mergeCell ref="A234:H234"/>
    <mergeCell ref="G212:H2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3:D13"/>
    <mergeCell ref="A265:H268"/>
    <mergeCell ref="A264:B264"/>
    <mergeCell ref="E264:F264"/>
    <mergeCell ref="C264:D264"/>
    <mergeCell ref="G264:H264"/>
    <mergeCell ref="A260:H260"/>
    <mergeCell ref="A263:H263"/>
    <mergeCell ref="A261:H261"/>
    <mergeCell ref="A257:H257"/>
    <mergeCell ref="A258:H258"/>
    <mergeCell ref="A70:B70"/>
    <mergeCell ref="A217:B217"/>
    <mergeCell ref="A128:B128"/>
    <mergeCell ref="D144:D145"/>
    <mergeCell ref="E144:E145"/>
    <mergeCell ref="G144:H145"/>
    <mergeCell ref="A75:B75"/>
    <mergeCell ref="F109:H109"/>
    <mergeCell ref="G124:H124"/>
    <mergeCell ref="A125:B125"/>
    <mergeCell ref="F118:H118"/>
    <mergeCell ref="E123:F123"/>
    <mergeCell ref="G142:H142"/>
    <mergeCell ref="G215:H215"/>
    <mergeCell ref="A124:B124"/>
    <mergeCell ref="A127:H127"/>
    <mergeCell ref="E128:F128"/>
    <mergeCell ref="G141:H141"/>
    <mergeCell ref="G139:H139"/>
    <mergeCell ref="A123:B123"/>
    <mergeCell ref="A213:B213"/>
    <mergeCell ref="G213:H213"/>
    <mergeCell ref="A212:B212"/>
    <mergeCell ref="A131:B131"/>
    <mergeCell ref="G232:H232"/>
    <mergeCell ref="B250:H250"/>
    <mergeCell ref="B254:H254"/>
    <mergeCell ref="B255:H255"/>
    <mergeCell ref="A262:H262"/>
    <mergeCell ref="A259:H259"/>
    <mergeCell ref="B248:H248"/>
    <mergeCell ref="A239:B239"/>
    <mergeCell ref="G239:H239"/>
    <mergeCell ref="A238:B238"/>
    <mergeCell ref="B246:H246"/>
    <mergeCell ref="A235:B235"/>
    <mergeCell ref="C123:D123"/>
    <mergeCell ref="G230:H230"/>
    <mergeCell ref="F119:H119"/>
    <mergeCell ref="F117:H117"/>
    <mergeCell ref="A224:B224"/>
    <mergeCell ref="A135:H135"/>
    <mergeCell ref="G123:H123"/>
    <mergeCell ref="A118:E118"/>
    <mergeCell ref="C124:D124"/>
    <mergeCell ref="E124:F124"/>
    <mergeCell ref="G218:H218"/>
    <mergeCell ref="B136:B137"/>
    <mergeCell ref="A136:A137"/>
    <mergeCell ref="C144:C145"/>
    <mergeCell ref="C132:D132"/>
    <mergeCell ref="A211:H211"/>
    <mergeCell ref="A226:B226"/>
    <mergeCell ref="A223:B223"/>
    <mergeCell ref="C131:D131"/>
    <mergeCell ref="E131:F131"/>
    <mergeCell ref="G131:H131"/>
    <mergeCell ref="B144:B145"/>
    <mergeCell ref="I10:L10"/>
    <mergeCell ref="B253:H253"/>
    <mergeCell ref="A133:B133"/>
    <mergeCell ref="C133:D133"/>
    <mergeCell ref="E133:F133"/>
    <mergeCell ref="G133:H133"/>
    <mergeCell ref="E42:H42"/>
    <mergeCell ref="A42:D42"/>
    <mergeCell ref="A49:B49"/>
    <mergeCell ref="C49:E49"/>
    <mergeCell ref="C52:E52"/>
    <mergeCell ref="G52:H52"/>
    <mergeCell ref="G49:H49"/>
    <mergeCell ref="C51:E51"/>
    <mergeCell ref="A58:C58"/>
    <mergeCell ref="D58:H58"/>
    <mergeCell ref="C50:E50"/>
    <mergeCell ref="A53:B53"/>
    <mergeCell ref="A220:B220"/>
    <mergeCell ref="G221:H221"/>
    <mergeCell ref="G227:H227"/>
    <mergeCell ref="G226:H226"/>
    <mergeCell ref="A149:B149"/>
    <mergeCell ref="A155:B155"/>
    <mergeCell ref="C53:E53"/>
    <mergeCell ref="A50:B50"/>
    <mergeCell ref="A54:H54"/>
    <mergeCell ref="D59:H59"/>
    <mergeCell ref="A55:C55"/>
    <mergeCell ref="A56:C56"/>
    <mergeCell ref="B256:H256"/>
    <mergeCell ref="A236:B236"/>
    <mergeCell ref="B252:H252"/>
    <mergeCell ref="G219:H219"/>
    <mergeCell ref="D62:H62"/>
    <mergeCell ref="A65:C65"/>
    <mergeCell ref="D65:H65"/>
    <mergeCell ref="A63:C63"/>
    <mergeCell ref="D63:H63"/>
    <mergeCell ref="A64:C64"/>
    <mergeCell ref="D64:H64"/>
    <mergeCell ref="E69:F69"/>
    <mergeCell ref="A62:C62"/>
    <mergeCell ref="G238:H238"/>
    <mergeCell ref="B241:H241"/>
    <mergeCell ref="B243:H243"/>
    <mergeCell ref="A229:B229"/>
    <mergeCell ref="F116:H116"/>
  </mergeCells>
  <hyperlinks>
    <hyperlink ref="C39" r:id="rId1" xr:uid="{00000000-0004-0000-0000-000000000000}"/>
    <hyperlink ref="I134" r:id="rId2" xr:uid="{00000000-0004-0000-0000-000001000000}"/>
    <hyperlink ref="I135" r:id="rId3" xr:uid="{00000000-0004-0000-0000-000002000000}"/>
    <hyperlink ref="I144" r:id="rId4" xr:uid="{00000000-0004-0000-0000-000003000000}"/>
    <hyperlink ref="I145" r:id="rId5" xr:uid="{00000000-0004-0000-0000-000004000000}"/>
    <hyperlink ref="I146" r:id="rId6" xr:uid="{00000000-0004-0000-0000-000005000000}"/>
    <hyperlink ref="I147" r:id="rId7" xr:uid="{00000000-0004-0000-0000-000006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8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7" man="1"/>
    <brk id="107" max="7" man="1"/>
    <brk id="268" max="16383" man="1"/>
    <brk id="311" max="16383" man="1"/>
    <brk id="355" max="16383" man="1"/>
  </rowBreaks>
  <drawing r:id="rId9"/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21"/>
  <sheetViews>
    <sheetView topLeftCell="A7" zoomScale="70" zoomScaleNormal="70" workbookViewId="0">
      <selection activeCell="H27" sqref="H27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2" t="s">
        <v>112</v>
      </c>
      <c r="C3" s="192"/>
      <c r="D3" s="192"/>
      <c r="E3" s="192"/>
      <c r="F3" s="192"/>
      <c r="G3" s="192"/>
      <c r="H3" s="192"/>
    </row>
    <row r="4" spans="1:9" x14ac:dyDescent="0.3">
      <c r="A4" s="2"/>
      <c r="B4" s="3" t="s">
        <v>113</v>
      </c>
      <c r="C4" s="3" t="s">
        <v>114</v>
      </c>
      <c r="D4" s="3" t="s">
        <v>71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  <row r="20" spans="8:8" x14ac:dyDescent="0.3">
      <c r="H20"/>
    </row>
    <row r="21" spans="8:8" x14ac:dyDescent="0.3">
      <c r="H2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2025-07-14T11:50:48Z</cp:lastPrinted>
  <dcterms:created xsi:type="dcterms:W3CDTF">2019-07-16T09:29:46Z</dcterms:created>
  <dcterms:modified xsi:type="dcterms:W3CDTF">2025-07-14T11:50:48Z</dcterms:modified>
</cp:coreProperties>
</file>