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F589A548-E5B2-429C-B8C2-393032F1BC4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G131" i="1" l="1"/>
  <c r="D160" i="1"/>
  <c r="D157" i="1"/>
  <c r="D147" i="1"/>
  <c r="D152" i="1"/>
  <c r="D159" i="1"/>
  <c r="D158" i="1"/>
  <c r="A158" i="1"/>
  <c r="A159" i="1" s="1"/>
  <c r="A160" i="1" s="1"/>
  <c r="G157" i="1"/>
  <c r="D155" i="1"/>
  <c r="J155" i="1"/>
  <c r="D154" i="1"/>
  <c r="D153" i="1"/>
  <c r="D150" i="1"/>
  <c r="I150" i="1" s="1"/>
  <c r="D149" i="1"/>
  <c r="I149" i="1" s="1"/>
  <c r="D148" i="1"/>
  <c r="N147" i="1"/>
  <c r="I147" i="1"/>
  <c r="G51" i="1"/>
  <c r="C131" i="1" l="1"/>
  <c r="E131" i="1"/>
  <c r="L147" i="1"/>
  <c r="L148" i="1"/>
  <c r="L149" i="1"/>
  <c r="L150" i="1"/>
  <c r="K147" i="1"/>
  <c r="J148" i="1"/>
  <c r="G50" i="1"/>
  <c r="I154" i="1" l="1"/>
  <c r="I155" i="1"/>
  <c r="I153" i="1"/>
  <c r="J152" i="1"/>
  <c r="J147" i="1"/>
  <c r="A153" i="1"/>
  <c r="A154" i="1" s="1"/>
  <c r="A155" i="1" s="1"/>
  <c r="I152" i="1"/>
  <c r="G152" i="1"/>
  <c r="C15" i="1" l="1"/>
  <c r="E30" i="1" l="1"/>
  <c r="A148" i="1" l="1"/>
  <c r="A149" i="1" s="1"/>
  <c r="A150" i="1" s="1"/>
  <c r="G147" i="1"/>
  <c r="F123" i="1" l="1"/>
  <c r="F140" i="1" l="1"/>
  <c r="F141" i="1"/>
  <c r="F142" i="1"/>
  <c r="F139" i="1"/>
  <c r="B163" i="1" l="1"/>
  <c r="B16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7" i="1"/>
  <c r="A140" i="1"/>
  <c r="A141" i="1" s="1"/>
  <c r="A142" i="1" s="1"/>
  <c r="G139" i="1"/>
  <c r="G140" i="1" s="1"/>
  <c r="G141" i="1" s="1"/>
  <c r="G142" i="1" s="1"/>
  <c r="J108" i="1"/>
  <c r="J107" i="1"/>
  <c r="J106" i="1"/>
  <c r="J105" i="1"/>
  <c r="C97" i="1"/>
  <c r="J94" i="1"/>
  <c r="J93" i="1"/>
  <c r="J92" i="1"/>
  <c r="J91" i="1"/>
  <c r="C83" i="1"/>
  <c r="J80" i="1"/>
  <c r="J79" i="1"/>
  <c r="J78" i="1"/>
  <c r="J77" i="1"/>
  <c r="C69" i="1"/>
  <c r="D56" i="1"/>
  <c r="C50" i="1"/>
  <c r="E43" i="1"/>
  <c r="E44" i="1" s="1"/>
  <c r="E27" i="1"/>
  <c r="E25" i="1"/>
  <c r="E7" i="1"/>
  <c r="E3" i="1"/>
  <c r="H70" i="1"/>
  <c r="H84" i="1"/>
  <c r="H98" i="1"/>
  <c r="D63" i="1" l="1"/>
  <c r="D94" i="1"/>
  <c r="D95" i="1"/>
  <c r="D96" i="1"/>
  <c r="D90" i="1"/>
  <c r="D91" i="1"/>
  <c r="D92" i="1"/>
  <c r="D93" i="1"/>
  <c r="C89" i="1"/>
  <c r="J83" i="1" s="1"/>
  <c r="J85" i="1" s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81" i="1" s="1"/>
  <c r="C103" i="1"/>
  <c r="J97" i="1" s="1"/>
  <c r="J99" i="1" s="1"/>
  <c r="J101" i="1"/>
  <c r="D110" i="1"/>
  <c r="D108" i="1"/>
  <c r="D106" i="1"/>
  <c r="D104" i="1"/>
  <c r="J102" i="1"/>
  <c r="C101" i="1" s="1"/>
  <c r="J100" i="1"/>
  <c r="J103" i="1"/>
  <c r="J104" i="1" s="1"/>
  <c r="J109" i="1" s="1"/>
  <c r="J110" i="1" s="1"/>
  <c r="C102" i="1" s="1"/>
  <c r="D109" i="1"/>
  <c r="D107" i="1"/>
  <c r="D105" i="1"/>
  <c r="J89" i="1"/>
  <c r="J90" i="1" s="1"/>
  <c r="J95" i="1" s="1"/>
  <c r="J96" i="1" s="1"/>
  <c r="C88" i="1" s="1"/>
  <c r="J87" i="1"/>
  <c r="J88" i="1"/>
  <c r="C87" i="1" s="1"/>
  <c r="J86" i="1"/>
  <c r="J82" i="1" l="1"/>
  <c r="D74" i="1"/>
  <c r="D103" i="1"/>
  <c r="D101" i="1"/>
  <c r="D89" i="1"/>
  <c r="D75" i="1"/>
  <c r="J71" i="1"/>
  <c r="D73" i="1"/>
  <c r="E87" i="1"/>
  <c r="D88" i="1"/>
  <c r="G87" i="1"/>
  <c r="D87" i="1"/>
  <c r="J84" i="1" s="1"/>
  <c r="E101" i="1"/>
  <c r="D102" i="1"/>
  <c r="G101" i="1"/>
  <c r="G73" i="1" l="1"/>
  <c r="D67" i="1" s="1"/>
  <c r="D68" i="1" s="1"/>
  <c r="E73" i="1"/>
  <c r="I70" i="1"/>
  <c r="J70" i="1"/>
  <c r="I98" i="1"/>
  <c r="J98" i="1"/>
  <c r="I84" i="1"/>
  <c r="F68" i="1" l="1"/>
  <c r="I71" i="1"/>
  <c r="I69" i="1" s="1"/>
  <c r="C71" i="1" s="1"/>
  <c r="I99" i="1"/>
  <c r="I97" i="1" s="1"/>
  <c r="C99" i="1" s="1"/>
  <c r="I85" i="1"/>
  <c r="I83" i="1" s="1"/>
  <c r="C85" i="1" s="1"/>
</calcChain>
</file>

<file path=xl/sharedStrings.xml><?xml version="1.0" encoding="utf-8"?>
<sst xmlns="http://schemas.openxmlformats.org/spreadsheetml/2006/main" count="359" uniqueCount="231">
  <si>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</si>
  <si>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</si>
  <si>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</si>
  <si>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</si>
  <si>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</si>
  <si>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</si>
  <si>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</si>
  <si>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</si>
  <si>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</si>
  <si>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</si>
  <si>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</si>
  <si>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</si>
  <si>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</si>
  <si>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</si>
  <si>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</si>
  <si>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</si>
  <si>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</si>
  <si>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</si>
  <si>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</si>
  <si>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</si>
  <si>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</si>
  <si>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</si>
  <si>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</si>
  <si>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</si>
  <si>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</si>
  <si>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</si>
  <si>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</si>
  <si>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</si>
  <si>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</si>
  <si>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</si>
  <si>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</si>
  <si>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</si>
  <si>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</si>
  <si>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</si>
  <si>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</si>
  <si>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</si>
  <si>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</si>
  <si>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</si>
  <si>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</si>
  <si>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</si>
  <si>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</si>
  <si>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</si>
  <si>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</si>
  <si>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</si>
  <si>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</si>
  <si>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</si>
  <si>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</si>
  <si>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</si>
  <si>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</si>
  <si>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</si>
  <si>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</si>
  <si>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</si>
  <si>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</si>
  <si>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</si>
  <si>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</si>
  <si>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</si>
  <si>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</si>
  <si>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</si>
  <si>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</si>
  <si>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</si>
  <si>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</si>
  <si>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</si>
  <si>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</si>
  <si>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</si>
  <si>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</si>
  <si>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</si>
  <si>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</si>
  <si>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</si>
  <si>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</si>
  <si>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</si>
  <si>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</si>
  <si>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</si>
  <si>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</si>
  <si>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</si>
  <si>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</si>
  <si>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</si>
  <si>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</si>
  <si>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</si>
  <si>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</si>
  <si>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</si>
  <si>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</si>
  <si>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</si>
  <si>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</si>
  <si>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</si>
  <si>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</si>
  <si>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</si>
  <si>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</si>
  <si>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</si>
  <si>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</si>
  <si>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</si>
  <si>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</si>
  <si>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</si>
  <si>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</si>
  <si>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</si>
  <si>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</si>
  <si>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</si>
  <si>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</si>
  <si>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</si>
  <si>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</si>
  <si>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</si>
  <si>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</si>
  <si>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</si>
  <si>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</si>
  <si>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</si>
  <si>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</si>
  <si>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</si>
  <si>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</si>
  <si>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</si>
  <si>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</si>
  <si>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</si>
  <si>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</si>
  <si>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</si>
  <si>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</si>
  <si>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</si>
  <si>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</si>
  <si>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</si>
  <si>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</si>
  <si>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</si>
  <si>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</si>
  <si>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</si>
  <si>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</si>
  <si>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</si>
  <si>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</si>
  <si>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</si>
  <si>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</si>
  <si>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</si>
  <si>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</si>
  <si>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</si>
  <si>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</si>
  <si>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</si>
  <si>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</si>
  <si>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</si>
  <si>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</si>
  <si>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</si>
  <si>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</si>
  <si>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</si>
  <si>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</si>
  <si>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</si>
  <si>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</si>
  <si>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</si>
  <si>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</si>
  <si>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</si>
  <si>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</si>
  <si>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</si>
  <si>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</si>
  <si>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</si>
  <si>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</si>
  <si>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</si>
  <si>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</si>
  <si>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</si>
  <si>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</si>
  <si>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</si>
  <si>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</si>
  <si>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</si>
  <si>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</si>
  <si>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</si>
  <si>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</si>
  <si>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</si>
  <si>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</si>
  <si>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</si>
  <si>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</si>
  <si>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</si>
  <si>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</si>
  <si>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</si>
  <si>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</si>
  <si>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</si>
  <si>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</si>
  <si>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</si>
  <si>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</si>
  <si>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</si>
  <si>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</si>
  <si>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</si>
  <si>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</si>
  <si>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</si>
  <si>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Sanpada</t>
  </si>
  <si>
    <t>Sai Breeze</t>
  </si>
  <si>
    <t xml:space="preserve">Divine Homes
</t>
  </si>
  <si>
    <t>Mr. Deepak Patel (9920594972)</t>
  </si>
  <si>
    <t>P52000046986</t>
  </si>
  <si>
    <t>Plot No</t>
  </si>
  <si>
    <t>11A, Sector 10B</t>
  </si>
  <si>
    <t>Ulwe</t>
  </si>
  <si>
    <t>Panvel</t>
  </si>
  <si>
    <t>Raigad</t>
  </si>
  <si>
    <t>Sarang Ritvi</t>
  </si>
  <si>
    <t>Rd/Serene Lifespace</t>
  </si>
  <si>
    <t>Rd/Open Plot</t>
  </si>
  <si>
    <t>Ground Floor For Parking</t>
  </si>
  <si>
    <t>1st Floor For Residential</t>
  </si>
  <si>
    <t>1BHK</t>
  </si>
  <si>
    <t>We considered Gross carpet area = Net carpet + Balcony.</t>
  </si>
  <si>
    <t>Flats</t>
  </si>
  <si>
    <t>Internal Rd</t>
  </si>
  <si>
    <t>Approved Plans, CC, Builder Saleable Area, Cost Sheet</t>
  </si>
  <si>
    <t xml:space="preserve">Builder Saleable area </t>
  </si>
  <si>
    <t>Water, Electricity Charges</t>
  </si>
  <si>
    <t>Grill Charges</t>
  </si>
  <si>
    <t>Name of the Project As Per RERA</t>
  </si>
  <si>
    <t>Divine Homes Sai Breeze</t>
  </si>
  <si>
    <t xml:space="preserve">City and Industrial Development Corporation of Maharashtra (CIDCO)
</t>
  </si>
  <si>
    <t xml:space="preserve">Bamandongari </t>
  </si>
  <si>
    <t>NOC. No.:  AAI</t>
  </si>
  <si>
    <t>NAVI/WEST/B/031420/451832</t>
  </si>
  <si>
    <t>White Iris</t>
  </si>
  <si>
    <t>Cidco Transfer</t>
  </si>
  <si>
    <t xml:space="preserve">1.Vitrified tiles flooring 2. Granite Kitchen Platform  3. Decorative Enternace  etc. 
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</si>
  <si>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</si>
  <si>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7500 to 8000</t>
  </si>
  <si>
    <t>smith</t>
  </si>
  <si>
    <t xml:space="preserve">Recommended Rates/Other Charges of the Property have been revised on 27/12/2023.
</t>
  </si>
  <si>
    <t>Latitude,Longitude</t>
  </si>
  <si>
    <t xml:space="preserve">We have considered construction percent as per proposed no of floor because construction work goes beyond approved no. of floor.
</t>
  </si>
  <si>
    <t>As per RERA, completion period of project is expired on 31/12/2024 but still project is under construction.</t>
  </si>
  <si>
    <t>As per Layout</t>
  </si>
  <si>
    <t>https://maps.app.goo.gl/yLTCV2sHqrT8fauJ6</t>
  </si>
  <si>
    <t>18.9705605,73.0107664</t>
  </si>
  <si>
    <t>Plot No.11</t>
  </si>
  <si>
    <t>Plot No.12</t>
  </si>
  <si>
    <t>15.00 M.Wide Road</t>
  </si>
  <si>
    <t>Other Plot</t>
  </si>
  <si>
    <t>CIDCO/BP-17895/TPO(NM &amp; K)/2021/13849</t>
  </si>
  <si>
    <t>Gr/St + 1st to 7th Floor
Total Built Up Area = 1382.59 Sq.M.
Residential Units = 28 Nos.</t>
  </si>
  <si>
    <t>Gr/St + 1st to 7th Floor</t>
  </si>
  <si>
    <t>Construction work is in process at the time of Visit (Slow Speed).</t>
  </si>
  <si>
    <t>2.0 KM from Bamandongari Railway Station</t>
  </si>
  <si>
    <t>6th &amp; 7th Floor</t>
  </si>
  <si>
    <t>Flats - 28</t>
  </si>
  <si>
    <t>We have updated latest approved floor plans &amp; CC  (On 05/04/2025).</t>
  </si>
  <si>
    <t>As per RERA - 31/12/2025</t>
  </si>
  <si>
    <t>Kunal Kadam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</si>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</sst>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28" xfId="0" applyFont="1" applyFill="1" applyBorder="1"/>
    <xf numFmtId="0" fontId="25" fillId="0" borderId="29" xfId="0" applyFont="1" applyBorder="1"/>
    <xf numFmtId="0" fontId="25" fillId="0" borderId="1" xfId="0" applyFont="1" applyBorder="1"/>
    <xf numFmtId="0" fontId="25" fillId="0" borderId="4" xfId="0" applyFont="1" applyBorder="1"/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/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4" fillId="0" borderId="4" xfId="0" applyFont="1" applyBorder="1"/>
    <xf numFmtId="0" fontId="6" fillId="0" borderId="1" xfId="1" applyFont="1" applyBorder="1" applyAlignment="1" applyProtection="1">
      <alignment vertical="top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24" fillId="2" borderId="14" xfId="0" applyFont="1" applyFill="1" applyBorder="1"/>
    <xf numFmtId="0" fontId="24" fillId="0" borderId="8" xfId="0" applyFont="1" applyBorder="1"/>
    <xf numFmtId="0" fontId="25" fillId="0" borderId="8" xfId="0" applyFont="1" applyBorder="1"/>
    <xf numFmtId="2" fontId="7" fillId="0" borderId="0" xfId="1" applyNumberFormat="1" applyFont="1" applyAlignment="1">
      <alignment horizontal="center" vertical="center"/>
    </xf>
    <xf numFmtId="1" fontId="27" fillId="0" borderId="7" xfId="0" applyNumberFormat="1" applyFont="1" applyBorder="1" applyAlignment="1" applyProtection="1">
      <alignment vertical="top" wrapText="1"/>
      <protection locked="0"/>
    </xf>
    <xf numFmtId="1" fontId="27" fillId="0" borderId="20" xfId="0" applyNumberFormat="1" applyFont="1" applyBorder="1" applyAlignment="1" applyProtection="1">
      <alignment vertical="top" wrapText="1"/>
      <protection locked="0"/>
    </xf>
    <xf numFmtId="1" fontId="27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30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231</xdr:row>
      <xdr:rowOff>0</xdr:rowOff>
    </xdr:from>
    <xdr:to>
      <xdr:col>6</xdr:col>
      <xdr:colOff>651332</xdr:colOff>
      <xdr:row>252</xdr:row>
      <xdr:rowOff>119475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1550" y="39157275"/>
          <a:ext cx="4956632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666750</xdr:colOff>
      <xdr:row>39</xdr:row>
      <xdr:rowOff>177801</xdr:rowOff>
    </xdr:from>
    <xdr:to>
      <xdr:col>12</xdr:col>
      <xdr:colOff>3450</xdr:colOff>
      <xdr:row>50</xdr:row>
      <xdr:rowOff>65588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2050" y="8489951"/>
          <a:ext cx="2880000" cy="266273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1187450</xdr:colOff>
      <xdr:row>16</xdr:row>
      <xdr:rowOff>146050</xdr:rowOff>
    </xdr:from>
    <xdr:to>
      <xdr:col>15</xdr:col>
      <xdr:colOff>29241</xdr:colOff>
      <xdr:row>38</xdr:row>
      <xdr:rowOff>184817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32750" y="3708400"/>
          <a:ext cx="4772691" cy="47822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247650</xdr:colOff>
      <xdr:row>50</xdr:row>
      <xdr:rowOff>139700</xdr:rowOff>
    </xdr:from>
    <xdr:to>
      <xdr:col>12</xdr:col>
      <xdr:colOff>304350</xdr:colOff>
      <xdr:row>57</xdr:row>
      <xdr:rowOff>73018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92950" y="11226800"/>
          <a:ext cx="3600000" cy="19621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934720</xdr:colOff>
      <xdr:row>188</xdr:row>
      <xdr:rowOff>11430</xdr:rowOff>
    </xdr:from>
    <xdr:to>
      <xdr:col>17</xdr:col>
      <xdr:colOff>197395</xdr:colOff>
      <xdr:row>221</xdr:row>
      <xdr:rowOff>108328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32700" y="30285690"/>
          <a:ext cx="6524535" cy="6627238"/>
          <a:chOff x="88900" y="29356050"/>
          <a:chExt cx="6655345" cy="6585328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3022" y="34141378"/>
            <a:ext cx="239777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2561" y="29356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9108" y="34141378"/>
            <a:ext cx="239777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1170" y="32216714"/>
            <a:ext cx="226307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52990" y="32216714"/>
            <a:ext cx="13485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15656" y="34141378"/>
            <a:ext cx="13485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17080" y="32216714"/>
            <a:ext cx="13485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4993" y="29356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425" y="29356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900" y="32216714"/>
            <a:ext cx="13485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0</xdr:col>
      <xdr:colOff>558800</xdr:colOff>
      <xdr:row>273</xdr:row>
      <xdr:rowOff>76200</xdr:rowOff>
    </xdr:from>
    <xdr:to>
      <xdr:col>7</xdr:col>
      <xdr:colOff>343450</xdr:colOff>
      <xdr:row>294</xdr:row>
      <xdr:rowOff>126230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8800" y="43853100"/>
          <a:ext cx="5760000" cy="41838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247650</xdr:colOff>
      <xdr:row>295</xdr:row>
      <xdr:rowOff>41929</xdr:rowOff>
    </xdr:from>
    <xdr:to>
      <xdr:col>6</xdr:col>
      <xdr:colOff>571550</xdr:colOff>
      <xdr:row>313</xdr:row>
      <xdr:rowOff>82784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0" y="48149529"/>
          <a:ext cx="4680000" cy="35841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829845</xdr:colOff>
      <xdr:row>301</xdr:row>
      <xdr:rowOff>172721</xdr:rowOff>
    </xdr:from>
    <xdr:to>
      <xdr:col>4</xdr:col>
      <xdr:colOff>404607</xdr:colOff>
      <xdr:row>304</xdr:row>
      <xdr:rowOff>113677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 rot="1902535">
          <a:off x="3357145" y="49461421"/>
          <a:ext cx="565362" cy="53150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44450</xdr:colOff>
      <xdr:row>143</xdr:row>
      <xdr:rowOff>57151</xdr:rowOff>
    </xdr:from>
    <xdr:to>
      <xdr:col>15</xdr:col>
      <xdr:colOff>220850</xdr:colOff>
      <xdr:row>154</xdr:row>
      <xdr:rowOff>42337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569075" y="21555076"/>
          <a:ext cx="5843775" cy="258551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175261</xdr:colOff>
      <xdr:row>188</xdr:row>
      <xdr:rowOff>30480</xdr:rowOff>
    </xdr:from>
    <xdr:to>
      <xdr:col>7</xdr:col>
      <xdr:colOff>617221</xdr:colOff>
      <xdr:row>227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530249D-D62C-0A66-F02B-511DE170C590}"/>
            </a:ext>
          </a:extLst>
        </xdr:cNvPr>
        <xdr:cNvGrpSpPr/>
      </xdr:nvGrpSpPr>
      <xdr:grpSpPr>
        <a:xfrm>
          <a:off x="175261" y="30304740"/>
          <a:ext cx="6286500" cy="7688580"/>
          <a:chOff x="129198" y="275500"/>
          <a:chExt cx="6373319" cy="8132066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2F0EF25A-89DB-203F-3581-AC5449749F30}"/>
              </a:ext>
            </a:extLst>
          </xdr:cNvPr>
          <xdr:cNvGrpSpPr/>
        </xdr:nvGrpSpPr>
        <xdr:grpSpPr>
          <a:xfrm>
            <a:off x="312227" y="275500"/>
            <a:ext cx="6007260" cy="3828038"/>
            <a:chOff x="108347" y="275500"/>
            <a:chExt cx="6007260" cy="3828038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E4DA7C5F-3963-3546-3377-7622AAE568F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8347" y="275500"/>
              <a:ext cx="2880000" cy="382803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82DFCE2F-547A-CAB6-2655-2AC61796D6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35607" y="275500"/>
              <a:ext cx="2880000" cy="382803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ABAFBC91-FAB0-26B2-4B2C-E1D03B10FA3E}"/>
              </a:ext>
            </a:extLst>
          </xdr:cNvPr>
          <xdr:cNvGrpSpPr/>
        </xdr:nvGrpSpPr>
        <xdr:grpSpPr>
          <a:xfrm>
            <a:off x="1170963" y="6607566"/>
            <a:ext cx="4289788" cy="1800000"/>
            <a:chOff x="420892" y="6607566"/>
            <a:chExt cx="4289788" cy="180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D6CB00CD-BE44-0ACA-56F4-80D72D39B95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0892" y="6607566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2FAEE567-369B-896C-8605-43582710A0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91489" y="660756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9FECE1D5-F376-6994-F1A9-DD3DCC57F9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56461" y="6607566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6953A1A9-F513-92AA-26A7-B368FC862F4A}"/>
              </a:ext>
            </a:extLst>
          </xdr:cNvPr>
          <xdr:cNvGrpSpPr/>
        </xdr:nvGrpSpPr>
        <xdr:grpSpPr>
          <a:xfrm>
            <a:off x="129198" y="4275552"/>
            <a:ext cx="6373319" cy="2160000"/>
            <a:chOff x="150049" y="4275552"/>
            <a:chExt cx="6373319" cy="216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E8A670F8-87D0-CA8D-FBB4-182DD7082A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49" y="4275552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0BFA45FC-3989-E9B8-DF5E-617955F83E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656652" y="4275552"/>
              <a:ext cx="2866716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1596E607-34CA-2A41-F076-99137E2761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91489" y="4275552"/>
              <a:ext cx="162506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yLTCV2sHqrT8fauJ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73"/>
  <sheetViews>
    <sheetView tabSelected="1" view="pageBreakPreview" topLeftCell="A165" zoomScaleNormal="100" zoomScaleSheetLayoutView="100" workbookViewId="0">
      <selection activeCell="I183" sqref="I183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7" width="11.6640625" style="38" customWidth="1"/>
    <col min="8" max="8" width="12.44140625" style="38" customWidth="1"/>
    <col min="9" max="9" width="17.44140625" style="22" customWidth="1"/>
    <col min="10" max="10" width="11.44140625" style="22" customWidth="1"/>
    <col min="11" max="11" width="11.33203125" style="22" bestFit="1" customWidth="1"/>
    <col min="12" max="12" width="10.5546875" style="22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8" ht="46.5" customHeight="1" x14ac:dyDescent="0.3">
      <c r="A1" s="132" t="s">
        <v>206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3">
      <c r="A2" s="111" t="s">
        <v>0</v>
      </c>
      <c r="B2" s="111"/>
      <c r="C2" s="111"/>
      <c r="D2" s="111"/>
      <c r="E2" s="111"/>
      <c r="F2" s="111"/>
      <c r="G2" s="111"/>
      <c r="H2" s="111"/>
    </row>
    <row r="3" spans="1:8" x14ac:dyDescent="0.3">
      <c r="A3" s="118" t="s">
        <v>1</v>
      </c>
      <c r="B3" s="118"/>
      <c r="C3" s="118"/>
      <c r="D3" s="118"/>
      <c r="E3" s="118" t="str">
        <f ca="1">TEXT(TODAY(),"DD/MM/YYYY")</f>
        <v>09/07/2025</v>
      </c>
      <c r="F3" s="118"/>
      <c r="G3" s="118"/>
      <c r="H3" s="118"/>
    </row>
    <row r="4" spans="1:8" ht="15" customHeight="1" x14ac:dyDescent="0.3">
      <c r="A4" s="118" t="s">
        <v>2</v>
      </c>
      <c r="B4" s="118"/>
      <c r="C4" s="118"/>
      <c r="D4" s="118"/>
      <c r="E4" s="118" t="s">
        <v>174</v>
      </c>
      <c r="F4" s="118"/>
      <c r="G4" s="118"/>
      <c r="H4" s="118"/>
    </row>
    <row r="5" spans="1:8" x14ac:dyDescent="0.3">
      <c r="A5" s="118" t="s">
        <v>3</v>
      </c>
      <c r="B5" s="118"/>
      <c r="C5" s="118"/>
      <c r="D5" s="118"/>
      <c r="E5" s="131">
        <v>45847</v>
      </c>
      <c r="F5" s="118"/>
      <c r="G5" s="118"/>
      <c r="H5" s="118"/>
    </row>
    <row r="6" spans="1:8" ht="16.5" customHeight="1" x14ac:dyDescent="0.3">
      <c r="A6" s="118" t="s">
        <v>4</v>
      </c>
      <c r="B6" s="118"/>
      <c r="C6" s="118"/>
      <c r="D6" s="118"/>
      <c r="E6" s="93" t="s">
        <v>176</v>
      </c>
      <c r="F6" s="118"/>
      <c r="G6" s="118"/>
      <c r="H6" s="118"/>
    </row>
    <row r="7" spans="1:8" ht="15" customHeight="1" x14ac:dyDescent="0.3">
      <c r="A7" s="118" t="s">
        <v>5</v>
      </c>
      <c r="B7" s="118"/>
      <c r="C7" s="118"/>
      <c r="D7" s="118"/>
      <c r="E7" s="118" t="str">
        <f>E6</f>
        <v xml:space="preserve">Divine Homes
</v>
      </c>
      <c r="F7" s="118"/>
      <c r="G7" s="118"/>
      <c r="H7" s="118"/>
    </row>
    <row r="8" spans="1:8" x14ac:dyDescent="0.3">
      <c r="A8" s="118" t="s">
        <v>6</v>
      </c>
      <c r="B8" s="118"/>
      <c r="C8" s="118"/>
      <c r="D8" s="118"/>
      <c r="E8" s="81" t="s">
        <v>175</v>
      </c>
      <c r="F8" s="81"/>
      <c r="G8" s="81"/>
      <c r="H8" s="81"/>
    </row>
    <row r="9" spans="1:8" x14ac:dyDescent="0.3">
      <c r="A9" s="118" t="s">
        <v>197</v>
      </c>
      <c r="B9" s="118"/>
      <c r="C9" s="118"/>
      <c r="D9" s="118"/>
      <c r="E9" s="118" t="s">
        <v>198</v>
      </c>
      <c r="F9" s="118"/>
      <c r="G9" s="118"/>
      <c r="H9" s="118"/>
    </row>
    <row r="10" spans="1:8" x14ac:dyDescent="0.3">
      <c r="A10" s="118" t="s">
        <v>171</v>
      </c>
      <c r="B10" s="118"/>
      <c r="C10" s="118"/>
      <c r="D10" s="118"/>
      <c r="E10" s="118">
        <v>9920342275</v>
      </c>
      <c r="F10" s="118"/>
      <c r="G10" s="118"/>
      <c r="H10" s="118"/>
    </row>
    <row r="11" spans="1:8" hidden="1" x14ac:dyDescent="0.3">
      <c r="A11" s="118" t="s">
        <v>172</v>
      </c>
      <c r="B11" s="118"/>
      <c r="C11" s="118"/>
      <c r="D11" s="118"/>
      <c r="E11" s="118" t="s">
        <v>177</v>
      </c>
      <c r="F11" s="118"/>
      <c r="G11" s="118"/>
      <c r="H11" s="118"/>
    </row>
    <row r="12" spans="1:8" x14ac:dyDescent="0.3">
      <c r="A12" s="118" t="s">
        <v>7</v>
      </c>
      <c r="B12" s="118"/>
      <c r="C12" s="118"/>
      <c r="D12" s="118"/>
      <c r="E12" s="118" t="s">
        <v>124</v>
      </c>
      <c r="F12" s="118"/>
      <c r="G12" s="118"/>
      <c r="H12" s="118"/>
    </row>
    <row r="13" spans="1:8" x14ac:dyDescent="0.3">
      <c r="A13" s="87" t="s">
        <v>8</v>
      </c>
      <c r="B13" s="87"/>
      <c r="C13" s="87"/>
      <c r="D13" s="87"/>
      <c r="E13" s="93" t="s">
        <v>193</v>
      </c>
      <c r="F13" s="93"/>
      <c r="G13" s="93"/>
      <c r="H13" s="93"/>
    </row>
    <row r="14" spans="1:8" x14ac:dyDescent="0.3">
      <c r="A14" s="87" t="s">
        <v>9</v>
      </c>
      <c r="B14" s="87"/>
      <c r="C14" s="87"/>
      <c r="D14" s="87"/>
      <c r="E14" s="93" t="s">
        <v>178</v>
      </c>
      <c r="F14" s="118"/>
      <c r="G14" s="118"/>
      <c r="H14" s="118"/>
    </row>
    <row r="15" spans="1:8" ht="31.5" customHeight="1" x14ac:dyDescent="0.3">
      <c r="A15" s="129" t="s">
        <v>10</v>
      </c>
      <c r="B15" s="129"/>
      <c r="C15" s="129" t="str">
        <f>CONCATENATE((IF(OR(E9="",E9="NA"),"",E9)),",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Divine Homes Sai Breeze, Plot No.11A, Sector 10B, near White Iris, Internal Rd, Ulwe, Ulwe, Bamandongari , Panvel, Raigad - 410206.</v>
      </c>
      <c r="D15" s="129"/>
      <c r="E15" s="129"/>
      <c r="F15" s="129"/>
      <c r="G15" s="129"/>
      <c r="H15" s="129"/>
    </row>
    <row r="16" spans="1:8" x14ac:dyDescent="0.3">
      <c r="A16" s="93" t="s">
        <v>179</v>
      </c>
      <c r="B16" s="93"/>
      <c r="C16" s="93" t="s">
        <v>180</v>
      </c>
      <c r="D16" s="93"/>
      <c r="E16" s="93"/>
      <c r="F16" s="93"/>
      <c r="G16" s="93"/>
      <c r="H16" s="93"/>
    </row>
    <row r="17" spans="1:8" ht="15.75" customHeight="1" x14ac:dyDescent="0.3">
      <c r="A17" s="93" t="s">
        <v>170</v>
      </c>
      <c r="B17" s="93"/>
      <c r="C17" s="93" t="s">
        <v>181</v>
      </c>
      <c r="D17" s="93"/>
      <c r="E17" s="93"/>
      <c r="F17" s="93"/>
      <c r="G17" s="93"/>
      <c r="H17" s="93"/>
    </row>
    <row r="18" spans="1:8" ht="15.75" customHeight="1" x14ac:dyDescent="0.3">
      <c r="A18" s="129" t="s">
        <v>11</v>
      </c>
      <c r="B18" s="129"/>
      <c r="C18" s="118" t="s">
        <v>192</v>
      </c>
      <c r="D18" s="118"/>
      <c r="E18" s="129" t="s">
        <v>74</v>
      </c>
      <c r="F18" s="129"/>
      <c r="G18" s="93" t="s">
        <v>181</v>
      </c>
      <c r="H18" s="93"/>
    </row>
    <row r="19" spans="1:8" x14ac:dyDescent="0.3">
      <c r="A19" s="87" t="s">
        <v>13</v>
      </c>
      <c r="B19" s="87"/>
      <c r="C19" s="93" t="s">
        <v>200</v>
      </c>
      <c r="D19" s="93"/>
      <c r="E19" s="129" t="s">
        <v>12</v>
      </c>
      <c r="F19" s="129"/>
      <c r="G19" s="130" t="s">
        <v>183</v>
      </c>
      <c r="H19" s="130"/>
    </row>
    <row r="20" spans="1:8" x14ac:dyDescent="0.3">
      <c r="A20" s="87" t="s">
        <v>75</v>
      </c>
      <c r="B20" s="87"/>
      <c r="C20" s="93" t="s">
        <v>182</v>
      </c>
      <c r="D20" s="93"/>
      <c r="E20" s="129" t="s">
        <v>14</v>
      </c>
      <c r="F20" s="129"/>
      <c r="G20" s="93">
        <v>410206</v>
      </c>
      <c r="H20" s="93"/>
    </row>
    <row r="21" spans="1:8" ht="47.1" customHeight="1" x14ac:dyDescent="0.3">
      <c r="A21" s="87" t="s">
        <v>125</v>
      </c>
      <c r="B21" s="87"/>
      <c r="C21" s="93" t="s">
        <v>203</v>
      </c>
      <c r="D21" s="93"/>
      <c r="E21" s="129" t="s">
        <v>15</v>
      </c>
      <c r="F21" s="129"/>
      <c r="G21" s="93" t="s">
        <v>224</v>
      </c>
      <c r="H21" s="93"/>
    </row>
    <row r="22" spans="1:8" ht="15" customHeight="1" x14ac:dyDescent="0.3">
      <c r="A22" s="129" t="s">
        <v>78</v>
      </c>
      <c r="B22" s="129"/>
      <c r="C22" s="129"/>
      <c r="D22" s="129"/>
      <c r="E22" s="118" t="s">
        <v>16</v>
      </c>
      <c r="F22" s="118"/>
      <c r="G22" s="118"/>
      <c r="H22" s="118"/>
    </row>
    <row r="23" spans="1:8" ht="18.75" customHeight="1" x14ac:dyDescent="0.3">
      <c r="A23" s="129"/>
      <c r="B23" s="129"/>
      <c r="C23" s="129"/>
      <c r="D23" s="129"/>
      <c r="E23" s="118"/>
      <c r="F23" s="118"/>
      <c r="G23" s="118"/>
      <c r="H23" s="118"/>
    </row>
    <row r="24" spans="1:8" ht="15" customHeight="1" x14ac:dyDescent="0.3">
      <c r="A24" s="129" t="s">
        <v>17</v>
      </c>
      <c r="B24" s="129"/>
      <c r="C24" s="129"/>
      <c r="D24" s="129"/>
      <c r="E24" s="93" t="s">
        <v>18</v>
      </c>
      <c r="F24" s="93"/>
      <c r="G24" s="93"/>
      <c r="H24" s="93"/>
    </row>
    <row r="25" spans="1:8" ht="15" customHeight="1" x14ac:dyDescent="0.3">
      <c r="A25" s="87" t="s">
        <v>19</v>
      </c>
      <c r="B25" s="87"/>
      <c r="C25" s="87"/>
      <c r="D25" s="87"/>
      <c r="E25" s="93" t="str">
        <f>IF(AND(G19="Mumbai"),"Upper Class","Middle Class")</f>
        <v>Middle Class</v>
      </c>
      <c r="F25" s="93"/>
      <c r="G25" s="93"/>
      <c r="H25" s="93"/>
    </row>
    <row r="26" spans="1:8" x14ac:dyDescent="0.3">
      <c r="A26" s="87" t="s">
        <v>20</v>
      </c>
      <c r="B26" s="87"/>
      <c r="C26" s="87"/>
      <c r="D26" s="87"/>
      <c r="E26" s="93" t="s">
        <v>21</v>
      </c>
      <c r="F26" s="93"/>
      <c r="G26" s="93"/>
      <c r="H26" s="93"/>
    </row>
    <row r="27" spans="1:8" ht="15.75" customHeight="1" x14ac:dyDescent="0.3">
      <c r="A27" s="87" t="s">
        <v>22</v>
      </c>
      <c r="B27" s="87"/>
      <c r="C27" s="87"/>
      <c r="D27" s="87"/>
      <c r="E27" s="93" t="str">
        <f>IF(AND(G19="Mumbai"),"Developed","Developing")</f>
        <v>Developing</v>
      </c>
      <c r="F27" s="93"/>
      <c r="G27" s="93"/>
      <c r="H27" s="93"/>
    </row>
    <row r="28" spans="1:8" x14ac:dyDescent="0.3">
      <c r="A28" s="87" t="s">
        <v>23</v>
      </c>
      <c r="B28" s="87"/>
      <c r="C28" s="87"/>
      <c r="D28" s="87"/>
      <c r="E28" s="93" t="s">
        <v>24</v>
      </c>
      <c r="F28" s="93"/>
      <c r="G28" s="93"/>
      <c r="H28" s="93"/>
    </row>
    <row r="29" spans="1:8" ht="15.75" customHeight="1" x14ac:dyDescent="0.3">
      <c r="A29" s="87" t="s">
        <v>83</v>
      </c>
      <c r="B29" s="87"/>
      <c r="C29" s="87"/>
      <c r="D29" s="87"/>
      <c r="E29" s="93" t="s">
        <v>84</v>
      </c>
      <c r="F29" s="93"/>
      <c r="G29" s="93"/>
      <c r="H29" s="93"/>
    </row>
    <row r="30" spans="1:8" ht="15" customHeight="1" x14ac:dyDescent="0.3">
      <c r="A30" s="87" t="s">
        <v>32</v>
      </c>
      <c r="B30" s="87"/>
      <c r="C30" s="87"/>
      <c r="D30" s="87"/>
      <c r="E30" s="93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30" s="93"/>
      <c r="G30" s="93"/>
      <c r="H30" s="93"/>
    </row>
    <row r="31" spans="1:8" ht="15.75" customHeight="1" x14ac:dyDescent="0.3">
      <c r="A31" s="87" t="s">
        <v>95</v>
      </c>
      <c r="B31" s="87"/>
      <c r="C31" s="87"/>
      <c r="D31" s="87"/>
      <c r="E31" s="93" t="s">
        <v>33</v>
      </c>
      <c r="F31" s="93"/>
      <c r="G31" s="93"/>
      <c r="H31" s="93"/>
    </row>
    <row r="32" spans="1:8" s="23" customFormat="1" x14ac:dyDescent="0.3">
      <c r="A32" s="125" t="s">
        <v>96</v>
      </c>
      <c r="B32" s="125"/>
      <c r="C32" s="123" t="s">
        <v>213</v>
      </c>
      <c r="D32" s="123"/>
      <c r="E32" s="123"/>
      <c r="F32" s="123" t="s">
        <v>30</v>
      </c>
      <c r="G32" s="123"/>
      <c r="H32" s="123"/>
    </row>
    <row r="33" spans="1:8" s="23" customFormat="1" x14ac:dyDescent="0.3">
      <c r="A33" s="124" t="s">
        <v>25</v>
      </c>
      <c r="B33" s="124" t="s">
        <v>29</v>
      </c>
      <c r="C33" s="116" t="s">
        <v>216</v>
      </c>
      <c r="D33" s="116"/>
      <c r="E33" s="116"/>
      <c r="F33" s="116" t="s">
        <v>185</v>
      </c>
      <c r="G33" s="116"/>
      <c r="H33" s="116"/>
    </row>
    <row r="34" spans="1:8" x14ac:dyDescent="0.3">
      <c r="A34" s="124" t="s">
        <v>26</v>
      </c>
      <c r="B34" s="124" t="s">
        <v>29</v>
      </c>
      <c r="C34" s="116" t="s">
        <v>217</v>
      </c>
      <c r="D34" s="116"/>
      <c r="E34" s="116"/>
      <c r="F34" s="116" t="s">
        <v>186</v>
      </c>
      <c r="G34" s="116"/>
      <c r="H34" s="116"/>
    </row>
    <row r="35" spans="1:8" s="23" customFormat="1" x14ac:dyDescent="0.3">
      <c r="A35" s="124" t="s">
        <v>28</v>
      </c>
      <c r="B35" s="124" t="s">
        <v>29</v>
      </c>
      <c r="C35" s="116" t="s">
        <v>218</v>
      </c>
      <c r="D35" s="116"/>
      <c r="E35" s="116"/>
      <c r="F35" s="116" t="s">
        <v>186</v>
      </c>
      <c r="G35" s="116"/>
      <c r="H35" s="116"/>
    </row>
    <row r="36" spans="1:8" x14ac:dyDescent="0.3">
      <c r="A36" s="124" t="s">
        <v>27</v>
      </c>
      <c r="B36" s="124" t="s">
        <v>29</v>
      </c>
      <c r="C36" s="116" t="s">
        <v>219</v>
      </c>
      <c r="D36" s="116"/>
      <c r="E36" s="116"/>
      <c r="F36" s="116" t="s">
        <v>184</v>
      </c>
      <c r="G36" s="116"/>
      <c r="H36" s="116"/>
    </row>
    <row r="37" spans="1:8" x14ac:dyDescent="0.3">
      <c r="A37" s="87" t="s">
        <v>31</v>
      </c>
      <c r="B37" s="87"/>
      <c r="C37" s="87"/>
      <c r="D37" s="87"/>
      <c r="E37" s="87"/>
      <c r="F37" s="87"/>
      <c r="G37" s="87"/>
      <c r="H37" s="87"/>
    </row>
    <row r="38" spans="1:8" ht="15.75" customHeight="1" x14ac:dyDescent="0.3">
      <c r="A38" s="87" t="s">
        <v>210</v>
      </c>
      <c r="B38" s="87"/>
      <c r="C38" s="126" t="s">
        <v>215</v>
      </c>
      <c r="D38" s="127"/>
      <c r="E38" s="127"/>
      <c r="F38" s="127"/>
      <c r="G38" s="127"/>
      <c r="H38" s="128"/>
    </row>
    <row r="39" spans="1:8" x14ac:dyDescent="0.3">
      <c r="A39" s="87" t="s">
        <v>169</v>
      </c>
      <c r="B39" s="87"/>
      <c r="C39" s="92" t="s">
        <v>214</v>
      </c>
      <c r="D39" s="93"/>
      <c r="E39" s="93"/>
      <c r="F39" s="93"/>
      <c r="G39" s="93"/>
      <c r="H39" s="93"/>
    </row>
    <row r="40" spans="1:8" x14ac:dyDescent="0.3">
      <c r="A40" s="117" t="s">
        <v>34</v>
      </c>
      <c r="B40" s="117"/>
      <c r="C40" s="117"/>
      <c r="D40" s="117"/>
      <c r="E40" s="117"/>
      <c r="F40" s="117"/>
      <c r="G40" s="117"/>
      <c r="H40" s="117"/>
    </row>
    <row r="41" spans="1:8" x14ac:dyDescent="0.3">
      <c r="A41" s="87" t="s">
        <v>35</v>
      </c>
      <c r="B41" s="87"/>
      <c r="C41" s="87"/>
      <c r="D41" s="87"/>
      <c r="E41" s="115">
        <v>399.83</v>
      </c>
      <c r="F41" s="115"/>
      <c r="G41" s="115"/>
      <c r="H41" s="115"/>
    </row>
    <row r="42" spans="1:8" x14ac:dyDescent="0.3">
      <c r="A42" s="87" t="s">
        <v>36</v>
      </c>
      <c r="B42" s="87"/>
      <c r="C42" s="87"/>
      <c r="D42" s="87"/>
      <c r="E42" s="121">
        <f>599.745/E41</f>
        <v>1.5</v>
      </c>
      <c r="F42" s="121"/>
      <c r="G42" s="121"/>
      <c r="H42" s="121"/>
    </row>
    <row r="43" spans="1:8" x14ac:dyDescent="0.3">
      <c r="A43" s="87" t="s">
        <v>37</v>
      </c>
      <c r="B43" s="87"/>
      <c r="C43" s="87"/>
      <c r="D43" s="87"/>
      <c r="E43" s="121">
        <f>E45/E41-E42</f>
        <v>1.9579446264662481</v>
      </c>
      <c r="F43" s="121"/>
      <c r="G43" s="121"/>
      <c r="H43" s="121"/>
    </row>
    <row r="44" spans="1:8" x14ac:dyDescent="0.3">
      <c r="A44" s="87" t="s">
        <v>38</v>
      </c>
      <c r="B44" s="87"/>
      <c r="C44" s="87"/>
      <c r="D44" s="87"/>
      <c r="E44" s="121">
        <f>E42+E43</f>
        <v>3.4579446264662481</v>
      </c>
      <c r="F44" s="121"/>
      <c r="G44" s="121"/>
      <c r="H44" s="121"/>
    </row>
    <row r="45" spans="1:8" x14ac:dyDescent="0.3">
      <c r="A45" s="87" t="s">
        <v>94</v>
      </c>
      <c r="B45" s="87"/>
      <c r="C45" s="87"/>
      <c r="D45" s="87"/>
      <c r="E45" s="122">
        <v>1382.59</v>
      </c>
      <c r="F45" s="122"/>
      <c r="G45" s="122"/>
      <c r="H45" s="122"/>
    </row>
    <row r="46" spans="1:8" x14ac:dyDescent="0.3">
      <c r="A46" s="118" t="s">
        <v>39</v>
      </c>
      <c r="B46" s="118"/>
      <c r="C46" s="118"/>
      <c r="D46" s="118"/>
      <c r="E46" s="118" t="s">
        <v>124</v>
      </c>
      <c r="F46" s="118"/>
      <c r="G46" s="118"/>
      <c r="H46" s="118"/>
    </row>
    <row r="47" spans="1:8" x14ac:dyDescent="0.3">
      <c r="A47" s="117" t="s">
        <v>40</v>
      </c>
      <c r="B47" s="117"/>
      <c r="C47" s="117"/>
      <c r="D47" s="117"/>
      <c r="E47" s="117"/>
      <c r="F47" s="117"/>
      <c r="G47" s="117"/>
      <c r="H47" s="117"/>
    </row>
    <row r="48" spans="1:8" ht="33.75" customHeight="1" x14ac:dyDescent="0.3">
      <c r="A48" s="94" t="s">
        <v>157</v>
      </c>
      <c r="B48" s="95"/>
      <c r="C48" s="96" t="s">
        <v>199</v>
      </c>
      <c r="D48" s="97"/>
      <c r="E48" s="97"/>
      <c r="F48" s="97"/>
      <c r="G48" s="97"/>
      <c r="H48" s="98"/>
    </row>
    <row r="49" spans="1:16" ht="30.75" customHeight="1" x14ac:dyDescent="0.3">
      <c r="A49" s="94" t="s">
        <v>41</v>
      </c>
      <c r="B49" s="95"/>
      <c r="C49" s="94" t="s">
        <v>220</v>
      </c>
      <c r="D49" s="174"/>
      <c r="E49" s="95"/>
      <c r="F49" s="19" t="s">
        <v>42</v>
      </c>
      <c r="G49" s="133">
        <v>45744</v>
      </c>
      <c r="H49" s="95"/>
    </row>
    <row r="50" spans="1:16" ht="30.75" customHeight="1" x14ac:dyDescent="0.3">
      <c r="A50" s="94" t="s">
        <v>43</v>
      </c>
      <c r="B50" s="95"/>
      <c r="C50" s="94" t="str">
        <f>C49</f>
        <v>CIDCO/BP-17895/TPO(NM &amp; K)/2021/13849</v>
      </c>
      <c r="D50" s="174"/>
      <c r="E50" s="95"/>
      <c r="F50" s="19" t="s">
        <v>42</v>
      </c>
      <c r="G50" s="133">
        <f>G49</f>
        <v>45744</v>
      </c>
      <c r="H50" s="95"/>
    </row>
    <row r="51" spans="1:16" s="24" customFormat="1" ht="33.75" customHeight="1" x14ac:dyDescent="0.3">
      <c r="A51" s="134" t="s">
        <v>161</v>
      </c>
      <c r="B51" s="135"/>
      <c r="C51" s="94" t="s">
        <v>220</v>
      </c>
      <c r="D51" s="174"/>
      <c r="E51" s="95"/>
      <c r="F51" s="19" t="s">
        <v>42</v>
      </c>
      <c r="G51" s="133">
        <f>G49</f>
        <v>45744</v>
      </c>
      <c r="H51" s="95"/>
    </row>
    <row r="52" spans="1:16" s="24" customFormat="1" ht="48.9" customHeight="1" x14ac:dyDescent="0.3">
      <c r="A52" s="136"/>
      <c r="B52" s="137"/>
      <c r="C52" s="94" t="s">
        <v>221</v>
      </c>
      <c r="D52" s="174"/>
      <c r="E52" s="174"/>
      <c r="F52" s="174"/>
      <c r="G52" s="174"/>
      <c r="H52" s="95"/>
    </row>
    <row r="53" spans="1:16" x14ac:dyDescent="0.3">
      <c r="A53" s="94" t="s">
        <v>201</v>
      </c>
      <c r="B53" s="95"/>
      <c r="C53" s="94" t="s">
        <v>202</v>
      </c>
      <c r="D53" s="174"/>
      <c r="E53" s="95"/>
      <c r="F53" s="59" t="s">
        <v>42</v>
      </c>
      <c r="G53" s="175">
        <v>44014</v>
      </c>
      <c r="H53" s="176"/>
    </row>
    <row r="54" spans="1:16" x14ac:dyDescent="0.3">
      <c r="A54" s="185" t="s">
        <v>44</v>
      </c>
      <c r="B54" s="186"/>
      <c r="C54" s="185" t="s">
        <v>105</v>
      </c>
      <c r="D54" s="187"/>
      <c r="E54" s="186"/>
      <c r="F54" s="44" t="s">
        <v>42</v>
      </c>
      <c r="G54" s="172" t="s">
        <v>29</v>
      </c>
      <c r="H54" s="173"/>
    </row>
    <row r="55" spans="1:16" x14ac:dyDescent="0.3">
      <c r="A55" s="188" t="s">
        <v>46</v>
      </c>
      <c r="B55" s="188"/>
      <c r="C55" s="188"/>
      <c r="D55" s="188"/>
      <c r="E55" s="188"/>
      <c r="F55" s="188"/>
      <c r="G55" s="188"/>
      <c r="H55" s="188"/>
    </row>
    <row r="56" spans="1:16" x14ac:dyDescent="0.3">
      <c r="A56" s="93" t="s">
        <v>93</v>
      </c>
      <c r="B56" s="93"/>
      <c r="C56" s="93"/>
      <c r="D56" s="118">
        <f>E45</f>
        <v>1382.59</v>
      </c>
      <c r="E56" s="118"/>
      <c r="F56" s="118"/>
      <c r="G56" s="118"/>
      <c r="H56" s="118"/>
    </row>
    <row r="57" spans="1:16" x14ac:dyDescent="0.3">
      <c r="A57" s="93" t="s">
        <v>47</v>
      </c>
      <c r="B57" s="118"/>
      <c r="C57" s="118"/>
      <c r="D57" s="118" t="s">
        <v>226</v>
      </c>
      <c r="E57" s="118"/>
      <c r="F57" s="118"/>
      <c r="G57" s="118"/>
      <c r="H57" s="118"/>
    </row>
    <row r="58" spans="1:16" x14ac:dyDescent="0.3">
      <c r="A58" s="93" t="s">
        <v>48</v>
      </c>
      <c r="B58" s="93"/>
      <c r="C58" s="93"/>
      <c r="D58" s="93" t="s">
        <v>222</v>
      </c>
      <c r="E58" s="118"/>
      <c r="F58" s="118"/>
      <c r="G58" s="118"/>
      <c r="H58" s="118"/>
    </row>
    <row r="59" spans="1:16" s="55" customFormat="1" ht="15.75" customHeight="1" x14ac:dyDescent="0.3">
      <c r="A59" s="93" t="s">
        <v>91</v>
      </c>
      <c r="B59" s="93"/>
      <c r="C59" s="93"/>
      <c r="D59" s="93" t="s">
        <v>222</v>
      </c>
      <c r="E59" s="118"/>
      <c r="F59" s="118"/>
      <c r="G59" s="118"/>
      <c r="H59" s="118"/>
      <c r="I59" s="22"/>
      <c r="J59" s="22"/>
      <c r="K59" s="22"/>
      <c r="L59" s="22"/>
      <c r="M59" s="22"/>
      <c r="N59" s="22"/>
      <c r="O59" s="22"/>
      <c r="P59" s="22"/>
    </row>
    <row r="60" spans="1:16" s="55" customFormat="1" ht="15.75" hidden="1" customHeight="1" x14ac:dyDescent="0.3">
      <c r="A60" s="93"/>
      <c r="B60" s="93"/>
      <c r="C60" s="93"/>
      <c r="D60" s="118" t="s">
        <v>152</v>
      </c>
      <c r="E60" s="118"/>
      <c r="F60" s="118"/>
      <c r="G60" s="118"/>
      <c r="H60" s="118"/>
      <c r="I60" s="22"/>
      <c r="J60" s="22"/>
      <c r="K60" s="22"/>
      <c r="L60" s="22"/>
      <c r="M60" s="22"/>
      <c r="N60" s="22"/>
      <c r="O60" s="22"/>
      <c r="P60" s="22"/>
    </row>
    <row r="61" spans="1:16" s="55" customFormat="1" ht="15.75" hidden="1" customHeight="1" x14ac:dyDescent="0.3">
      <c r="A61" s="93"/>
      <c r="B61" s="93"/>
      <c r="C61" s="93"/>
      <c r="D61" s="118" t="s">
        <v>153</v>
      </c>
      <c r="E61" s="118"/>
      <c r="F61" s="118"/>
      <c r="G61" s="118"/>
      <c r="H61" s="118"/>
      <c r="I61" s="22"/>
      <c r="J61" s="22"/>
      <c r="K61" s="22"/>
      <c r="L61" s="22"/>
      <c r="M61" s="22"/>
      <c r="N61" s="22"/>
      <c r="O61" s="22"/>
      <c r="P61" s="22"/>
    </row>
    <row r="62" spans="1:16" s="55" customFormat="1" ht="15.75" customHeight="1" x14ac:dyDescent="0.3">
      <c r="A62" s="118" t="s">
        <v>45</v>
      </c>
      <c r="B62" s="118"/>
      <c r="C62" s="118"/>
      <c r="D62" s="93" t="s">
        <v>228</v>
      </c>
      <c r="E62" s="93"/>
      <c r="F62" s="93"/>
      <c r="G62" s="93"/>
      <c r="H62" s="93"/>
      <c r="I62" s="22"/>
      <c r="J62" s="22"/>
      <c r="K62" s="22"/>
      <c r="L62" s="22"/>
      <c r="M62" s="22"/>
      <c r="N62" s="22"/>
      <c r="O62" s="22"/>
      <c r="P62" s="22"/>
    </row>
    <row r="63" spans="1:16" ht="15.75" customHeight="1" x14ac:dyDescent="0.3">
      <c r="A63" s="118" t="s">
        <v>89</v>
      </c>
      <c r="B63" s="118"/>
      <c r="C63" s="118"/>
      <c r="D63" s="120" t="str">
        <f>(IF(G54="NA","60 Years After Completion",IF(G54&lt;&gt;"NA",""&amp;60-ROUNDDOWN((E3-G54)/360,0)&amp;" Years"," ")))</f>
        <v>60 Years After Completion</v>
      </c>
      <c r="E63" s="120"/>
      <c r="F63" s="120"/>
      <c r="G63" s="120"/>
      <c r="H63" s="120"/>
    </row>
    <row r="64" spans="1:16" ht="15.75" customHeight="1" x14ac:dyDescent="0.3">
      <c r="A64" s="87" t="s">
        <v>90</v>
      </c>
      <c r="B64" s="87"/>
      <c r="C64" s="87"/>
      <c r="D64" s="129" t="s">
        <v>24</v>
      </c>
      <c r="E64" s="129"/>
      <c r="F64" s="129"/>
      <c r="G64" s="129"/>
      <c r="H64" s="129"/>
    </row>
    <row r="65" spans="1:14" ht="30.75" customHeight="1" x14ac:dyDescent="0.3">
      <c r="A65" s="87" t="s">
        <v>76</v>
      </c>
      <c r="B65" s="87"/>
      <c r="C65" s="87"/>
      <c r="D65" s="93" t="s">
        <v>205</v>
      </c>
      <c r="E65" s="129"/>
      <c r="F65" s="129"/>
      <c r="G65" s="129"/>
      <c r="H65" s="129"/>
    </row>
    <row r="66" spans="1:14" x14ac:dyDescent="0.3">
      <c r="A66" s="129" t="s">
        <v>154</v>
      </c>
      <c r="B66" s="129"/>
      <c r="C66" s="129"/>
      <c r="D66" s="129" t="s">
        <v>29</v>
      </c>
      <c r="E66" s="129"/>
      <c r="F66" s="129"/>
      <c r="G66" s="129"/>
      <c r="H66" s="129"/>
      <c r="I66" s="26"/>
      <c r="J66" s="26"/>
      <c r="K66" s="26"/>
      <c r="L66" s="26"/>
      <c r="M66" s="26"/>
      <c r="N66" s="26"/>
    </row>
    <row r="67" spans="1:14" ht="15.75" customHeight="1" x14ac:dyDescent="0.3">
      <c r="A67" s="159" t="s">
        <v>88</v>
      </c>
      <c r="B67" s="159"/>
      <c r="C67" s="159"/>
      <c r="D67" s="160" t="str">
        <f ca="1">(IF(G73&gt;95%,"Nothing",IF(G73&gt;0%,"Cement, Aggregate, Steel, etc",IF(G73=0%,"Work not yet Started"))))</f>
        <v>Cement, Aggregate, Steel, etc</v>
      </c>
      <c r="E67" s="160"/>
      <c r="F67" s="160"/>
      <c r="G67" s="160"/>
      <c r="H67" s="160"/>
      <c r="J67" s="25"/>
    </row>
    <row r="68" spans="1:14" ht="33.75" customHeight="1" thickBot="1" x14ac:dyDescent="0.35">
      <c r="A68" s="129" t="s">
        <v>118</v>
      </c>
      <c r="B68" s="129"/>
      <c r="C68" s="129"/>
      <c r="D68" s="93" t="str">
        <f ca="1">(IF(D67="Nothing","Yes",IF(D67="Cement, Aggregate, Steel, etc","Under Construction",IF(D67="Work not yet Started","Work not yet Started"))))</f>
        <v>Under Construction</v>
      </c>
      <c r="E68" s="93"/>
      <c r="F68" s="93" t="str">
        <f ca="1">(IF(D67="Nothing","Yes",IF(D67="Cement, Aggregate, Steel, etc","Under Construction",IF(D67="Work not yet Started","Work not yet Started"))))</f>
        <v>Under Construction</v>
      </c>
      <c r="G68" s="93"/>
      <c r="H68" s="93"/>
    </row>
    <row r="69" spans="1:14" ht="15.75" customHeight="1" x14ac:dyDescent="0.3">
      <c r="A69" s="138" t="s">
        <v>143</v>
      </c>
      <c r="B69" s="138"/>
      <c r="C69" s="138" t="str">
        <f>D59</f>
        <v>Gr/St + 1st to 7th Floor</v>
      </c>
      <c r="D69" s="138"/>
      <c r="E69" s="138"/>
      <c r="F69" s="138"/>
      <c r="G69" s="138"/>
      <c r="H69" s="138"/>
      <c r="I69" s="62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Plaster, External Plaster Completed, Flooring upto 6 Floor, Painting upto 2 Floor Completed</v>
      </c>
      <c r="J69" s="50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Flooring upto 6 Floor, Painting upto 2 Floor</v>
      </c>
    </row>
    <row r="70" spans="1:14" s="24" customFormat="1" x14ac:dyDescent="0.3">
      <c r="A70" s="46" t="s">
        <v>145</v>
      </c>
      <c r="B70" s="46">
        <v>0</v>
      </c>
      <c r="C70" s="46" t="s">
        <v>73</v>
      </c>
      <c r="D70" s="46">
        <v>1</v>
      </c>
      <c r="E70" s="46" t="s">
        <v>72</v>
      </c>
      <c r="F70" s="46">
        <v>0</v>
      </c>
      <c r="G70" s="46" t="s">
        <v>82</v>
      </c>
      <c r="H70" s="46">
        <f ca="1">--TRIM(RIGHT(SUBSTITUTE(LEFT(C69,_xlfn.AGGREGATE(16,6,FIND({0,1,2,3,4,5,6,7,8,9},C69,ROW(INDIRECT("1:"&amp;LEN(C69)))),1))," ",REPT(" ",LEN(C69))),LEN(C69)))</f>
        <v>7</v>
      </c>
      <c r="I70" s="63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Plaster, External Plaster</v>
      </c>
      <c r="J70" s="58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4.5" customHeight="1" x14ac:dyDescent="0.3">
      <c r="A71" s="81" t="s">
        <v>92</v>
      </c>
      <c r="B71" s="81"/>
      <c r="C71" s="82" t="str">
        <f ca="1">I69</f>
        <v>Excavation, Plinth, RCC Slab, Brickwork, Internal Plaster, External Plaster Completed, Flooring upto 6 Floor, Painting upto 2 Floor Completed</v>
      </c>
      <c r="D71" s="82"/>
      <c r="E71" s="82"/>
      <c r="F71" s="82"/>
      <c r="G71" s="82"/>
      <c r="H71" s="82"/>
      <c r="I71" s="64" t="str">
        <f ca="1">IF(I70&lt;&gt;""," Completed","")</f>
        <v xml:space="preserve"> Completed</v>
      </c>
      <c r="J71" s="52" t="str">
        <f ca="1">IF(J69&lt;&gt;"","Completed","")</f>
        <v>Completed</v>
      </c>
    </row>
    <row r="72" spans="1:14" ht="15.75" customHeight="1" x14ac:dyDescent="0.3">
      <c r="A72" s="78" t="s">
        <v>49</v>
      </c>
      <c r="B72" s="78"/>
      <c r="C72" s="42" t="s">
        <v>142</v>
      </c>
      <c r="D72" s="42" t="s">
        <v>85</v>
      </c>
      <c r="E72" s="78" t="s">
        <v>87</v>
      </c>
      <c r="F72" s="78"/>
      <c r="G72" s="78" t="s">
        <v>86</v>
      </c>
      <c r="H72" s="78"/>
      <c r="I72" s="14" t="s">
        <v>144</v>
      </c>
      <c r="J72" s="27">
        <f ca="1">H70*25%</f>
        <v>1.75</v>
      </c>
    </row>
    <row r="73" spans="1:14" x14ac:dyDescent="0.3">
      <c r="A73" s="78" t="s">
        <v>131</v>
      </c>
      <c r="B73" s="78"/>
      <c r="C73" s="42">
        <f ca="1">J74</f>
        <v>7</v>
      </c>
      <c r="D73" s="20">
        <f ca="1">((100/H70)*C73)/100</f>
        <v>1</v>
      </c>
      <c r="E73" s="119">
        <f ca="1">(((C74/H70*10)+(40/(D70+F70+H70)*C75)+(7.5/(H70)*C76)+(7.5/(H70)*C77)+(10/H70*C78)+(10/H70*C79)+(5/H70*C80)+(5/H70*C81)+(5/H70*C82))/100)</f>
        <v>0.85</v>
      </c>
      <c r="F73" s="119"/>
      <c r="G73" s="119">
        <f ca="1">((((C73/H70)*20)+((C74/H70)*25)+(30/(H70+F70+D70)*C75)+(5/H70*C76)+(5/H70*C77)+(5/H70*C78)+(5/H70*C79)+(0/H70*C80)+(0/H70*C81)+(5/H70*C82))/100)</f>
        <v>0.94285714285714295</v>
      </c>
      <c r="H73" s="119"/>
      <c r="I73" s="14" t="s">
        <v>100</v>
      </c>
      <c r="J73" s="28">
        <f ca="1">H70*50%</f>
        <v>3.5</v>
      </c>
    </row>
    <row r="74" spans="1:14" x14ac:dyDescent="0.3">
      <c r="A74" s="78" t="s">
        <v>50</v>
      </c>
      <c r="B74" s="78"/>
      <c r="C74" s="57">
        <v>7</v>
      </c>
      <c r="D74" s="20">
        <f ca="1">((100/H70)*C74)/100</f>
        <v>1</v>
      </c>
      <c r="E74" s="119"/>
      <c r="F74" s="119"/>
      <c r="G74" s="119"/>
      <c r="H74" s="119"/>
      <c r="I74" s="14" t="s">
        <v>101</v>
      </c>
      <c r="J74" s="28">
        <f ca="1">H70</f>
        <v>7</v>
      </c>
    </row>
    <row r="75" spans="1:14" ht="15.75" customHeight="1" x14ac:dyDescent="0.3">
      <c r="A75" s="78" t="s">
        <v>132</v>
      </c>
      <c r="B75" s="78"/>
      <c r="C75" s="42">
        <v>8</v>
      </c>
      <c r="D75" s="20">
        <f ca="1">((100/(D70+F70+H70))*C75)/100</f>
        <v>1</v>
      </c>
      <c r="E75" s="119"/>
      <c r="F75" s="119"/>
      <c r="G75" s="119"/>
      <c r="H75" s="119"/>
      <c r="I75" s="14" t="s">
        <v>102</v>
      </c>
      <c r="J75" s="29">
        <f ca="1">(IF(B70&gt;1,(H70/(B70+2)),H70/4))</f>
        <v>1.75</v>
      </c>
    </row>
    <row r="76" spans="1:14" ht="15.75" customHeight="1" x14ac:dyDescent="0.3">
      <c r="A76" s="78" t="s">
        <v>139</v>
      </c>
      <c r="B76" s="78" t="s">
        <v>133</v>
      </c>
      <c r="C76" s="42">
        <v>7</v>
      </c>
      <c r="D76" s="20">
        <f ca="1">((100/H70)*C76)/100</f>
        <v>1</v>
      </c>
      <c r="E76" s="119"/>
      <c r="F76" s="119"/>
      <c r="G76" s="119"/>
      <c r="H76" s="119"/>
      <c r="I76" s="14" t="s">
        <v>103</v>
      </c>
      <c r="J76" s="29">
        <f ca="1">(IF(B70&gt;1,(H70/(B70+2)+J75),H70/4+J75))</f>
        <v>3.5</v>
      </c>
    </row>
    <row r="77" spans="1:14" ht="15.75" customHeight="1" x14ac:dyDescent="0.3">
      <c r="A77" s="78" t="s">
        <v>140</v>
      </c>
      <c r="B77" s="78" t="s">
        <v>133</v>
      </c>
      <c r="C77" s="42">
        <v>7</v>
      </c>
      <c r="D77" s="20">
        <f ca="1">((100/H70)*C77)/100</f>
        <v>1</v>
      </c>
      <c r="E77" s="119"/>
      <c r="F77" s="119"/>
      <c r="G77" s="119"/>
      <c r="H77" s="119"/>
      <c r="I77" s="14" t="s">
        <v>150</v>
      </c>
      <c r="J77" s="29">
        <f>(IF(B70&gt;1,(H70/(B70+2)+J76),0))</f>
        <v>0</v>
      </c>
    </row>
    <row r="78" spans="1:14" ht="15" customHeight="1" x14ac:dyDescent="0.3">
      <c r="A78" s="78" t="s">
        <v>138</v>
      </c>
      <c r="B78" s="78" t="s">
        <v>135</v>
      </c>
      <c r="C78" s="42">
        <v>7</v>
      </c>
      <c r="D78" s="20">
        <f ca="1">((100/(H70))*C78)/100</f>
        <v>1</v>
      </c>
      <c r="E78" s="119"/>
      <c r="F78" s="119"/>
      <c r="G78" s="119"/>
      <c r="H78" s="119"/>
      <c r="I78" s="14" t="s">
        <v>146</v>
      </c>
      <c r="J78" s="29">
        <f>(IF(B70&gt;2,(H70/(B70+2)+J77),0))</f>
        <v>0</v>
      </c>
    </row>
    <row r="79" spans="1:14" ht="15.75" customHeight="1" x14ac:dyDescent="0.3">
      <c r="A79" s="78" t="s">
        <v>134</v>
      </c>
      <c r="B79" s="78" t="s">
        <v>134</v>
      </c>
      <c r="C79" s="42">
        <v>6</v>
      </c>
      <c r="D79" s="20">
        <f ca="1">((100/H70)*C79)/100</f>
        <v>0.85714285714285721</v>
      </c>
      <c r="E79" s="119"/>
      <c r="F79" s="119"/>
      <c r="G79" s="119"/>
      <c r="H79" s="119"/>
      <c r="I79" s="14" t="s">
        <v>147</v>
      </c>
      <c r="J79" s="30">
        <f>(IF(B70&gt;3,(H70/(B70+2)+J78),0))</f>
        <v>0</v>
      </c>
    </row>
    <row r="80" spans="1:14" ht="15.75" customHeight="1" x14ac:dyDescent="0.3">
      <c r="A80" s="78" t="s">
        <v>141</v>
      </c>
      <c r="B80" s="78"/>
      <c r="C80" s="42">
        <v>2</v>
      </c>
      <c r="D80" s="20">
        <f ca="1">((100/H70)*C80)/100</f>
        <v>0.28571428571428575</v>
      </c>
      <c r="E80" s="119"/>
      <c r="F80" s="119"/>
      <c r="G80" s="119"/>
      <c r="H80" s="119"/>
      <c r="I80" s="14" t="s">
        <v>148</v>
      </c>
      <c r="J80" s="29">
        <f>(IF(B70&gt;4,(H70/(B70+2)+J79),0))</f>
        <v>0</v>
      </c>
    </row>
    <row r="81" spans="1:10" ht="15.75" customHeight="1" x14ac:dyDescent="0.3">
      <c r="A81" s="78" t="s">
        <v>136</v>
      </c>
      <c r="B81" s="78" t="s">
        <v>136</v>
      </c>
      <c r="C81" s="42">
        <v>0</v>
      </c>
      <c r="D81" s="20">
        <f ca="1">((100/(H70))*C81)/100</f>
        <v>0</v>
      </c>
      <c r="E81" s="119"/>
      <c r="F81" s="119"/>
      <c r="G81" s="119"/>
      <c r="H81" s="119"/>
      <c r="I81" s="14" t="s">
        <v>151</v>
      </c>
      <c r="J81" s="29">
        <f ca="1">(IF(B70=1,(H70/(B70+3)+J76),IF(B70=0,(H70/4+J76),IF(B70&gt;1,0))))</f>
        <v>5.25</v>
      </c>
    </row>
    <row r="82" spans="1:10" ht="16.2" thickBot="1" x14ac:dyDescent="0.35">
      <c r="A82" s="78" t="s">
        <v>137</v>
      </c>
      <c r="B82" s="78"/>
      <c r="C82" s="42">
        <v>0</v>
      </c>
      <c r="D82" s="20">
        <f ca="1">((100/(H70))*C82)/100</f>
        <v>0</v>
      </c>
      <c r="E82" s="119"/>
      <c r="F82" s="119"/>
      <c r="G82" s="119"/>
      <c r="H82" s="119"/>
      <c r="I82" s="16" t="s">
        <v>104</v>
      </c>
      <c r="J82" s="31">
        <f ca="1">(IF(B70&gt;1.5,(H70/(B70+2)+J76+MAX(0,J77-J76)+MAX(0,J78-J77)+MAX(0,J79-J78)+MAX(0,J80-J79)+MAX(0,J81-J80)),IF(B70=1,(H70/(B70+3)+J81),IF(B70=0,H70/4+J81))))</f>
        <v>7</v>
      </c>
    </row>
    <row r="83" spans="1:10" ht="15.75" hidden="1" customHeight="1" x14ac:dyDescent="0.3">
      <c r="A83" s="178" t="s">
        <v>143</v>
      </c>
      <c r="B83" s="179"/>
      <c r="C83" s="180" t="str">
        <f>D60</f>
        <v>B Wing = G + 1st to 20th Floor</v>
      </c>
      <c r="D83" s="181"/>
      <c r="E83" s="181"/>
      <c r="F83" s="181"/>
      <c r="G83" s="181"/>
      <c r="H83" s="182"/>
      <c r="I83" s="49" t="str">
        <f ca="1">IF(D96=100%,"All work Completed. Possession granted to the Building.",IF(D95=100%,"All work Completed, Waiting for OC",I84&amp;""&amp;I85&amp;""&amp;J84&amp;""&amp;J83&amp;" "&amp;J85))</f>
        <v xml:space="preserve">Excavation, Plinth, RCC Slab Completed </v>
      </c>
      <c r="J83" s="50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/>
      </c>
    </row>
    <row r="84" spans="1:10" hidden="1" x14ac:dyDescent="0.3">
      <c r="A84" s="17" t="s">
        <v>145</v>
      </c>
      <c r="B84" s="15">
        <v>0</v>
      </c>
      <c r="C84" s="46" t="s">
        <v>73</v>
      </c>
      <c r="D84" s="46">
        <v>1</v>
      </c>
      <c r="E84" s="46" t="s">
        <v>72</v>
      </c>
      <c r="F84" s="15">
        <v>0</v>
      </c>
      <c r="G84" s="47" t="s">
        <v>82</v>
      </c>
      <c r="H84" s="18">
        <f ca="1">--TRIM(RIGHT(SUBSTITUTE(LEFT(C83,_xlfn.AGGREGATE(16,6,FIND({0,1,2,3,4,5,6,7,8,9},C83,ROW(INDIRECT("1:"&amp;LEN(C83)))),1))," ",REPT(" ",LEN(C83))),LEN(C83)))</f>
        <v>20</v>
      </c>
      <c r="I84" s="51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</v>
      </c>
      <c r="J84" s="52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3.75" hidden="1" customHeight="1" x14ac:dyDescent="0.3">
      <c r="A85" s="80" t="s">
        <v>92</v>
      </c>
      <c r="B85" s="81"/>
      <c r="C85" s="82" t="str">
        <f ca="1">(IF($G$54="NA",I83,"All work Completed. OC Received."))</f>
        <v xml:space="preserve">Excavation, Plinth, RCC Slab Completed </v>
      </c>
      <c r="D85" s="82"/>
      <c r="E85" s="82"/>
      <c r="F85" s="82"/>
      <c r="G85" s="82"/>
      <c r="H85" s="83"/>
      <c r="I85" s="51" t="str">
        <f ca="1">IF(I84&lt;&gt;""," Completed","")</f>
        <v xml:space="preserve"> Completed</v>
      </c>
      <c r="J85" s="52" t="str">
        <f ca="1">IF(J83&lt;&gt;"","Completed","")</f>
        <v/>
      </c>
    </row>
    <row r="86" spans="1:10" ht="15.75" hidden="1" customHeight="1" x14ac:dyDescent="0.3">
      <c r="A86" s="84" t="s">
        <v>49</v>
      </c>
      <c r="B86" s="78"/>
      <c r="C86" s="42" t="s">
        <v>142</v>
      </c>
      <c r="D86" s="42" t="s">
        <v>85</v>
      </c>
      <c r="E86" s="78" t="s">
        <v>87</v>
      </c>
      <c r="F86" s="78"/>
      <c r="G86" s="78" t="s">
        <v>86</v>
      </c>
      <c r="H86" s="79"/>
      <c r="I86" s="14" t="s">
        <v>144</v>
      </c>
      <c r="J86" s="27">
        <f ca="1">H84*25%</f>
        <v>5</v>
      </c>
    </row>
    <row r="87" spans="1:10" hidden="1" x14ac:dyDescent="0.3">
      <c r="A87" s="84" t="s">
        <v>131</v>
      </c>
      <c r="B87" s="78"/>
      <c r="C87" s="42">
        <f ca="1">J88</f>
        <v>20</v>
      </c>
      <c r="D87" s="20">
        <f ca="1">((100/H84)*C87)/100</f>
        <v>1</v>
      </c>
      <c r="E87" s="72">
        <f ca="1">(((C88/H84*10)+(40/(D84+F84+H84)*C89)+(7.5/(H84)*C90)+(7.5/(H84)*C91)+(10/H84*C92)+(10/H84*C93)+(5/H84*C94)+(5/H84*C95)+(5/H84*C96))/100)</f>
        <v>0.5</v>
      </c>
      <c r="F87" s="166"/>
      <c r="G87" s="72">
        <f ca="1">((((C87/H84)*20)+((C88/H84)*25)+(30/(H84+F84+D84)*C89)+(5/H84*C90)+(5/H84*C91)+(5/H84*C92)+(5/H84*C93)+(0/H84*C94)+(0/H84*C95)+(5/H84*C96))/100)</f>
        <v>0.75</v>
      </c>
      <c r="H87" s="73"/>
      <c r="I87" s="14" t="s">
        <v>100</v>
      </c>
      <c r="J87" s="28">
        <f ca="1">H84*50%</f>
        <v>10</v>
      </c>
    </row>
    <row r="88" spans="1:10" hidden="1" x14ac:dyDescent="0.3">
      <c r="A88" s="84" t="s">
        <v>50</v>
      </c>
      <c r="B88" s="78"/>
      <c r="C88" s="42">
        <f ca="1">J96</f>
        <v>20</v>
      </c>
      <c r="D88" s="20">
        <f ca="1">((100/H84)*C88)/100</f>
        <v>1</v>
      </c>
      <c r="E88" s="74"/>
      <c r="F88" s="167"/>
      <c r="G88" s="74"/>
      <c r="H88" s="75"/>
      <c r="I88" s="14" t="s">
        <v>101</v>
      </c>
      <c r="J88" s="28">
        <f ca="1">H84</f>
        <v>20</v>
      </c>
    </row>
    <row r="89" spans="1:10" ht="15.75" hidden="1" customHeight="1" x14ac:dyDescent="0.3">
      <c r="A89" s="84" t="s">
        <v>132</v>
      </c>
      <c r="B89" s="78"/>
      <c r="C89" s="42">
        <f ca="1">D84+H84</f>
        <v>21</v>
      </c>
      <c r="D89" s="20">
        <f ca="1">((100/(D84+F84+H84))*C89)/100</f>
        <v>1</v>
      </c>
      <c r="E89" s="74"/>
      <c r="F89" s="167"/>
      <c r="G89" s="74"/>
      <c r="H89" s="75"/>
      <c r="I89" s="14" t="s">
        <v>102</v>
      </c>
      <c r="J89" s="29">
        <f ca="1">(IF(B84&gt;1,(H84/(B84+2)),H84/4))</f>
        <v>5</v>
      </c>
    </row>
    <row r="90" spans="1:10" ht="15.75" hidden="1" customHeight="1" x14ac:dyDescent="0.3">
      <c r="A90" s="84" t="s">
        <v>139</v>
      </c>
      <c r="B90" s="78" t="s">
        <v>133</v>
      </c>
      <c r="C90" s="42">
        <v>0</v>
      </c>
      <c r="D90" s="20">
        <f ca="1">((100/H84)*C90)/100</f>
        <v>0</v>
      </c>
      <c r="E90" s="74"/>
      <c r="F90" s="167"/>
      <c r="G90" s="74"/>
      <c r="H90" s="75"/>
      <c r="I90" s="14" t="s">
        <v>103</v>
      </c>
      <c r="J90" s="29">
        <f ca="1">(IF(B84&gt;1,(H84/(B84+2)+J89),H84/4+J89))</f>
        <v>10</v>
      </c>
    </row>
    <row r="91" spans="1:10" ht="15.75" hidden="1" customHeight="1" x14ac:dyDescent="0.3">
      <c r="A91" s="84" t="s">
        <v>140</v>
      </c>
      <c r="B91" s="78" t="s">
        <v>133</v>
      </c>
      <c r="C91" s="42">
        <v>0</v>
      </c>
      <c r="D91" s="20">
        <f ca="1">((100/H84)*C91)/100</f>
        <v>0</v>
      </c>
      <c r="E91" s="74"/>
      <c r="F91" s="167"/>
      <c r="G91" s="74"/>
      <c r="H91" s="75"/>
      <c r="I91" s="14" t="s">
        <v>150</v>
      </c>
      <c r="J91" s="29">
        <f>(IF(B84&gt;1,(H84/(B84+2)+J90),0))</f>
        <v>0</v>
      </c>
    </row>
    <row r="92" spans="1:10" ht="15" hidden="1" customHeight="1" x14ac:dyDescent="0.3">
      <c r="A92" s="84" t="s">
        <v>138</v>
      </c>
      <c r="B92" s="78" t="s">
        <v>135</v>
      </c>
      <c r="C92" s="42">
        <v>0</v>
      </c>
      <c r="D92" s="20">
        <f ca="1">((100/(H84))*C92)/100</f>
        <v>0</v>
      </c>
      <c r="E92" s="74"/>
      <c r="F92" s="167"/>
      <c r="G92" s="74"/>
      <c r="H92" s="75"/>
      <c r="I92" s="14" t="s">
        <v>146</v>
      </c>
      <c r="J92" s="29">
        <f>(IF(B84&gt;2,(H84/(B84+2)+J91),0))</f>
        <v>0</v>
      </c>
    </row>
    <row r="93" spans="1:10" ht="15.75" hidden="1" customHeight="1" x14ac:dyDescent="0.3">
      <c r="A93" s="84" t="s">
        <v>134</v>
      </c>
      <c r="B93" s="78" t="s">
        <v>134</v>
      </c>
      <c r="C93" s="42">
        <v>0</v>
      </c>
      <c r="D93" s="20">
        <f ca="1">((100/H84)*C93)/100</f>
        <v>0</v>
      </c>
      <c r="E93" s="74"/>
      <c r="F93" s="167"/>
      <c r="G93" s="74"/>
      <c r="H93" s="75"/>
      <c r="I93" s="14" t="s">
        <v>147</v>
      </c>
      <c r="J93" s="30">
        <f>(IF(B84&gt;3,(H84/(B84+2)+J92),0))</f>
        <v>0</v>
      </c>
    </row>
    <row r="94" spans="1:10" ht="15.75" hidden="1" customHeight="1" x14ac:dyDescent="0.3">
      <c r="A94" s="84" t="s">
        <v>141</v>
      </c>
      <c r="B94" s="78"/>
      <c r="C94" s="42">
        <v>0</v>
      </c>
      <c r="D94" s="20">
        <f ca="1">((100/H84)*C94)/100</f>
        <v>0</v>
      </c>
      <c r="E94" s="74"/>
      <c r="F94" s="167"/>
      <c r="G94" s="74"/>
      <c r="H94" s="75"/>
      <c r="I94" s="14" t="s">
        <v>148</v>
      </c>
      <c r="J94" s="29">
        <f>(IF(B84&gt;4,(H84/(B84+2)+J93),0))</f>
        <v>0</v>
      </c>
    </row>
    <row r="95" spans="1:10" ht="15.75" hidden="1" customHeight="1" x14ac:dyDescent="0.3">
      <c r="A95" s="84" t="s">
        <v>136</v>
      </c>
      <c r="B95" s="78" t="s">
        <v>136</v>
      </c>
      <c r="C95" s="42">
        <v>0</v>
      </c>
      <c r="D95" s="20">
        <f ca="1">((100/(H84))*C95)/100</f>
        <v>0</v>
      </c>
      <c r="E95" s="74"/>
      <c r="F95" s="167"/>
      <c r="G95" s="74"/>
      <c r="H95" s="75"/>
      <c r="I95" s="14" t="s">
        <v>151</v>
      </c>
      <c r="J95" s="29">
        <f ca="1">(IF(B84=1,(H84/(B84+3)+J90),IF(B84=0,(H84/4+J90),IF(B84&gt;1,0))))</f>
        <v>15</v>
      </c>
    </row>
    <row r="96" spans="1:10" ht="16.2" hidden="1" thickBot="1" x14ac:dyDescent="0.35">
      <c r="A96" s="169" t="s">
        <v>137</v>
      </c>
      <c r="B96" s="170"/>
      <c r="C96" s="43">
        <v>0</v>
      </c>
      <c r="D96" s="21">
        <f ca="1">((100/(H84))*C96)/100</f>
        <v>0</v>
      </c>
      <c r="E96" s="76"/>
      <c r="F96" s="168"/>
      <c r="G96" s="76"/>
      <c r="H96" s="77"/>
      <c r="I96" s="16" t="s">
        <v>104</v>
      </c>
      <c r="J96" s="31">
        <f ca="1">(IF(B84&gt;1.5,(H84/(B84+2)+J90+MAX(0,J91-J90)+MAX(0,J92-J91)+MAX(0,J93-J92)+MAX(0,J94-J93)+MAX(0,J95-J94)),IF(B84=1,(H84/(B84+3)+J95),IF(B84=0,H84/4+J95))))</f>
        <v>20</v>
      </c>
    </row>
    <row r="97" spans="1:11" ht="15.75" hidden="1" customHeight="1" x14ac:dyDescent="0.3">
      <c r="A97" s="161" t="s">
        <v>143</v>
      </c>
      <c r="B97" s="162"/>
      <c r="C97" s="163" t="str">
        <f>D61</f>
        <v>C Wing = G + 1st to 20th Floor</v>
      </c>
      <c r="D97" s="164"/>
      <c r="E97" s="164"/>
      <c r="F97" s="164"/>
      <c r="G97" s="164"/>
      <c r="H97" s="165"/>
      <c r="I97" s="49" t="str">
        <f ca="1">IF(D110=100%,"All work Completed. Possession granted to the Building.",IF(D109=100%,"All work Completed, Waiting for OC",I98&amp;""&amp;I99&amp;""&amp;J98&amp;""&amp;J97&amp;" "&amp;J99))</f>
        <v xml:space="preserve">Excavation, Plinth, RCC Slab Completed </v>
      </c>
      <c r="J97" s="50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/>
      </c>
    </row>
    <row r="98" spans="1:11" hidden="1" x14ac:dyDescent="0.3">
      <c r="A98" s="17" t="s">
        <v>145</v>
      </c>
      <c r="B98" s="15">
        <v>0</v>
      </c>
      <c r="C98" s="46" t="s">
        <v>73</v>
      </c>
      <c r="D98" s="46">
        <v>1</v>
      </c>
      <c r="E98" s="46" t="s">
        <v>72</v>
      </c>
      <c r="F98" s="15">
        <v>0</v>
      </c>
      <c r="G98" s="47" t="s">
        <v>82</v>
      </c>
      <c r="H98" s="18">
        <f ca="1">--TRIM(RIGHT(SUBSTITUTE(LEFT(C97,_xlfn.AGGREGATE(16,6,FIND({0,1,2,3,4,5,6,7,8,9},C97,ROW(INDIRECT("1:"&amp;LEN(C97)))),1))," ",REPT(" ",LEN(C97))),LEN(C97)))</f>
        <v>20</v>
      </c>
      <c r="I98" s="51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</v>
      </c>
      <c r="J98" s="52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1" ht="33" hidden="1" customHeight="1" x14ac:dyDescent="0.3">
      <c r="A99" s="80" t="s">
        <v>92</v>
      </c>
      <c r="B99" s="81"/>
      <c r="C99" s="82" t="str">
        <f ca="1">(IF($G$54="NA",I97,"All work Completed. OC Received."))</f>
        <v xml:space="preserve">Excavation, Plinth, RCC Slab Completed </v>
      </c>
      <c r="D99" s="82"/>
      <c r="E99" s="82"/>
      <c r="F99" s="82"/>
      <c r="G99" s="82"/>
      <c r="H99" s="83"/>
      <c r="I99" s="51" t="str">
        <f ca="1">IF(I98&lt;&gt;""," Completed","")</f>
        <v xml:space="preserve"> Completed</v>
      </c>
      <c r="J99" s="52" t="str">
        <f ca="1">IF(J97&lt;&gt;"","Completed","")</f>
        <v/>
      </c>
    </row>
    <row r="100" spans="1:11" ht="15.75" hidden="1" customHeight="1" x14ac:dyDescent="0.3">
      <c r="A100" s="84" t="s">
        <v>49</v>
      </c>
      <c r="B100" s="78"/>
      <c r="C100" s="42" t="s">
        <v>142</v>
      </c>
      <c r="D100" s="42" t="s">
        <v>85</v>
      </c>
      <c r="E100" s="78" t="s">
        <v>87</v>
      </c>
      <c r="F100" s="78"/>
      <c r="G100" s="78" t="s">
        <v>86</v>
      </c>
      <c r="H100" s="79"/>
      <c r="I100" s="14" t="s">
        <v>144</v>
      </c>
      <c r="J100" s="27">
        <f ca="1">H98*25%</f>
        <v>5</v>
      </c>
    </row>
    <row r="101" spans="1:11" hidden="1" x14ac:dyDescent="0.3">
      <c r="A101" s="84" t="s">
        <v>131</v>
      </c>
      <c r="B101" s="78"/>
      <c r="C101" s="42">
        <f ca="1">J102</f>
        <v>20</v>
      </c>
      <c r="D101" s="20">
        <f ca="1">((100/H98)*C101)/100</f>
        <v>1</v>
      </c>
      <c r="E101" s="72">
        <f ca="1">(((C102/H98*10)+(40/(D98+F98+H98)*C103)+(7.5/(H98)*C104)+(7.5/(H98)*C105)+(10/H98*C106)+(10/H98*C107)+(5/H98*C108)+(5/H98*C109)+(5/H98*C110))/100)</f>
        <v>0.5</v>
      </c>
      <c r="F101" s="166"/>
      <c r="G101" s="72">
        <f ca="1">((((C101/H98)*20)+((C102/H98)*25)+(30/(H98+F98+D98)*C103)+(5/H98*C104)+(5/H98*C105)+(5/H98*C106)+(5/H98*C107)+(0/H98*C108)+(0/H98*C109)+(5/H98*C110))/100)</f>
        <v>0.75</v>
      </c>
      <c r="H101" s="73"/>
      <c r="I101" s="14" t="s">
        <v>100</v>
      </c>
      <c r="J101" s="28">
        <f ca="1">H98*50%</f>
        <v>10</v>
      </c>
    </row>
    <row r="102" spans="1:11" hidden="1" x14ac:dyDescent="0.3">
      <c r="A102" s="84" t="s">
        <v>50</v>
      </c>
      <c r="B102" s="78"/>
      <c r="C102" s="42">
        <f ca="1">J110</f>
        <v>20</v>
      </c>
      <c r="D102" s="20">
        <f ca="1">((100/H98)*C102)/100</f>
        <v>1</v>
      </c>
      <c r="E102" s="74"/>
      <c r="F102" s="167"/>
      <c r="G102" s="74"/>
      <c r="H102" s="75"/>
      <c r="I102" s="14" t="s">
        <v>101</v>
      </c>
      <c r="J102" s="28">
        <f ca="1">H98</f>
        <v>20</v>
      </c>
    </row>
    <row r="103" spans="1:11" ht="15.75" hidden="1" customHeight="1" x14ac:dyDescent="0.3">
      <c r="A103" s="84" t="s">
        <v>132</v>
      </c>
      <c r="B103" s="78"/>
      <c r="C103" s="42">
        <f ca="1">D98+H98</f>
        <v>21</v>
      </c>
      <c r="D103" s="20">
        <f ca="1">((100/(D98+F98+H98))*C103)/100</f>
        <v>1</v>
      </c>
      <c r="E103" s="74"/>
      <c r="F103" s="167"/>
      <c r="G103" s="74"/>
      <c r="H103" s="75"/>
      <c r="I103" s="14" t="s">
        <v>102</v>
      </c>
      <c r="J103" s="29">
        <f ca="1">(IF(B98&gt;1,(H98/(B98+2)),H98/4))</f>
        <v>5</v>
      </c>
    </row>
    <row r="104" spans="1:11" ht="15.75" hidden="1" customHeight="1" x14ac:dyDescent="0.3">
      <c r="A104" s="84" t="s">
        <v>139</v>
      </c>
      <c r="B104" s="78" t="s">
        <v>133</v>
      </c>
      <c r="C104" s="42">
        <v>0</v>
      </c>
      <c r="D104" s="20">
        <f ca="1">((100/H98)*C104)/100</f>
        <v>0</v>
      </c>
      <c r="E104" s="74"/>
      <c r="F104" s="167"/>
      <c r="G104" s="74"/>
      <c r="H104" s="75"/>
      <c r="I104" s="14" t="s">
        <v>103</v>
      </c>
      <c r="J104" s="29">
        <f ca="1">(IF(B98&gt;1,(H98/(B98+2)+J103),H98/4+J103))</f>
        <v>10</v>
      </c>
    </row>
    <row r="105" spans="1:11" ht="15.75" hidden="1" customHeight="1" x14ac:dyDescent="0.3">
      <c r="A105" s="84" t="s">
        <v>140</v>
      </c>
      <c r="B105" s="78" t="s">
        <v>133</v>
      </c>
      <c r="C105" s="42">
        <v>0</v>
      </c>
      <c r="D105" s="20">
        <f ca="1">((100/H98)*C105)/100</f>
        <v>0</v>
      </c>
      <c r="E105" s="74"/>
      <c r="F105" s="167"/>
      <c r="G105" s="74"/>
      <c r="H105" s="75"/>
      <c r="I105" s="14" t="s">
        <v>150</v>
      </c>
      <c r="J105" s="29">
        <f>(IF(B98&gt;1,(H98/(B98+2)+J104),0))</f>
        <v>0</v>
      </c>
    </row>
    <row r="106" spans="1:11" ht="15" hidden="1" customHeight="1" x14ac:dyDescent="0.3">
      <c r="A106" s="84" t="s">
        <v>138</v>
      </c>
      <c r="B106" s="78" t="s">
        <v>135</v>
      </c>
      <c r="C106" s="42">
        <v>0</v>
      </c>
      <c r="D106" s="20">
        <f ca="1">((100/(H98))*C106)/100</f>
        <v>0</v>
      </c>
      <c r="E106" s="74"/>
      <c r="F106" s="167"/>
      <c r="G106" s="74"/>
      <c r="H106" s="75"/>
      <c r="I106" s="14" t="s">
        <v>146</v>
      </c>
      <c r="J106" s="29">
        <f>(IF(B98&gt;2,(H98/(B98+2)+J105),0))</f>
        <v>0</v>
      </c>
    </row>
    <row r="107" spans="1:11" ht="15.75" hidden="1" customHeight="1" x14ac:dyDescent="0.3">
      <c r="A107" s="84" t="s">
        <v>134</v>
      </c>
      <c r="B107" s="78" t="s">
        <v>134</v>
      </c>
      <c r="C107" s="42">
        <v>0</v>
      </c>
      <c r="D107" s="20">
        <f ca="1">((100/H98)*C107)/100</f>
        <v>0</v>
      </c>
      <c r="E107" s="74"/>
      <c r="F107" s="167"/>
      <c r="G107" s="74"/>
      <c r="H107" s="75"/>
      <c r="I107" s="14" t="s">
        <v>147</v>
      </c>
      <c r="J107" s="30">
        <f>(IF(B98&gt;3,(H98/(B98+2)+J106),0))</f>
        <v>0</v>
      </c>
    </row>
    <row r="108" spans="1:11" ht="15.75" hidden="1" customHeight="1" x14ac:dyDescent="0.3">
      <c r="A108" s="84" t="s">
        <v>141</v>
      </c>
      <c r="B108" s="78"/>
      <c r="C108" s="42">
        <v>0</v>
      </c>
      <c r="D108" s="20">
        <f ca="1">((100/H98)*C108)/100</f>
        <v>0</v>
      </c>
      <c r="E108" s="74"/>
      <c r="F108" s="167"/>
      <c r="G108" s="74"/>
      <c r="H108" s="75"/>
      <c r="I108" s="14" t="s">
        <v>148</v>
      </c>
      <c r="J108" s="29">
        <f>(IF(B98&gt;4,(H98/(B98+2)+J107),0))</f>
        <v>0</v>
      </c>
    </row>
    <row r="109" spans="1:11" ht="15.75" hidden="1" customHeight="1" x14ac:dyDescent="0.3">
      <c r="A109" s="84" t="s">
        <v>136</v>
      </c>
      <c r="B109" s="78" t="s">
        <v>136</v>
      </c>
      <c r="C109" s="42">
        <v>0</v>
      </c>
      <c r="D109" s="20">
        <f ca="1">((100/(H98))*C109)/100</f>
        <v>0</v>
      </c>
      <c r="E109" s="74"/>
      <c r="F109" s="167"/>
      <c r="G109" s="74"/>
      <c r="H109" s="75"/>
      <c r="I109" s="14" t="s">
        <v>151</v>
      </c>
      <c r="J109" s="29">
        <f ca="1">(IF(B98=1,(H98/(B98+3)+J104),IF(B98=0,(H98/4+J104),IF(B98&gt;1,0))))</f>
        <v>15</v>
      </c>
    </row>
    <row r="110" spans="1:11" ht="16.2" hidden="1" thickBot="1" x14ac:dyDescent="0.35">
      <c r="A110" s="169" t="s">
        <v>137</v>
      </c>
      <c r="B110" s="170"/>
      <c r="C110" s="43">
        <v>0</v>
      </c>
      <c r="D110" s="21">
        <f ca="1">((100/(H98))*C110)/100</f>
        <v>0</v>
      </c>
      <c r="E110" s="76"/>
      <c r="F110" s="168"/>
      <c r="G110" s="76"/>
      <c r="H110" s="77"/>
      <c r="I110" s="16" t="s">
        <v>104</v>
      </c>
      <c r="J110" s="31">
        <f ca="1">(IF(B98&gt;1.5,(H98/(B98+2)+J104+MAX(0,J105-J104)+MAX(0,J106-J105)+MAX(0,J107-J106)+MAX(0,J108-J107)+MAX(0,J109-J108)),IF(B98=1,(H98/(B98+3)+J109),IF(B98=0,H98/4+J109))))</f>
        <v>20</v>
      </c>
    </row>
    <row r="111" spans="1:11" x14ac:dyDescent="0.3">
      <c r="A111" s="86" t="s">
        <v>163</v>
      </c>
      <c r="B111" s="86"/>
      <c r="C111" s="86"/>
      <c r="D111" s="86"/>
      <c r="E111" s="86"/>
      <c r="F111" s="171" t="s">
        <v>168</v>
      </c>
      <c r="G111" s="171"/>
      <c r="H111" s="171"/>
    </row>
    <row r="112" spans="1:11" x14ac:dyDescent="0.3">
      <c r="A112" s="87" t="s">
        <v>166</v>
      </c>
      <c r="B112" s="87"/>
      <c r="C112" s="87"/>
      <c r="D112" s="87"/>
      <c r="E112" s="87"/>
      <c r="F112" s="183">
        <v>8000</v>
      </c>
      <c r="G112" s="183"/>
      <c r="H112" s="183"/>
      <c r="I112" s="60" t="s">
        <v>207</v>
      </c>
      <c r="J112" s="60" t="s">
        <v>208</v>
      </c>
      <c r="K112" s="61">
        <v>45287</v>
      </c>
    </row>
    <row r="113" spans="1:8" hidden="1" x14ac:dyDescent="0.3">
      <c r="A113" s="87" t="s">
        <v>165</v>
      </c>
      <c r="B113" s="87"/>
      <c r="C113" s="87"/>
      <c r="D113" s="87"/>
      <c r="E113" s="87"/>
      <c r="F113" s="85"/>
      <c r="G113" s="85"/>
      <c r="H113" s="85"/>
    </row>
    <row r="114" spans="1:8" hidden="1" x14ac:dyDescent="0.3">
      <c r="A114" s="87" t="s">
        <v>167</v>
      </c>
      <c r="B114" s="87"/>
      <c r="C114" s="87"/>
      <c r="D114" s="87"/>
      <c r="E114" s="87"/>
      <c r="F114" s="85"/>
      <c r="G114" s="85"/>
      <c r="H114" s="85"/>
    </row>
    <row r="115" spans="1:8" s="32" customFormat="1" hidden="1" x14ac:dyDescent="0.25">
      <c r="A115" s="87" t="s">
        <v>164</v>
      </c>
      <c r="B115" s="87"/>
      <c r="C115" s="87"/>
      <c r="D115" s="87"/>
      <c r="E115" s="87"/>
      <c r="F115" s="85"/>
      <c r="G115" s="85"/>
      <c r="H115" s="85"/>
    </row>
    <row r="116" spans="1:8" s="32" customFormat="1" x14ac:dyDescent="0.25">
      <c r="A116" s="87" t="s">
        <v>97</v>
      </c>
      <c r="B116" s="87"/>
      <c r="C116" s="87"/>
      <c r="D116" s="87"/>
      <c r="E116" s="87"/>
      <c r="F116" s="85">
        <v>300000</v>
      </c>
      <c r="G116" s="85"/>
      <c r="H116" s="85"/>
    </row>
    <row r="117" spans="1:8" s="32" customFormat="1" x14ac:dyDescent="0.25">
      <c r="A117" s="87" t="s">
        <v>204</v>
      </c>
      <c r="B117" s="87"/>
      <c r="C117" s="87"/>
      <c r="D117" s="87"/>
      <c r="E117" s="87"/>
      <c r="F117" s="85">
        <v>100000</v>
      </c>
      <c r="G117" s="85"/>
      <c r="H117" s="85"/>
    </row>
    <row r="118" spans="1:8" s="32" customFormat="1" x14ac:dyDescent="0.25">
      <c r="A118" s="87" t="s">
        <v>196</v>
      </c>
      <c r="B118" s="87"/>
      <c r="C118" s="87"/>
      <c r="D118" s="87"/>
      <c r="E118" s="87"/>
      <c r="F118" s="85">
        <v>40000</v>
      </c>
      <c r="G118" s="85"/>
      <c r="H118" s="85"/>
    </row>
    <row r="119" spans="1:8" s="32" customFormat="1" x14ac:dyDescent="0.25">
      <c r="A119" s="87" t="s">
        <v>195</v>
      </c>
      <c r="B119" s="87"/>
      <c r="C119" s="87"/>
      <c r="D119" s="87"/>
      <c r="E119" s="87"/>
      <c r="F119" s="85">
        <v>50000</v>
      </c>
      <c r="G119" s="85"/>
      <c r="H119" s="85"/>
    </row>
    <row r="120" spans="1:8" s="32" customFormat="1" x14ac:dyDescent="0.25">
      <c r="A120" s="87" t="s">
        <v>98</v>
      </c>
      <c r="B120" s="87"/>
      <c r="C120" s="87"/>
      <c r="D120" s="87"/>
      <c r="E120" s="87"/>
      <c r="F120" s="85">
        <v>75000</v>
      </c>
      <c r="G120" s="85"/>
      <c r="H120" s="85"/>
    </row>
    <row r="121" spans="1:8" s="32" customFormat="1" hidden="1" x14ac:dyDescent="0.25">
      <c r="A121" s="87" t="s">
        <v>99</v>
      </c>
      <c r="B121" s="87"/>
      <c r="C121" s="87"/>
      <c r="D121" s="87"/>
      <c r="E121" s="87"/>
      <c r="F121" s="85"/>
      <c r="G121" s="85"/>
      <c r="H121" s="85"/>
    </row>
    <row r="122" spans="1:8" x14ac:dyDescent="0.3">
      <c r="A122" s="87" t="s">
        <v>51</v>
      </c>
      <c r="B122" s="87"/>
      <c r="C122" s="87"/>
      <c r="D122" s="87"/>
      <c r="E122" s="87"/>
      <c r="F122" s="85">
        <v>400000</v>
      </c>
      <c r="G122" s="85"/>
      <c r="H122" s="85"/>
    </row>
    <row r="123" spans="1:8" s="33" customFormat="1" x14ac:dyDescent="0.3">
      <c r="A123" s="117" t="s">
        <v>52</v>
      </c>
      <c r="B123" s="117"/>
      <c r="C123" s="117"/>
      <c r="D123" s="117"/>
      <c r="E123" s="117"/>
      <c r="F123" s="85">
        <f>F112*0.8</f>
        <v>6400</v>
      </c>
      <c r="G123" s="85"/>
      <c r="H123" s="85"/>
    </row>
    <row r="124" spans="1:8" s="34" customFormat="1" ht="15.75" hidden="1" customHeight="1" x14ac:dyDescent="0.3">
      <c r="A124" s="107" t="s">
        <v>77</v>
      </c>
      <c r="B124" s="107"/>
      <c r="C124" s="107"/>
      <c r="D124" s="107"/>
      <c r="E124" s="107"/>
      <c r="F124" s="107"/>
      <c r="G124" s="107"/>
      <c r="H124" s="107"/>
    </row>
    <row r="125" spans="1:8" s="34" customFormat="1" ht="15.75" hidden="1" customHeight="1" x14ac:dyDescent="0.3">
      <c r="A125" s="112" t="s">
        <v>53</v>
      </c>
      <c r="B125" s="112"/>
      <c r="C125" s="109" t="s">
        <v>80</v>
      </c>
      <c r="D125" s="109"/>
      <c r="E125" s="108" t="s">
        <v>54</v>
      </c>
      <c r="F125" s="108"/>
      <c r="G125" s="112" t="s">
        <v>55</v>
      </c>
      <c r="H125" s="112"/>
    </row>
    <row r="126" spans="1:8" s="34" customFormat="1" hidden="1" x14ac:dyDescent="0.3">
      <c r="A126" s="113"/>
      <c r="B126" s="113"/>
      <c r="C126" s="114"/>
      <c r="D126" s="114"/>
      <c r="E126" s="157"/>
      <c r="F126" s="157"/>
      <c r="G126" s="158"/>
      <c r="H126" s="158"/>
    </row>
    <row r="127" spans="1:8" s="34" customFormat="1" hidden="1" x14ac:dyDescent="0.3">
      <c r="A127" s="113"/>
      <c r="B127" s="113"/>
      <c r="C127" s="114"/>
      <c r="D127" s="114"/>
      <c r="E127" s="157"/>
      <c r="F127" s="157"/>
      <c r="G127" s="158"/>
      <c r="H127" s="158"/>
    </row>
    <row r="128" spans="1:8" s="34" customFormat="1" hidden="1" x14ac:dyDescent="0.3">
      <c r="A128" s="107" t="s">
        <v>156</v>
      </c>
      <c r="B128" s="107"/>
      <c r="C128" s="109"/>
      <c r="D128" s="109"/>
      <c r="E128" s="108"/>
      <c r="F128" s="108"/>
      <c r="G128" s="112"/>
      <c r="H128" s="112"/>
    </row>
    <row r="129" spans="1:14" s="34" customFormat="1" x14ac:dyDescent="0.3">
      <c r="A129" s="107" t="s">
        <v>71</v>
      </c>
      <c r="B129" s="107"/>
      <c r="C129" s="107"/>
      <c r="D129" s="107"/>
      <c r="E129" s="107"/>
      <c r="F129" s="107"/>
      <c r="G129" s="107"/>
      <c r="H129" s="107"/>
    </row>
    <row r="130" spans="1:14" s="34" customFormat="1" ht="15.75" customHeight="1" x14ac:dyDescent="0.3">
      <c r="A130" s="112" t="s">
        <v>53</v>
      </c>
      <c r="B130" s="112"/>
      <c r="C130" s="109" t="s">
        <v>80</v>
      </c>
      <c r="D130" s="109"/>
      <c r="E130" s="108" t="s">
        <v>54</v>
      </c>
      <c r="F130" s="108"/>
      <c r="G130" s="112" t="s">
        <v>55</v>
      </c>
      <c r="H130" s="112"/>
    </row>
    <row r="131" spans="1:14" s="34" customFormat="1" x14ac:dyDescent="0.3">
      <c r="A131" s="113" t="s">
        <v>191</v>
      </c>
      <c r="B131" s="113"/>
      <c r="C131" s="184">
        <f>COUNT(D147:D150)+COUNT(D152:D155)*4+COUNT(D157:D160)*2</f>
        <v>28</v>
      </c>
      <c r="D131" s="184"/>
      <c r="E131" s="110">
        <f>SUM(D147:D150)+SUM(D152:D155)*4+SUM(D157:D160)*2</f>
        <v>11501.333999999999</v>
      </c>
      <c r="F131" s="110"/>
      <c r="G131" s="110">
        <f>SUM(F147:F150)+SUM(F152:F155)*4+SUM(F157:F160)*2</f>
        <v>18480</v>
      </c>
      <c r="H131" s="110"/>
    </row>
    <row r="132" spans="1:14" s="34" customFormat="1" hidden="1" x14ac:dyDescent="0.3">
      <c r="A132" s="113"/>
      <c r="B132" s="113"/>
      <c r="C132" s="114"/>
      <c r="D132" s="114"/>
      <c r="E132" s="157"/>
      <c r="F132" s="157"/>
      <c r="G132" s="158"/>
      <c r="H132" s="158"/>
    </row>
    <row r="133" spans="1:14" s="34" customFormat="1" hidden="1" x14ac:dyDescent="0.3">
      <c r="A133" s="107" t="s">
        <v>156</v>
      </c>
      <c r="B133" s="107"/>
      <c r="C133" s="109"/>
      <c r="D133" s="109"/>
      <c r="E133" s="108"/>
      <c r="F133" s="108"/>
      <c r="G133" s="112"/>
      <c r="H133" s="112"/>
    </row>
    <row r="134" spans="1:14" s="33" customFormat="1" x14ac:dyDescent="0.3">
      <c r="A134" s="111" t="s">
        <v>56</v>
      </c>
      <c r="B134" s="111"/>
      <c r="C134" s="111"/>
      <c r="D134" s="111"/>
      <c r="E134" s="111"/>
      <c r="F134" s="111"/>
      <c r="G134" s="111"/>
      <c r="H134" s="111"/>
    </row>
    <row r="135" spans="1:14" x14ac:dyDescent="0.3">
      <c r="A135" s="111" t="s">
        <v>57</v>
      </c>
      <c r="B135" s="111"/>
      <c r="C135" s="111"/>
      <c r="D135" s="111"/>
      <c r="E135" s="111"/>
      <c r="F135" s="111"/>
      <c r="G135" s="111"/>
      <c r="H135" s="111"/>
    </row>
    <row r="136" spans="1:14" ht="47.25" hidden="1" customHeight="1" x14ac:dyDescent="0.3">
      <c r="A136" s="99" t="s">
        <v>121</v>
      </c>
      <c r="B136" s="99" t="s">
        <v>120</v>
      </c>
      <c r="C136" s="99" t="s">
        <v>58</v>
      </c>
      <c r="D136" s="99" t="s">
        <v>59</v>
      </c>
      <c r="E136" s="145" t="s">
        <v>162</v>
      </c>
      <c r="F136" s="41" t="s">
        <v>155</v>
      </c>
      <c r="G136" s="147" t="s">
        <v>61</v>
      </c>
      <c r="H136" s="148"/>
    </row>
    <row r="137" spans="1:14" s="48" customFormat="1" hidden="1" x14ac:dyDescent="0.3">
      <c r="A137" s="100"/>
      <c r="B137" s="100"/>
      <c r="C137" s="100"/>
      <c r="D137" s="100"/>
      <c r="E137" s="146"/>
      <c r="F137" s="13">
        <v>0.6</v>
      </c>
      <c r="G137" s="149"/>
      <c r="H137" s="150"/>
    </row>
    <row r="138" spans="1:14" s="48" customFormat="1" hidden="1" x14ac:dyDescent="0.3">
      <c r="A138" s="104" t="s">
        <v>119</v>
      </c>
      <c r="B138" s="105"/>
      <c r="C138" s="105"/>
      <c r="D138" s="105"/>
      <c r="E138" s="105"/>
      <c r="F138" s="105"/>
      <c r="G138" s="105"/>
      <c r="H138" s="106"/>
      <c r="J138" s="35"/>
    </row>
    <row r="139" spans="1:14" s="48" customFormat="1" hidden="1" x14ac:dyDescent="0.3">
      <c r="A139" s="101">
        <v>1</v>
      </c>
      <c r="B139" s="102"/>
      <c r="C139" s="40"/>
      <c r="D139" s="40"/>
      <c r="E139" s="40">
        <v>0</v>
      </c>
      <c r="F139" s="40">
        <f>(D139+E139)*(($F$137)+1)</f>
        <v>0</v>
      </c>
      <c r="G139" s="101" t="str">
        <f>A138</f>
        <v>Ground Floor</v>
      </c>
      <c r="H139" s="102"/>
      <c r="I139" s="35"/>
      <c r="L139" s="103"/>
      <c r="M139" s="103"/>
      <c r="N139" s="35"/>
    </row>
    <row r="140" spans="1:14" s="48" customFormat="1" hidden="1" x14ac:dyDescent="0.3">
      <c r="A140" s="101">
        <f>A139+1</f>
        <v>2</v>
      </c>
      <c r="B140" s="102"/>
      <c r="C140" s="40"/>
      <c r="D140" s="40"/>
      <c r="E140" s="40">
        <v>0</v>
      </c>
      <c r="F140" s="40">
        <f>(D140+E140)*(($F$137)+1)</f>
        <v>0</v>
      </c>
      <c r="G140" s="101" t="str">
        <f>G139</f>
        <v>Ground Floor</v>
      </c>
      <c r="H140" s="102"/>
      <c r="I140" s="35"/>
      <c r="L140" s="103"/>
      <c r="M140" s="103"/>
      <c r="N140" s="35"/>
    </row>
    <row r="141" spans="1:14" s="48" customFormat="1" hidden="1" x14ac:dyDescent="0.3">
      <c r="A141" s="101">
        <f>A140+1</f>
        <v>3</v>
      </c>
      <c r="B141" s="102"/>
      <c r="C141" s="40"/>
      <c r="D141" s="40"/>
      <c r="E141" s="40">
        <v>0</v>
      </c>
      <c r="F141" s="40">
        <f>(D141+E141)*(($F$137)+1)</f>
        <v>0</v>
      </c>
      <c r="G141" s="101" t="str">
        <f>G140</f>
        <v>Ground Floor</v>
      </c>
      <c r="H141" s="102"/>
      <c r="I141" s="35"/>
      <c r="L141" s="103"/>
      <c r="M141" s="103"/>
      <c r="N141" s="35"/>
    </row>
    <row r="142" spans="1:14" s="48" customFormat="1" hidden="1" x14ac:dyDescent="0.3">
      <c r="A142" s="101">
        <f>A141+1</f>
        <v>4</v>
      </c>
      <c r="B142" s="102"/>
      <c r="C142" s="40"/>
      <c r="D142" s="40"/>
      <c r="E142" s="40">
        <v>0</v>
      </c>
      <c r="F142" s="40">
        <f>(D142+E142)*(($F$137)+1)</f>
        <v>0</v>
      </c>
      <c r="G142" s="101" t="str">
        <f>G141</f>
        <v>Ground Floor</v>
      </c>
      <c r="H142" s="102"/>
      <c r="I142" s="35"/>
      <c r="L142" s="103"/>
      <c r="M142" s="103"/>
      <c r="N142" s="35"/>
    </row>
    <row r="143" spans="1:14" s="48" customFormat="1" hidden="1" x14ac:dyDescent="0.3">
      <c r="A143" s="101"/>
      <c r="B143" s="141"/>
      <c r="C143" s="141"/>
      <c r="D143" s="141"/>
      <c r="E143" s="141"/>
      <c r="F143" s="141"/>
      <c r="G143" s="141"/>
      <c r="H143" s="102"/>
      <c r="I143" s="35"/>
      <c r="N143" s="35"/>
    </row>
    <row r="144" spans="1:14" ht="47.25" customHeight="1" x14ac:dyDescent="0.3">
      <c r="A144" s="54" t="s">
        <v>122</v>
      </c>
      <c r="B144" s="54" t="s">
        <v>123</v>
      </c>
      <c r="C144" s="41" t="s">
        <v>58</v>
      </c>
      <c r="D144" s="41" t="s">
        <v>59</v>
      </c>
      <c r="E144" s="53" t="s">
        <v>60</v>
      </c>
      <c r="F144" s="41" t="s">
        <v>194</v>
      </c>
      <c r="G144" s="147" t="s">
        <v>61</v>
      </c>
      <c r="H144" s="148"/>
      <c r="I144" s="35"/>
    </row>
    <row r="145" spans="1:14" s="48" customFormat="1" x14ac:dyDescent="0.3">
      <c r="A145" s="104" t="s">
        <v>187</v>
      </c>
      <c r="B145" s="105"/>
      <c r="C145" s="105"/>
      <c r="D145" s="105"/>
      <c r="E145" s="105"/>
      <c r="F145" s="105"/>
      <c r="G145" s="105"/>
      <c r="H145" s="106"/>
      <c r="J145" s="56">
        <v>10.763999999999999</v>
      </c>
    </row>
    <row r="146" spans="1:14" s="48" customFormat="1" x14ac:dyDescent="0.3">
      <c r="A146" s="104" t="s">
        <v>188</v>
      </c>
      <c r="B146" s="105"/>
      <c r="C146" s="105"/>
      <c r="D146" s="105"/>
      <c r="E146" s="105"/>
      <c r="F146" s="105"/>
      <c r="G146" s="105"/>
      <c r="H146" s="106"/>
      <c r="J146" s="35"/>
    </row>
    <row r="147" spans="1:14" s="48" customFormat="1" ht="15.75" customHeight="1" x14ac:dyDescent="0.3">
      <c r="A147" s="101">
        <v>1</v>
      </c>
      <c r="B147" s="102"/>
      <c r="C147" s="40" t="s">
        <v>189</v>
      </c>
      <c r="D147" s="56">
        <f>(29.97+7.66)*10.764</f>
        <v>405.04931999999991</v>
      </c>
      <c r="E147" s="40">
        <v>0</v>
      </c>
      <c r="F147" s="40">
        <v>665</v>
      </c>
      <c r="G147" s="151" t="str">
        <f>A146</f>
        <v>1st Floor For Residential</v>
      </c>
      <c r="H147" s="152"/>
      <c r="I147" s="65">
        <f>4*2.72+2.45*1.95+2.75*3.05+1.45*1.23+1*1.2+1.1*0.6+0.9*1.45</f>
        <v>28.993500000000001</v>
      </c>
      <c r="J147" s="48">
        <f>9000*F147</f>
        <v>5985000</v>
      </c>
      <c r="K147" s="48">
        <f>5000000/F147</f>
        <v>7518.7969924812032</v>
      </c>
      <c r="L147" s="103">
        <f>7600*F147</f>
        <v>5054000</v>
      </c>
      <c r="M147" s="103"/>
      <c r="N147" s="65">
        <f>1*(2.72+3.05)+1.45*1.3</f>
        <v>7.6549999999999994</v>
      </c>
    </row>
    <row r="148" spans="1:14" s="48" customFormat="1" ht="15.75" customHeight="1" x14ac:dyDescent="0.3">
      <c r="A148" s="101">
        <f>A147+1</f>
        <v>2</v>
      </c>
      <c r="B148" s="102"/>
      <c r="C148" s="40" t="s">
        <v>189</v>
      </c>
      <c r="D148" s="56">
        <f>(31.66+8.1)*10.764</f>
        <v>427.97663999999997</v>
      </c>
      <c r="E148" s="40">
        <v>0</v>
      </c>
      <c r="F148" s="40">
        <v>675</v>
      </c>
      <c r="G148" s="153"/>
      <c r="H148" s="154"/>
      <c r="I148" s="35"/>
      <c r="J148" s="48">
        <f>3900000/F148</f>
        <v>5777.7777777777774</v>
      </c>
      <c r="L148" s="103">
        <f t="shared" ref="L148:L150" si="0">7500*F148</f>
        <v>5062500</v>
      </c>
      <c r="M148" s="103"/>
      <c r="N148" s="35"/>
    </row>
    <row r="149" spans="1:14" s="48" customFormat="1" ht="15.75" customHeight="1" x14ac:dyDescent="0.3">
      <c r="A149" s="101">
        <f>A148+1</f>
        <v>3</v>
      </c>
      <c r="B149" s="102"/>
      <c r="C149" s="40" t="s">
        <v>189</v>
      </c>
      <c r="D149" s="56">
        <f>(29.98+7.66)*10.764</f>
        <v>405.15695999999997</v>
      </c>
      <c r="E149" s="40">
        <v>0</v>
      </c>
      <c r="F149" s="40">
        <v>665</v>
      </c>
      <c r="G149" s="153"/>
      <c r="H149" s="154"/>
      <c r="I149" s="65">
        <f>F149/D149</f>
        <v>1.6413391985170391</v>
      </c>
      <c r="L149" s="103">
        <f t="shared" si="0"/>
        <v>4987500</v>
      </c>
      <c r="M149" s="103"/>
      <c r="N149" s="35"/>
    </row>
    <row r="150" spans="1:14" s="48" customFormat="1" ht="15.75" customHeight="1" x14ac:dyDescent="0.3">
      <c r="A150" s="101">
        <f>A149+1</f>
        <v>4</v>
      </c>
      <c r="B150" s="102"/>
      <c r="C150" s="40" t="s">
        <v>189</v>
      </c>
      <c r="D150" s="56">
        <f>(29.97+7.66)*10.764</f>
        <v>405.04931999999991</v>
      </c>
      <c r="E150" s="40">
        <v>0</v>
      </c>
      <c r="F150" s="40">
        <v>635</v>
      </c>
      <c r="G150" s="155"/>
      <c r="H150" s="156"/>
      <c r="I150" s="65">
        <f>F150/D150</f>
        <v>1.5677103222886539</v>
      </c>
      <c r="L150" s="103">
        <f t="shared" si="0"/>
        <v>4762500</v>
      </c>
      <c r="M150" s="103"/>
      <c r="N150" s="35"/>
    </row>
    <row r="151" spans="1:14" s="48" customFormat="1" x14ac:dyDescent="0.3">
      <c r="A151" s="143" t="s">
        <v>149</v>
      </c>
      <c r="B151" s="143"/>
      <c r="C151" s="143"/>
      <c r="D151" s="143"/>
      <c r="E151" s="143"/>
      <c r="F151" s="143"/>
      <c r="G151" s="143"/>
      <c r="H151" s="143"/>
      <c r="J151" s="35"/>
    </row>
    <row r="152" spans="1:14" s="48" customFormat="1" ht="15.75" customHeight="1" x14ac:dyDescent="0.3">
      <c r="A152" s="144">
        <v>1</v>
      </c>
      <c r="B152" s="144"/>
      <c r="C152" s="40" t="s">
        <v>189</v>
      </c>
      <c r="D152" s="56">
        <f>(29.97+7.66)*10.764</f>
        <v>405.04931999999991</v>
      </c>
      <c r="E152" s="40">
        <v>0</v>
      </c>
      <c r="F152" s="40">
        <v>665</v>
      </c>
      <c r="G152" s="144" t="str">
        <f>A151</f>
        <v>2nd to 5th Floor</v>
      </c>
      <c r="H152" s="144"/>
      <c r="I152" s="35">
        <f>4*2.725+2.45*1.95+2.75*3.05+1.45*1.225+1*1.2+1.45*1.3+1.825*0.9</f>
        <v>30.568750000000001</v>
      </c>
      <c r="J152" s="48">
        <f>F152/D152</f>
        <v>1.6417753768849683</v>
      </c>
      <c r="L152" s="103"/>
      <c r="M152" s="103"/>
      <c r="N152" s="35"/>
    </row>
    <row r="153" spans="1:14" s="48" customFormat="1" ht="15.75" customHeight="1" x14ac:dyDescent="0.3">
      <c r="A153" s="144">
        <f>A152+1</f>
        <v>2</v>
      </c>
      <c r="B153" s="144"/>
      <c r="C153" s="40" t="s">
        <v>189</v>
      </c>
      <c r="D153" s="56">
        <f>(31.66+8.1)*10.764</f>
        <v>427.97663999999997</v>
      </c>
      <c r="E153" s="40">
        <v>0</v>
      </c>
      <c r="F153" s="40">
        <v>675</v>
      </c>
      <c r="G153" s="144"/>
      <c r="H153" s="144"/>
      <c r="I153" s="35">
        <f>6000*F153</f>
        <v>4050000</v>
      </c>
      <c r="L153" s="103"/>
      <c r="M153" s="103"/>
      <c r="N153" s="35"/>
    </row>
    <row r="154" spans="1:14" s="48" customFormat="1" ht="15.75" customHeight="1" x14ac:dyDescent="0.3">
      <c r="A154" s="144">
        <f>A153+1</f>
        <v>3</v>
      </c>
      <c r="B154" s="144"/>
      <c r="C154" s="40" t="s">
        <v>189</v>
      </c>
      <c r="D154" s="56">
        <f>(29.98+7.66)*10.764</f>
        <v>405.15695999999997</v>
      </c>
      <c r="E154" s="40">
        <v>0</v>
      </c>
      <c r="F154" s="40">
        <v>665</v>
      </c>
      <c r="G154" s="144"/>
      <c r="H154" s="144"/>
      <c r="I154" s="35">
        <f t="shared" ref="I154:I155" si="1">6000*F154</f>
        <v>3990000</v>
      </c>
      <c r="L154" s="103"/>
      <c r="M154" s="103"/>
      <c r="N154" s="35"/>
    </row>
    <row r="155" spans="1:14" s="48" customFormat="1" ht="15.75" customHeight="1" x14ac:dyDescent="0.3">
      <c r="A155" s="144">
        <f>A154+1</f>
        <v>4</v>
      </c>
      <c r="B155" s="144"/>
      <c r="C155" s="40" t="s">
        <v>189</v>
      </c>
      <c r="D155" s="56">
        <f>(29.97+7.66)*10.764</f>
        <v>405.04931999999991</v>
      </c>
      <c r="E155" s="40">
        <v>0</v>
      </c>
      <c r="F155" s="40">
        <v>635</v>
      </c>
      <c r="G155" s="144"/>
      <c r="H155" s="144"/>
      <c r="I155" s="35">
        <f t="shared" si="1"/>
        <v>3810000</v>
      </c>
      <c r="J155" s="48">
        <f>1.45*1.3+1*(2.72+3.05)</f>
        <v>7.6549999999999994</v>
      </c>
      <c r="L155" s="103"/>
      <c r="M155" s="103"/>
      <c r="N155" s="35"/>
    </row>
    <row r="156" spans="1:14" s="48" customFormat="1" x14ac:dyDescent="0.3">
      <c r="A156" s="143" t="s">
        <v>225</v>
      </c>
      <c r="B156" s="143"/>
      <c r="C156" s="143"/>
      <c r="D156" s="143"/>
      <c r="E156" s="143"/>
      <c r="F156" s="143"/>
      <c r="G156" s="143"/>
      <c r="H156" s="143"/>
      <c r="J156" s="35"/>
    </row>
    <row r="157" spans="1:14" s="48" customFormat="1" ht="15.75" customHeight="1" x14ac:dyDescent="0.3">
      <c r="A157" s="144">
        <v>1</v>
      </c>
      <c r="B157" s="144"/>
      <c r="C157" s="40" t="s">
        <v>189</v>
      </c>
      <c r="D157" s="56">
        <f>(29.97+7.66)*10.764</f>
        <v>405.04931999999991</v>
      </c>
      <c r="E157" s="40">
        <v>0</v>
      </c>
      <c r="F157" s="40">
        <v>665</v>
      </c>
      <c r="G157" s="144" t="str">
        <f>A156</f>
        <v>6th &amp; 7th Floor</v>
      </c>
      <c r="H157" s="144"/>
      <c r="I157" s="35"/>
      <c r="L157" s="103"/>
      <c r="M157" s="103"/>
      <c r="N157" s="35"/>
    </row>
    <row r="158" spans="1:14" s="48" customFormat="1" ht="15.75" customHeight="1" x14ac:dyDescent="0.3">
      <c r="A158" s="144">
        <f>A157+1</f>
        <v>2</v>
      </c>
      <c r="B158" s="144"/>
      <c r="C158" s="40" t="s">
        <v>189</v>
      </c>
      <c r="D158" s="56">
        <f>(31.66+8.1)*10.764</f>
        <v>427.97663999999997</v>
      </c>
      <c r="E158" s="40">
        <v>0</v>
      </c>
      <c r="F158" s="40">
        <v>675</v>
      </c>
      <c r="G158" s="144"/>
      <c r="H158" s="144"/>
      <c r="I158" s="35"/>
      <c r="L158" s="103"/>
      <c r="M158" s="103"/>
      <c r="N158" s="35"/>
    </row>
    <row r="159" spans="1:14" s="48" customFormat="1" ht="15.75" customHeight="1" x14ac:dyDescent="0.3">
      <c r="A159" s="144">
        <f>A158+1</f>
        <v>3</v>
      </c>
      <c r="B159" s="144"/>
      <c r="C159" s="40" t="s">
        <v>189</v>
      </c>
      <c r="D159" s="56">
        <f>(29.98+7.66)*10.764</f>
        <v>405.15695999999997</v>
      </c>
      <c r="E159" s="40">
        <v>0</v>
      </c>
      <c r="F159" s="40">
        <v>665</v>
      </c>
      <c r="G159" s="144"/>
      <c r="H159" s="144"/>
      <c r="I159" s="35"/>
      <c r="L159" s="103"/>
      <c r="M159" s="103"/>
      <c r="N159" s="35"/>
    </row>
    <row r="160" spans="1:14" s="48" customFormat="1" ht="15.75" customHeight="1" x14ac:dyDescent="0.3">
      <c r="A160" s="144">
        <f>A159+1</f>
        <v>4</v>
      </c>
      <c r="B160" s="144"/>
      <c r="C160" s="40" t="s">
        <v>189</v>
      </c>
      <c r="D160" s="56">
        <f>(26.01+11.56)*10.764</f>
        <v>404.40348</v>
      </c>
      <c r="E160" s="40">
        <v>0</v>
      </c>
      <c r="F160" s="40">
        <v>635</v>
      </c>
      <c r="G160" s="144"/>
      <c r="H160" s="144"/>
      <c r="I160" s="35"/>
      <c r="L160" s="103"/>
      <c r="M160" s="103"/>
      <c r="N160" s="35"/>
    </row>
    <row r="161" spans="1:8" s="34" customFormat="1" x14ac:dyDescent="0.3">
      <c r="A161" s="91" t="s">
        <v>69</v>
      </c>
      <c r="B161" s="91"/>
      <c r="C161" s="91"/>
      <c r="D161" s="91"/>
      <c r="E161" s="91"/>
      <c r="F161" s="91"/>
      <c r="G161" s="91"/>
      <c r="H161" s="91"/>
    </row>
    <row r="162" spans="1:8" s="34" customFormat="1" x14ac:dyDescent="0.3">
      <c r="A162" s="45" t="s">
        <v>159</v>
      </c>
      <c r="B162" s="88" t="s">
        <v>223</v>
      </c>
      <c r="C162" s="89"/>
      <c r="D162" s="89"/>
      <c r="E162" s="89"/>
      <c r="F162" s="89"/>
      <c r="G162" s="89"/>
      <c r="H162" s="90"/>
    </row>
    <row r="163" spans="1:8" s="34" customFormat="1" x14ac:dyDescent="0.3">
      <c r="A163" s="45" t="s">
        <v>159</v>
      </c>
      <c r="B163" s="88" t="str">
        <f>(IF(F144="Saleable area Loading :","We have considered Saleable area of Flats as per our Calculation.","We considered Saleable area of Flat as per Builder area Sheet."))</f>
        <v>We considered Saleable area of Flat as per Builder area Sheet.</v>
      </c>
      <c r="C163" s="89"/>
      <c r="D163" s="89"/>
      <c r="E163" s="89"/>
      <c r="F163" s="89"/>
      <c r="G163" s="89"/>
      <c r="H163" s="90"/>
    </row>
    <row r="164" spans="1:8" s="34" customFormat="1" hidden="1" x14ac:dyDescent="0.3">
      <c r="A164" s="45" t="s">
        <v>159</v>
      </c>
      <c r="B164" s="88" t="str">
        <f>(IF(F136="Saleable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4" s="89"/>
      <c r="D164" s="89"/>
      <c r="E164" s="89"/>
      <c r="F164" s="89"/>
      <c r="G164" s="89"/>
      <c r="H164" s="90"/>
    </row>
    <row r="165" spans="1:8" s="34" customFormat="1" x14ac:dyDescent="0.3">
      <c r="A165" s="45" t="s">
        <v>159</v>
      </c>
      <c r="B165" s="69" t="s">
        <v>126</v>
      </c>
      <c r="C165" s="70"/>
      <c r="D165" s="70"/>
      <c r="E165" s="70"/>
      <c r="F165" s="70"/>
      <c r="G165" s="70"/>
      <c r="H165" s="71"/>
    </row>
    <row r="166" spans="1:8" s="34" customFormat="1" x14ac:dyDescent="0.3">
      <c r="A166" s="45" t="s">
        <v>159</v>
      </c>
      <c r="B166" s="69" t="s">
        <v>190</v>
      </c>
      <c r="C166" s="70"/>
      <c r="D166" s="70"/>
      <c r="E166" s="70"/>
      <c r="F166" s="70"/>
      <c r="G166" s="70"/>
      <c r="H166" s="71"/>
    </row>
    <row r="167" spans="1:8" s="34" customFormat="1" x14ac:dyDescent="0.3">
      <c r="A167" s="45" t="s">
        <v>159</v>
      </c>
      <c r="B167" s="69" t="s">
        <v>158</v>
      </c>
      <c r="C167" s="70"/>
      <c r="D167" s="70"/>
      <c r="E167" s="70"/>
      <c r="F167" s="70"/>
      <c r="G167" s="70"/>
      <c r="H167" s="71"/>
    </row>
    <row r="168" spans="1:8" s="34" customFormat="1" x14ac:dyDescent="0.3">
      <c r="A168" s="45" t="s">
        <v>159</v>
      </c>
      <c r="B168" s="69" t="s">
        <v>127</v>
      </c>
      <c r="C168" s="70"/>
      <c r="D168" s="70"/>
      <c r="E168" s="70"/>
      <c r="F168" s="70"/>
      <c r="G168" s="70"/>
      <c r="H168" s="71"/>
    </row>
    <row r="169" spans="1:8" s="34" customFormat="1" ht="34.5" hidden="1" customHeight="1" x14ac:dyDescent="0.3">
      <c r="A169" s="45" t="s">
        <v>159</v>
      </c>
      <c r="B169" s="69" t="s">
        <v>160</v>
      </c>
      <c r="C169" s="70"/>
      <c r="D169" s="70"/>
      <c r="E169" s="70"/>
      <c r="F169" s="70"/>
      <c r="G169" s="70"/>
      <c r="H169" s="71"/>
    </row>
    <row r="170" spans="1:8" s="34" customFormat="1" x14ac:dyDescent="0.3">
      <c r="A170" s="45" t="s">
        <v>159</v>
      </c>
      <c r="B170" s="69" t="s">
        <v>128</v>
      </c>
      <c r="C170" s="70"/>
      <c r="D170" s="70"/>
      <c r="E170" s="70"/>
      <c r="F170" s="70"/>
      <c r="G170" s="70"/>
      <c r="H170" s="71"/>
    </row>
    <row r="171" spans="1:8" s="34" customFormat="1" x14ac:dyDescent="0.3">
      <c r="A171" s="45" t="s">
        <v>159</v>
      </c>
      <c r="B171" s="69" t="s">
        <v>209</v>
      </c>
      <c r="C171" s="70"/>
      <c r="D171" s="70"/>
      <c r="E171" s="70"/>
      <c r="F171" s="70"/>
      <c r="G171" s="70"/>
      <c r="H171" s="71"/>
    </row>
    <row r="172" spans="1:8" s="34" customFormat="1" ht="33.75" customHeight="1" x14ac:dyDescent="0.3">
      <c r="A172" s="45" t="s">
        <v>159</v>
      </c>
      <c r="B172" s="69" t="s">
        <v>211</v>
      </c>
      <c r="C172" s="70"/>
      <c r="D172" s="70"/>
      <c r="E172" s="70"/>
      <c r="F172" s="70"/>
      <c r="G172" s="70"/>
      <c r="H172" s="71"/>
    </row>
    <row r="173" spans="1:8" s="34" customFormat="1" x14ac:dyDescent="0.3">
      <c r="A173" s="45" t="s">
        <v>159</v>
      </c>
      <c r="B173" s="69" t="s">
        <v>227</v>
      </c>
      <c r="C173" s="70"/>
      <c r="D173" s="70"/>
      <c r="E173" s="70"/>
      <c r="F173" s="70"/>
      <c r="G173" s="70"/>
      <c r="H173" s="71"/>
    </row>
    <row r="174" spans="1:8" s="34" customFormat="1" ht="32.4" hidden="1" customHeight="1" x14ac:dyDescent="0.3">
      <c r="A174" s="45" t="s">
        <v>159</v>
      </c>
      <c r="B174" s="66" t="s">
        <v>212</v>
      </c>
      <c r="C174" s="67"/>
      <c r="D174" s="67"/>
      <c r="E174" s="67"/>
      <c r="F174" s="67"/>
      <c r="G174" s="67"/>
      <c r="H174" s="68"/>
    </row>
    <row r="175" spans="1:8" x14ac:dyDescent="0.3">
      <c r="A175" s="142" t="s">
        <v>62</v>
      </c>
      <c r="B175" s="142"/>
      <c r="C175" s="142"/>
      <c r="D175" s="142"/>
      <c r="E175" s="142"/>
      <c r="F175" s="142"/>
      <c r="G175" s="142"/>
      <c r="H175" s="142"/>
    </row>
    <row r="176" spans="1:8" x14ac:dyDescent="0.3">
      <c r="A176" s="87" t="s">
        <v>63</v>
      </c>
      <c r="B176" s="87"/>
      <c r="C176" s="87"/>
      <c r="D176" s="87"/>
      <c r="E176" s="87"/>
      <c r="F176" s="87"/>
      <c r="G176" s="87"/>
      <c r="H176" s="87"/>
    </row>
    <row r="177" spans="1:8" ht="15.75" customHeight="1" x14ac:dyDescent="0.3">
      <c r="A177" s="177" t="s">
        <v>64</v>
      </c>
      <c r="B177" s="177"/>
      <c r="C177" s="177"/>
      <c r="D177" s="177"/>
      <c r="E177" s="177"/>
      <c r="F177" s="177"/>
      <c r="G177" s="177"/>
      <c r="H177" s="177"/>
    </row>
    <row r="178" spans="1:8" x14ac:dyDescent="0.3">
      <c r="A178" s="87" t="s">
        <v>65</v>
      </c>
      <c r="B178" s="87"/>
      <c r="C178" s="87"/>
      <c r="D178" s="87"/>
      <c r="E178" s="87"/>
      <c r="F178" s="87"/>
      <c r="G178" s="87"/>
      <c r="H178" s="87"/>
    </row>
    <row r="179" spans="1:8" x14ac:dyDescent="0.3">
      <c r="A179" s="87" t="s">
        <v>66</v>
      </c>
      <c r="B179" s="87"/>
      <c r="C179" s="87"/>
      <c r="D179" s="87"/>
      <c r="E179" s="87"/>
      <c r="F179" s="87"/>
      <c r="G179" s="87"/>
      <c r="H179" s="87"/>
    </row>
    <row r="180" spans="1:8" x14ac:dyDescent="0.3">
      <c r="A180" s="87" t="s">
        <v>129</v>
      </c>
      <c r="B180" s="87"/>
      <c r="C180" s="87"/>
      <c r="D180" s="87"/>
      <c r="E180" s="87"/>
      <c r="F180" s="87"/>
      <c r="G180" s="87"/>
      <c r="H180" s="87"/>
    </row>
    <row r="181" spans="1:8" x14ac:dyDescent="0.3">
      <c r="A181" s="129" t="s">
        <v>130</v>
      </c>
      <c r="B181" s="129"/>
      <c r="C181" s="129"/>
      <c r="D181" s="129"/>
      <c r="E181" s="129"/>
      <c r="F181" s="129"/>
      <c r="G181" s="129"/>
      <c r="H181" s="129"/>
    </row>
    <row r="182" spans="1:8" x14ac:dyDescent="0.3">
      <c r="A182" s="140" t="s">
        <v>79</v>
      </c>
      <c r="B182" s="140"/>
      <c r="C182" s="140" t="s">
        <v>230</v>
      </c>
      <c r="D182" s="140"/>
      <c r="E182" s="140" t="s">
        <v>106</v>
      </c>
      <c r="F182" s="140"/>
      <c r="G182" s="140" t="s">
        <v>229</v>
      </c>
      <c r="H182" s="140"/>
    </row>
    <row r="183" spans="1:8" x14ac:dyDescent="0.3">
      <c r="A183" s="139" t="s">
        <v>81</v>
      </c>
      <c r="B183" s="139"/>
      <c r="C183" s="139"/>
      <c r="D183" s="139"/>
      <c r="E183" s="139"/>
      <c r="F183" s="139"/>
      <c r="G183" s="139"/>
      <c r="H183" s="139"/>
    </row>
    <row r="184" spans="1:8" x14ac:dyDescent="0.3">
      <c r="A184" s="139"/>
      <c r="B184" s="139"/>
      <c r="C184" s="139"/>
      <c r="D184" s="139"/>
      <c r="E184" s="139"/>
      <c r="F184" s="139"/>
      <c r="G184" s="139"/>
      <c r="H184" s="139"/>
    </row>
    <row r="185" spans="1:8" x14ac:dyDescent="0.3">
      <c r="A185" s="139"/>
      <c r="B185" s="139"/>
      <c r="C185" s="139"/>
      <c r="D185" s="139"/>
      <c r="E185" s="139"/>
      <c r="F185" s="139"/>
      <c r="G185" s="139"/>
      <c r="H185" s="139"/>
    </row>
    <row r="186" spans="1:8" x14ac:dyDescent="0.3">
      <c r="A186" s="139"/>
      <c r="B186" s="139"/>
      <c r="C186" s="139"/>
      <c r="D186" s="139"/>
      <c r="E186" s="139"/>
      <c r="F186" s="139"/>
      <c r="G186" s="139"/>
      <c r="H186" s="139"/>
    </row>
    <row r="187" spans="1:8" x14ac:dyDescent="0.3">
      <c r="A187" s="36" t="s">
        <v>67</v>
      </c>
      <c r="B187" s="37"/>
      <c r="C187" s="37"/>
      <c r="D187" s="36" t="str">
        <f>E9</f>
        <v>Divine Homes Sai Breeze</v>
      </c>
      <c r="F187" s="37"/>
      <c r="G187" s="37"/>
      <c r="H187" s="37"/>
    </row>
    <row r="188" spans="1:8" x14ac:dyDescent="0.3">
      <c r="A188" s="37"/>
      <c r="B188" s="37"/>
      <c r="C188" s="37"/>
      <c r="D188" s="37"/>
      <c r="E188" s="37"/>
      <c r="F188" s="37"/>
      <c r="G188" s="37"/>
      <c r="H188" s="37"/>
    </row>
    <row r="189" spans="1:8" x14ac:dyDescent="0.3">
      <c r="A189" s="37"/>
      <c r="B189" s="37"/>
      <c r="C189" s="37"/>
      <c r="D189" s="37"/>
      <c r="E189" s="37"/>
      <c r="F189" s="37"/>
      <c r="G189" s="37"/>
      <c r="H189" s="37"/>
    </row>
    <row r="190" spans="1:8" ht="15" customHeight="1" x14ac:dyDescent="0.3"/>
    <row r="229" spans="1:1" x14ac:dyDescent="0.3">
      <c r="A229" s="39" t="s">
        <v>173</v>
      </c>
    </row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spans="1:1" x14ac:dyDescent="0.3">
      <c r="A273" s="39" t="s">
        <v>68</v>
      </c>
    </row>
  </sheetData>
  <mergeCells count="340">
    <mergeCell ref="A156:H156"/>
    <mergeCell ref="A157:B157"/>
    <mergeCell ref="G157:H160"/>
    <mergeCell ref="L157:M157"/>
    <mergeCell ref="A158:B158"/>
    <mergeCell ref="L158:M158"/>
    <mergeCell ref="A159:B159"/>
    <mergeCell ref="L159:M159"/>
    <mergeCell ref="A160:B160"/>
    <mergeCell ref="L160:M160"/>
    <mergeCell ref="L152:M152"/>
    <mergeCell ref="A153:B153"/>
    <mergeCell ref="L153:M153"/>
    <mergeCell ref="A154:B154"/>
    <mergeCell ref="L154:M154"/>
    <mergeCell ref="A155:B155"/>
    <mergeCell ref="L155:M155"/>
    <mergeCell ref="A17:B17"/>
    <mergeCell ref="C17:H17"/>
    <mergeCell ref="E42:H42"/>
    <mergeCell ref="A42:D42"/>
    <mergeCell ref="A78:B78"/>
    <mergeCell ref="A49:B49"/>
    <mergeCell ref="C49:E49"/>
    <mergeCell ref="G49:H49"/>
    <mergeCell ref="G51:H51"/>
    <mergeCell ref="D56:H56"/>
    <mergeCell ref="C51:E51"/>
    <mergeCell ref="C50:E50"/>
    <mergeCell ref="A54:B54"/>
    <mergeCell ref="C54:E54"/>
    <mergeCell ref="A50:B50"/>
    <mergeCell ref="A55:H55"/>
    <mergeCell ref="A56:C56"/>
    <mergeCell ref="A180:H180"/>
    <mergeCell ref="A177:H177"/>
    <mergeCell ref="A130:B130"/>
    <mergeCell ref="G144:H144"/>
    <mergeCell ref="A91:B91"/>
    <mergeCell ref="A92:B92"/>
    <mergeCell ref="A93:B93"/>
    <mergeCell ref="A83:B83"/>
    <mergeCell ref="C83:H83"/>
    <mergeCell ref="A107:B107"/>
    <mergeCell ref="F112:H112"/>
    <mergeCell ref="G126:H126"/>
    <mergeCell ref="A110:B110"/>
    <mergeCell ref="A117:E117"/>
    <mergeCell ref="F117:H117"/>
    <mergeCell ref="A119:E119"/>
    <mergeCell ref="F114:H114"/>
    <mergeCell ref="A128:B128"/>
    <mergeCell ref="C128:D128"/>
    <mergeCell ref="E128:F128"/>
    <mergeCell ref="G128:H128"/>
    <mergeCell ref="C131:D131"/>
    <mergeCell ref="E131:F131"/>
    <mergeCell ref="G125:H125"/>
    <mergeCell ref="A57:C57"/>
    <mergeCell ref="D57:H57"/>
    <mergeCell ref="G54:H54"/>
    <mergeCell ref="C52:H52"/>
    <mergeCell ref="A53:B53"/>
    <mergeCell ref="C53:E53"/>
    <mergeCell ref="G53:H53"/>
    <mergeCell ref="A59:C61"/>
    <mergeCell ref="D59:H59"/>
    <mergeCell ref="D60:H60"/>
    <mergeCell ref="D61:H61"/>
    <mergeCell ref="A66:C66"/>
    <mergeCell ref="D66:H66"/>
    <mergeCell ref="A67:C67"/>
    <mergeCell ref="D67:H67"/>
    <mergeCell ref="A73:B73"/>
    <mergeCell ref="G72:H72"/>
    <mergeCell ref="E132:F132"/>
    <mergeCell ref="G132:H132"/>
    <mergeCell ref="C130:D130"/>
    <mergeCell ref="G130:H130"/>
    <mergeCell ref="A80:B80"/>
    <mergeCell ref="A112:E112"/>
    <mergeCell ref="A97:B97"/>
    <mergeCell ref="C97:H97"/>
    <mergeCell ref="A87:B87"/>
    <mergeCell ref="E87:F96"/>
    <mergeCell ref="A94:B94"/>
    <mergeCell ref="A95:B95"/>
    <mergeCell ref="A96:B96"/>
    <mergeCell ref="A101:B101"/>
    <mergeCell ref="E101:F110"/>
    <mergeCell ref="F111:H111"/>
    <mergeCell ref="F116:H116"/>
    <mergeCell ref="F119:H119"/>
    <mergeCell ref="A120:E120"/>
    <mergeCell ref="C126:D126"/>
    <mergeCell ref="E126:F126"/>
    <mergeCell ref="A125:B125"/>
    <mergeCell ref="A127:B127"/>
    <mergeCell ref="A121:E121"/>
    <mergeCell ref="C127:D127"/>
    <mergeCell ref="E127:F127"/>
    <mergeCell ref="G127:H127"/>
    <mergeCell ref="A151:H151"/>
    <mergeCell ref="A152:B152"/>
    <mergeCell ref="B136:B137"/>
    <mergeCell ref="A136:A137"/>
    <mergeCell ref="A146:H146"/>
    <mergeCell ref="A135:H135"/>
    <mergeCell ref="A138:H138"/>
    <mergeCell ref="E136:E137"/>
    <mergeCell ref="G136:H137"/>
    <mergeCell ref="G147:H150"/>
    <mergeCell ref="G152:H155"/>
    <mergeCell ref="C136:C137"/>
    <mergeCell ref="A183:H186"/>
    <mergeCell ref="A182:B182"/>
    <mergeCell ref="E182:F182"/>
    <mergeCell ref="C182:D182"/>
    <mergeCell ref="G182:H182"/>
    <mergeCell ref="A124:H124"/>
    <mergeCell ref="A122:E122"/>
    <mergeCell ref="F122:H122"/>
    <mergeCell ref="A123:E123"/>
    <mergeCell ref="F123:H123"/>
    <mergeCell ref="A131:B131"/>
    <mergeCell ref="A126:B126"/>
    <mergeCell ref="A178:H178"/>
    <mergeCell ref="A129:H129"/>
    <mergeCell ref="A181:H181"/>
    <mergeCell ref="A179:H179"/>
    <mergeCell ref="A143:H143"/>
    <mergeCell ref="A142:B142"/>
    <mergeCell ref="A175:H175"/>
    <mergeCell ref="A176:H176"/>
    <mergeCell ref="E130:F130"/>
    <mergeCell ref="B171:H171"/>
    <mergeCell ref="G141:H141"/>
    <mergeCell ref="G139:H139"/>
    <mergeCell ref="A45:D45"/>
    <mergeCell ref="A46:D46"/>
    <mergeCell ref="A47:H47"/>
    <mergeCell ref="D58:H58"/>
    <mergeCell ref="A58:C58"/>
    <mergeCell ref="G50:H50"/>
    <mergeCell ref="A51:B52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76:B76"/>
    <mergeCell ref="E72:F72"/>
    <mergeCell ref="A65:C65"/>
    <mergeCell ref="D65:H65"/>
    <mergeCell ref="A68:C68"/>
    <mergeCell ref="D68:H68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A8:D8"/>
    <mergeCell ref="E8:H8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A44:D44"/>
    <mergeCell ref="F36:H36"/>
    <mergeCell ref="A38:B38"/>
    <mergeCell ref="A39:B39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C38:H38"/>
    <mergeCell ref="G133:H133"/>
    <mergeCell ref="A132:B132"/>
    <mergeCell ref="F121:H121"/>
    <mergeCell ref="C132:D132"/>
    <mergeCell ref="C133:D133"/>
    <mergeCell ref="A41:D41"/>
    <mergeCell ref="E41:H41"/>
    <mergeCell ref="F33:H33"/>
    <mergeCell ref="F34:H34"/>
    <mergeCell ref="A40:H40"/>
    <mergeCell ref="A62:C62"/>
    <mergeCell ref="A63:C63"/>
    <mergeCell ref="D62:H62"/>
    <mergeCell ref="E73:F82"/>
    <mergeCell ref="G73:H82"/>
    <mergeCell ref="A81:B81"/>
    <mergeCell ref="A82:B82"/>
    <mergeCell ref="D63:H63"/>
    <mergeCell ref="A43:D43"/>
    <mergeCell ref="E43:H43"/>
    <mergeCell ref="E44:H44"/>
    <mergeCell ref="E45:H45"/>
    <mergeCell ref="E46:H46"/>
    <mergeCell ref="A108:B108"/>
    <mergeCell ref="A106:B106"/>
    <mergeCell ref="A114:E114"/>
    <mergeCell ref="L150:M150"/>
    <mergeCell ref="L147:M147"/>
    <mergeCell ref="A148:B148"/>
    <mergeCell ref="L148:M148"/>
    <mergeCell ref="A149:B149"/>
    <mergeCell ref="L149:M149"/>
    <mergeCell ref="A150:B150"/>
    <mergeCell ref="A147:B147"/>
    <mergeCell ref="L142:M142"/>
    <mergeCell ref="A145:H145"/>
    <mergeCell ref="L141:M141"/>
    <mergeCell ref="L140:M140"/>
    <mergeCell ref="L139:M139"/>
    <mergeCell ref="G140:H140"/>
    <mergeCell ref="G142:H142"/>
    <mergeCell ref="A133:B133"/>
    <mergeCell ref="E133:F133"/>
    <mergeCell ref="C125:D125"/>
    <mergeCell ref="F120:H120"/>
    <mergeCell ref="E125:F125"/>
    <mergeCell ref="G131:H131"/>
    <mergeCell ref="A134:H134"/>
    <mergeCell ref="B165:H165"/>
    <mergeCell ref="B166:H166"/>
    <mergeCell ref="A161:H161"/>
    <mergeCell ref="C39:H39"/>
    <mergeCell ref="B169:H169"/>
    <mergeCell ref="A48:B48"/>
    <mergeCell ref="C48:H48"/>
    <mergeCell ref="B167:H167"/>
    <mergeCell ref="A102:B102"/>
    <mergeCell ref="A103:B103"/>
    <mergeCell ref="G87:H96"/>
    <mergeCell ref="A88:B88"/>
    <mergeCell ref="A89:B89"/>
    <mergeCell ref="A90:B90"/>
    <mergeCell ref="F113:H113"/>
    <mergeCell ref="A113:E113"/>
    <mergeCell ref="D136:D137"/>
    <mergeCell ref="A115:E115"/>
    <mergeCell ref="A139:B139"/>
    <mergeCell ref="A140:B140"/>
    <mergeCell ref="A141:B141"/>
    <mergeCell ref="A118:E118"/>
    <mergeCell ref="A104:B104"/>
    <mergeCell ref="A105:B105"/>
    <mergeCell ref="B174:H174"/>
    <mergeCell ref="B173:H173"/>
    <mergeCell ref="B172:H172"/>
    <mergeCell ref="B170:H170"/>
    <mergeCell ref="G101:H110"/>
    <mergeCell ref="G86:H86"/>
    <mergeCell ref="A85:B85"/>
    <mergeCell ref="C85:H85"/>
    <mergeCell ref="A86:B86"/>
    <mergeCell ref="E86:F86"/>
    <mergeCell ref="G100:H100"/>
    <mergeCell ref="A99:B99"/>
    <mergeCell ref="C99:H99"/>
    <mergeCell ref="A100:B100"/>
    <mergeCell ref="E100:F100"/>
    <mergeCell ref="A109:B109"/>
    <mergeCell ref="F118:H118"/>
    <mergeCell ref="A111:E111"/>
    <mergeCell ref="F115:H115"/>
    <mergeCell ref="A116:E116"/>
    <mergeCell ref="B168:H168"/>
    <mergeCell ref="B164:H164"/>
    <mergeCell ref="B162:H162"/>
    <mergeCell ref="B163:H163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8" max="16383" man="1"/>
    <brk id="186" max="16383" man="1"/>
    <brk id="228" max="16383" man="1"/>
    <brk id="27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9" t="s">
        <v>107</v>
      </c>
      <c r="C3" s="189"/>
      <c r="D3" s="189"/>
      <c r="E3" s="189"/>
      <c r="F3" s="189"/>
      <c r="G3" s="189"/>
      <c r="H3" s="189"/>
    </row>
    <row r="4" spans="1:9" x14ac:dyDescent="0.3">
      <c r="A4" s="2"/>
      <c r="B4" s="3" t="s">
        <v>108</v>
      </c>
      <c r="C4" s="3" t="s">
        <v>109</v>
      </c>
      <c r="D4" s="3" t="s">
        <v>70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2025-07-09T14:07:33Z</cp:lastPrinted>
  <dcterms:created xsi:type="dcterms:W3CDTF">2019-07-16T09:29:46Z</dcterms:created>
  <dcterms:modified xsi:type="dcterms:W3CDTF">2025-07-09T14:16:19Z</dcterms:modified>
</cp:coreProperties>
</file>