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K:\VSJ Work\July 25\Axis\Dump\"/>
    </mc:Choice>
  </mc:AlternateContent>
  <xr:revisionPtr revIDLastSave="0" documentId="13_ncr:1_{636D85D7-B48C-4788-A6E1-7FA7514AE446}"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Note" sheetId="4" r:id="rId3"/>
  </sheets>
  <definedNames>
    <definedName name="_xlnm.Print_Area" localSheetId="0">Report!$A$1:$H$426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3" i="1" l="1"/>
  <c r="B281" i="1"/>
  <c r="I105" i="1" l="1"/>
  <c r="J105" i="1" s="1"/>
  <c r="D221" i="1" l="1"/>
  <c r="K213" i="1"/>
  <c r="D246" i="1" l="1"/>
  <c r="D243" i="1"/>
  <c r="D242" i="1"/>
  <c r="D241" i="1"/>
  <c r="D236" i="1"/>
  <c r="D235" i="1"/>
  <c r="D234" i="1"/>
  <c r="D233" i="1"/>
  <c r="D232" i="1"/>
  <c r="D230" i="1"/>
  <c r="D229" i="1"/>
  <c r="D228" i="1"/>
  <c r="D223" i="1"/>
  <c r="D222" i="1"/>
  <c r="D220" i="1"/>
  <c r="D219" i="1"/>
  <c r="D218" i="1"/>
  <c r="D217" i="1"/>
  <c r="D216" i="1"/>
  <c r="D215" i="1"/>
  <c r="D214" i="1"/>
  <c r="D213" i="1"/>
  <c r="D212" i="1"/>
  <c r="D210" i="1"/>
  <c r="D209" i="1"/>
  <c r="D208" i="1"/>
  <c r="D207" i="1"/>
  <c r="D206" i="1"/>
  <c r="D205" i="1"/>
  <c r="D204" i="1"/>
  <c r="D203" i="1"/>
  <c r="D202" i="1"/>
  <c r="D201" i="1"/>
  <c r="D200" i="1"/>
  <c r="D199" i="1"/>
  <c r="D197" i="1"/>
  <c r="D196" i="1"/>
  <c r="D195" i="1"/>
  <c r="D194" i="1"/>
  <c r="D193" i="1"/>
  <c r="D192" i="1"/>
  <c r="D191" i="1"/>
  <c r="D190" i="1"/>
  <c r="D188" i="1"/>
  <c r="D187" i="1"/>
  <c r="D186" i="1"/>
  <c r="D185" i="1"/>
  <c r="D184" i="1"/>
  <c r="D175" i="1"/>
  <c r="D179" i="1"/>
  <c r="D178" i="1"/>
  <c r="D177" i="1"/>
  <c r="D176" i="1"/>
  <c r="D170" i="1"/>
  <c r="D169" i="1"/>
  <c r="D168" i="1"/>
  <c r="D167" i="1"/>
  <c r="D166" i="1"/>
  <c r="D165" i="1"/>
  <c r="D164" i="1"/>
  <c r="D163" i="1"/>
  <c r="D146" i="1"/>
  <c r="D145" i="1"/>
  <c r="D144" i="1"/>
  <c r="D161" i="1"/>
  <c r="D160" i="1"/>
  <c r="D159" i="1"/>
  <c r="D158" i="1"/>
  <c r="D157" i="1"/>
  <c r="D142" i="1"/>
  <c r="D141" i="1"/>
  <c r="D140" i="1"/>
  <c r="D139" i="1"/>
  <c r="D138" i="1"/>
  <c r="D137" i="1"/>
  <c r="D136" i="1"/>
  <c r="D135" i="1"/>
  <c r="D134" i="1"/>
  <c r="D133" i="1"/>
  <c r="D132" i="1"/>
  <c r="D131" i="1"/>
  <c r="D130" i="1"/>
  <c r="D129" i="1"/>
  <c r="D128" i="1"/>
  <c r="K126" i="1"/>
  <c r="P163" i="1" l="1"/>
  <c r="F246" i="1" l="1"/>
  <c r="F243" i="1"/>
  <c r="F242" i="1"/>
  <c r="F241" i="1"/>
  <c r="G238" i="1"/>
  <c r="G239" i="1" s="1"/>
  <c r="G240" i="1" s="1"/>
  <c r="G241" i="1" s="1"/>
  <c r="G242" i="1" s="1"/>
  <c r="F236" i="1"/>
  <c r="F235" i="1"/>
  <c r="F234" i="1"/>
  <c r="F233" i="1"/>
  <c r="F232" i="1"/>
  <c r="F230" i="1"/>
  <c r="F229" i="1"/>
  <c r="F228" i="1"/>
  <c r="G225" i="1"/>
  <c r="G226" i="1" s="1"/>
  <c r="G227" i="1" s="1"/>
  <c r="G228" i="1" s="1"/>
  <c r="G229" i="1" s="1"/>
  <c r="G230" i="1" s="1"/>
  <c r="G232" i="1" s="1"/>
  <c r="G233" i="1" s="1"/>
  <c r="G234" i="1" s="1"/>
  <c r="G235" i="1" s="1"/>
  <c r="G236" i="1" s="1"/>
  <c r="G231" i="1" s="1"/>
  <c r="F218" i="1"/>
  <c r="F223" i="1"/>
  <c r="F222" i="1"/>
  <c r="F221" i="1"/>
  <c r="F220" i="1"/>
  <c r="F219" i="1"/>
  <c r="F217" i="1"/>
  <c r="F216" i="1"/>
  <c r="F215" i="1"/>
  <c r="F214" i="1"/>
  <c r="F213" i="1"/>
  <c r="G212" i="1"/>
  <c r="G213" i="1" s="1"/>
  <c r="G214" i="1" s="1"/>
  <c r="G215" i="1" s="1"/>
  <c r="G216" i="1" s="1"/>
  <c r="G217" i="1" s="1"/>
  <c r="G219" i="1" s="1"/>
  <c r="G220" i="1" s="1"/>
  <c r="G221" i="1" s="1"/>
  <c r="G222" i="1" s="1"/>
  <c r="G223" i="1" s="1"/>
  <c r="G218" i="1" s="1"/>
  <c r="F212" i="1"/>
  <c r="F197" i="1"/>
  <c r="F196" i="1"/>
  <c r="F195" i="1"/>
  <c r="F194" i="1"/>
  <c r="F193" i="1"/>
  <c r="F192" i="1"/>
  <c r="F191" i="1"/>
  <c r="G190" i="1"/>
  <c r="G191" i="1" s="1"/>
  <c r="G192" i="1" s="1"/>
  <c r="G193" i="1" s="1"/>
  <c r="G194" i="1" s="1"/>
  <c r="G195" i="1" s="1"/>
  <c r="G196" i="1" s="1"/>
  <c r="G197" i="1" s="1"/>
  <c r="F190" i="1"/>
  <c r="F205" i="1"/>
  <c r="F210" i="1"/>
  <c r="F209" i="1"/>
  <c r="F208" i="1"/>
  <c r="J208" i="1" s="1"/>
  <c r="F207" i="1"/>
  <c r="F206" i="1"/>
  <c r="F204" i="1"/>
  <c r="F203" i="1"/>
  <c r="F202" i="1"/>
  <c r="F201" i="1"/>
  <c r="F200" i="1"/>
  <c r="G199" i="1"/>
  <c r="F199" i="1"/>
  <c r="F188" i="1"/>
  <c r="F187" i="1"/>
  <c r="F186" i="1"/>
  <c r="F185" i="1"/>
  <c r="F184" i="1"/>
  <c r="G181" i="1"/>
  <c r="F179" i="1"/>
  <c r="F178" i="1"/>
  <c r="F177" i="1"/>
  <c r="F176" i="1"/>
  <c r="F175" i="1"/>
  <c r="G172" i="1"/>
  <c r="J168" i="1"/>
  <c r="J164" i="1"/>
  <c r="J163" i="1"/>
  <c r="G163" i="1"/>
  <c r="F161" i="1"/>
  <c r="F160" i="1"/>
  <c r="F159" i="1"/>
  <c r="F158" i="1"/>
  <c r="J157" i="1"/>
  <c r="J158" i="1"/>
  <c r="G157" i="1"/>
  <c r="F146" i="1"/>
  <c r="F142" i="1"/>
  <c r="F141" i="1"/>
  <c r="F140" i="1"/>
  <c r="F145" i="1"/>
  <c r="F136" i="1"/>
  <c r="F144" i="1"/>
  <c r="A145" i="1"/>
  <c r="G144" i="1"/>
  <c r="F131" i="1"/>
  <c r="F130" i="1"/>
  <c r="F129" i="1"/>
  <c r="F139" i="1"/>
  <c r="F138" i="1"/>
  <c r="F137" i="1"/>
  <c r="F135" i="1"/>
  <c r="F134" i="1"/>
  <c r="A136" i="1"/>
  <c r="F133" i="1"/>
  <c r="F132" i="1"/>
  <c r="A129" i="1"/>
  <c r="A130" i="1" s="1"/>
  <c r="A131" i="1" s="1"/>
  <c r="A132" i="1" s="1"/>
  <c r="A133" i="1" s="1"/>
  <c r="G128" i="1"/>
  <c r="E43" i="1"/>
  <c r="E44" i="1" s="1"/>
  <c r="G243" i="1" l="1"/>
  <c r="G245" i="1" s="1"/>
  <c r="G246" i="1" s="1"/>
  <c r="G247" i="1" s="1"/>
  <c r="G248" i="1" s="1"/>
  <c r="G249" i="1" s="1"/>
  <c r="G244" i="1"/>
  <c r="F167" i="1"/>
  <c r="L167" i="1"/>
  <c r="N167" i="1" s="1"/>
  <c r="P167" i="1" s="1"/>
  <c r="F163" i="1"/>
  <c r="L163" i="1"/>
  <c r="N163" i="1" s="1"/>
  <c r="F168" i="1"/>
  <c r="L168" i="1"/>
  <c r="N168" i="1" s="1"/>
  <c r="F166" i="1"/>
  <c r="L166" i="1"/>
  <c r="N166" i="1" s="1"/>
  <c r="F164" i="1"/>
  <c r="L164" i="1"/>
  <c r="N164" i="1" s="1"/>
  <c r="F169" i="1"/>
  <c r="L169" i="1"/>
  <c r="N169" i="1" s="1"/>
  <c r="F170" i="1"/>
  <c r="L170" i="1"/>
  <c r="N170" i="1" s="1"/>
  <c r="F165" i="1"/>
  <c r="L165" i="1"/>
  <c r="N165" i="1" s="1"/>
  <c r="P165" i="1" s="1"/>
  <c r="F157" i="1"/>
  <c r="E118" i="1"/>
  <c r="E119" i="1" s="1"/>
  <c r="C118" i="1"/>
  <c r="C119" i="1" s="1"/>
  <c r="F128" i="1"/>
  <c r="G114" i="1" s="1"/>
  <c r="G115" i="1" s="1"/>
  <c r="C114" i="1"/>
  <c r="C115" i="1" s="1"/>
  <c r="E114" i="1"/>
  <c r="E115" i="1" s="1"/>
  <c r="J165" i="1"/>
  <c r="J159" i="1"/>
  <c r="A137" i="1"/>
  <c r="A138" i="1" s="1"/>
  <c r="A139" i="1" s="1"/>
  <c r="C15" i="1"/>
  <c r="Q165" i="1" l="1"/>
  <c r="Q167" i="1"/>
  <c r="G118" i="1"/>
  <c r="G119" i="1" s="1"/>
  <c r="A140" i="1"/>
  <c r="E7" i="1"/>
  <c r="D60" i="1" l="1"/>
  <c r="E30" i="1"/>
  <c r="B67" i="1"/>
  <c r="E25" i="1"/>
  <c r="E27" i="1" l="1"/>
  <c r="G120" i="1" l="1"/>
  <c r="E120" i="1"/>
  <c r="C120" i="1"/>
  <c r="F252" i="1" l="1"/>
  <c r="F253" i="1"/>
  <c r="F254" i="1"/>
  <c r="F251" i="1"/>
  <c r="A252" i="1"/>
  <c r="A253" i="1" s="1"/>
  <c r="A254" i="1" s="1"/>
  <c r="G251" i="1"/>
  <c r="G252" i="1" s="1"/>
  <c r="G253" i="1" s="1"/>
  <c r="G254" i="1" s="1"/>
  <c r="F111" i="1" l="1"/>
  <c r="F149" i="1" l="1"/>
  <c r="F150" i="1"/>
  <c r="F151" i="1"/>
  <c r="F148" i="1"/>
  <c r="A262" i="1"/>
  <c r="A268" i="1"/>
  <c r="A274" i="1"/>
  <c r="F278" i="1" l="1"/>
  <c r="F277" i="1"/>
  <c r="F276" i="1"/>
  <c r="F275" i="1"/>
  <c r="F274" i="1"/>
  <c r="F272" i="1"/>
  <c r="F271" i="1"/>
  <c r="F270" i="1"/>
  <c r="F269" i="1"/>
  <c r="F268" i="1"/>
  <c r="F266" i="1"/>
  <c r="F265" i="1"/>
  <c r="F264" i="1"/>
  <c r="F263" i="1"/>
  <c r="F262" i="1"/>
  <c r="F260" i="1"/>
  <c r="F259" i="1"/>
  <c r="F257" i="1"/>
  <c r="F256" i="1"/>
  <c r="F258" i="1"/>
  <c r="A263" i="1"/>
  <c r="A269" i="1"/>
  <c r="A275" i="1"/>
  <c r="B282" i="1" l="1"/>
  <c r="A276" i="1"/>
  <c r="A270" i="1"/>
  <c r="A264" i="1"/>
  <c r="F11" i="5" l="1"/>
  <c r="G11" i="5" s="1"/>
  <c r="F10" i="5"/>
  <c r="G10" i="5" s="1"/>
  <c r="F9" i="5"/>
  <c r="G9" i="5" s="1"/>
  <c r="F8" i="5"/>
  <c r="G8" i="5" s="1"/>
  <c r="F7" i="5"/>
  <c r="G7" i="5" s="1"/>
  <c r="F6" i="5"/>
  <c r="G6" i="5" s="1"/>
  <c r="F5" i="5"/>
  <c r="G5" i="5" s="1"/>
  <c r="G12" i="5" s="1"/>
  <c r="D309" i="1"/>
  <c r="G274" i="1"/>
  <c r="G275" i="1" s="1"/>
  <c r="G276" i="1" s="1"/>
  <c r="G277" i="1" s="1"/>
  <c r="G278" i="1" s="1"/>
  <c r="G268" i="1"/>
  <c r="G269" i="1" s="1"/>
  <c r="G270" i="1" s="1"/>
  <c r="G271" i="1" s="1"/>
  <c r="G272" i="1" s="1"/>
  <c r="G262" i="1"/>
  <c r="G263" i="1" s="1"/>
  <c r="G264" i="1" s="1"/>
  <c r="G265" i="1" s="1"/>
  <c r="G266" i="1" s="1"/>
  <c r="G256" i="1"/>
  <c r="G257" i="1" s="1"/>
  <c r="G258" i="1" s="1"/>
  <c r="G259" i="1" s="1"/>
  <c r="G260" i="1" s="1"/>
  <c r="A256" i="1"/>
  <c r="A257" i="1" s="1"/>
  <c r="A258" i="1" s="1"/>
  <c r="A259" i="1" s="1"/>
  <c r="A260" i="1" s="1"/>
  <c r="A149" i="1"/>
  <c r="A150" i="1" s="1"/>
  <c r="A151" i="1" s="1"/>
  <c r="G148" i="1"/>
  <c r="G149" i="1" s="1"/>
  <c r="G150" i="1" s="1"/>
  <c r="G151" i="1" s="1"/>
  <c r="D55" i="1"/>
  <c r="G50" i="1"/>
  <c r="C50" i="1"/>
  <c r="E3" i="1"/>
  <c r="H67" i="1"/>
  <c r="A271" i="1"/>
  <c r="A265" i="1"/>
  <c r="A277" i="1"/>
  <c r="D79" i="1" l="1"/>
  <c r="D77" i="1"/>
  <c r="D76" i="1"/>
  <c r="D75" i="1"/>
  <c r="D73" i="1"/>
  <c r="J66" i="1"/>
  <c r="D78" i="1"/>
  <c r="D74" i="1"/>
  <c r="J70" i="1"/>
  <c r="J71" i="1"/>
  <c r="C70" i="1" s="1"/>
  <c r="J69" i="1"/>
  <c r="J72" i="1"/>
  <c r="A266" i="1"/>
  <c r="A278" i="1"/>
  <c r="A272" i="1"/>
  <c r="J73" i="1" l="1"/>
  <c r="J74" i="1"/>
  <c r="J75" i="1" s="1"/>
  <c r="J76" i="1" s="1"/>
  <c r="J77" i="1" s="1"/>
  <c r="D72" i="1"/>
  <c r="J68" i="1"/>
  <c r="D70" i="1"/>
  <c r="B81" i="1" l="1"/>
  <c r="J78" i="1"/>
  <c r="H81" i="1"/>
  <c r="J79" i="1" l="1"/>
  <c r="C71" i="1" s="1"/>
  <c r="G70" i="1" s="1"/>
  <c r="J85" i="1"/>
  <c r="C84" i="1" s="1"/>
  <c r="D84" i="1" s="1"/>
  <c r="J83" i="1"/>
  <c r="J80" i="1"/>
  <c r="J82" i="1" s="1"/>
  <c r="D93" i="1"/>
  <c r="D89" i="1"/>
  <c r="D87" i="1"/>
  <c r="D86" i="1"/>
  <c r="D92" i="1"/>
  <c r="D88" i="1"/>
  <c r="J84" i="1"/>
  <c r="D91" i="1"/>
  <c r="D90" i="1"/>
  <c r="J89" i="1"/>
  <c r="J88" i="1"/>
  <c r="J90" i="1"/>
  <c r="J91" i="1"/>
  <c r="J86" i="1"/>
  <c r="E70" i="1" l="1"/>
  <c r="D71" i="1"/>
  <c r="I67" i="1" s="1"/>
  <c r="I68" i="1" s="1"/>
  <c r="J87" i="1"/>
  <c r="J92" i="1" s="1"/>
  <c r="J93" i="1" s="1"/>
  <c r="C85" i="1" s="1"/>
  <c r="J81" i="1" s="1"/>
  <c r="J67" i="1"/>
  <c r="D64" i="1"/>
  <c r="D65" i="1" s="1"/>
  <c r="I66" i="1" l="1"/>
  <c r="C68" i="1" s="1"/>
  <c r="F65" i="1"/>
  <c r="G84" i="1"/>
  <c r="G94" i="1" s="1"/>
  <c r="E84" i="1"/>
  <c r="C94" i="1" s="1"/>
  <c r="D85" i="1"/>
  <c r="I81" i="1" s="1"/>
  <c r="I82" i="1" l="1"/>
  <c r="I80" i="1" s="1"/>
  <c r="C82" i="1" s="1"/>
</calcChain>
</file>

<file path=xl/sharedStrings.xml><?xml version="1.0" encoding="utf-8"?>
<sst xmlns="http://schemas.openxmlformats.org/spreadsheetml/2006/main" count="553" uniqueCount="279">
  <si>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</si>
  <si>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</si>
  <si>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</si>
  <si>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</si>
  <si>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</si>
  <si>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</si>
  <si>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</si>
  <si>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</si>
  <si>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</si>
  <si>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</si>
  <si>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</si>
  <si>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</si>
  <si>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</si>
  <si>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</si>
  <si>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</si>
  <si>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</si>
  <si>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</si>
  <si>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</si>
  <si>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</si>
  <si>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</si>
  <si>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</si>
  <si>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</si>
  <si>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</si>
  <si>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</si>
  <si>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</si>
  <si>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</si>
  <si>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</si>
  <si>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</si>
  <si>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</si>
  <si>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</si>
  <si>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</si>
  <si>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</si>
  <si>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</si>
  <si>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</si>
  <si>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</si>
  <si>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</si>
  <si>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</si>
  <si>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</si>
  <si>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</si>
  <si>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</si>
  <si>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</si>
  <si>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</si>
  <si>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</si>
  <si>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</si>
  <si>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</si>
  <si>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</si>
  <si>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</si>
  <si>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</si>
  <si>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</si>
  <si>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</si>
  <si>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</si>
  <si>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</si>
  <si>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</si>
  <si>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</si>
  <si>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</si>
  <si>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</si>
  <si>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</si>
  <si>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</si>
  <si>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</si>
  <si>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</si>
  <si>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</si>
  <si>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</si>
  <si>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</si>
  <si>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</si>
  <si>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</si>
  <si>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</si>
  <si>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</si>
  <si>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</si>
  <si>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</si>
  <si>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</si>
  <si>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</si>
  <si>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</si>
  <si>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</si>
  <si>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</si>
  <si>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</si>
  <si>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</si>
  <si>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</si>
  <si>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</si>
  <si>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</si>
  <si>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</si>
  <si>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</si>
  <si>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</si>
  <si>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</si>
  <si>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</si>
  <si>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</si>
  <si>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</si>
  <si>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</si>
  <si>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</si>
  <si>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</si>
  <si>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</si>
  <si>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</si>
  <si>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</si>
  <si>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</si>
  <si>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</si>
  <si>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</si>
  <si>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</si>
  <si>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</si>
  <si>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</si>
  <si>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Gas Connection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</si>
  <si>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</si>
  <si>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</si>
  <si>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</si>
  <si>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</si>
  <si>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</si>
  <si>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</si>
  <si>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</si>
  <si>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</si>
  <si>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</si>
  <si>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</si>
  <si>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</si>
  <si>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</si>
  <si>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</si>
  <si>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</si>
  <si>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</si>
  <si>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</si>
  <si>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</si>
  <si>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</si>
  <si>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</si>
  <si>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</si>
  <si>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</si>
  <si>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</si>
  <si>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</si>
  <si>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</si>
  <si>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</si>
  <si>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</si>
  <si>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</si>
  <si>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</si>
  <si>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</si>
  <si>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</si>
  <si>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</si>
  <si>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</si>
  <si>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</si>
  <si>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</si>
  <si>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</si>
  <si>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</si>
  <si>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</si>
  <si>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</si>
  <si>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</si>
  <si>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</si>
  <si>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</si>
  <si>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</si>
  <si>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</si>
  <si>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</si>
  <si>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</si>
  <si>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</si>
  <si>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</si>
  <si>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</si>
  <si>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</si>
  <si>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</si>
  <si>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</si>
  <si>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</si>
  <si>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</si>
  <si>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</si>
  <si>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</si>
  <si>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</si>
  <si>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</si>
  <si>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</si>
  <si>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</si>
  <si>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</si>
  <si>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</si>
  <si>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</si>
  <si>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</si>
  <si>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</si>
  <si>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</si>
  <si>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</si>
  <si>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</si>
  <si>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Floor Rise Rate</t>
  </si>
  <si>
    <t>Recommended rate of the Flat Per Sq. Ft.</t>
  </si>
  <si>
    <t>Recommended rate of the Office Per Sq. Ft.</t>
  </si>
  <si>
    <t>On Saleable Area</t>
  </si>
  <si>
    <t>Legal Charges</t>
  </si>
  <si>
    <t>Location Link</t>
  </si>
  <si>
    <t>Locality</t>
  </si>
  <si>
    <t>Latitude, Longitude</t>
  </si>
  <si>
    <t>Grand Total</t>
  </si>
  <si>
    <t>Provided Contact Details (Name &amp; Contact No.)</t>
  </si>
  <si>
    <t>Site Person - Contact Details (Name &amp; Contact No.)</t>
  </si>
  <si>
    <t>Axis Goregaon</t>
  </si>
  <si>
    <t>Sunbeam Heights</t>
  </si>
  <si>
    <t>Sun Beam High Tech Developers Private Limited</t>
  </si>
  <si>
    <t>P51800049875</t>
  </si>
  <si>
    <t>Mumbai</t>
  </si>
  <si>
    <t>Andheri</t>
  </si>
  <si>
    <t>https://goo.gl/maps/xHPWGn1WkwT7camT8</t>
  </si>
  <si>
    <t>2.9 KM from Jogeshwari Railway Station</t>
  </si>
  <si>
    <t>Shiv Spruthi Tower</t>
  </si>
  <si>
    <t>Jogeshwari (West)</t>
  </si>
  <si>
    <t>New Link Road</t>
  </si>
  <si>
    <t>Adarsh Nagar</t>
  </si>
  <si>
    <t>Oshiwara</t>
  </si>
  <si>
    <t>Shivsporti Building No 2</t>
  </si>
  <si>
    <t>Internal Road</t>
  </si>
  <si>
    <t>Maharashtra Housing and Area Development Authority (MHADA)</t>
  </si>
  <si>
    <t>As per RERA - 31/12/2027</t>
  </si>
  <si>
    <t>Office No. 1031, Wing J, Akshar Business Park, Plot No. 03 Sector 25, Near APMC Market,
Vashi, Navi Mumbai, Maharashtra 400703 TEL: 022-46090378/79/80                                                                       
E mail : vsjcapf@gmail.com. Web site : www.vsjadon.com</t>
  </si>
  <si>
    <t>Sale Building No.1</t>
  </si>
  <si>
    <t>19.145218,72.831583</t>
  </si>
  <si>
    <t>Sale Building No.1 = 1B + Gr + 1st to 32nd Floor</t>
  </si>
  <si>
    <t>Name / No of the Existing Building</t>
  </si>
  <si>
    <t>MH/EE/BP/GM/MHADA-113/857/2023</t>
  </si>
  <si>
    <t>This plinth CC Renendorsed for work upto plinth for Building No.1 (Sale) as per approved amended IOA plans 05.04.2023.</t>
  </si>
  <si>
    <t>Plot No</t>
  </si>
  <si>
    <t>SG7 on CTS No. 1(Pt), Redevlopement of " Existing Barracks Tent 641 to 720 for (Shree Adarsh Chsl) "(as per CC)</t>
  </si>
  <si>
    <t>Approved Plans, CC</t>
  </si>
  <si>
    <t>Mhada-113/857/2023</t>
  </si>
  <si>
    <t>Shop</t>
  </si>
  <si>
    <t>Ground Floor For Commercial</t>
  </si>
  <si>
    <t>Basement Floor For Parking</t>
  </si>
  <si>
    <t>Shop Triplex with 1st &amp; 2nd Floor</t>
  </si>
  <si>
    <t>3rd Floor For Residential &amp; Part Amenities</t>
  </si>
  <si>
    <t>2BHK</t>
  </si>
  <si>
    <t>1BHK</t>
  </si>
  <si>
    <t>3BHK</t>
  </si>
  <si>
    <t>N1</t>
  </si>
  <si>
    <t>N2</t>
  </si>
  <si>
    <t>4th to 6th, 8th to 13th &amp; 15th to 20th Floor</t>
  </si>
  <si>
    <t>Refuge Area</t>
  </si>
  <si>
    <t>7th &amp; 14th Floor (Part Refuge Area)</t>
  </si>
  <si>
    <t>21st Floor (Part Refuge Area) &amp; Fitness Center</t>
  </si>
  <si>
    <t>22nd Floor</t>
  </si>
  <si>
    <t>23rd Floor</t>
  </si>
  <si>
    <t>24th to 27th &amp; 29th to 31st Floor</t>
  </si>
  <si>
    <t>28th Floor (Part Refuge Area)</t>
  </si>
  <si>
    <t>32nd Floor (Part Terrace Area)</t>
  </si>
  <si>
    <t>Terrace Area</t>
  </si>
  <si>
    <t>Shops</t>
  </si>
  <si>
    <t>Flats</t>
  </si>
  <si>
    <t>Shops - 18, Flats - 256</t>
  </si>
  <si>
    <t>Mr. Waghmare - 9867323523</t>
  </si>
  <si>
    <t>visitor</t>
  </si>
  <si>
    <t>shop duplex triplex &amp; numbering</t>
  </si>
  <si>
    <t>and problem in flat numbering also</t>
  </si>
  <si>
    <t>shop ani flat che remark yetil ka</t>
  </si>
  <si>
    <t>ani parking tower upto 20th floor</t>
  </si>
  <si>
    <t>Shop Duplex with 1st Floor</t>
  </si>
  <si>
    <t>2nd Floor For Commercial</t>
  </si>
  <si>
    <t>S1</t>
  </si>
  <si>
    <t>S2</t>
  </si>
  <si>
    <t>S3</t>
  </si>
  <si>
    <t>S4</t>
  </si>
  <si>
    <t>S5</t>
  </si>
  <si>
    <t>S6</t>
  </si>
  <si>
    <t>S7</t>
  </si>
  <si>
    <t>N3</t>
  </si>
  <si>
    <t>N4</t>
  </si>
  <si>
    <t>N5</t>
  </si>
  <si>
    <t>We considered Gross carpet area = Net carpet + Deck Area.</t>
  </si>
  <si>
    <t>We have updated approved approved layout plan &amp; floor plan (on 20/11/2023).</t>
  </si>
  <si>
    <t>south &amp; north</t>
  </si>
  <si>
    <t>Recommended rate of the Shop Per Sq. Ft.(Gr + 1st Floor)</t>
  </si>
  <si>
    <t>Recommended rate of the Shop Per Sq. Ft. (Gr + 2nd Floor)</t>
  </si>
  <si>
    <t>Recommended rate of the Shop Per Sq. Ft. (2nd Floor)</t>
  </si>
  <si>
    <t>Documents Provided</t>
  </si>
  <si>
    <t>In provided approved floor plan, flat numbering is mentioned in South &amp; North series.</t>
  </si>
  <si>
    <t>Mechanical Car parking tower is provided from Ground Floor to 20th floor below North Flats.</t>
  </si>
  <si>
    <t>20000 to 21000</t>
  </si>
  <si>
    <t>smith</t>
  </si>
  <si>
    <t>Amenities Membership Charges</t>
  </si>
  <si>
    <t>Society Charges</t>
  </si>
  <si>
    <t>Water, Meter Charges</t>
  </si>
  <si>
    <t>Electric, Meter Charges</t>
  </si>
  <si>
    <t>Flat N3105</t>
  </si>
  <si>
    <t>Please provide revised approved plans.</t>
  </si>
  <si>
    <t>Part II = Sale Building No.1 = 1B + Gr + 1st to 32nd Floor</t>
  </si>
  <si>
    <t>Average Progress %
(Part I &amp; II)</t>
  </si>
  <si>
    <t>Average Disbursement
%(Part I &amp; II)</t>
  </si>
  <si>
    <t>Shree Adarsh CHSL</t>
  </si>
  <si>
    <t>Service Floor In between 2nd Floor &amp; 3rd Floor</t>
  </si>
  <si>
    <t>As per site visit dtd. 08/05/2024, the internal visit was not allowed. The construction details were taken from the site supervisor i.e.  2nd Slab in progress.(Sale Building)
But as per site visit dtd. 02/08/2024, internal visit were allowed, Construction stage of Sale Building was found to be as plinth work is completed. Construction stage of rehab building 3rd slab is completed.
Previously site person has shown rehab building instead of sale building. Therefore, extra construction percentage were given for sale building. we are maintaining the same stage of construction.</t>
  </si>
  <si>
    <t>21000 to 22800</t>
  </si>
  <si>
    <t>Shailesh</t>
  </si>
  <si>
    <t>Recommended Rates/Other Charges of the Property have been revised on 22/12/2023 &amp; 24/09/2024.</t>
  </si>
  <si>
    <t>CC vlidity extended letter on mail 27/09/2024.</t>
  </si>
  <si>
    <t>We have updated CC Revalidation date on 27/09/2024.</t>
  </si>
  <si>
    <t>akasj\h mote ne stage jast ghetla hota</t>
  </si>
  <si>
    <t>Please provide revised approved CC, As the construction work goes beyond the CC permission.</t>
  </si>
  <si>
    <t>Gaurav Panchal</t>
  </si>
  <si>
    <t>Mr. Priyansh Bhuwad</t>
  </si>
  <si>
    <t>Construction work is in process. Internal photographs was not 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</si>
</sst>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09">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5" xfId="8" applyFont="1" applyFill="1" applyBorder="1" applyAlignment="1" applyProtection="1">
      <alignment horizontal="center" vertical="top" wrapText="1"/>
      <protection locked="0"/>
    </xf>
    <xf numFmtId="0" fontId="17" fillId="0" borderId="0" xfId="0" applyFont="1" applyProtection="1">
      <protection hidden="1"/>
    </xf>
    <xf numFmtId="0" fontId="17"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4" fillId="2" borderId="29" xfId="0" applyFont="1" applyFill="1" applyBorder="1"/>
    <xf numFmtId="0" fontId="25" fillId="0" borderId="30" xfId="0" applyFont="1" applyBorder="1"/>
    <xf numFmtId="0" fontId="25" fillId="0" borderId="1" xfId="0" applyFont="1" applyBorder="1"/>
    <xf numFmtId="0" fontId="25" fillId="0" borderId="4" xfId="0" applyFont="1" applyBorder="1"/>
    <xf numFmtId="0" fontId="12" fillId="0" borderId="1" xfId="1" applyFont="1" applyBorder="1" applyAlignment="1" applyProtection="1">
      <alignment horizontal="center" vertical="top"/>
      <protection locked="0"/>
    </xf>
    <xf numFmtId="1" fontId="12" fillId="0" borderId="1" xfId="1" applyNumberFormat="1" applyFont="1" applyBorder="1" applyAlignment="1" applyProtection="1">
      <alignment horizontal="center" vertical="center" wrapText="1"/>
      <protection locked="0"/>
    </xf>
    <xf numFmtId="0" fontId="7" fillId="2" borderId="0" xfId="1" applyFont="1" applyFill="1" applyAlignment="1">
      <alignment horizontal="center" vertical="center"/>
    </xf>
    <xf numFmtId="1" fontId="7" fillId="2" borderId="0" xfId="1" applyNumberFormat="1" applyFont="1" applyFill="1" applyAlignment="1">
      <alignment horizontal="center" vertical="center"/>
    </xf>
    <xf numFmtId="0" fontId="7" fillId="2" borderId="0" xfId="0" applyFont="1" applyFill="1" applyAlignment="1">
      <alignment horizontal="center" vertical="center"/>
    </xf>
    <xf numFmtId="1" fontId="7" fillId="0" borderId="1" xfId="1" applyNumberFormat="1" applyFont="1" applyBorder="1" applyAlignment="1" applyProtection="1">
      <alignment horizontal="center" vertical="center" wrapText="1"/>
      <protection locked="0"/>
    </xf>
    <xf numFmtId="0" fontId="12" fillId="0" borderId="0" xfId="1" applyFont="1" applyAlignment="1">
      <alignment horizontal="center" vertical="center"/>
    </xf>
    <xf numFmtId="1" fontId="7" fillId="0" borderId="1" xfId="1" applyNumberFormat="1" applyFont="1" applyBorder="1" applyAlignment="1" applyProtection="1">
      <alignment horizontal="center" vertical="top" wrapText="1"/>
      <protection locked="0"/>
    </xf>
    <xf numFmtId="1" fontId="7" fillId="0" borderId="1" xfId="1" applyNumberFormat="1" applyFont="1" applyBorder="1" applyAlignment="1">
      <alignment horizontal="center" vertical="center"/>
    </xf>
    <xf numFmtId="167" fontId="16" fillId="0" borderId="0" xfId="1" applyNumberFormat="1" applyFont="1"/>
    <xf numFmtId="0" fontId="7" fillId="2" borderId="0" xfId="1" applyFont="1" applyFill="1"/>
    <xf numFmtId="14" fontId="7" fillId="2" borderId="0" xfId="1" applyNumberFormat="1" applyFont="1" applyFill="1"/>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6" fillId="0" borderId="7"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6" fillId="0" borderId="7" xfId="1" applyFont="1" applyBorder="1" applyAlignment="1" applyProtection="1">
      <alignment horizontal="left" vertical="top"/>
      <protection locked="0"/>
    </xf>
    <xf numFmtId="0" fontId="6" fillId="0" borderId="20" xfId="1" applyFont="1" applyBorder="1" applyAlignment="1" applyProtection="1">
      <alignment horizontal="left" vertical="top"/>
      <protection locked="0"/>
    </xf>
    <xf numFmtId="0" fontId="6" fillId="0" borderId="8"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6"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10" fillId="0" borderId="2"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8" fillId="0" borderId="1" xfId="1" applyFont="1" applyBorder="1" applyAlignment="1" applyProtection="1">
      <alignment horizontal="center" vertical="top"/>
      <protection locked="0"/>
    </xf>
    <xf numFmtId="0" fontId="8" fillId="0" borderId="15" xfId="1" applyFont="1" applyBorder="1" applyAlignment="1" applyProtection="1">
      <alignment horizontal="center" vertical="top"/>
      <protection locked="0"/>
    </xf>
    <xf numFmtId="0" fontId="8" fillId="0" borderId="15" xfId="1" applyFont="1" applyBorder="1" applyAlignment="1" applyProtection="1">
      <alignment horizontal="left" vertical="top"/>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21"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0" fontId="10" fillId="0" borderId="1" xfId="0" applyFont="1" applyBorder="1" applyAlignment="1" applyProtection="1">
      <alignment horizontal="center" vertical="top" wrapText="1"/>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0" fontId="10" fillId="0" borderId="32" xfId="0" applyFont="1" applyBorder="1" applyAlignment="1" applyProtection="1">
      <alignment horizontal="center" vertical="center"/>
      <protection locked="0"/>
    </xf>
    <xf numFmtId="1" fontId="10" fillId="0" borderId="32" xfId="0"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3" fillId="0" borderId="1" xfId="0" applyNumberFormat="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protection locked="0"/>
    </xf>
    <xf numFmtId="0" fontId="13" fillId="0" borderId="7"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7" fillId="0" borderId="0" xfId="1" applyFont="1" applyAlignment="1">
      <alignment horizontal="center" vertical="center"/>
    </xf>
    <xf numFmtId="0" fontId="7" fillId="0" borderId="1" xfId="0" applyFont="1" applyBorder="1" applyAlignment="1" applyProtection="1">
      <alignment horizontal="center" vertical="center"/>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1" fontId="6" fillId="0" borderId="20" xfId="1" applyNumberFormat="1" applyFont="1" applyBorder="1" applyAlignment="1" applyProtection="1">
      <alignment horizontal="center" vertical="center" wrapText="1"/>
      <protection locked="0"/>
    </xf>
    <xf numFmtId="1" fontId="8" fillId="0" borderId="2"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1" fontId="12" fillId="0" borderId="7"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0" fontId="26" fillId="0" borderId="1" xfId="10" applyFill="1" applyBorder="1" applyAlignment="1" applyProtection="1">
      <alignment horizontal="left" vertical="top" wrapText="1"/>
      <protection locked="0"/>
    </xf>
    <xf numFmtId="2" fontId="6" fillId="0" borderId="0" xfId="1" applyNumberFormat="1" applyFont="1" applyAlignment="1" applyProtection="1">
      <alignment horizontal="left" vertical="top" wrapText="1"/>
      <protection locked="0"/>
    </xf>
    <xf numFmtId="164" fontId="6" fillId="0" borderId="0" xfId="1" applyNumberFormat="1" applyFont="1" applyAlignment="1" applyProtection="1">
      <alignment horizontal="left" vertical="top"/>
      <protection locked="0"/>
    </xf>
    <xf numFmtId="2" fontId="6" fillId="0" borderId="0" xfId="1" applyNumberFormat="1" applyFont="1" applyAlignment="1" applyProtection="1">
      <alignment horizontal="left" vertical="top"/>
      <protection locked="0"/>
    </xf>
    <xf numFmtId="1" fontId="7" fillId="0" borderId="7"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6" fillId="0" borderId="0" xfId="1" applyNumberFormat="1" applyFont="1" applyAlignment="1" applyProtection="1">
      <alignment horizontal="center" vertical="center" wrapText="1"/>
      <protection locked="0"/>
    </xf>
    <xf numFmtId="1" fontId="6" fillId="0" borderId="34" xfId="1" applyNumberFormat="1" applyFont="1" applyBorder="1" applyAlignment="1" applyProtection="1">
      <alignment horizontal="center" vertical="center" wrapText="1"/>
      <protection locked="0"/>
    </xf>
    <xf numFmtId="1" fontId="12" fillId="0" borderId="20" xfId="1" applyNumberFormat="1" applyFont="1" applyBorder="1" applyAlignment="1" applyProtection="1">
      <alignment horizontal="center" vertical="center" wrapText="1"/>
      <protection locked="0"/>
    </xf>
    <xf numFmtId="9" fontId="8" fillId="0" borderId="12" xfId="1" applyNumberFormat="1" applyFont="1" applyBorder="1" applyAlignment="1" applyProtection="1">
      <alignment horizontal="center" vertical="center"/>
      <protection locked="0"/>
    </xf>
    <xf numFmtId="0" fontId="8" fillId="0" borderId="14" xfId="1" applyFont="1" applyBorder="1" applyAlignment="1" applyProtection="1">
      <alignment horizontal="center" vertical="center"/>
      <protection locked="0"/>
    </xf>
    <xf numFmtId="1" fontId="12" fillId="0" borderId="16" xfId="1" applyNumberFormat="1" applyFont="1" applyBorder="1" applyAlignment="1" applyProtection="1">
      <alignment horizontal="center" vertical="center" wrapText="1"/>
      <protection locked="0"/>
    </xf>
    <xf numFmtId="1" fontId="12" fillId="0" borderId="23" xfId="1" applyNumberFormat="1" applyFont="1" applyBorder="1" applyAlignment="1" applyProtection="1">
      <alignment horizontal="center" vertical="center" wrapText="1"/>
      <protection locked="0"/>
    </xf>
    <xf numFmtId="1" fontId="12" fillId="0" borderId="17" xfId="1" applyNumberFormat="1" applyFont="1" applyBorder="1" applyAlignment="1" applyProtection="1">
      <alignment horizontal="center" vertical="center" wrapText="1"/>
      <protection locked="0"/>
    </xf>
    <xf numFmtId="1" fontId="12" fillId="0" borderId="18" xfId="1" applyNumberFormat="1" applyFont="1" applyBorder="1" applyAlignment="1" applyProtection="1">
      <alignment horizontal="center" vertical="center" wrapText="1"/>
      <protection locked="0"/>
    </xf>
    <xf numFmtId="1" fontId="12" fillId="0" borderId="34" xfId="1" applyNumberFormat="1" applyFont="1" applyBorder="1" applyAlignment="1" applyProtection="1">
      <alignment horizontal="center" vertical="center" wrapText="1"/>
      <protection locked="0"/>
    </xf>
    <xf numFmtId="1" fontId="12" fillId="0" borderId="19" xfId="1" applyNumberFormat="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1</xdr:col>
      <xdr:colOff>77931</xdr:colOff>
      <xdr:row>407</xdr:row>
      <xdr:rowOff>39013</xdr:rowOff>
    </xdr:from>
    <xdr:to>
      <xdr:col>6</xdr:col>
      <xdr:colOff>719791</xdr:colOff>
      <xdr:row>423</xdr:row>
      <xdr:rowOff>92468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839931" y="78144013"/>
          <a:ext cx="4799242" cy="3280747"/>
        </a:xfrm>
        <a:prstGeom prst="rect">
          <a:avLst/>
        </a:prstGeom>
        <a:ln w="12700">
          <a:solidFill>
            <a:schemeClr val="tx1"/>
          </a:solidFill>
        </a:ln>
      </xdr:spPr>
    </xdr:pic>
    <xdr:clientData/>
  </xdr:twoCellAnchor>
  <xdr:twoCellAnchor editAs="oneCell">
    <xdr:from>
      <xdr:col>1</xdr:col>
      <xdr:colOff>77931</xdr:colOff>
      <xdr:row>390</xdr:row>
      <xdr:rowOff>8659</xdr:rowOff>
    </xdr:from>
    <xdr:to>
      <xdr:col>6</xdr:col>
      <xdr:colOff>733383</xdr:colOff>
      <xdr:row>406</xdr:row>
      <xdr:rowOff>62112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839931" y="62154954"/>
          <a:ext cx="4803157" cy="3240000"/>
        </a:xfrm>
        <a:prstGeom prst="rect">
          <a:avLst/>
        </a:prstGeom>
        <a:ln w="12700">
          <a:solidFill>
            <a:schemeClr val="tx1"/>
          </a:solidFill>
        </a:ln>
      </xdr:spPr>
    </xdr:pic>
    <xdr:clientData/>
  </xdr:twoCellAnchor>
  <xdr:twoCellAnchor editAs="oneCell">
    <xdr:from>
      <xdr:col>0</xdr:col>
      <xdr:colOff>582706</xdr:colOff>
      <xdr:row>352</xdr:row>
      <xdr:rowOff>44824</xdr:rowOff>
    </xdr:from>
    <xdr:to>
      <xdr:col>7</xdr:col>
      <xdr:colOff>326531</xdr:colOff>
      <xdr:row>367</xdr:row>
      <xdr:rowOff>162090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82706" y="67056000"/>
          <a:ext cx="5447619" cy="3142857"/>
        </a:xfrm>
        <a:prstGeom prst="rect">
          <a:avLst/>
        </a:prstGeom>
        <a:ln>
          <a:solidFill>
            <a:sysClr val="windowText" lastClr="000000"/>
          </a:solidFill>
        </a:ln>
      </xdr:spPr>
    </xdr:pic>
    <xdr:clientData/>
  </xdr:twoCellAnchor>
  <xdr:twoCellAnchor editAs="oneCell">
    <xdr:from>
      <xdr:col>2</xdr:col>
      <xdr:colOff>627529</xdr:colOff>
      <xdr:row>368</xdr:row>
      <xdr:rowOff>112058</xdr:rowOff>
    </xdr:from>
    <xdr:to>
      <xdr:col>5</xdr:col>
      <xdr:colOff>302849</xdr:colOff>
      <xdr:row>386</xdr:row>
      <xdr:rowOff>81353</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185147" y="70350529"/>
          <a:ext cx="2252673" cy="3600000"/>
        </a:xfrm>
        <a:prstGeom prst="rect">
          <a:avLst/>
        </a:prstGeom>
        <a:ln>
          <a:solidFill>
            <a:schemeClr val="tx1"/>
          </a:solidFill>
        </a:ln>
      </xdr:spPr>
    </xdr:pic>
    <xdr:clientData/>
  </xdr:twoCellAnchor>
  <xdr:twoCellAnchor>
    <xdr:from>
      <xdr:col>3</xdr:col>
      <xdr:colOff>324970</xdr:colOff>
      <xdr:row>420</xdr:row>
      <xdr:rowOff>134471</xdr:rowOff>
    </xdr:from>
    <xdr:to>
      <xdr:col>6</xdr:col>
      <xdr:colOff>22412</xdr:colOff>
      <xdr:row>421</xdr:row>
      <xdr:rowOff>89649</xdr:rowOff>
    </xdr:to>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flipV="1">
          <a:off x="2734235" y="80861647"/>
          <a:ext cx="2207559" cy="156884"/>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705970</xdr:colOff>
      <xdr:row>412</xdr:row>
      <xdr:rowOff>67236</xdr:rowOff>
    </xdr:from>
    <xdr:to>
      <xdr:col>6</xdr:col>
      <xdr:colOff>11206</xdr:colOff>
      <xdr:row>420</xdr:row>
      <xdr:rowOff>123266</xdr:rowOff>
    </xdr:to>
    <xdr:cxnSp macro="">
      <xdr:nvCxnSpPr>
        <xdr:cNvPr id="10" name="Straight Connector 9">
          <a:extLst>
            <a:ext uri="{FF2B5EF4-FFF2-40B4-BE49-F238E27FC236}">
              <a16:creationId xmlns:a16="http://schemas.microsoft.com/office/drawing/2014/main" id="{00000000-0008-0000-0000-00000A000000}"/>
            </a:ext>
          </a:extLst>
        </xdr:cNvPr>
        <xdr:cNvCxnSpPr/>
      </xdr:nvCxnSpPr>
      <xdr:spPr>
        <a:xfrm flipH="1" flipV="1">
          <a:off x="4840941" y="79180765"/>
          <a:ext cx="89647" cy="1669677"/>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347382</xdr:colOff>
      <xdr:row>412</xdr:row>
      <xdr:rowOff>78442</xdr:rowOff>
    </xdr:from>
    <xdr:to>
      <xdr:col>5</xdr:col>
      <xdr:colOff>705970</xdr:colOff>
      <xdr:row>412</xdr:row>
      <xdr:rowOff>168089</xdr:rowOff>
    </xdr:to>
    <xdr:cxnSp macro="">
      <xdr:nvCxnSpPr>
        <xdr:cNvPr id="28" name="Straight Connector 27">
          <a:extLst>
            <a:ext uri="{FF2B5EF4-FFF2-40B4-BE49-F238E27FC236}">
              <a16:creationId xmlns:a16="http://schemas.microsoft.com/office/drawing/2014/main" id="{00000000-0008-0000-0000-00001C000000}"/>
            </a:ext>
          </a:extLst>
        </xdr:cNvPr>
        <xdr:cNvCxnSpPr/>
      </xdr:nvCxnSpPr>
      <xdr:spPr>
        <a:xfrm flipH="1">
          <a:off x="3697941" y="79191971"/>
          <a:ext cx="1143000" cy="89647"/>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582706</xdr:colOff>
      <xdr:row>412</xdr:row>
      <xdr:rowOff>145677</xdr:rowOff>
    </xdr:from>
    <xdr:to>
      <xdr:col>4</xdr:col>
      <xdr:colOff>358588</xdr:colOff>
      <xdr:row>416</xdr:row>
      <xdr:rowOff>33618</xdr:rowOff>
    </xdr:to>
    <xdr:cxnSp macro="">
      <xdr:nvCxnSpPr>
        <xdr:cNvPr id="36" name="Straight Connector 35">
          <a:extLst>
            <a:ext uri="{FF2B5EF4-FFF2-40B4-BE49-F238E27FC236}">
              <a16:creationId xmlns:a16="http://schemas.microsoft.com/office/drawing/2014/main" id="{00000000-0008-0000-0000-000024000000}"/>
            </a:ext>
          </a:extLst>
        </xdr:cNvPr>
        <xdr:cNvCxnSpPr/>
      </xdr:nvCxnSpPr>
      <xdr:spPr>
        <a:xfrm flipH="1">
          <a:off x="2991971" y="79259206"/>
          <a:ext cx="717176" cy="69476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347383</xdr:colOff>
      <xdr:row>416</xdr:row>
      <xdr:rowOff>33618</xdr:rowOff>
    </xdr:from>
    <xdr:to>
      <xdr:col>3</xdr:col>
      <xdr:colOff>560294</xdr:colOff>
      <xdr:row>421</xdr:row>
      <xdr:rowOff>112059</xdr:rowOff>
    </xdr:to>
    <xdr:cxnSp macro="">
      <xdr:nvCxnSpPr>
        <xdr:cNvPr id="42" name="Straight Connector 41">
          <a:extLst>
            <a:ext uri="{FF2B5EF4-FFF2-40B4-BE49-F238E27FC236}">
              <a16:creationId xmlns:a16="http://schemas.microsoft.com/office/drawing/2014/main" id="{00000000-0008-0000-0000-00002A000000}"/>
            </a:ext>
          </a:extLst>
        </xdr:cNvPr>
        <xdr:cNvCxnSpPr/>
      </xdr:nvCxnSpPr>
      <xdr:spPr>
        <a:xfrm flipH="1">
          <a:off x="2756648" y="79953971"/>
          <a:ext cx="212911" cy="108697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672353</xdr:colOff>
      <xdr:row>421</xdr:row>
      <xdr:rowOff>112060</xdr:rowOff>
    </xdr:from>
    <xdr:ext cx="1245341" cy="264560"/>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4022912" y="81040942"/>
          <a:ext cx="1245341" cy="264560"/>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Sale Building No.1</a:t>
          </a:r>
        </a:p>
      </xdr:txBody>
    </xdr:sp>
    <xdr:clientData/>
  </xdr:oneCellAnchor>
  <xdr:twoCellAnchor>
    <xdr:from>
      <xdr:col>3</xdr:col>
      <xdr:colOff>481853</xdr:colOff>
      <xdr:row>366</xdr:row>
      <xdr:rowOff>168088</xdr:rowOff>
    </xdr:from>
    <xdr:to>
      <xdr:col>4</xdr:col>
      <xdr:colOff>123265</xdr:colOff>
      <xdr:row>366</xdr:row>
      <xdr:rowOff>168088</xdr:rowOff>
    </xdr:to>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a:xfrm flipH="1">
          <a:off x="2891118" y="72401206"/>
          <a:ext cx="582706" cy="0"/>
        </a:xfrm>
        <a:prstGeom prst="straightConnector1">
          <a:avLst/>
        </a:prstGeom>
        <a:ln w="762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145677</xdr:colOff>
      <xdr:row>365</xdr:row>
      <xdr:rowOff>156882</xdr:rowOff>
    </xdr:from>
    <xdr:ext cx="353623" cy="405432"/>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2554942" y="72188294"/>
          <a:ext cx="353623"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000" b="1"/>
            <a:t>N</a:t>
          </a:r>
        </a:p>
      </xdr:txBody>
    </xdr:sp>
    <xdr:clientData/>
  </xdr:oneCellAnchor>
  <xdr:twoCellAnchor>
    <xdr:from>
      <xdr:col>6</xdr:col>
      <xdr:colOff>750794</xdr:colOff>
      <xdr:row>354</xdr:row>
      <xdr:rowOff>156883</xdr:rowOff>
    </xdr:from>
    <xdr:to>
      <xdr:col>7</xdr:col>
      <xdr:colOff>0</xdr:colOff>
      <xdr:row>365</xdr:row>
      <xdr:rowOff>56030</xdr:rowOff>
    </xdr:to>
    <xdr:cxnSp macro="">
      <xdr:nvCxnSpPr>
        <xdr:cNvPr id="20" name="Straight Connector 19">
          <a:extLst>
            <a:ext uri="{FF2B5EF4-FFF2-40B4-BE49-F238E27FC236}">
              <a16:creationId xmlns:a16="http://schemas.microsoft.com/office/drawing/2014/main" id="{00000000-0008-0000-0000-000014000000}"/>
            </a:ext>
          </a:extLst>
        </xdr:cNvPr>
        <xdr:cNvCxnSpPr/>
      </xdr:nvCxnSpPr>
      <xdr:spPr>
        <a:xfrm flipV="1">
          <a:off x="5670176" y="70193648"/>
          <a:ext cx="33618" cy="211791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78441</xdr:colOff>
      <xdr:row>354</xdr:row>
      <xdr:rowOff>56029</xdr:rowOff>
    </xdr:from>
    <xdr:to>
      <xdr:col>6</xdr:col>
      <xdr:colOff>762001</xdr:colOff>
      <xdr:row>354</xdr:row>
      <xdr:rowOff>145676</xdr:rowOff>
    </xdr:to>
    <xdr:cxnSp macro="">
      <xdr:nvCxnSpPr>
        <xdr:cNvPr id="21" name="Straight Connector 20">
          <a:extLst>
            <a:ext uri="{FF2B5EF4-FFF2-40B4-BE49-F238E27FC236}">
              <a16:creationId xmlns:a16="http://schemas.microsoft.com/office/drawing/2014/main" id="{00000000-0008-0000-0000-000015000000}"/>
            </a:ext>
          </a:extLst>
        </xdr:cNvPr>
        <xdr:cNvCxnSpPr/>
      </xdr:nvCxnSpPr>
      <xdr:spPr>
        <a:xfrm flipH="1" flipV="1">
          <a:off x="2487706" y="70092794"/>
          <a:ext cx="3193677" cy="89647"/>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750794</xdr:colOff>
      <xdr:row>356</xdr:row>
      <xdr:rowOff>156883</xdr:rowOff>
    </xdr:from>
    <xdr:to>
      <xdr:col>3</xdr:col>
      <xdr:colOff>806824</xdr:colOff>
      <xdr:row>361</xdr:row>
      <xdr:rowOff>22413</xdr:rowOff>
    </xdr:to>
    <xdr:cxnSp macro="">
      <xdr:nvCxnSpPr>
        <xdr:cNvPr id="22" name="Straight Connector 21">
          <a:extLst>
            <a:ext uri="{FF2B5EF4-FFF2-40B4-BE49-F238E27FC236}">
              <a16:creationId xmlns:a16="http://schemas.microsoft.com/office/drawing/2014/main" id="{00000000-0008-0000-0000-000016000000}"/>
            </a:ext>
          </a:extLst>
        </xdr:cNvPr>
        <xdr:cNvCxnSpPr/>
      </xdr:nvCxnSpPr>
      <xdr:spPr>
        <a:xfrm flipH="1" flipV="1">
          <a:off x="2308412" y="70597059"/>
          <a:ext cx="907677" cy="87406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806823</xdr:colOff>
      <xdr:row>361</xdr:row>
      <xdr:rowOff>22412</xdr:rowOff>
    </xdr:from>
    <xdr:to>
      <xdr:col>5</xdr:col>
      <xdr:colOff>425823</xdr:colOff>
      <xdr:row>365</xdr:row>
      <xdr:rowOff>56030</xdr:rowOff>
    </xdr:to>
    <xdr:cxnSp macro="">
      <xdr:nvCxnSpPr>
        <xdr:cNvPr id="23" name="Straight Connector 22">
          <a:extLst>
            <a:ext uri="{FF2B5EF4-FFF2-40B4-BE49-F238E27FC236}">
              <a16:creationId xmlns:a16="http://schemas.microsoft.com/office/drawing/2014/main" id="{00000000-0008-0000-0000-000017000000}"/>
            </a:ext>
          </a:extLst>
        </xdr:cNvPr>
        <xdr:cNvCxnSpPr/>
      </xdr:nvCxnSpPr>
      <xdr:spPr>
        <a:xfrm>
          <a:off x="3216088" y="71471118"/>
          <a:ext cx="1344706" cy="84044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403411</xdr:colOff>
      <xdr:row>365</xdr:row>
      <xdr:rowOff>44824</xdr:rowOff>
    </xdr:from>
    <xdr:to>
      <xdr:col>6</xdr:col>
      <xdr:colOff>773207</xdr:colOff>
      <xdr:row>365</xdr:row>
      <xdr:rowOff>44825</xdr:rowOff>
    </xdr:to>
    <xdr:cxnSp macro="">
      <xdr:nvCxnSpPr>
        <xdr:cNvPr id="24" name="Straight Connector 23">
          <a:extLst>
            <a:ext uri="{FF2B5EF4-FFF2-40B4-BE49-F238E27FC236}">
              <a16:creationId xmlns:a16="http://schemas.microsoft.com/office/drawing/2014/main" id="{00000000-0008-0000-0000-000018000000}"/>
            </a:ext>
          </a:extLst>
        </xdr:cNvPr>
        <xdr:cNvCxnSpPr/>
      </xdr:nvCxnSpPr>
      <xdr:spPr>
        <a:xfrm flipH="1" flipV="1">
          <a:off x="4538382" y="72300353"/>
          <a:ext cx="1154207" cy="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784411</xdr:colOff>
      <xdr:row>354</xdr:row>
      <xdr:rowOff>56029</xdr:rowOff>
    </xdr:from>
    <xdr:to>
      <xdr:col>3</xdr:col>
      <xdr:colOff>67236</xdr:colOff>
      <xdr:row>356</xdr:row>
      <xdr:rowOff>168089</xdr:rowOff>
    </xdr:to>
    <xdr:cxnSp macro="">
      <xdr:nvCxnSpPr>
        <xdr:cNvPr id="47" name="Straight Connector 46">
          <a:extLst>
            <a:ext uri="{FF2B5EF4-FFF2-40B4-BE49-F238E27FC236}">
              <a16:creationId xmlns:a16="http://schemas.microsoft.com/office/drawing/2014/main" id="{00000000-0008-0000-0000-00002F000000}"/>
            </a:ext>
          </a:extLst>
        </xdr:cNvPr>
        <xdr:cNvCxnSpPr/>
      </xdr:nvCxnSpPr>
      <xdr:spPr>
        <a:xfrm flipH="1">
          <a:off x="2342029" y="70092794"/>
          <a:ext cx="134472" cy="51547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638735</xdr:colOff>
      <xdr:row>352</xdr:row>
      <xdr:rowOff>145678</xdr:rowOff>
    </xdr:from>
    <xdr:ext cx="1245341" cy="264560"/>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3989294" y="69779031"/>
          <a:ext cx="1245341" cy="264560"/>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Sale Building No.1</a:t>
          </a:r>
        </a:p>
      </xdr:txBody>
    </xdr:sp>
    <xdr:clientData/>
  </xdr:oneCellAnchor>
  <xdr:oneCellAnchor>
    <xdr:from>
      <xdr:col>1</xdr:col>
      <xdr:colOff>40341</xdr:colOff>
      <xdr:row>365</xdr:row>
      <xdr:rowOff>186020</xdr:rowOff>
    </xdr:from>
    <xdr:ext cx="1065100" cy="264560"/>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802341" y="72441549"/>
          <a:ext cx="1065100" cy="264560"/>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Rehab Building</a:t>
          </a:r>
        </a:p>
      </xdr:txBody>
    </xdr:sp>
    <xdr:clientData/>
  </xdr:oneCellAnchor>
  <xdr:twoCellAnchor>
    <xdr:from>
      <xdr:col>1</xdr:col>
      <xdr:colOff>11206</xdr:colOff>
      <xdr:row>356</xdr:row>
      <xdr:rowOff>44824</xdr:rowOff>
    </xdr:from>
    <xdr:to>
      <xdr:col>3</xdr:col>
      <xdr:colOff>235323</xdr:colOff>
      <xdr:row>365</xdr:row>
      <xdr:rowOff>145677</xdr:rowOff>
    </xdr:to>
    <xdr:sp macro="" textlink="">
      <xdr:nvSpPr>
        <xdr:cNvPr id="56" name="Right Triangle 55">
          <a:extLst>
            <a:ext uri="{FF2B5EF4-FFF2-40B4-BE49-F238E27FC236}">
              <a16:creationId xmlns:a16="http://schemas.microsoft.com/office/drawing/2014/main" id="{00000000-0008-0000-0000-000038000000}"/>
            </a:ext>
          </a:extLst>
        </xdr:cNvPr>
        <xdr:cNvSpPr/>
      </xdr:nvSpPr>
      <xdr:spPr>
        <a:xfrm>
          <a:off x="773206" y="70485000"/>
          <a:ext cx="1871382" cy="1916206"/>
        </a:xfrm>
        <a:prstGeom prst="rtTriangl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8</xdr:col>
      <xdr:colOff>600075</xdr:colOff>
      <xdr:row>315</xdr:row>
      <xdr:rowOff>104775</xdr:rowOff>
    </xdr:from>
    <xdr:to>
      <xdr:col>11</xdr:col>
      <xdr:colOff>381000</xdr:colOff>
      <xdr:row>320</xdr:row>
      <xdr:rowOff>133350</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7124700" y="67703700"/>
          <a:ext cx="2409825" cy="1028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C00000"/>
              </a:solidFill>
            </a:rPr>
            <a:t>Sale Building</a:t>
          </a:r>
        </a:p>
      </xdr:txBody>
    </xdr:sp>
    <xdr:clientData/>
  </xdr:twoCellAnchor>
  <xdr:twoCellAnchor editAs="oneCell">
    <xdr:from>
      <xdr:col>8</xdr:col>
      <xdr:colOff>533400</xdr:colOff>
      <xdr:row>43</xdr:row>
      <xdr:rowOff>28575</xdr:rowOff>
    </xdr:from>
    <xdr:to>
      <xdr:col>12</xdr:col>
      <xdr:colOff>399650</xdr:colOff>
      <xdr:row>57</xdr:row>
      <xdr:rowOff>123375</xdr:rowOff>
    </xdr:to>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7058025" y="9906000"/>
          <a:ext cx="3200000" cy="3600000"/>
        </a:xfrm>
        <a:prstGeom prst="rect">
          <a:avLst/>
        </a:prstGeom>
      </xdr:spPr>
    </xdr:pic>
    <xdr:clientData/>
  </xdr:twoCellAnchor>
  <xdr:twoCellAnchor>
    <xdr:from>
      <xdr:col>9</xdr:col>
      <xdr:colOff>0</xdr:colOff>
      <xdr:row>323</xdr:row>
      <xdr:rowOff>8698</xdr:rowOff>
    </xdr:from>
    <xdr:to>
      <xdr:col>10</xdr:col>
      <xdr:colOff>635000</xdr:colOff>
      <xdr:row>325</xdr:row>
      <xdr:rowOff>53148</xdr:rowOff>
    </xdr:to>
    <xdr:sp macro="" textlink="">
      <xdr:nvSpPr>
        <xdr:cNvPr id="48" name="Rectangle 47">
          <a:extLst>
            <a:ext uri="{FF2B5EF4-FFF2-40B4-BE49-F238E27FC236}">
              <a16:creationId xmlns:a16="http://schemas.microsoft.com/office/drawing/2014/main" id="{00000000-0008-0000-0000-000030000000}"/>
            </a:ext>
          </a:extLst>
        </xdr:cNvPr>
        <xdr:cNvSpPr/>
      </xdr:nvSpPr>
      <xdr:spPr>
        <a:xfrm>
          <a:off x="8064500" y="65242248"/>
          <a:ext cx="1435100" cy="438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C00000"/>
              </a:solidFill>
            </a:rPr>
            <a:t>SRA Building</a:t>
          </a:r>
        </a:p>
      </xdr:txBody>
    </xdr:sp>
    <xdr:clientData/>
  </xdr:twoCellAnchor>
  <xdr:twoCellAnchor>
    <xdr:from>
      <xdr:col>8</xdr:col>
      <xdr:colOff>643890</xdr:colOff>
      <xdr:row>309</xdr:row>
      <xdr:rowOff>112395</xdr:rowOff>
    </xdr:from>
    <xdr:to>
      <xdr:col>16</xdr:col>
      <xdr:colOff>572436</xdr:colOff>
      <xdr:row>343</xdr:row>
      <xdr:rowOff>53475</xdr:rowOff>
    </xdr:to>
    <xdr:grpSp>
      <xdr:nvGrpSpPr>
        <xdr:cNvPr id="34" name="Group 33">
          <a:extLst>
            <a:ext uri="{FF2B5EF4-FFF2-40B4-BE49-F238E27FC236}">
              <a16:creationId xmlns:a16="http://schemas.microsoft.com/office/drawing/2014/main" id="{68BD215E-FE42-4953-A136-27A56D10EAF3}"/>
            </a:ext>
          </a:extLst>
        </xdr:cNvPr>
        <xdr:cNvGrpSpPr/>
      </xdr:nvGrpSpPr>
      <xdr:grpSpPr>
        <a:xfrm>
          <a:off x="7341870" y="63327915"/>
          <a:ext cx="6512226" cy="6669540"/>
          <a:chOff x="78924" y="1026750"/>
          <a:chExt cx="6363636" cy="6730500"/>
        </a:xfrm>
      </xdr:grpSpPr>
      <xdr:grpSp>
        <xdr:nvGrpSpPr>
          <xdr:cNvPr id="35" name="Group 34">
            <a:extLst>
              <a:ext uri="{FF2B5EF4-FFF2-40B4-BE49-F238E27FC236}">
                <a16:creationId xmlns:a16="http://schemas.microsoft.com/office/drawing/2014/main" id="{CEECF566-654E-453F-9FBB-C0ABCD02C1BE}"/>
              </a:ext>
            </a:extLst>
          </xdr:cNvPr>
          <xdr:cNvGrpSpPr/>
        </xdr:nvGrpSpPr>
        <xdr:grpSpPr>
          <a:xfrm>
            <a:off x="100741" y="1026750"/>
            <a:ext cx="6341819" cy="6730500"/>
            <a:chOff x="100741" y="1026750"/>
            <a:chExt cx="6341819" cy="6730500"/>
          </a:xfrm>
        </xdr:grpSpPr>
        <xdr:grpSp>
          <xdr:nvGrpSpPr>
            <xdr:cNvPr id="38" name="Group 37">
              <a:extLst>
                <a:ext uri="{FF2B5EF4-FFF2-40B4-BE49-F238E27FC236}">
                  <a16:creationId xmlns:a16="http://schemas.microsoft.com/office/drawing/2014/main" id="{9704A33F-7068-41DB-BFE0-30D889B1C686}"/>
                </a:ext>
              </a:extLst>
            </xdr:cNvPr>
            <xdr:cNvGrpSpPr/>
          </xdr:nvGrpSpPr>
          <xdr:grpSpPr>
            <a:xfrm>
              <a:off x="100741" y="1026750"/>
              <a:ext cx="6341819" cy="6730500"/>
              <a:chOff x="100741" y="1026750"/>
              <a:chExt cx="6341819" cy="6730500"/>
            </a:xfrm>
          </xdr:grpSpPr>
          <xdr:pic>
            <xdr:nvPicPr>
              <xdr:cNvPr id="43" name="Picture 42">
                <a:extLst>
                  <a:ext uri="{FF2B5EF4-FFF2-40B4-BE49-F238E27FC236}">
                    <a16:creationId xmlns:a16="http://schemas.microsoft.com/office/drawing/2014/main" id="{8B809F2B-FCC2-4DEB-8D8E-619184DF91B1}"/>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00741" y="1026750"/>
                <a:ext cx="3115667" cy="2340000"/>
              </a:xfrm>
              <a:prstGeom prst="rect">
                <a:avLst/>
              </a:prstGeom>
              <a:ln>
                <a:solidFill>
                  <a:schemeClr val="tx1"/>
                </a:solidFill>
              </a:ln>
            </xdr:spPr>
          </xdr:pic>
          <xdr:pic>
            <xdr:nvPicPr>
              <xdr:cNvPr id="44" name="Picture 43">
                <a:extLst>
                  <a:ext uri="{FF2B5EF4-FFF2-40B4-BE49-F238E27FC236}">
                    <a16:creationId xmlns:a16="http://schemas.microsoft.com/office/drawing/2014/main" id="{792A5057-7B4C-4873-9F98-CD3C85C3B37F}"/>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834532" y="3492000"/>
                <a:ext cx="1617750" cy="2160000"/>
              </a:xfrm>
              <a:prstGeom prst="rect">
                <a:avLst/>
              </a:prstGeom>
              <a:ln>
                <a:solidFill>
                  <a:schemeClr val="tx1"/>
                </a:solidFill>
              </a:ln>
            </xdr:spPr>
          </xdr:pic>
          <xdr:pic>
            <xdr:nvPicPr>
              <xdr:cNvPr id="45" name="Picture 44">
                <a:extLst>
                  <a:ext uri="{FF2B5EF4-FFF2-40B4-BE49-F238E27FC236}">
                    <a16:creationId xmlns:a16="http://schemas.microsoft.com/office/drawing/2014/main" id="{9F08C134-2CE4-4FEA-8F68-9F679F9E53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536782" y="3492000"/>
                <a:ext cx="2876000" cy="2160000"/>
              </a:xfrm>
              <a:prstGeom prst="rect">
                <a:avLst/>
              </a:prstGeom>
              <a:ln>
                <a:solidFill>
                  <a:schemeClr val="tx1"/>
                </a:solidFill>
              </a:ln>
            </xdr:spPr>
          </xdr:pic>
          <xdr:pic>
            <xdr:nvPicPr>
              <xdr:cNvPr id="59" name="Picture 58">
                <a:extLst>
                  <a:ext uri="{FF2B5EF4-FFF2-40B4-BE49-F238E27FC236}">
                    <a16:creationId xmlns:a16="http://schemas.microsoft.com/office/drawing/2014/main" id="{AF838597-4F71-41E2-BB46-ECBF3F9E1C61}"/>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996655" y="5777250"/>
                <a:ext cx="1482938" cy="1980000"/>
              </a:xfrm>
              <a:prstGeom prst="rect">
                <a:avLst/>
              </a:prstGeom>
              <a:ln>
                <a:solidFill>
                  <a:schemeClr val="tx1"/>
                </a:solidFill>
              </a:ln>
            </xdr:spPr>
          </xdr:pic>
          <xdr:pic>
            <xdr:nvPicPr>
              <xdr:cNvPr id="60" name="Picture 59">
                <a:extLst>
                  <a:ext uri="{FF2B5EF4-FFF2-40B4-BE49-F238E27FC236}">
                    <a16:creationId xmlns:a16="http://schemas.microsoft.com/office/drawing/2014/main" id="{C10A7CD0-77AC-4177-8A15-7C385526EF85}"/>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585424" y="5777250"/>
                <a:ext cx="1482938" cy="1980000"/>
              </a:xfrm>
              <a:prstGeom prst="rect">
                <a:avLst/>
              </a:prstGeom>
              <a:ln>
                <a:solidFill>
                  <a:schemeClr val="tx1"/>
                </a:solidFill>
              </a:ln>
            </xdr:spPr>
          </xdr:pic>
          <xdr:pic>
            <xdr:nvPicPr>
              <xdr:cNvPr id="61" name="Picture 60">
                <a:extLst>
                  <a:ext uri="{FF2B5EF4-FFF2-40B4-BE49-F238E27FC236}">
                    <a16:creationId xmlns:a16="http://schemas.microsoft.com/office/drawing/2014/main" id="{E2459CCD-2602-449A-8ABA-4714A429B01F}"/>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170229" y="5777250"/>
                <a:ext cx="1482938" cy="1980000"/>
              </a:xfrm>
              <a:prstGeom prst="rect">
                <a:avLst/>
              </a:prstGeom>
              <a:ln>
                <a:solidFill>
                  <a:schemeClr val="tx1"/>
                </a:solidFill>
              </a:ln>
            </xdr:spPr>
          </xdr:pic>
          <xdr:pic>
            <xdr:nvPicPr>
              <xdr:cNvPr id="62" name="Picture 61">
                <a:extLst>
                  <a:ext uri="{FF2B5EF4-FFF2-40B4-BE49-F238E27FC236}">
                    <a16:creationId xmlns:a16="http://schemas.microsoft.com/office/drawing/2014/main" id="{697AA49A-F864-40FD-8D27-31885B2D4012}"/>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3326893" y="1026750"/>
                <a:ext cx="3115667" cy="2340000"/>
              </a:xfrm>
              <a:prstGeom prst="rect">
                <a:avLst/>
              </a:prstGeom>
              <a:ln>
                <a:solidFill>
                  <a:schemeClr val="tx1"/>
                </a:solidFill>
              </a:ln>
            </xdr:spPr>
          </xdr:pic>
        </xdr:grpSp>
        <xdr:sp macro="" textlink="">
          <xdr:nvSpPr>
            <xdr:cNvPr id="39" name="TextBox 20">
              <a:extLst>
                <a:ext uri="{FF2B5EF4-FFF2-40B4-BE49-F238E27FC236}">
                  <a16:creationId xmlns:a16="http://schemas.microsoft.com/office/drawing/2014/main" id="{C2374DCD-19A3-4584-B530-BEF4A50B95DC}"/>
                </a:ext>
              </a:extLst>
            </xdr:cNvPr>
            <xdr:cNvSpPr txBox="1"/>
          </xdr:nvSpPr>
          <xdr:spPr>
            <a:xfrm>
              <a:off x="2173494" y="1202084"/>
              <a:ext cx="110318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Sale Bldg </a:t>
              </a:r>
              <a:endParaRPr lang="en-IN" b="1">
                <a:solidFill>
                  <a:srgbClr val="FF0000"/>
                </a:solidFill>
              </a:endParaRPr>
            </a:p>
          </xdr:txBody>
        </xdr:sp>
        <xdr:sp macro="" textlink="">
          <xdr:nvSpPr>
            <xdr:cNvPr id="40" name="TextBox 21">
              <a:extLst>
                <a:ext uri="{FF2B5EF4-FFF2-40B4-BE49-F238E27FC236}">
                  <a16:creationId xmlns:a16="http://schemas.microsoft.com/office/drawing/2014/main" id="{CD27365F-DEC6-4499-BE45-45CDF47552D2}"/>
                </a:ext>
              </a:extLst>
            </xdr:cNvPr>
            <xdr:cNvSpPr txBox="1"/>
          </xdr:nvSpPr>
          <xdr:spPr>
            <a:xfrm>
              <a:off x="3781539" y="1026750"/>
              <a:ext cx="110318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Sale Bldg </a:t>
              </a:r>
              <a:endParaRPr lang="en-IN" b="1">
                <a:solidFill>
                  <a:srgbClr val="FF0000"/>
                </a:solidFill>
              </a:endParaRPr>
            </a:p>
          </xdr:txBody>
        </xdr:sp>
        <xdr:sp macro="" textlink="">
          <xdr:nvSpPr>
            <xdr:cNvPr id="41" name="TextBox 22">
              <a:extLst>
                <a:ext uri="{FF2B5EF4-FFF2-40B4-BE49-F238E27FC236}">
                  <a16:creationId xmlns:a16="http://schemas.microsoft.com/office/drawing/2014/main" id="{4BF2D454-E895-41A1-8A22-2CB0CFC925CB}"/>
                </a:ext>
              </a:extLst>
            </xdr:cNvPr>
            <xdr:cNvSpPr txBox="1"/>
          </xdr:nvSpPr>
          <xdr:spPr>
            <a:xfrm>
              <a:off x="1852155" y="3492000"/>
              <a:ext cx="89300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Rehab</a:t>
              </a:r>
              <a:r>
                <a:rPr lang="en-US" b="1">
                  <a:solidFill>
                    <a:srgbClr val="FF0000"/>
                  </a:solidFill>
                </a:rPr>
                <a:t>  </a:t>
              </a:r>
              <a:endParaRPr lang="en-IN" b="1">
                <a:solidFill>
                  <a:srgbClr val="FF0000"/>
                </a:solidFill>
              </a:endParaRPr>
            </a:p>
          </xdr:txBody>
        </xdr:sp>
      </xdr:grpSp>
      <xdr:pic>
        <xdr:nvPicPr>
          <xdr:cNvPr id="37" name="Picture 36">
            <a:extLst>
              <a:ext uri="{FF2B5EF4-FFF2-40B4-BE49-F238E27FC236}">
                <a16:creationId xmlns:a16="http://schemas.microsoft.com/office/drawing/2014/main" id="{F2D9129F-FFCA-4D76-8D2B-E67204E6807B}"/>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78924" y="3492000"/>
            <a:ext cx="1617750" cy="2160000"/>
          </a:xfrm>
          <a:prstGeom prst="rect">
            <a:avLst/>
          </a:prstGeom>
          <a:ln>
            <a:solidFill>
              <a:schemeClr val="tx1"/>
            </a:solidFill>
          </a:ln>
        </xdr:spPr>
      </xdr:pic>
    </xdr:grpSp>
    <xdr:clientData/>
  </xdr:twoCellAnchor>
  <xdr:twoCellAnchor>
    <xdr:from>
      <xdr:col>0</xdr:col>
      <xdr:colOff>297180</xdr:colOff>
      <xdr:row>310</xdr:row>
      <xdr:rowOff>53340</xdr:rowOff>
    </xdr:from>
    <xdr:to>
      <xdr:col>7</xdr:col>
      <xdr:colOff>483925</xdr:colOff>
      <xdr:row>346</xdr:row>
      <xdr:rowOff>160526</xdr:rowOff>
    </xdr:to>
    <xdr:grpSp>
      <xdr:nvGrpSpPr>
        <xdr:cNvPr id="11" name="Group 10">
          <a:extLst>
            <a:ext uri="{FF2B5EF4-FFF2-40B4-BE49-F238E27FC236}">
              <a16:creationId xmlns:a16="http://schemas.microsoft.com/office/drawing/2014/main" id="{D7F28832-D5AA-5A66-89CF-0B6C7FD602AE}"/>
            </a:ext>
          </a:extLst>
        </xdr:cNvPr>
        <xdr:cNvGrpSpPr/>
      </xdr:nvGrpSpPr>
      <xdr:grpSpPr>
        <a:xfrm>
          <a:off x="297180" y="63466980"/>
          <a:ext cx="6031285" cy="7231886"/>
          <a:chOff x="446066" y="301577"/>
          <a:chExt cx="6031285" cy="7231886"/>
        </a:xfrm>
      </xdr:grpSpPr>
      <xdr:grpSp>
        <xdr:nvGrpSpPr>
          <xdr:cNvPr id="12" name="Group 11">
            <a:extLst>
              <a:ext uri="{FF2B5EF4-FFF2-40B4-BE49-F238E27FC236}">
                <a16:creationId xmlns:a16="http://schemas.microsoft.com/office/drawing/2014/main" id="{2C520608-4811-AE80-F388-A21F5BB3DCA1}"/>
              </a:ext>
            </a:extLst>
          </xdr:cNvPr>
          <xdr:cNvGrpSpPr/>
        </xdr:nvGrpSpPr>
        <xdr:grpSpPr>
          <a:xfrm>
            <a:off x="1491274" y="3017520"/>
            <a:ext cx="3940868" cy="2520000"/>
            <a:chOff x="1578549" y="3017520"/>
            <a:chExt cx="3940868" cy="2520000"/>
          </a:xfrm>
        </xdr:grpSpPr>
        <xdr:pic>
          <xdr:nvPicPr>
            <xdr:cNvPr id="31" name="Picture 30">
              <a:extLst>
                <a:ext uri="{FF2B5EF4-FFF2-40B4-BE49-F238E27FC236}">
                  <a16:creationId xmlns:a16="http://schemas.microsoft.com/office/drawing/2014/main" id="{954B680C-CB2F-161D-89F1-E98864E46B42}"/>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tretch>
              <a:fillRect/>
            </a:stretch>
          </xdr:blipFill>
          <xdr:spPr>
            <a:xfrm>
              <a:off x="1578549" y="3017520"/>
              <a:ext cx="1890000" cy="2520000"/>
            </a:xfrm>
            <a:prstGeom prst="rect">
              <a:avLst/>
            </a:prstGeom>
            <a:ln>
              <a:solidFill>
                <a:schemeClr val="tx1"/>
              </a:solidFill>
            </a:ln>
          </xdr:spPr>
        </xdr:pic>
        <xdr:pic>
          <xdr:nvPicPr>
            <xdr:cNvPr id="33" name="Picture 32">
              <a:extLst>
                <a:ext uri="{FF2B5EF4-FFF2-40B4-BE49-F238E27FC236}">
                  <a16:creationId xmlns:a16="http://schemas.microsoft.com/office/drawing/2014/main" id="{84045114-8ED5-FA11-CB8D-83FFE07C93E4}"/>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tretch>
              <a:fillRect/>
            </a:stretch>
          </xdr:blipFill>
          <xdr:spPr>
            <a:xfrm>
              <a:off x="3629417" y="3017520"/>
              <a:ext cx="1890000" cy="2520000"/>
            </a:xfrm>
            <a:prstGeom prst="rect">
              <a:avLst/>
            </a:prstGeom>
            <a:ln>
              <a:solidFill>
                <a:schemeClr val="tx1"/>
              </a:solidFill>
            </a:ln>
          </xdr:spPr>
        </xdr:pic>
      </xdr:grpSp>
      <xdr:grpSp>
        <xdr:nvGrpSpPr>
          <xdr:cNvPr id="13" name="Group 12">
            <a:extLst>
              <a:ext uri="{FF2B5EF4-FFF2-40B4-BE49-F238E27FC236}">
                <a16:creationId xmlns:a16="http://schemas.microsoft.com/office/drawing/2014/main" id="{770A8A66-F4DF-3799-CAFC-71024A46D799}"/>
              </a:ext>
            </a:extLst>
          </xdr:cNvPr>
          <xdr:cNvGrpSpPr/>
        </xdr:nvGrpSpPr>
        <xdr:grpSpPr>
          <a:xfrm>
            <a:off x="446066" y="301577"/>
            <a:ext cx="6031285" cy="2520000"/>
            <a:chOff x="433132" y="301577"/>
            <a:chExt cx="6031285" cy="2520000"/>
          </a:xfrm>
        </xdr:grpSpPr>
        <xdr:pic>
          <xdr:nvPicPr>
            <xdr:cNvPr id="27" name="Picture 26">
              <a:extLst>
                <a:ext uri="{FF2B5EF4-FFF2-40B4-BE49-F238E27FC236}">
                  <a16:creationId xmlns:a16="http://schemas.microsoft.com/office/drawing/2014/main" id="{BEB0232E-C669-7669-38EE-D3020E8ED582}"/>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a:ext>
              </a:extLst>
            </a:blip>
            <a:stretch>
              <a:fillRect/>
            </a:stretch>
          </xdr:blipFill>
          <xdr:spPr>
            <a:xfrm>
              <a:off x="4574417" y="301577"/>
              <a:ext cx="1890000" cy="2520000"/>
            </a:xfrm>
            <a:prstGeom prst="rect">
              <a:avLst/>
            </a:prstGeom>
            <a:ln>
              <a:solidFill>
                <a:schemeClr val="tx1"/>
              </a:solidFill>
            </a:ln>
          </xdr:spPr>
        </xdr:pic>
        <xdr:pic>
          <xdr:nvPicPr>
            <xdr:cNvPr id="29" name="Picture 28">
              <a:extLst>
                <a:ext uri="{FF2B5EF4-FFF2-40B4-BE49-F238E27FC236}">
                  <a16:creationId xmlns:a16="http://schemas.microsoft.com/office/drawing/2014/main" id="{2AC3213A-1432-B8D4-AD44-0A7C4602964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a:ext>
              </a:extLst>
            </a:blip>
            <a:stretch>
              <a:fillRect/>
            </a:stretch>
          </xdr:blipFill>
          <xdr:spPr>
            <a:xfrm>
              <a:off x="2484000" y="301577"/>
              <a:ext cx="1890000" cy="2520000"/>
            </a:xfrm>
            <a:prstGeom prst="rect">
              <a:avLst/>
            </a:prstGeom>
            <a:ln>
              <a:solidFill>
                <a:schemeClr val="tx1"/>
              </a:solidFill>
            </a:ln>
          </xdr:spPr>
        </xdr:pic>
        <xdr:pic>
          <xdr:nvPicPr>
            <xdr:cNvPr id="30" name="Picture 29">
              <a:extLst>
                <a:ext uri="{FF2B5EF4-FFF2-40B4-BE49-F238E27FC236}">
                  <a16:creationId xmlns:a16="http://schemas.microsoft.com/office/drawing/2014/main" id="{C3C08A40-35E7-25A1-E8F7-F8B37189D9A9}"/>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a:ext>
              </a:extLst>
            </a:blip>
            <a:stretch>
              <a:fillRect/>
            </a:stretch>
          </xdr:blipFill>
          <xdr:spPr>
            <a:xfrm>
              <a:off x="433132" y="301577"/>
              <a:ext cx="1890000" cy="2520000"/>
            </a:xfrm>
            <a:prstGeom prst="rect">
              <a:avLst/>
            </a:prstGeom>
            <a:ln>
              <a:solidFill>
                <a:schemeClr val="tx1"/>
              </a:solidFill>
            </a:ln>
          </xdr:spPr>
        </xdr:pic>
      </xdr:grpSp>
      <xdr:grpSp>
        <xdr:nvGrpSpPr>
          <xdr:cNvPr id="14" name="Group 13">
            <a:extLst>
              <a:ext uri="{FF2B5EF4-FFF2-40B4-BE49-F238E27FC236}">
                <a16:creationId xmlns:a16="http://schemas.microsoft.com/office/drawing/2014/main" id="{848E0728-E573-2A8B-5164-C0999D5DE80C}"/>
              </a:ext>
            </a:extLst>
          </xdr:cNvPr>
          <xdr:cNvGrpSpPr/>
        </xdr:nvGrpSpPr>
        <xdr:grpSpPr>
          <a:xfrm>
            <a:off x="1275840" y="5733463"/>
            <a:ext cx="4371736" cy="1800000"/>
            <a:chOff x="2118549" y="5733463"/>
            <a:chExt cx="4371736" cy="1800000"/>
          </a:xfrm>
        </xdr:grpSpPr>
        <xdr:pic>
          <xdr:nvPicPr>
            <xdr:cNvPr id="18" name="Picture 17">
              <a:extLst>
                <a:ext uri="{FF2B5EF4-FFF2-40B4-BE49-F238E27FC236}">
                  <a16:creationId xmlns:a16="http://schemas.microsoft.com/office/drawing/2014/main" id="{6C56DAD4-B855-EFED-62CB-8AD4D034D95E}"/>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tretch>
              <a:fillRect/>
            </a:stretch>
          </xdr:blipFill>
          <xdr:spPr>
            <a:xfrm>
              <a:off x="5140285" y="5733463"/>
              <a:ext cx="1350000" cy="1800000"/>
            </a:xfrm>
            <a:prstGeom prst="rect">
              <a:avLst/>
            </a:prstGeom>
            <a:ln>
              <a:solidFill>
                <a:schemeClr val="tx1"/>
              </a:solidFill>
            </a:ln>
          </xdr:spPr>
        </xdr:pic>
        <xdr:pic>
          <xdr:nvPicPr>
            <xdr:cNvPr id="25" name="Picture 24">
              <a:extLst>
                <a:ext uri="{FF2B5EF4-FFF2-40B4-BE49-F238E27FC236}">
                  <a16:creationId xmlns:a16="http://schemas.microsoft.com/office/drawing/2014/main" id="{555BBCE4-8922-A7A3-E612-48E2C52A91C7}"/>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a:ext>
              </a:extLst>
            </a:blip>
            <a:stretch>
              <a:fillRect/>
            </a:stretch>
          </xdr:blipFill>
          <xdr:spPr>
            <a:xfrm>
              <a:off x="2118549" y="5733463"/>
              <a:ext cx="1350000" cy="1800000"/>
            </a:xfrm>
            <a:prstGeom prst="rect">
              <a:avLst/>
            </a:prstGeom>
            <a:ln>
              <a:solidFill>
                <a:schemeClr val="tx1"/>
              </a:solidFill>
            </a:ln>
          </xdr:spPr>
        </xdr:pic>
        <xdr:pic>
          <xdr:nvPicPr>
            <xdr:cNvPr id="26" name="Picture 25">
              <a:extLst>
                <a:ext uri="{FF2B5EF4-FFF2-40B4-BE49-F238E27FC236}">
                  <a16:creationId xmlns:a16="http://schemas.microsoft.com/office/drawing/2014/main" id="{F8669765-D201-CA57-B133-967B4B02D51D}"/>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tretch>
              <a:fillRect/>
            </a:stretch>
          </xdr:blipFill>
          <xdr:spPr>
            <a:xfrm>
              <a:off x="3629417" y="5733463"/>
              <a:ext cx="1350000" cy="1800000"/>
            </a:xfrm>
            <a:prstGeom prst="rect">
              <a:avLst/>
            </a:prstGeom>
            <a:ln>
              <a:solidFill>
                <a:schemeClr val="tx1"/>
              </a:solidFill>
            </a:ln>
          </xdr:spPr>
        </xdr:pic>
      </xdr:grpSp>
      <xdr:sp macro="" textlink="">
        <xdr:nvSpPr>
          <xdr:cNvPr id="15" name="TextBox 28">
            <a:extLst>
              <a:ext uri="{FF2B5EF4-FFF2-40B4-BE49-F238E27FC236}">
                <a16:creationId xmlns:a16="http://schemas.microsoft.com/office/drawing/2014/main" id="{99FF2B54-477F-BFB5-A7AC-61585FDE17EA}"/>
              </a:ext>
            </a:extLst>
          </xdr:cNvPr>
          <xdr:cNvSpPr txBox="1"/>
        </xdr:nvSpPr>
        <xdr:spPr>
          <a:xfrm>
            <a:off x="446066" y="2452245"/>
            <a:ext cx="1220206" cy="369332"/>
          </a:xfrm>
          <a:prstGeom prst="rect">
            <a:avLst/>
          </a:prstGeom>
          <a:solidFill>
            <a:schemeClr val="bg2"/>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Sale Bldg 1</a:t>
            </a:r>
          </a:p>
        </xdr:txBody>
      </xdr:sp>
      <xdr:sp macro="" textlink="">
        <xdr:nvSpPr>
          <xdr:cNvPr id="16" name="TextBox 29">
            <a:extLst>
              <a:ext uri="{FF2B5EF4-FFF2-40B4-BE49-F238E27FC236}">
                <a16:creationId xmlns:a16="http://schemas.microsoft.com/office/drawing/2014/main" id="{DBF62D3E-7E59-F6CB-6DBE-9DE345215DF8}"/>
              </a:ext>
            </a:extLst>
          </xdr:cNvPr>
          <xdr:cNvSpPr txBox="1"/>
        </xdr:nvSpPr>
        <xdr:spPr>
          <a:xfrm>
            <a:off x="2496934" y="2452245"/>
            <a:ext cx="1220206" cy="369332"/>
          </a:xfrm>
          <a:prstGeom prst="rect">
            <a:avLst/>
          </a:prstGeom>
          <a:solidFill>
            <a:schemeClr val="bg2"/>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Sale Bldg 1</a:t>
            </a:r>
          </a:p>
        </xdr:txBody>
      </xdr:sp>
      <xdr:sp macro="" textlink="">
        <xdr:nvSpPr>
          <xdr:cNvPr id="17" name="TextBox 30">
            <a:extLst>
              <a:ext uri="{FF2B5EF4-FFF2-40B4-BE49-F238E27FC236}">
                <a16:creationId xmlns:a16="http://schemas.microsoft.com/office/drawing/2014/main" id="{48CD0B2C-03C5-8D9F-C45A-50E7BDDB88B8}"/>
              </a:ext>
            </a:extLst>
          </xdr:cNvPr>
          <xdr:cNvSpPr txBox="1"/>
        </xdr:nvSpPr>
        <xdr:spPr>
          <a:xfrm>
            <a:off x="4602881" y="2452245"/>
            <a:ext cx="1220206" cy="369332"/>
          </a:xfrm>
          <a:prstGeom prst="rect">
            <a:avLst/>
          </a:prstGeom>
          <a:solidFill>
            <a:schemeClr val="bg2"/>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Sale Bldg 1</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7</xdr:col>
      <xdr:colOff>574900</xdr:colOff>
      <xdr:row>55</xdr:row>
      <xdr:rowOff>58222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82706" y="2868706"/>
          <a:ext cx="8306959" cy="7678222"/>
        </a:xfrm>
        <a:prstGeom prst="rect">
          <a:avLst/>
        </a:prstGeom>
      </xdr:spPr>
    </xdr:pic>
    <xdr:clientData/>
  </xdr:twoCellAnchor>
  <xdr:twoCellAnchor editAs="oneCell">
    <xdr:from>
      <xdr:col>8</xdr:col>
      <xdr:colOff>0</xdr:colOff>
      <xdr:row>15</xdr:row>
      <xdr:rowOff>0</xdr:rowOff>
    </xdr:from>
    <xdr:to>
      <xdr:col>22</xdr:col>
      <xdr:colOff>530129</xdr:colOff>
      <xdr:row>54</xdr:row>
      <xdr:rowOff>96300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9412941" y="2868706"/>
          <a:ext cx="8688012" cy="7525800"/>
        </a:xfrm>
        <a:prstGeom prst="rect">
          <a:avLst/>
        </a:prstGeom>
      </xdr:spPr>
    </xdr:pic>
    <xdr:clientData/>
  </xdr:twoCellAnchor>
  <xdr:twoCellAnchor editAs="oneCell">
    <xdr:from>
      <xdr:col>1</xdr:col>
      <xdr:colOff>0</xdr:colOff>
      <xdr:row>57</xdr:row>
      <xdr:rowOff>0</xdr:rowOff>
    </xdr:from>
    <xdr:to>
      <xdr:col>9</xdr:col>
      <xdr:colOff>465863</xdr:colOff>
      <xdr:row>100</xdr:row>
      <xdr:rowOff>172617</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82706" y="10869706"/>
          <a:ext cx="9878804" cy="83641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xHPWGn1WkwT7camT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389"/>
  <sheetViews>
    <sheetView tabSelected="1" showWhiteSpace="0" view="pageBreakPreview" zoomScaleNormal="100" zoomScaleSheetLayoutView="100" zoomScalePageLayoutView="115" workbookViewId="0">
      <selection activeCell="J5" sqref="J5"/>
    </sheetView>
  </sheetViews>
  <sheetFormatPr defaultColWidth="9.109375" defaultRowHeight="15.6" x14ac:dyDescent="0.3"/>
  <cols>
    <col min="1" max="1" width="11.44140625" style="40" customWidth="1"/>
    <col min="2" max="2" width="12" style="40" customWidth="1"/>
    <col min="3" max="3" width="12.6640625" style="40" customWidth="1"/>
    <col min="4" max="4" width="14.109375" style="40" customWidth="1"/>
    <col min="5" max="7" width="11.6640625" style="40" customWidth="1"/>
    <col min="8" max="8" width="12.44140625" style="40" customWidth="1"/>
    <col min="9" max="9" width="17.44140625" style="21" customWidth="1"/>
    <col min="10" max="10" width="11.44140625" style="21" customWidth="1"/>
    <col min="11" max="11" width="10.5546875" style="21" bestFit="1" customWidth="1"/>
    <col min="12" max="12" width="10.5546875" style="21" customWidth="1"/>
    <col min="13" max="13" width="11.88671875" style="21" customWidth="1"/>
    <col min="14" max="14" width="12.5546875" style="21" customWidth="1"/>
    <col min="15" max="15" width="9.88671875" style="21" customWidth="1"/>
    <col min="16" max="16" width="11.6640625" style="21" customWidth="1"/>
    <col min="17" max="247" width="9.109375" style="21"/>
    <col min="248" max="248" width="8.6640625" style="21" customWidth="1"/>
    <col min="249" max="249" width="9.88671875" style="21" customWidth="1"/>
    <col min="250" max="250" width="14.44140625" style="21" customWidth="1"/>
    <col min="251" max="251" width="7.33203125" style="21" customWidth="1"/>
    <col min="252" max="252" width="5.5546875" style="21" customWidth="1"/>
    <col min="253" max="253" width="9" style="21" customWidth="1"/>
    <col min="254" max="255" width="9.88671875" style="21" customWidth="1"/>
    <col min="256" max="256" width="11.109375" style="21" customWidth="1"/>
    <col min="257" max="257" width="2.88671875" style="21" customWidth="1"/>
    <col min="258" max="258" width="3.5546875" style="21" customWidth="1"/>
    <col min="259" max="503" width="9.109375" style="21"/>
    <col min="504" max="504" width="8.6640625" style="21" customWidth="1"/>
    <col min="505" max="505" width="9.88671875" style="21" customWidth="1"/>
    <col min="506" max="506" width="14.44140625" style="21" customWidth="1"/>
    <col min="507" max="507" width="7.33203125" style="21" customWidth="1"/>
    <col min="508" max="508" width="5.5546875" style="21" customWidth="1"/>
    <col min="509" max="509" width="9" style="21" customWidth="1"/>
    <col min="510" max="511" width="9.88671875" style="21" customWidth="1"/>
    <col min="512" max="512" width="11.109375" style="21" customWidth="1"/>
    <col min="513" max="513" width="2.88671875" style="21" customWidth="1"/>
    <col min="514" max="514" width="3.5546875" style="21" customWidth="1"/>
    <col min="515" max="759" width="9.109375" style="21"/>
    <col min="760" max="760" width="8.6640625" style="21" customWidth="1"/>
    <col min="761" max="761" width="9.88671875" style="21" customWidth="1"/>
    <col min="762" max="762" width="14.44140625" style="21" customWidth="1"/>
    <col min="763" max="763" width="7.33203125" style="21" customWidth="1"/>
    <col min="764" max="764" width="5.5546875" style="21" customWidth="1"/>
    <col min="765" max="765" width="9" style="21" customWidth="1"/>
    <col min="766" max="767" width="9.88671875" style="21" customWidth="1"/>
    <col min="768" max="768" width="11.109375" style="21" customWidth="1"/>
    <col min="769" max="769" width="2.88671875" style="21" customWidth="1"/>
    <col min="770" max="770" width="3.5546875" style="21" customWidth="1"/>
    <col min="771" max="1015" width="9.109375" style="21"/>
    <col min="1016" max="1016" width="8.6640625" style="21" customWidth="1"/>
    <col min="1017" max="1017" width="9.88671875" style="21" customWidth="1"/>
    <col min="1018" max="1018" width="14.44140625" style="21" customWidth="1"/>
    <col min="1019" max="1019" width="7.33203125" style="21" customWidth="1"/>
    <col min="1020" max="1020" width="5.5546875" style="21" customWidth="1"/>
    <col min="1021" max="1021" width="9" style="21" customWidth="1"/>
    <col min="1022" max="1023" width="9.88671875" style="21" customWidth="1"/>
    <col min="1024" max="1024" width="11.109375" style="21" customWidth="1"/>
    <col min="1025" max="1025" width="2.88671875" style="21" customWidth="1"/>
    <col min="1026" max="1026" width="3.5546875" style="21" customWidth="1"/>
    <col min="1027" max="1271" width="9.109375" style="21"/>
    <col min="1272" max="1272" width="8.6640625" style="21" customWidth="1"/>
    <col min="1273" max="1273" width="9.88671875" style="21" customWidth="1"/>
    <col min="1274" max="1274" width="14.44140625" style="21" customWidth="1"/>
    <col min="1275" max="1275" width="7.33203125" style="21" customWidth="1"/>
    <col min="1276" max="1276" width="5.5546875" style="21" customWidth="1"/>
    <col min="1277" max="1277" width="9" style="21" customWidth="1"/>
    <col min="1278" max="1279" width="9.88671875" style="21" customWidth="1"/>
    <col min="1280" max="1280" width="11.109375" style="21" customWidth="1"/>
    <col min="1281" max="1281" width="2.88671875" style="21" customWidth="1"/>
    <col min="1282" max="1282" width="3.5546875" style="21" customWidth="1"/>
    <col min="1283" max="1527" width="9.109375" style="21"/>
    <col min="1528" max="1528" width="8.6640625" style="21" customWidth="1"/>
    <col min="1529" max="1529" width="9.88671875" style="21" customWidth="1"/>
    <col min="1530" max="1530" width="14.44140625" style="21" customWidth="1"/>
    <col min="1531" max="1531" width="7.33203125" style="21" customWidth="1"/>
    <col min="1532" max="1532" width="5.5546875" style="21" customWidth="1"/>
    <col min="1533" max="1533" width="9" style="21" customWidth="1"/>
    <col min="1534" max="1535" width="9.88671875" style="21" customWidth="1"/>
    <col min="1536" max="1536" width="11.109375" style="21" customWidth="1"/>
    <col min="1537" max="1537" width="2.88671875" style="21" customWidth="1"/>
    <col min="1538" max="1538" width="3.5546875" style="21" customWidth="1"/>
    <col min="1539" max="1783" width="9.109375" style="21"/>
    <col min="1784" max="1784" width="8.6640625" style="21" customWidth="1"/>
    <col min="1785" max="1785" width="9.88671875" style="21" customWidth="1"/>
    <col min="1786" max="1786" width="14.44140625" style="21" customWidth="1"/>
    <col min="1787" max="1787" width="7.33203125" style="21" customWidth="1"/>
    <col min="1788" max="1788" width="5.5546875" style="21" customWidth="1"/>
    <col min="1789" max="1789" width="9" style="21" customWidth="1"/>
    <col min="1790" max="1791" width="9.88671875" style="21" customWidth="1"/>
    <col min="1792" max="1792" width="11.109375" style="21" customWidth="1"/>
    <col min="1793" max="1793" width="2.88671875" style="21" customWidth="1"/>
    <col min="1794" max="1794" width="3.5546875" style="21" customWidth="1"/>
    <col min="1795" max="2039" width="9.109375" style="21"/>
    <col min="2040" max="2040" width="8.6640625" style="21" customWidth="1"/>
    <col min="2041" max="2041" width="9.88671875" style="21" customWidth="1"/>
    <col min="2042" max="2042" width="14.44140625" style="21" customWidth="1"/>
    <col min="2043" max="2043" width="7.33203125" style="21" customWidth="1"/>
    <col min="2044" max="2044" width="5.5546875" style="21" customWidth="1"/>
    <col min="2045" max="2045" width="9" style="21" customWidth="1"/>
    <col min="2046" max="2047" width="9.88671875" style="21" customWidth="1"/>
    <col min="2048" max="2048" width="11.109375" style="21" customWidth="1"/>
    <col min="2049" max="2049" width="2.88671875" style="21" customWidth="1"/>
    <col min="2050" max="2050" width="3.5546875" style="21" customWidth="1"/>
    <col min="2051" max="2295" width="9.109375" style="21"/>
    <col min="2296" max="2296" width="8.6640625" style="21" customWidth="1"/>
    <col min="2297" max="2297" width="9.88671875" style="21" customWidth="1"/>
    <col min="2298" max="2298" width="14.44140625" style="21" customWidth="1"/>
    <col min="2299" max="2299" width="7.33203125" style="21" customWidth="1"/>
    <col min="2300" max="2300" width="5.5546875" style="21" customWidth="1"/>
    <col min="2301" max="2301" width="9" style="21" customWidth="1"/>
    <col min="2302" max="2303" width="9.88671875" style="21" customWidth="1"/>
    <col min="2304" max="2304" width="11.109375" style="21" customWidth="1"/>
    <col min="2305" max="2305" width="2.88671875" style="21" customWidth="1"/>
    <col min="2306" max="2306" width="3.5546875" style="21" customWidth="1"/>
    <col min="2307" max="2551" width="9.109375" style="21"/>
    <col min="2552" max="2552" width="8.6640625" style="21" customWidth="1"/>
    <col min="2553" max="2553" width="9.88671875" style="21" customWidth="1"/>
    <col min="2554" max="2554" width="14.44140625" style="21" customWidth="1"/>
    <col min="2555" max="2555" width="7.33203125" style="21" customWidth="1"/>
    <col min="2556" max="2556" width="5.5546875" style="21" customWidth="1"/>
    <col min="2557" max="2557" width="9" style="21" customWidth="1"/>
    <col min="2558" max="2559" width="9.88671875" style="21" customWidth="1"/>
    <col min="2560" max="2560" width="11.109375" style="21" customWidth="1"/>
    <col min="2561" max="2561" width="2.88671875" style="21" customWidth="1"/>
    <col min="2562" max="2562" width="3.5546875" style="21" customWidth="1"/>
    <col min="2563" max="2807" width="9.109375" style="21"/>
    <col min="2808" max="2808" width="8.6640625" style="21" customWidth="1"/>
    <col min="2809" max="2809" width="9.88671875" style="21" customWidth="1"/>
    <col min="2810" max="2810" width="14.44140625" style="21" customWidth="1"/>
    <col min="2811" max="2811" width="7.33203125" style="21" customWidth="1"/>
    <col min="2812" max="2812" width="5.5546875" style="21" customWidth="1"/>
    <col min="2813" max="2813" width="9" style="21" customWidth="1"/>
    <col min="2814" max="2815" width="9.88671875" style="21" customWidth="1"/>
    <col min="2816" max="2816" width="11.109375" style="21" customWidth="1"/>
    <col min="2817" max="2817" width="2.88671875" style="21" customWidth="1"/>
    <col min="2818" max="2818" width="3.5546875" style="21" customWidth="1"/>
    <col min="2819" max="3063" width="9.109375" style="21"/>
    <col min="3064" max="3064" width="8.6640625" style="21" customWidth="1"/>
    <col min="3065" max="3065" width="9.88671875" style="21" customWidth="1"/>
    <col min="3066" max="3066" width="14.44140625" style="21" customWidth="1"/>
    <col min="3067" max="3067" width="7.33203125" style="21" customWidth="1"/>
    <col min="3068" max="3068" width="5.5546875" style="21" customWidth="1"/>
    <col min="3069" max="3069" width="9" style="21" customWidth="1"/>
    <col min="3070" max="3071" width="9.88671875" style="21" customWidth="1"/>
    <col min="3072" max="3072" width="11.109375" style="21" customWidth="1"/>
    <col min="3073" max="3073" width="2.88671875" style="21" customWidth="1"/>
    <col min="3074" max="3074" width="3.5546875" style="21" customWidth="1"/>
    <col min="3075" max="3319" width="9.109375" style="21"/>
    <col min="3320" max="3320" width="8.6640625" style="21" customWidth="1"/>
    <col min="3321" max="3321" width="9.88671875" style="21" customWidth="1"/>
    <col min="3322" max="3322" width="14.44140625" style="21" customWidth="1"/>
    <col min="3323" max="3323" width="7.33203125" style="21" customWidth="1"/>
    <col min="3324" max="3324" width="5.5546875" style="21" customWidth="1"/>
    <col min="3325" max="3325" width="9" style="21" customWidth="1"/>
    <col min="3326" max="3327" width="9.88671875" style="21" customWidth="1"/>
    <col min="3328" max="3328" width="11.109375" style="21" customWidth="1"/>
    <col min="3329" max="3329" width="2.88671875" style="21" customWidth="1"/>
    <col min="3330" max="3330" width="3.5546875" style="21" customWidth="1"/>
    <col min="3331" max="3575" width="9.109375" style="21"/>
    <col min="3576" max="3576" width="8.6640625" style="21" customWidth="1"/>
    <col min="3577" max="3577" width="9.88671875" style="21" customWidth="1"/>
    <col min="3578" max="3578" width="14.44140625" style="21" customWidth="1"/>
    <col min="3579" max="3579" width="7.33203125" style="21" customWidth="1"/>
    <col min="3580" max="3580" width="5.5546875" style="21" customWidth="1"/>
    <col min="3581" max="3581" width="9" style="21" customWidth="1"/>
    <col min="3582" max="3583" width="9.88671875" style="21" customWidth="1"/>
    <col min="3584" max="3584" width="11.109375" style="21" customWidth="1"/>
    <col min="3585" max="3585" width="2.88671875" style="21" customWidth="1"/>
    <col min="3586" max="3586" width="3.5546875" style="21" customWidth="1"/>
    <col min="3587" max="3831" width="9.109375" style="21"/>
    <col min="3832" max="3832" width="8.6640625" style="21" customWidth="1"/>
    <col min="3833" max="3833" width="9.88671875" style="21" customWidth="1"/>
    <col min="3834" max="3834" width="14.44140625" style="21" customWidth="1"/>
    <col min="3835" max="3835" width="7.33203125" style="21" customWidth="1"/>
    <col min="3836" max="3836" width="5.5546875" style="21" customWidth="1"/>
    <col min="3837" max="3837" width="9" style="21" customWidth="1"/>
    <col min="3838" max="3839" width="9.88671875" style="21" customWidth="1"/>
    <col min="3840" max="3840" width="11.109375" style="21" customWidth="1"/>
    <col min="3841" max="3841" width="2.88671875" style="21" customWidth="1"/>
    <col min="3842" max="3842" width="3.5546875" style="21" customWidth="1"/>
    <col min="3843" max="4087" width="9.109375" style="21"/>
    <col min="4088" max="4088" width="8.6640625" style="21" customWidth="1"/>
    <col min="4089" max="4089" width="9.88671875" style="21" customWidth="1"/>
    <col min="4090" max="4090" width="14.44140625" style="21" customWidth="1"/>
    <col min="4091" max="4091" width="7.33203125" style="21" customWidth="1"/>
    <col min="4092" max="4092" width="5.5546875" style="21" customWidth="1"/>
    <col min="4093" max="4093" width="9" style="21" customWidth="1"/>
    <col min="4094" max="4095" width="9.88671875" style="21" customWidth="1"/>
    <col min="4096" max="4096" width="11.109375" style="21" customWidth="1"/>
    <col min="4097" max="4097" width="2.88671875" style="21" customWidth="1"/>
    <col min="4098" max="4098" width="3.5546875" style="21" customWidth="1"/>
    <col min="4099" max="4343" width="9.109375" style="21"/>
    <col min="4344" max="4344" width="8.6640625" style="21" customWidth="1"/>
    <col min="4345" max="4345" width="9.88671875" style="21" customWidth="1"/>
    <col min="4346" max="4346" width="14.44140625" style="21" customWidth="1"/>
    <col min="4347" max="4347" width="7.33203125" style="21" customWidth="1"/>
    <col min="4348" max="4348" width="5.5546875" style="21" customWidth="1"/>
    <col min="4349" max="4349" width="9" style="21" customWidth="1"/>
    <col min="4350" max="4351" width="9.88671875" style="21" customWidth="1"/>
    <col min="4352" max="4352" width="11.109375" style="21" customWidth="1"/>
    <col min="4353" max="4353" width="2.88671875" style="21" customWidth="1"/>
    <col min="4354" max="4354" width="3.5546875" style="21" customWidth="1"/>
    <col min="4355" max="4599" width="9.109375" style="21"/>
    <col min="4600" max="4600" width="8.6640625" style="21" customWidth="1"/>
    <col min="4601" max="4601" width="9.88671875" style="21" customWidth="1"/>
    <col min="4602" max="4602" width="14.44140625" style="21" customWidth="1"/>
    <col min="4603" max="4603" width="7.33203125" style="21" customWidth="1"/>
    <col min="4604" max="4604" width="5.5546875" style="21" customWidth="1"/>
    <col min="4605" max="4605" width="9" style="21" customWidth="1"/>
    <col min="4606" max="4607" width="9.88671875" style="21" customWidth="1"/>
    <col min="4608" max="4608" width="11.109375" style="21" customWidth="1"/>
    <col min="4609" max="4609" width="2.88671875" style="21" customWidth="1"/>
    <col min="4610" max="4610" width="3.5546875" style="21" customWidth="1"/>
    <col min="4611" max="4855" width="9.109375" style="21"/>
    <col min="4856" max="4856" width="8.6640625" style="21" customWidth="1"/>
    <col min="4857" max="4857" width="9.88671875" style="21" customWidth="1"/>
    <col min="4858" max="4858" width="14.44140625" style="21" customWidth="1"/>
    <col min="4859" max="4859" width="7.33203125" style="21" customWidth="1"/>
    <col min="4860" max="4860" width="5.5546875" style="21" customWidth="1"/>
    <col min="4861" max="4861" width="9" style="21" customWidth="1"/>
    <col min="4862" max="4863" width="9.88671875" style="21" customWidth="1"/>
    <col min="4864" max="4864" width="11.109375" style="21" customWidth="1"/>
    <col min="4865" max="4865" width="2.88671875" style="21" customWidth="1"/>
    <col min="4866" max="4866" width="3.5546875" style="21" customWidth="1"/>
    <col min="4867" max="5111" width="9.109375" style="21"/>
    <col min="5112" max="5112" width="8.6640625" style="21" customWidth="1"/>
    <col min="5113" max="5113" width="9.88671875" style="21" customWidth="1"/>
    <col min="5114" max="5114" width="14.44140625" style="21" customWidth="1"/>
    <col min="5115" max="5115" width="7.33203125" style="21" customWidth="1"/>
    <col min="5116" max="5116" width="5.5546875" style="21" customWidth="1"/>
    <col min="5117" max="5117" width="9" style="21" customWidth="1"/>
    <col min="5118" max="5119" width="9.88671875" style="21" customWidth="1"/>
    <col min="5120" max="5120" width="11.109375" style="21" customWidth="1"/>
    <col min="5121" max="5121" width="2.88671875" style="21" customWidth="1"/>
    <col min="5122" max="5122" width="3.5546875" style="21" customWidth="1"/>
    <col min="5123" max="5367" width="9.109375" style="21"/>
    <col min="5368" max="5368" width="8.6640625" style="21" customWidth="1"/>
    <col min="5369" max="5369" width="9.88671875" style="21" customWidth="1"/>
    <col min="5370" max="5370" width="14.44140625" style="21" customWidth="1"/>
    <col min="5371" max="5371" width="7.33203125" style="21" customWidth="1"/>
    <col min="5372" max="5372" width="5.5546875" style="21" customWidth="1"/>
    <col min="5373" max="5373" width="9" style="21" customWidth="1"/>
    <col min="5374" max="5375" width="9.88671875" style="21" customWidth="1"/>
    <col min="5376" max="5376" width="11.109375" style="21" customWidth="1"/>
    <col min="5377" max="5377" width="2.88671875" style="21" customWidth="1"/>
    <col min="5378" max="5378" width="3.5546875" style="21" customWidth="1"/>
    <col min="5379" max="5623" width="9.109375" style="21"/>
    <col min="5624" max="5624" width="8.6640625" style="21" customWidth="1"/>
    <col min="5625" max="5625" width="9.88671875" style="21" customWidth="1"/>
    <col min="5626" max="5626" width="14.44140625" style="21" customWidth="1"/>
    <col min="5627" max="5627" width="7.33203125" style="21" customWidth="1"/>
    <col min="5628" max="5628" width="5.5546875" style="21" customWidth="1"/>
    <col min="5629" max="5629" width="9" style="21" customWidth="1"/>
    <col min="5630" max="5631" width="9.88671875" style="21" customWidth="1"/>
    <col min="5632" max="5632" width="11.109375" style="21" customWidth="1"/>
    <col min="5633" max="5633" width="2.88671875" style="21" customWidth="1"/>
    <col min="5634" max="5634" width="3.5546875" style="21" customWidth="1"/>
    <col min="5635" max="5879" width="9.109375" style="21"/>
    <col min="5880" max="5880" width="8.6640625" style="21" customWidth="1"/>
    <col min="5881" max="5881" width="9.88671875" style="21" customWidth="1"/>
    <col min="5882" max="5882" width="14.44140625" style="21" customWidth="1"/>
    <col min="5883" max="5883" width="7.33203125" style="21" customWidth="1"/>
    <col min="5884" max="5884" width="5.5546875" style="21" customWidth="1"/>
    <col min="5885" max="5885" width="9" style="21" customWidth="1"/>
    <col min="5886" max="5887" width="9.88671875" style="21" customWidth="1"/>
    <col min="5888" max="5888" width="11.109375" style="21" customWidth="1"/>
    <col min="5889" max="5889" width="2.88671875" style="21" customWidth="1"/>
    <col min="5890" max="5890" width="3.5546875" style="21" customWidth="1"/>
    <col min="5891" max="6135" width="9.109375" style="21"/>
    <col min="6136" max="6136" width="8.6640625" style="21" customWidth="1"/>
    <col min="6137" max="6137" width="9.88671875" style="21" customWidth="1"/>
    <col min="6138" max="6138" width="14.44140625" style="21" customWidth="1"/>
    <col min="6139" max="6139" width="7.33203125" style="21" customWidth="1"/>
    <col min="6140" max="6140" width="5.5546875" style="21" customWidth="1"/>
    <col min="6141" max="6141" width="9" style="21" customWidth="1"/>
    <col min="6142" max="6143" width="9.88671875" style="21" customWidth="1"/>
    <col min="6144" max="6144" width="11.109375" style="21" customWidth="1"/>
    <col min="6145" max="6145" width="2.88671875" style="21" customWidth="1"/>
    <col min="6146" max="6146" width="3.5546875" style="21" customWidth="1"/>
    <col min="6147" max="6391" width="9.109375" style="21"/>
    <col min="6392" max="6392" width="8.6640625" style="21" customWidth="1"/>
    <col min="6393" max="6393" width="9.88671875" style="21" customWidth="1"/>
    <col min="6394" max="6394" width="14.44140625" style="21" customWidth="1"/>
    <col min="6395" max="6395" width="7.33203125" style="21" customWidth="1"/>
    <col min="6396" max="6396" width="5.5546875" style="21" customWidth="1"/>
    <col min="6397" max="6397" width="9" style="21" customWidth="1"/>
    <col min="6398" max="6399" width="9.88671875" style="21" customWidth="1"/>
    <col min="6400" max="6400" width="11.109375" style="21" customWidth="1"/>
    <col min="6401" max="6401" width="2.88671875" style="21" customWidth="1"/>
    <col min="6402" max="6402" width="3.5546875" style="21" customWidth="1"/>
    <col min="6403" max="6647" width="9.109375" style="21"/>
    <col min="6648" max="6648" width="8.6640625" style="21" customWidth="1"/>
    <col min="6649" max="6649" width="9.88671875" style="21" customWidth="1"/>
    <col min="6650" max="6650" width="14.44140625" style="21" customWidth="1"/>
    <col min="6651" max="6651" width="7.33203125" style="21" customWidth="1"/>
    <col min="6652" max="6652" width="5.5546875" style="21" customWidth="1"/>
    <col min="6653" max="6653" width="9" style="21" customWidth="1"/>
    <col min="6654" max="6655" width="9.88671875" style="21" customWidth="1"/>
    <col min="6656" max="6656" width="11.109375" style="21" customWidth="1"/>
    <col min="6657" max="6657" width="2.88671875" style="21" customWidth="1"/>
    <col min="6658" max="6658" width="3.5546875" style="21" customWidth="1"/>
    <col min="6659" max="6903" width="9.109375" style="21"/>
    <col min="6904" max="6904" width="8.6640625" style="21" customWidth="1"/>
    <col min="6905" max="6905" width="9.88671875" style="21" customWidth="1"/>
    <col min="6906" max="6906" width="14.44140625" style="21" customWidth="1"/>
    <col min="6907" max="6907" width="7.33203125" style="21" customWidth="1"/>
    <col min="6908" max="6908" width="5.5546875" style="21" customWidth="1"/>
    <col min="6909" max="6909" width="9" style="21" customWidth="1"/>
    <col min="6910" max="6911" width="9.88671875" style="21" customWidth="1"/>
    <col min="6912" max="6912" width="11.109375" style="21" customWidth="1"/>
    <col min="6913" max="6913" width="2.88671875" style="21" customWidth="1"/>
    <col min="6914" max="6914" width="3.5546875" style="21" customWidth="1"/>
    <col min="6915" max="7159" width="9.109375" style="21"/>
    <col min="7160" max="7160" width="8.6640625" style="21" customWidth="1"/>
    <col min="7161" max="7161" width="9.88671875" style="21" customWidth="1"/>
    <col min="7162" max="7162" width="14.44140625" style="21" customWidth="1"/>
    <col min="7163" max="7163" width="7.33203125" style="21" customWidth="1"/>
    <col min="7164" max="7164" width="5.5546875" style="21" customWidth="1"/>
    <col min="7165" max="7165" width="9" style="21" customWidth="1"/>
    <col min="7166" max="7167" width="9.88671875" style="21" customWidth="1"/>
    <col min="7168" max="7168" width="11.109375" style="21" customWidth="1"/>
    <col min="7169" max="7169" width="2.88671875" style="21" customWidth="1"/>
    <col min="7170" max="7170" width="3.5546875" style="21" customWidth="1"/>
    <col min="7171" max="7415" width="9.109375" style="21"/>
    <col min="7416" max="7416" width="8.6640625" style="21" customWidth="1"/>
    <col min="7417" max="7417" width="9.88671875" style="21" customWidth="1"/>
    <col min="7418" max="7418" width="14.44140625" style="21" customWidth="1"/>
    <col min="7419" max="7419" width="7.33203125" style="21" customWidth="1"/>
    <col min="7420" max="7420" width="5.5546875" style="21" customWidth="1"/>
    <col min="7421" max="7421" width="9" style="21" customWidth="1"/>
    <col min="7422" max="7423" width="9.88671875" style="21" customWidth="1"/>
    <col min="7424" max="7424" width="11.109375" style="21" customWidth="1"/>
    <col min="7425" max="7425" width="2.88671875" style="21" customWidth="1"/>
    <col min="7426" max="7426" width="3.5546875" style="21" customWidth="1"/>
    <col min="7427" max="7671" width="9.109375" style="21"/>
    <col min="7672" max="7672" width="8.6640625" style="21" customWidth="1"/>
    <col min="7673" max="7673" width="9.88671875" style="21" customWidth="1"/>
    <col min="7674" max="7674" width="14.44140625" style="21" customWidth="1"/>
    <col min="7675" max="7675" width="7.33203125" style="21" customWidth="1"/>
    <col min="7676" max="7676" width="5.5546875" style="21" customWidth="1"/>
    <col min="7677" max="7677" width="9" style="21" customWidth="1"/>
    <col min="7678" max="7679" width="9.88671875" style="21" customWidth="1"/>
    <col min="7680" max="7680" width="11.109375" style="21" customWidth="1"/>
    <col min="7681" max="7681" width="2.88671875" style="21" customWidth="1"/>
    <col min="7682" max="7682" width="3.5546875" style="21" customWidth="1"/>
    <col min="7683" max="7927" width="9.109375" style="21"/>
    <col min="7928" max="7928" width="8.6640625" style="21" customWidth="1"/>
    <col min="7929" max="7929" width="9.88671875" style="21" customWidth="1"/>
    <col min="7930" max="7930" width="14.44140625" style="21" customWidth="1"/>
    <col min="7931" max="7931" width="7.33203125" style="21" customWidth="1"/>
    <col min="7932" max="7932" width="5.5546875" style="21" customWidth="1"/>
    <col min="7933" max="7933" width="9" style="21" customWidth="1"/>
    <col min="7934" max="7935" width="9.88671875" style="21" customWidth="1"/>
    <col min="7936" max="7936" width="11.109375" style="21" customWidth="1"/>
    <col min="7937" max="7937" width="2.88671875" style="21" customWidth="1"/>
    <col min="7938" max="7938" width="3.5546875" style="21" customWidth="1"/>
    <col min="7939" max="8183" width="9.109375" style="21"/>
    <col min="8184" max="8184" width="8.6640625" style="21" customWidth="1"/>
    <col min="8185" max="8185" width="9.88671875" style="21" customWidth="1"/>
    <col min="8186" max="8186" width="14.44140625" style="21" customWidth="1"/>
    <col min="8187" max="8187" width="7.33203125" style="21" customWidth="1"/>
    <col min="8188" max="8188" width="5.5546875" style="21" customWidth="1"/>
    <col min="8189" max="8189" width="9" style="21" customWidth="1"/>
    <col min="8190" max="8191" width="9.88671875" style="21" customWidth="1"/>
    <col min="8192" max="8192" width="11.109375" style="21" customWidth="1"/>
    <col min="8193" max="8193" width="2.88671875" style="21" customWidth="1"/>
    <col min="8194" max="8194" width="3.5546875" style="21" customWidth="1"/>
    <col min="8195" max="8439" width="9.109375" style="21"/>
    <col min="8440" max="8440" width="8.6640625" style="21" customWidth="1"/>
    <col min="8441" max="8441" width="9.88671875" style="21" customWidth="1"/>
    <col min="8442" max="8442" width="14.44140625" style="21" customWidth="1"/>
    <col min="8443" max="8443" width="7.33203125" style="21" customWidth="1"/>
    <col min="8444" max="8444" width="5.5546875" style="21" customWidth="1"/>
    <col min="8445" max="8445" width="9" style="21" customWidth="1"/>
    <col min="8446" max="8447" width="9.88671875" style="21" customWidth="1"/>
    <col min="8448" max="8448" width="11.109375" style="21" customWidth="1"/>
    <col min="8449" max="8449" width="2.88671875" style="21" customWidth="1"/>
    <col min="8450" max="8450" width="3.5546875" style="21" customWidth="1"/>
    <col min="8451" max="8695" width="9.109375" style="21"/>
    <col min="8696" max="8696" width="8.6640625" style="21" customWidth="1"/>
    <col min="8697" max="8697" width="9.88671875" style="21" customWidth="1"/>
    <col min="8698" max="8698" width="14.44140625" style="21" customWidth="1"/>
    <col min="8699" max="8699" width="7.33203125" style="21" customWidth="1"/>
    <col min="8700" max="8700" width="5.5546875" style="21" customWidth="1"/>
    <col min="8701" max="8701" width="9" style="21" customWidth="1"/>
    <col min="8702" max="8703" width="9.88671875" style="21" customWidth="1"/>
    <col min="8704" max="8704" width="11.109375" style="21" customWidth="1"/>
    <col min="8705" max="8705" width="2.88671875" style="21" customWidth="1"/>
    <col min="8706" max="8706" width="3.5546875" style="21" customWidth="1"/>
    <col min="8707" max="8951" width="9.109375" style="21"/>
    <col min="8952" max="8952" width="8.6640625" style="21" customWidth="1"/>
    <col min="8953" max="8953" width="9.88671875" style="21" customWidth="1"/>
    <col min="8954" max="8954" width="14.44140625" style="21" customWidth="1"/>
    <col min="8955" max="8955" width="7.33203125" style="21" customWidth="1"/>
    <col min="8956" max="8956" width="5.5546875" style="21" customWidth="1"/>
    <col min="8957" max="8957" width="9" style="21" customWidth="1"/>
    <col min="8958" max="8959" width="9.88671875" style="21" customWidth="1"/>
    <col min="8960" max="8960" width="11.109375" style="21" customWidth="1"/>
    <col min="8961" max="8961" width="2.88671875" style="21" customWidth="1"/>
    <col min="8962" max="8962" width="3.5546875" style="21" customWidth="1"/>
    <col min="8963" max="9207" width="9.109375" style="21"/>
    <col min="9208" max="9208" width="8.6640625" style="21" customWidth="1"/>
    <col min="9209" max="9209" width="9.88671875" style="21" customWidth="1"/>
    <col min="9210" max="9210" width="14.44140625" style="21" customWidth="1"/>
    <col min="9211" max="9211" width="7.33203125" style="21" customWidth="1"/>
    <col min="9212" max="9212" width="5.5546875" style="21" customWidth="1"/>
    <col min="9213" max="9213" width="9" style="21" customWidth="1"/>
    <col min="9214" max="9215" width="9.88671875" style="21" customWidth="1"/>
    <col min="9216" max="9216" width="11.109375" style="21" customWidth="1"/>
    <col min="9217" max="9217" width="2.88671875" style="21" customWidth="1"/>
    <col min="9218" max="9218" width="3.5546875" style="21" customWidth="1"/>
    <col min="9219" max="9463" width="9.109375" style="21"/>
    <col min="9464" max="9464" width="8.6640625" style="21" customWidth="1"/>
    <col min="9465" max="9465" width="9.88671875" style="21" customWidth="1"/>
    <col min="9466" max="9466" width="14.44140625" style="21" customWidth="1"/>
    <col min="9467" max="9467" width="7.33203125" style="21" customWidth="1"/>
    <col min="9468" max="9468" width="5.5546875" style="21" customWidth="1"/>
    <col min="9469" max="9469" width="9" style="21" customWidth="1"/>
    <col min="9470" max="9471" width="9.88671875" style="21" customWidth="1"/>
    <col min="9472" max="9472" width="11.109375" style="21" customWidth="1"/>
    <col min="9473" max="9473" width="2.88671875" style="21" customWidth="1"/>
    <col min="9474" max="9474" width="3.5546875" style="21" customWidth="1"/>
    <col min="9475" max="9719" width="9.109375" style="21"/>
    <col min="9720" max="9720" width="8.6640625" style="21" customWidth="1"/>
    <col min="9721" max="9721" width="9.88671875" style="21" customWidth="1"/>
    <col min="9722" max="9722" width="14.44140625" style="21" customWidth="1"/>
    <col min="9723" max="9723" width="7.33203125" style="21" customWidth="1"/>
    <col min="9724" max="9724" width="5.5546875" style="21" customWidth="1"/>
    <col min="9725" max="9725" width="9" style="21" customWidth="1"/>
    <col min="9726" max="9727" width="9.88671875" style="21" customWidth="1"/>
    <col min="9728" max="9728" width="11.109375" style="21" customWidth="1"/>
    <col min="9729" max="9729" width="2.88671875" style="21" customWidth="1"/>
    <col min="9730" max="9730" width="3.5546875" style="21" customWidth="1"/>
    <col min="9731" max="9975" width="9.109375" style="21"/>
    <col min="9976" max="9976" width="8.6640625" style="21" customWidth="1"/>
    <col min="9977" max="9977" width="9.88671875" style="21" customWidth="1"/>
    <col min="9978" max="9978" width="14.44140625" style="21" customWidth="1"/>
    <col min="9979" max="9979" width="7.33203125" style="21" customWidth="1"/>
    <col min="9980" max="9980" width="5.5546875" style="21" customWidth="1"/>
    <col min="9981" max="9981" width="9" style="21" customWidth="1"/>
    <col min="9982" max="9983" width="9.88671875" style="21" customWidth="1"/>
    <col min="9984" max="9984" width="11.109375" style="21" customWidth="1"/>
    <col min="9985" max="9985" width="2.88671875" style="21" customWidth="1"/>
    <col min="9986" max="9986" width="3.5546875" style="21" customWidth="1"/>
    <col min="9987" max="10231" width="9.109375" style="21"/>
    <col min="10232" max="10232" width="8.6640625" style="21" customWidth="1"/>
    <col min="10233" max="10233" width="9.88671875" style="21" customWidth="1"/>
    <col min="10234" max="10234" width="14.44140625" style="21" customWidth="1"/>
    <col min="10235" max="10235" width="7.33203125" style="21" customWidth="1"/>
    <col min="10236" max="10236" width="5.5546875" style="21" customWidth="1"/>
    <col min="10237" max="10237" width="9" style="21" customWidth="1"/>
    <col min="10238" max="10239" width="9.88671875" style="21" customWidth="1"/>
    <col min="10240" max="10240" width="11.109375" style="21" customWidth="1"/>
    <col min="10241" max="10241" width="2.88671875" style="21" customWidth="1"/>
    <col min="10242" max="10242" width="3.5546875" style="21" customWidth="1"/>
    <col min="10243" max="10487" width="9.109375" style="21"/>
    <col min="10488" max="10488" width="8.6640625" style="21" customWidth="1"/>
    <col min="10489" max="10489" width="9.88671875" style="21" customWidth="1"/>
    <col min="10490" max="10490" width="14.44140625" style="21" customWidth="1"/>
    <col min="10491" max="10491" width="7.33203125" style="21" customWidth="1"/>
    <col min="10492" max="10492" width="5.5546875" style="21" customWidth="1"/>
    <col min="10493" max="10493" width="9" style="21" customWidth="1"/>
    <col min="10494" max="10495" width="9.88671875" style="21" customWidth="1"/>
    <col min="10496" max="10496" width="11.109375" style="21" customWidth="1"/>
    <col min="10497" max="10497" width="2.88671875" style="21" customWidth="1"/>
    <col min="10498" max="10498" width="3.5546875" style="21" customWidth="1"/>
    <col min="10499" max="10743" width="9.109375" style="21"/>
    <col min="10744" max="10744" width="8.6640625" style="21" customWidth="1"/>
    <col min="10745" max="10745" width="9.88671875" style="21" customWidth="1"/>
    <col min="10746" max="10746" width="14.44140625" style="21" customWidth="1"/>
    <col min="10747" max="10747" width="7.33203125" style="21" customWidth="1"/>
    <col min="10748" max="10748" width="5.5546875" style="21" customWidth="1"/>
    <col min="10749" max="10749" width="9" style="21" customWidth="1"/>
    <col min="10750" max="10751" width="9.88671875" style="21" customWidth="1"/>
    <col min="10752" max="10752" width="11.109375" style="21" customWidth="1"/>
    <col min="10753" max="10753" width="2.88671875" style="21" customWidth="1"/>
    <col min="10754" max="10754" width="3.5546875" style="21" customWidth="1"/>
    <col min="10755" max="10999" width="9.109375" style="21"/>
    <col min="11000" max="11000" width="8.6640625" style="21" customWidth="1"/>
    <col min="11001" max="11001" width="9.88671875" style="21" customWidth="1"/>
    <col min="11002" max="11002" width="14.44140625" style="21" customWidth="1"/>
    <col min="11003" max="11003" width="7.33203125" style="21" customWidth="1"/>
    <col min="11004" max="11004" width="5.5546875" style="21" customWidth="1"/>
    <col min="11005" max="11005" width="9" style="21" customWidth="1"/>
    <col min="11006" max="11007" width="9.88671875" style="21" customWidth="1"/>
    <col min="11008" max="11008" width="11.109375" style="21" customWidth="1"/>
    <col min="11009" max="11009" width="2.88671875" style="21" customWidth="1"/>
    <col min="11010" max="11010" width="3.5546875" style="21" customWidth="1"/>
    <col min="11011" max="11255" width="9.109375" style="21"/>
    <col min="11256" max="11256" width="8.6640625" style="21" customWidth="1"/>
    <col min="11257" max="11257" width="9.88671875" style="21" customWidth="1"/>
    <col min="11258" max="11258" width="14.44140625" style="21" customWidth="1"/>
    <col min="11259" max="11259" width="7.33203125" style="21" customWidth="1"/>
    <col min="11260" max="11260" width="5.5546875" style="21" customWidth="1"/>
    <col min="11261" max="11261" width="9" style="21" customWidth="1"/>
    <col min="11262" max="11263" width="9.88671875" style="21" customWidth="1"/>
    <col min="11264" max="11264" width="11.109375" style="21" customWidth="1"/>
    <col min="11265" max="11265" width="2.88671875" style="21" customWidth="1"/>
    <col min="11266" max="11266" width="3.5546875" style="21" customWidth="1"/>
    <col min="11267" max="11511" width="9.109375" style="21"/>
    <col min="11512" max="11512" width="8.6640625" style="21" customWidth="1"/>
    <col min="11513" max="11513" width="9.88671875" style="21" customWidth="1"/>
    <col min="11514" max="11514" width="14.44140625" style="21" customWidth="1"/>
    <col min="11515" max="11515" width="7.33203125" style="21" customWidth="1"/>
    <col min="11516" max="11516" width="5.5546875" style="21" customWidth="1"/>
    <col min="11517" max="11517" width="9" style="21" customWidth="1"/>
    <col min="11518" max="11519" width="9.88671875" style="21" customWidth="1"/>
    <col min="11520" max="11520" width="11.109375" style="21" customWidth="1"/>
    <col min="11521" max="11521" width="2.88671875" style="21" customWidth="1"/>
    <col min="11522" max="11522" width="3.5546875" style="21" customWidth="1"/>
    <col min="11523" max="11767" width="9.109375" style="21"/>
    <col min="11768" max="11768" width="8.6640625" style="21" customWidth="1"/>
    <col min="11769" max="11769" width="9.88671875" style="21" customWidth="1"/>
    <col min="11770" max="11770" width="14.44140625" style="21" customWidth="1"/>
    <col min="11771" max="11771" width="7.33203125" style="21" customWidth="1"/>
    <col min="11772" max="11772" width="5.5546875" style="21" customWidth="1"/>
    <col min="11773" max="11773" width="9" style="21" customWidth="1"/>
    <col min="11774" max="11775" width="9.88671875" style="21" customWidth="1"/>
    <col min="11776" max="11776" width="11.109375" style="21" customWidth="1"/>
    <col min="11777" max="11777" width="2.88671875" style="21" customWidth="1"/>
    <col min="11778" max="11778" width="3.5546875" style="21" customWidth="1"/>
    <col min="11779" max="12023" width="9.109375" style="21"/>
    <col min="12024" max="12024" width="8.6640625" style="21" customWidth="1"/>
    <col min="12025" max="12025" width="9.88671875" style="21" customWidth="1"/>
    <col min="12026" max="12026" width="14.44140625" style="21" customWidth="1"/>
    <col min="12027" max="12027" width="7.33203125" style="21" customWidth="1"/>
    <col min="12028" max="12028" width="5.5546875" style="21" customWidth="1"/>
    <col min="12029" max="12029" width="9" style="21" customWidth="1"/>
    <col min="12030" max="12031" width="9.88671875" style="21" customWidth="1"/>
    <col min="12032" max="12032" width="11.109375" style="21" customWidth="1"/>
    <col min="12033" max="12033" width="2.88671875" style="21" customWidth="1"/>
    <col min="12034" max="12034" width="3.5546875" style="21" customWidth="1"/>
    <col min="12035" max="12279" width="9.109375" style="21"/>
    <col min="12280" max="12280" width="8.6640625" style="21" customWidth="1"/>
    <col min="12281" max="12281" width="9.88671875" style="21" customWidth="1"/>
    <col min="12282" max="12282" width="14.44140625" style="21" customWidth="1"/>
    <col min="12283" max="12283" width="7.33203125" style="21" customWidth="1"/>
    <col min="12284" max="12284" width="5.5546875" style="21" customWidth="1"/>
    <col min="12285" max="12285" width="9" style="21" customWidth="1"/>
    <col min="12286" max="12287" width="9.88671875" style="21" customWidth="1"/>
    <col min="12288" max="12288" width="11.109375" style="21" customWidth="1"/>
    <col min="12289" max="12289" width="2.88671875" style="21" customWidth="1"/>
    <col min="12290" max="12290" width="3.5546875" style="21" customWidth="1"/>
    <col min="12291" max="12535" width="9.109375" style="21"/>
    <col min="12536" max="12536" width="8.6640625" style="21" customWidth="1"/>
    <col min="12537" max="12537" width="9.88671875" style="21" customWidth="1"/>
    <col min="12538" max="12538" width="14.44140625" style="21" customWidth="1"/>
    <col min="12539" max="12539" width="7.33203125" style="21" customWidth="1"/>
    <col min="12540" max="12540" width="5.5546875" style="21" customWidth="1"/>
    <col min="12541" max="12541" width="9" style="21" customWidth="1"/>
    <col min="12542" max="12543" width="9.88671875" style="21" customWidth="1"/>
    <col min="12544" max="12544" width="11.109375" style="21" customWidth="1"/>
    <col min="12545" max="12545" width="2.88671875" style="21" customWidth="1"/>
    <col min="12546" max="12546" width="3.5546875" style="21" customWidth="1"/>
    <col min="12547" max="12791" width="9.109375" style="21"/>
    <col min="12792" max="12792" width="8.6640625" style="21" customWidth="1"/>
    <col min="12793" max="12793" width="9.88671875" style="21" customWidth="1"/>
    <col min="12794" max="12794" width="14.44140625" style="21" customWidth="1"/>
    <col min="12795" max="12795" width="7.33203125" style="21" customWidth="1"/>
    <col min="12796" max="12796" width="5.5546875" style="21" customWidth="1"/>
    <col min="12797" max="12797" width="9" style="21" customWidth="1"/>
    <col min="12798" max="12799" width="9.88671875" style="21" customWidth="1"/>
    <col min="12800" max="12800" width="11.109375" style="21" customWidth="1"/>
    <col min="12801" max="12801" width="2.88671875" style="21" customWidth="1"/>
    <col min="12802" max="12802" width="3.5546875" style="21" customWidth="1"/>
    <col min="12803" max="13047" width="9.109375" style="21"/>
    <col min="13048" max="13048" width="8.6640625" style="21" customWidth="1"/>
    <col min="13049" max="13049" width="9.88671875" style="21" customWidth="1"/>
    <col min="13050" max="13050" width="14.44140625" style="21" customWidth="1"/>
    <col min="13051" max="13051" width="7.33203125" style="21" customWidth="1"/>
    <col min="13052" max="13052" width="5.5546875" style="21" customWidth="1"/>
    <col min="13053" max="13053" width="9" style="21" customWidth="1"/>
    <col min="13054" max="13055" width="9.88671875" style="21" customWidth="1"/>
    <col min="13056" max="13056" width="11.109375" style="21" customWidth="1"/>
    <col min="13057" max="13057" width="2.88671875" style="21" customWidth="1"/>
    <col min="13058" max="13058" width="3.5546875" style="21" customWidth="1"/>
    <col min="13059" max="13303" width="9.109375" style="21"/>
    <col min="13304" max="13304" width="8.6640625" style="21" customWidth="1"/>
    <col min="13305" max="13305" width="9.88671875" style="21" customWidth="1"/>
    <col min="13306" max="13306" width="14.44140625" style="21" customWidth="1"/>
    <col min="13307" max="13307" width="7.33203125" style="21" customWidth="1"/>
    <col min="13308" max="13308" width="5.5546875" style="21" customWidth="1"/>
    <col min="13309" max="13309" width="9" style="21" customWidth="1"/>
    <col min="13310" max="13311" width="9.88671875" style="21" customWidth="1"/>
    <col min="13312" max="13312" width="11.109375" style="21" customWidth="1"/>
    <col min="13313" max="13313" width="2.88671875" style="21" customWidth="1"/>
    <col min="13314" max="13314" width="3.5546875" style="21" customWidth="1"/>
    <col min="13315" max="13559" width="9.109375" style="21"/>
    <col min="13560" max="13560" width="8.6640625" style="21" customWidth="1"/>
    <col min="13561" max="13561" width="9.88671875" style="21" customWidth="1"/>
    <col min="13562" max="13562" width="14.44140625" style="21" customWidth="1"/>
    <col min="13563" max="13563" width="7.33203125" style="21" customWidth="1"/>
    <col min="13564" max="13564" width="5.5546875" style="21" customWidth="1"/>
    <col min="13565" max="13565" width="9" style="21" customWidth="1"/>
    <col min="13566" max="13567" width="9.88671875" style="21" customWidth="1"/>
    <col min="13568" max="13568" width="11.109375" style="21" customWidth="1"/>
    <col min="13569" max="13569" width="2.88671875" style="21" customWidth="1"/>
    <col min="13570" max="13570" width="3.5546875" style="21" customWidth="1"/>
    <col min="13571" max="13815" width="9.109375" style="21"/>
    <col min="13816" max="13816" width="8.6640625" style="21" customWidth="1"/>
    <col min="13817" max="13817" width="9.88671875" style="21" customWidth="1"/>
    <col min="13818" max="13818" width="14.44140625" style="21" customWidth="1"/>
    <col min="13819" max="13819" width="7.33203125" style="21" customWidth="1"/>
    <col min="13820" max="13820" width="5.5546875" style="21" customWidth="1"/>
    <col min="13821" max="13821" width="9" style="21" customWidth="1"/>
    <col min="13822" max="13823" width="9.88671875" style="21" customWidth="1"/>
    <col min="13824" max="13824" width="11.109375" style="21" customWidth="1"/>
    <col min="13825" max="13825" width="2.88671875" style="21" customWidth="1"/>
    <col min="13826" max="13826" width="3.5546875" style="21" customWidth="1"/>
    <col min="13827" max="14071" width="9.109375" style="21"/>
    <col min="14072" max="14072" width="8.6640625" style="21" customWidth="1"/>
    <col min="14073" max="14073" width="9.88671875" style="21" customWidth="1"/>
    <col min="14074" max="14074" width="14.44140625" style="21" customWidth="1"/>
    <col min="14075" max="14075" width="7.33203125" style="21" customWidth="1"/>
    <col min="14076" max="14076" width="5.5546875" style="21" customWidth="1"/>
    <col min="14077" max="14077" width="9" style="21" customWidth="1"/>
    <col min="14078" max="14079" width="9.88671875" style="21" customWidth="1"/>
    <col min="14080" max="14080" width="11.109375" style="21" customWidth="1"/>
    <col min="14081" max="14081" width="2.88671875" style="21" customWidth="1"/>
    <col min="14082" max="14082" width="3.5546875" style="21" customWidth="1"/>
    <col min="14083" max="14327" width="9.109375" style="21"/>
    <col min="14328" max="14328" width="8.6640625" style="21" customWidth="1"/>
    <col min="14329" max="14329" width="9.88671875" style="21" customWidth="1"/>
    <col min="14330" max="14330" width="14.44140625" style="21" customWidth="1"/>
    <col min="14331" max="14331" width="7.33203125" style="21" customWidth="1"/>
    <col min="14332" max="14332" width="5.5546875" style="21" customWidth="1"/>
    <col min="14333" max="14333" width="9" style="21" customWidth="1"/>
    <col min="14334" max="14335" width="9.88671875" style="21" customWidth="1"/>
    <col min="14336" max="14336" width="11.109375" style="21" customWidth="1"/>
    <col min="14337" max="14337" width="2.88671875" style="21" customWidth="1"/>
    <col min="14338" max="14338" width="3.5546875" style="21" customWidth="1"/>
    <col min="14339" max="14583" width="9.109375" style="21"/>
    <col min="14584" max="14584" width="8.6640625" style="21" customWidth="1"/>
    <col min="14585" max="14585" width="9.88671875" style="21" customWidth="1"/>
    <col min="14586" max="14586" width="14.44140625" style="21" customWidth="1"/>
    <col min="14587" max="14587" width="7.33203125" style="21" customWidth="1"/>
    <col min="14588" max="14588" width="5.5546875" style="21" customWidth="1"/>
    <col min="14589" max="14589" width="9" style="21" customWidth="1"/>
    <col min="14590" max="14591" width="9.88671875" style="21" customWidth="1"/>
    <col min="14592" max="14592" width="11.109375" style="21" customWidth="1"/>
    <col min="14593" max="14593" width="2.88671875" style="21" customWidth="1"/>
    <col min="14594" max="14594" width="3.5546875" style="21" customWidth="1"/>
    <col min="14595" max="14839" width="9.109375" style="21"/>
    <col min="14840" max="14840" width="8.6640625" style="21" customWidth="1"/>
    <col min="14841" max="14841" width="9.88671875" style="21" customWidth="1"/>
    <col min="14842" max="14842" width="14.44140625" style="21" customWidth="1"/>
    <col min="14843" max="14843" width="7.33203125" style="21" customWidth="1"/>
    <col min="14844" max="14844" width="5.5546875" style="21" customWidth="1"/>
    <col min="14845" max="14845" width="9" style="21" customWidth="1"/>
    <col min="14846" max="14847" width="9.88671875" style="21" customWidth="1"/>
    <col min="14848" max="14848" width="11.109375" style="21" customWidth="1"/>
    <col min="14849" max="14849" width="2.88671875" style="21" customWidth="1"/>
    <col min="14850" max="14850" width="3.5546875" style="21" customWidth="1"/>
    <col min="14851" max="15095" width="9.109375" style="21"/>
    <col min="15096" max="15096" width="8.6640625" style="21" customWidth="1"/>
    <col min="15097" max="15097" width="9.88671875" style="21" customWidth="1"/>
    <col min="15098" max="15098" width="14.44140625" style="21" customWidth="1"/>
    <col min="15099" max="15099" width="7.33203125" style="21" customWidth="1"/>
    <col min="15100" max="15100" width="5.5546875" style="21" customWidth="1"/>
    <col min="15101" max="15101" width="9" style="21" customWidth="1"/>
    <col min="15102" max="15103" width="9.88671875" style="21" customWidth="1"/>
    <col min="15104" max="15104" width="11.109375" style="21" customWidth="1"/>
    <col min="15105" max="15105" width="2.88671875" style="21" customWidth="1"/>
    <col min="15106" max="15106" width="3.5546875" style="21" customWidth="1"/>
    <col min="15107" max="15351" width="9.109375" style="21"/>
    <col min="15352" max="15352" width="8.6640625" style="21" customWidth="1"/>
    <col min="15353" max="15353" width="9.88671875" style="21" customWidth="1"/>
    <col min="15354" max="15354" width="14.44140625" style="21" customWidth="1"/>
    <col min="15355" max="15355" width="7.33203125" style="21" customWidth="1"/>
    <col min="15356" max="15356" width="5.5546875" style="21" customWidth="1"/>
    <col min="15357" max="15357" width="9" style="21" customWidth="1"/>
    <col min="15358" max="15359" width="9.88671875" style="21" customWidth="1"/>
    <col min="15360" max="15360" width="11.109375" style="21" customWidth="1"/>
    <col min="15361" max="15361" width="2.88671875" style="21" customWidth="1"/>
    <col min="15362" max="15362" width="3.5546875" style="21" customWidth="1"/>
    <col min="15363" max="15607" width="9.109375" style="21"/>
    <col min="15608" max="15608" width="8.6640625" style="21" customWidth="1"/>
    <col min="15609" max="15609" width="9.88671875" style="21" customWidth="1"/>
    <col min="15610" max="15610" width="14.44140625" style="21" customWidth="1"/>
    <col min="15611" max="15611" width="7.33203125" style="21" customWidth="1"/>
    <col min="15612" max="15612" width="5.5546875" style="21" customWidth="1"/>
    <col min="15613" max="15613" width="9" style="21" customWidth="1"/>
    <col min="15614" max="15615" width="9.88671875" style="21" customWidth="1"/>
    <col min="15616" max="15616" width="11.109375" style="21" customWidth="1"/>
    <col min="15617" max="15617" width="2.88671875" style="21" customWidth="1"/>
    <col min="15618" max="15618" width="3.5546875" style="21" customWidth="1"/>
    <col min="15619" max="15863" width="9.109375" style="21"/>
    <col min="15864" max="15864" width="8.6640625" style="21" customWidth="1"/>
    <col min="15865" max="15865" width="9.88671875" style="21" customWidth="1"/>
    <col min="15866" max="15866" width="14.44140625" style="21" customWidth="1"/>
    <col min="15867" max="15867" width="7.33203125" style="21" customWidth="1"/>
    <col min="15868" max="15868" width="5.5546875" style="21" customWidth="1"/>
    <col min="15869" max="15869" width="9" style="21" customWidth="1"/>
    <col min="15870" max="15871" width="9.88671875" style="21" customWidth="1"/>
    <col min="15872" max="15872" width="11.109375" style="21" customWidth="1"/>
    <col min="15873" max="15873" width="2.88671875" style="21" customWidth="1"/>
    <col min="15874" max="15874" width="3.5546875" style="21" customWidth="1"/>
    <col min="15875" max="16119" width="9.109375" style="21"/>
    <col min="16120" max="16120" width="8.6640625" style="21" customWidth="1"/>
    <col min="16121" max="16121" width="9.88671875" style="21" customWidth="1"/>
    <col min="16122" max="16122" width="14.44140625" style="21" customWidth="1"/>
    <col min="16123" max="16123" width="7.33203125" style="21" customWidth="1"/>
    <col min="16124" max="16124" width="5.5546875" style="21" customWidth="1"/>
    <col min="16125" max="16125" width="9" style="21" customWidth="1"/>
    <col min="16126" max="16127" width="9.88671875" style="21" customWidth="1"/>
    <col min="16128" max="16128" width="11.109375" style="21" customWidth="1"/>
    <col min="16129" max="16129" width="2.88671875" style="21" customWidth="1"/>
    <col min="16130" max="16130" width="3.5546875" style="21" customWidth="1"/>
    <col min="16131" max="16384" width="9.109375" style="21"/>
  </cols>
  <sheetData>
    <row r="1" spans="1:8" ht="46.5" customHeight="1" x14ac:dyDescent="0.3">
      <c r="A1" s="143" t="s">
        <v>194</v>
      </c>
      <c r="B1" s="143"/>
      <c r="C1" s="143"/>
      <c r="D1" s="143"/>
      <c r="E1" s="143"/>
      <c r="F1" s="143"/>
      <c r="G1" s="143"/>
      <c r="H1" s="143"/>
    </row>
    <row r="2" spans="1:8" ht="16.5" customHeight="1" x14ac:dyDescent="0.3">
      <c r="A2" s="144" t="s">
        <v>0</v>
      </c>
      <c r="B2" s="144"/>
      <c r="C2" s="144"/>
      <c r="D2" s="144"/>
      <c r="E2" s="144"/>
      <c r="F2" s="144"/>
      <c r="G2" s="144"/>
      <c r="H2" s="144"/>
    </row>
    <row r="3" spans="1:8" x14ac:dyDescent="0.3">
      <c r="A3" s="91" t="s">
        <v>1</v>
      </c>
      <c r="B3" s="91"/>
      <c r="C3" s="91"/>
      <c r="D3" s="91"/>
      <c r="E3" s="91" t="str">
        <f ca="1">TEXT(TODAY(),"DD/MM/YYYY")</f>
        <v>14/07/2025</v>
      </c>
      <c r="F3" s="91"/>
      <c r="G3" s="91"/>
      <c r="H3" s="91"/>
    </row>
    <row r="4" spans="1:8" x14ac:dyDescent="0.3">
      <c r="A4" s="91" t="s">
        <v>2</v>
      </c>
      <c r="B4" s="91"/>
      <c r="C4" s="91"/>
      <c r="D4" s="91"/>
      <c r="E4" s="91" t="s">
        <v>177</v>
      </c>
      <c r="F4" s="91"/>
      <c r="G4" s="91"/>
      <c r="H4" s="91"/>
    </row>
    <row r="5" spans="1:8" x14ac:dyDescent="0.3">
      <c r="A5" s="91" t="s">
        <v>3</v>
      </c>
      <c r="B5" s="91"/>
      <c r="C5" s="91"/>
      <c r="D5" s="91"/>
      <c r="E5" s="148">
        <v>45847</v>
      </c>
      <c r="F5" s="91"/>
      <c r="G5" s="91"/>
      <c r="H5" s="91"/>
    </row>
    <row r="6" spans="1:8" ht="16.5" customHeight="1" x14ac:dyDescent="0.3">
      <c r="A6" s="91" t="s">
        <v>4</v>
      </c>
      <c r="B6" s="91"/>
      <c r="C6" s="91"/>
      <c r="D6" s="91"/>
      <c r="E6" s="91" t="s">
        <v>179</v>
      </c>
      <c r="F6" s="91"/>
      <c r="G6" s="91"/>
      <c r="H6" s="91"/>
    </row>
    <row r="7" spans="1:8" x14ac:dyDescent="0.3">
      <c r="A7" s="91" t="s">
        <v>5</v>
      </c>
      <c r="B7" s="91"/>
      <c r="C7" s="91"/>
      <c r="D7" s="91"/>
      <c r="E7" s="91" t="str">
        <f>E6</f>
        <v>Sun Beam High Tech Developers Private Limited</v>
      </c>
      <c r="F7" s="91"/>
      <c r="G7" s="91"/>
      <c r="H7" s="91"/>
    </row>
    <row r="8" spans="1:8" x14ac:dyDescent="0.3">
      <c r="A8" s="91" t="s">
        <v>6</v>
      </c>
      <c r="B8" s="91"/>
      <c r="C8" s="91"/>
      <c r="D8" s="91"/>
      <c r="E8" s="145" t="s">
        <v>178</v>
      </c>
      <c r="F8" s="146"/>
      <c r="G8" s="146"/>
      <c r="H8" s="147"/>
    </row>
    <row r="9" spans="1:8" x14ac:dyDescent="0.3">
      <c r="A9" s="91" t="s">
        <v>175</v>
      </c>
      <c r="B9" s="91"/>
      <c r="C9" s="91"/>
      <c r="D9" s="91"/>
      <c r="E9" s="91">
        <v>7738988891</v>
      </c>
      <c r="F9" s="91"/>
      <c r="G9" s="91"/>
      <c r="H9" s="91"/>
    </row>
    <row r="10" spans="1:8" hidden="1" x14ac:dyDescent="0.3">
      <c r="A10" s="91" t="s">
        <v>176</v>
      </c>
      <c r="B10" s="91"/>
      <c r="C10" s="91"/>
      <c r="D10" s="91"/>
      <c r="E10" s="91" t="s">
        <v>228</v>
      </c>
      <c r="F10" s="91"/>
      <c r="G10" s="91"/>
      <c r="H10" s="91"/>
    </row>
    <row r="11" spans="1:8" x14ac:dyDescent="0.3">
      <c r="A11" s="91" t="s">
        <v>7</v>
      </c>
      <c r="B11" s="91"/>
      <c r="C11" s="91"/>
      <c r="D11" s="91"/>
      <c r="E11" s="91" t="s">
        <v>195</v>
      </c>
      <c r="F11" s="91"/>
      <c r="G11" s="91"/>
      <c r="H11" s="91"/>
    </row>
    <row r="12" spans="1:8" x14ac:dyDescent="0.3">
      <c r="A12" s="91" t="s">
        <v>198</v>
      </c>
      <c r="B12" s="91"/>
      <c r="C12" s="91"/>
      <c r="D12" s="91"/>
      <c r="E12" s="91" t="s">
        <v>266</v>
      </c>
      <c r="F12" s="91"/>
      <c r="G12" s="91"/>
      <c r="H12" s="91"/>
    </row>
    <row r="13" spans="1:8" x14ac:dyDescent="0.3">
      <c r="A13" s="68" t="s">
        <v>252</v>
      </c>
      <c r="B13" s="68"/>
      <c r="C13" s="68"/>
      <c r="D13" s="68"/>
      <c r="E13" s="97" t="s">
        <v>203</v>
      </c>
      <c r="F13" s="97"/>
      <c r="G13" s="97"/>
      <c r="H13" s="97"/>
    </row>
    <row r="14" spans="1:8" x14ac:dyDescent="0.3">
      <c r="A14" s="68" t="s">
        <v>8</v>
      </c>
      <c r="B14" s="68"/>
      <c r="C14" s="68"/>
      <c r="D14" s="68"/>
      <c r="E14" s="97" t="s">
        <v>180</v>
      </c>
      <c r="F14" s="91"/>
      <c r="G14" s="91"/>
      <c r="H14" s="91"/>
    </row>
    <row r="15" spans="1:8" ht="68.25" customHeight="1" x14ac:dyDescent="0.3">
      <c r="A15" s="102" t="s">
        <v>9</v>
      </c>
      <c r="B15" s="102"/>
      <c r="C15" s="102" t="str">
        <f>CONCATENATE((IF(OR(E8="",E8="NA"),"",E8)),", ",(IF(OR(A16="",A16="NA"),"",A16)),",",(IF(OR(C16="",C16="NA"),"",C16)),", near ",(IF(OR(C21="",C21="NA"),"",C21)),", ",(IF(OR(C18="",C18="NA"),"",C18)),", ",(IF(OR(C17="",C17="NA"),"",C17)),", ",(IF(OR(G18="",G18="NA"),"",G18)),", ",(IF(OR(C19="",C19="NA"),"",C19)),", ",(IF(OR(C20="",C20="NA"),"",C20)),", ",(IF(OR(G19="",G19="NA"),"",G19))," - ",(IF(OR(G20="",G20="NA"),"",G20)),".")</f>
        <v>Sunbeam Heights, Plot No,SG7 on CTS No. 1(Pt), Redevlopement of " Existing Barracks Tent 641 to 720 for (Shree Adarsh Chsl) "(as per CC), near Shiv Spruthi Tower, New Link Road, Adarsh Nagar, Oshiwara, Jogeshwari (West), Andheri, Mumbai - 400053.</v>
      </c>
      <c r="D15" s="102"/>
      <c r="E15" s="102"/>
      <c r="F15" s="102"/>
      <c r="G15" s="102"/>
      <c r="H15" s="102"/>
    </row>
    <row r="16" spans="1:8" ht="30.75" customHeight="1" x14ac:dyDescent="0.3">
      <c r="A16" s="97" t="s">
        <v>201</v>
      </c>
      <c r="B16" s="97"/>
      <c r="C16" s="97" t="s">
        <v>202</v>
      </c>
      <c r="D16" s="97"/>
      <c r="E16" s="97"/>
      <c r="F16" s="97"/>
      <c r="G16" s="97"/>
      <c r="H16" s="97"/>
    </row>
    <row r="17" spans="1:8" ht="15.75" customHeight="1" x14ac:dyDescent="0.3">
      <c r="A17" s="97" t="s">
        <v>172</v>
      </c>
      <c r="B17" s="97"/>
      <c r="C17" s="97" t="s">
        <v>188</v>
      </c>
      <c r="D17" s="97"/>
      <c r="E17" s="97"/>
      <c r="F17" s="97"/>
      <c r="G17" s="97"/>
      <c r="H17" s="97"/>
    </row>
    <row r="18" spans="1:8" ht="15.75" customHeight="1" x14ac:dyDescent="0.3">
      <c r="A18" s="102" t="s">
        <v>10</v>
      </c>
      <c r="B18" s="102"/>
      <c r="C18" s="91" t="s">
        <v>187</v>
      </c>
      <c r="D18" s="91"/>
      <c r="E18" s="102" t="s">
        <v>74</v>
      </c>
      <c r="F18" s="102"/>
      <c r="G18" s="97" t="s">
        <v>189</v>
      </c>
      <c r="H18" s="97"/>
    </row>
    <row r="19" spans="1:8" x14ac:dyDescent="0.3">
      <c r="A19" s="68" t="s">
        <v>12</v>
      </c>
      <c r="B19" s="68"/>
      <c r="C19" s="97" t="s">
        <v>186</v>
      </c>
      <c r="D19" s="97"/>
      <c r="E19" s="102" t="s">
        <v>11</v>
      </c>
      <c r="F19" s="102"/>
      <c r="G19" s="149" t="s">
        <v>181</v>
      </c>
      <c r="H19" s="149"/>
    </row>
    <row r="20" spans="1:8" x14ac:dyDescent="0.3">
      <c r="A20" s="68" t="s">
        <v>75</v>
      </c>
      <c r="B20" s="68"/>
      <c r="C20" s="97" t="s">
        <v>182</v>
      </c>
      <c r="D20" s="97"/>
      <c r="E20" s="102" t="s">
        <v>13</v>
      </c>
      <c r="F20" s="102"/>
      <c r="G20" s="97">
        <v>400053</v>
      </c>
      <c r="H20" s="97"/>
    </row>
    <row r="21" spans="1:8" ht="32.25" customHeight="1" x14ac:dyDescent="0.3">
      <c r="A21" s="68" t="s">
        <v>127</v>
      </c>
      <c r="B21" s="68"/>
      <c r="C21" s="97" t="s">
        <v>185</v>
      </c>
      <c r="D21" s="97"/>
      <c r="E21" s="102" t="s">
        <v>14</v>
      </c>
      <c r="F21" s="102"/>
      <c r="G21" s="97" t="s">
        <v>184</v>
      </c>
      <c r="H21" s="97"/>
    </row>
    <row r="22" spans="1:8" ht="15" customHeight="1" x14ac:dyDescent="0.3">
      <c r="A22" s="102" t="s">
        <v>78</v>
      </c>
      <c r="B22" s="102"/>
      <c r="C22" s="102"/>
      <c r="D22" s="102"/>
      <c r="E22" s="91" t="s">
        <v>15</v>
      </c>
      <c r="F22" s="91"/>
      <c r="G22" s="91"/>
      <c r="H22" s="91"/>
    </row>
    <row r="23" spans="1:8" ht="18.75" customHeight="1" x14ac:dyDescent="0.3">
      <c r="A23" s="102"/>
      <c r="B23" s="102"/>
      <c r="C23" s="102"/>
      <c r="D23" s="102"/>
      <c r="E23" s="91"/>
      <c r="F23" s="91"/>
      <c r="G23" s="91"/>
      <c r="H23" s="91"/>
    </row>
    <row r="24" spans="1:8" ht="15" customHeight="1" x14ac:dyDescent="0.3">
      <c r="A24" s="102" t="s">
        <v>16</v>
      </c>
      <c r="B24" s="102"/>
      <c r="C24" s="102"/>
      <c r="D24" s="102"/>
      <c r="E24" s="97" t="s">
        <v>17</v>
      </c>
      <c r="F24" s="97"/>
      <c r="G24" s="97"/>
      <c r="H24" s="97"/>
    </row>
    <row r="25" spans="1:8" ht="15" customHeight="1" x14ac:dyDescent="0.3">
      <c r="A25" s="68" t="s">
        <v>18</v>
      </c>
      <c r="B25" s="68"/>
      <c r="C25" s="68"/>
      <c r="D25" s="68"/>
      <c r="E25" s="97" t="str">
        <f>IF(AND(G19="Mumbai"),"Upper Class","Middle Class")</f>
        <v>Upper Class</v>
      </c>
      <c r="F25" s="97"/>
      <c r="G25" s="97"/>
      <c r="H25" s="97"/>
    </row>
    <row r="26" spans="1:8" x14ac:dyDescent="0.3">
      <c r="A26" s="68" t="s">
        <v>19</v>
      </c>
      <c r="B26" s="68"/>
      <c r="C26" s="68"/>
      <c r="D26" s="68"/>
      <c r="E26" s="97" t="s">
        <v>20</v>
      </c>
      <c r="F26" s="97"/>
      <c r="G26" s="97"/>
      <c r="H26" s="97"/>
    </row>
    <row r="27" spans="1:8" ht="15.75" customHeight="1" x14ac:dyDescent="0.3">
      <c r="A27" s="68" t="s">
        <v>21</v>
      </c>
      <c r="B27" s="68"/>
      <c r="C27" s="68"/>
      <c r="D27" s="68"/>
      <c r="E27" s="97" t="str">
        <f>IF(AND(G19="Mumbai"),"Developed","Developing")</f>
        <v>Developed</v>
      </c>
      <c r="F27" s="97"/>
      <c r="G27" s="97"/>
      <c r="H27" s="97"/>
    </row>
    <row r="28" spans="1:8" x14ac:dyDescent="0.3">
      <c r="A28" s="68" t="s">
        <v>22</v>
      </c>
      <c r="B28" s="68"/>
      <c r="C28" s="68"/>
      <c r="D28" s="68"/>
      <c r="E28" s="97" t="s">
        <v>23</v>
      </c>
      <c r="F28" s="97"/>
      <c r="G28" s="97"/>
      <c r="H28" s="97"/>
    </row>
    <row r="29" spans="1:8" ht="15.75" customHeight="1" x14ac:dyDescent="0.3">
      <c r="A29" s="68" t="s">
        <v>83</v>
      </c>
      <c r="B29" s="68"/>
      <c r="C29" s="68"/>
      <c r="D29" s="68"/>
      <c r="E29" s="97" t="s">
        <v>84</v>
      </c>
      <c r="F29" s="97"/>
      <c r="G29" s="97"/>
      <c r="H29" s="97"/>
    </row>
    <row r="30" spans="1:8" ht="15" customHeight="1" x14ac:dyDescent="0.3">
      <c r="A30" s="68" t="s">
        <v>32</v>
      </c>
      <c r="B30" s="68"/>
      <c r="C30" s="68"/>
      <c r="D30" s="68"/>
      <c r="E30" s="97" t="str">
        <f>IF(AND(ISNUMBER(SEARCH("Flat",D56)),ISNUMBER(SEARCH("Shop",D56)),ISNUMBER(SEARCH("Office",D56))),"Residential + Commercial",IF(AND(ISNUMBER(SEARCH("Flat",D56)),ISNUMBER(SEARCH("Shop",D56))),"Residential + Commercial",IF(AND(ISNUMBER(SEARCH("Flat",D56)),ISNUMBER(SEARCH("Office",D56))),"Residential + Commercial",IF(AND(ISNUMBER(SEARCH("Shop",D56)),ISNUMBER(SEARCH("Office",D56))),"Commercial",IF(ISNUMBER(SEARCH("Shop",D56)),"Commercial",IF(ISNUMBER(SEARCH("Office",D56)),"Commercial",IF(ISNUMBER(SEARCH("Flat",D56)),"Residential")))))))</f>
        <v>Residential + Commercial</v>
      </c>
      <c r="F30" s="97"/>
      <c r="G30" s="97"/>
      <c r="H30" s="97"/>
    </row>
    <row r="31" spans="1:8" ht="15.75" customHeight="1" x14ac:dyDescent="0.3">
      <c r="A31" s="68" t="s">
        <v>95</v>
      </c>
      <c r="B31" s="68"/>
      <c r="C31" s="68"/>
      <c r="D31" s="68"/>
      <c r="E31" s="97" t="s">
        <v>33</v>
      </c>
      <c r="F31" s="97"/>
      <c r="G31" s="97"/>
      <c r="H31" s="97"/>
    </row>
    <row r="32" spans="1:8" s="22" customFormat="1" x14ac:dyDescent="0.3">
      <c r="A32" s="152" t="s">
        <v>96</v>
      </c>
      <c r="B32" s="152"/>
      <c r="C32" s="144" t="s">
        <v>28</v>
      </c>
      <c r="D32" s="144"/>
      <c r="E32" s="144"/>
      <c r="F32" s="144" t="s">
        <v>30</v>
      </c>
      <c r="G32" s="144"/>
      <c r="H32" s="144"/>
    </row>
    <row r="33" spans="1:13" s="22" customFormat="1" x14ac:dyDescent="0.3">
      <c r="A33" s="150" t="s">
        <v>24</v>
      </c>
      <c r="B33" s="150" t="s">
        <v>29</v>
      </c>
      <c r="C33" s="151" t="s">
        <v>29</v>
      </c>
      <c r="D33" s="151"/>
      <c r="E33" s="151"/>
      <c r="F33" s="151" t="s">
        <v>190</v>
      </c>
      <c r="G33" s="151"/>
      <c r="H33" s="151"/>
    </row>
    <row r="34" spans="1:13" x14ac:dyDescent="0.3">
      <c r="A34" s="150" t="s">
        <v>25</v>
      </c>
      <c r="B34" s="150" t="s">
        <v>29</v>
      </c>
      <c r="C34" s="151" t="s">
        <v>29</v>
      </c>
      <c r="D34" s="151"/>
      <c r="E34" s="151"/>
      <c r="F34" s="151" t="s">
        <v>187</v>
      </c>
      <c r="G34" s="151"/>
      <c r="H34" s="151"/>
    </row>
    <row r="35" spans="1:13" s="22" customFormat="1" x14ac:dyDescent="0.3">
      <c r="A35" s="150" t="s">
        <v>27</v>
      </c>
      <c r="B35" s="150" t="s">
        <v>29</v>
      </c>
      <c r="C35" s="151" t="s">
        <v>29</v>
      </c>
      <c r="D35" s="151"/>
      <c r="E35" s="151"/>
      <c r="F35" s="151" t="s">
        <v>187</v>
      </c>
      <c r="G35" s="151"/>
      <c r="H35" s="151"/>
    </row>
    <row r="36" spans="1:13" x14ac:dyDescent="0.3">
      <c r="A36" s="150" t="s">
        <v>26</v>
      </c>
      <c r="B36" s="150" t="s">
        <v>29</v>
      </c>
      <c r="C36" s="151" t="s">
        <v>29</v>
      </c>
      <c r="D36" s="151"/>
      <c r="E36" s="151"/>
      <c r="F36" s="151" t="s">
        <v>191</v>
      </c>
      <c r="G36" s="151"/>
      <c r="H36" s="151"/>
    </row>
    <row r="37" spans="1:13" x14ac:dyDescent="0.3">
      <c r="A37" s="68" t="s">
        <v>31</v>
      </c>
      <c r="B37" s="68"/>
      <c r="C37" s="68"/>
      <c r="D37" s="68"/>
      <c r="E37" s="68"/>
      <c r="F37" s="68"/>
      <c r="G37" s="68"/>
      <c r="H37" s="68"/>
    </row>
    <row r="38" spans="1:13" ht="15.75" customHeight="1" x14ac:dyDescent="0.3">
      <c r="A38" s="68" t="s">
        <v>173</v>
      </c>
      <c r="B38" s="68"/>
      <c r="C38" s="134" t="s">
        <v>196</v>
      </c>
      <c r="D38" s="134"/>
      <c r="E38" s="134"/>
      <c r="F38" s="134"/>
      <c r="G38" s="134"/>
      <c r="H38" s="134"/>
    </row>
    <row r="39" spans="1:13" x14ac:dyDescent="0.3">
      <c r="A39" s="68" t="s">
        <v>171</v>
      </c>
      <c r="B39" s="68"/>
      <c r="C39" s="183" t="s">
        <v>183</v>
      </c>
      <c r="D39" s="97"/>
      <c r="E39" s="97"/>
      <c r="F39" s="97"/>
      <c r="G39" s="97"/>
      <c r="H39" s="97"/>
    </row>
    <row r="40" spans="1:13" x14ac:dyDescent="0.3">
      <c r="A40" s="134" t="s">
        <v>34</v>
      </c>
      <c r="B40" s="134"/>
      <c r="C40" s="134"/>
      <c r="D40" s="134"/>
      <c r="E40" s="134"/>
      <c r="F40" s="134"/>
      <c r="G40" s="134"/>
      <c r="H40" s="134"/>
    </row>
    <row r="41" spans="1:13" x14ac:dyDescent="0.3">
      <c r="A41" s="68" t="s">
        <v>35</v>
      </c>
      <c r="B41" s="68"/>
      <c r="C41" s="68"/>
      <c r="D41" s="68"/>
      <c r="E41" s="153">
        <v>2459.16</v>
      </c>
      <c r="F41" s="153"/>
      <c r="G41" s="153"/>
      <c r="H41" s="153"/>
      <c r="J41" s="184"/>
      <c r="K41" s="184"/>
      <c r="L41" s="184"/>
      <c r="M41" s="184"/>
    </row>
    <row r="42" spans="1:13" x14ac:dyDescent="0.3">
      <c r="A42" s="68" t="s">
        <v>36</v>
      </c>
      <c r="B42" s="68"/>
      <c r="C42" s="68"/>
      <c r="D42" s="68"/>
      <c r="E42" s="67">
        <v>3</v>
      </c>
      <c r="F42" s="67"/>
      <c r="G42" s="67"/>
      <c r="H42" s="67"/>
      <c r="J42" s="185"/>
      <c r="K42" s="185"/>
      <c r="L42" s="185"/>
      <c r="M42" s="185"/>
    </row>
    <row r="43" spans="1:13" x14ac:dyDescent="0.3">
      <c r="A43" s="68" t="s">
        <v>37</v>
      </c>
      <c r="B43" s="68"/>
      <c r="C43" s="68"/>
      <c r="D43" s="68"/>
      <c r="E43" s="67">
        <f>E45/E41-E42</f>
        <v>3.8134647603246643</v>
      </c>
      <c r="F43" s="67"/>
      <c r="G43" s="67"/>
      <c r="H43" s="67"/>
      <c r="J43" s="185"/>
      <c r="K43" s="185"/>
      <c r="L43" s="185"/>
      <c r="M43" s="185"/>
    </row>
    <row r="44" spans="1:13" x14ac:dyDescent="0.3">
      <c r="A44" s="68" t="s">
        <v>38</v>
      </c>
      <c r="B44" s="68"/>
      <c r="C44" s="68"/>
      <c r="D44" s="68"/>
      <c r="E44" s="67">
        <f>E42+E43</f>
        <v>6.8134647603246643</v>
      </c>
      <c r="F44" s="67"/>
      <c r="G44" s="67"/>
      <c r="H44" s="67"/>
      <c r="J44" s="185"/>
      <c r="K44" s="185"/>
      <c r="L44" s="185"/>
      <c r="M44" s="185"/>
    </row>
    <row r="45" spans="1:13" x14ac:dyDescent="0.3">
      <c r="A45" s="68" t="s">
        <v>94</v>
      </c>
      <c r="B45" s="68"/>
      <c r="C45" s="68"/>
      <c r="D45" s="68"/>
      <c r="E45" s="155">
        <v>16755.400000000001</v>
      </c>
      <c r="F45" s="155"/>
      <c r="G45" s="155"/>
      <c r="H45" s="155"/>
      <c r="J45" s="186"/>
      <c r="K45" s="186"/>
      <c r="L45" s="186"/>
      <c r="M45" s="186"/>
    </row>
    <row r="46" spans="1:13" x14ac:dyDescent="0.3">
      <c r="A46" s="91" t="s">
        <v>39</v>
      </c>
      <c r="B46" s="91"/>
      <c r="C46" s="91"/>
      <c r="D46" s="91"/>
      <c r="E46" s="91" t="s">
        <v>125</v>
      </c>
      <c r="F46" s="91"/>
      <c r="G46" s="91"/>
      <c r="H46" s="91"/>
    </row>
    <row r="47" spans="1:13" x14ac:dyDescent="0.3">
      <c r="A47" s="134" t="s">
        <v>40</v>
      </c>
      <c r="B47" s="134"/>
      <c r="C47" s="134"/>
      <c r="D47" s="134"/>
      <c r="E47" s="134"/>
      <c r="F47" s="134"/>
      <c r="G47" s="134"/>
      <c r="H47" s="134"/>
    </row>
    <row r="48" spans="1:13" ht="33.75" customHeight="1" x14ac:dyDescent="0.3">
      <c r="A48" s="87" t="s">
        <v>159</v>
      </c>
      <c r="B48" s="89"/>
      <c r="C48" s="145" t="s">
        <v>192</v>
      </c>
      <c r="D48" s="146"/>
      <c r="E48" s="146"/>
      <c r="F48" s="146"/>
      <c r="G48" s="146"/>
      <c r="H48" s="147"/>
    </row>
    <row r="49" spans="1:14" ht="15.75" customHeight="1" x14ac:dyDescent="0.3">
      <c r="A49" s="87" t="s">
        <v>41</v>
      </c>
      <c r="B49" s="89"/>
      <c r="C49" s="87" t="s">
        <v>204</v>
      </c>
      <c r="D49" s="88"/>
      <c r="E49" s="89"/>
      <c r="F49" s="18" t="s">
        <v>42</v>
      </c>
      <c r="G49" s="90">
        <v>45219</v>
      </c>
      <c r="H49" s="89"/>
    </row>
    <row r="50" spans="1:14" x14ac:dyDescent="0.3">
      <c r="A50" s="87" t="s">
        <v>43</v>
      </c>
      <c r="B50" s="89"/>
      <c r="C50" s="87" t="str">
        <f>C49</f>
        <v>Mhada-113/857/2023</v>
      </c>
      <c r="D50" s="88"/>
      <c r="E50" s="89"/>
      <c r="F50" s="18" t="s">
        <v>42</v>
      </c>
      <c r="G50" s="90">
        <f>G49</f>
        <v>45219</v>
      </c>
      <c r="H50" s="157"/>
    </row>
    <row r="51" spans="1:14" s="23" customFormat="1" ht="15.75" customHeight="1" x14ac:dyDescent="0.3">
      <c r="A51" s="95" t="s">
        <v>163</v>
      </c>
      <c r="B51" s="156"/>
      <c r="C51" s="92" t="s">
        <v>199</v>
      </c>
      <c r="D51" s="93"/>
      <c r="E51" s="94"/>
      <c r="F51" s="18" t="s">
        <v>42</v>
      </c>
      <c r="G51" s="90">
        <v>45029</v>
      </c>
      <c r="H51" s="89"/>
    </row>
    <row r="52" spans="1:14" s="23" customFormat="1" ht="53.25" customHeight="1" x14ac:dyDescent="0.3">
      <c r="A52" s="158"/>
      <c r="B52" s="159"/>
      <c r="C52" s="87" t="s">
        <v>200</v>
      </c>
      <c r="D52" s="88"/>
      <c r="E52" s="89"/>
      <c r="F52" s="18" t="s">
        <v>126</v>
      </c>
      <c r="G52" s="90">
        <v>45759</v>
      </c>
      <c r="H52" s="89"/>
    </row>
    <row r="53" spans="1:14" x14ac:dyDescent="0.3">
      <c r="A53" s="98" t="s">
        <v>44</v>
      </c>
      <c r="B53" s="99"/>
      <c r="C53" s="98" t="s">
        <v>105</v>
      </c>
      <c r="D53" s="100"/>
      <c r="E53" s="99"/>
      <c r="F53" s="46" t="s">
        <v>42</v>
      </c>
      <c r="G53" s="103" t="s">
        <v>29</v>
      </c>
      <c r="H53" s="104"/>
    </row>
    <row r="54" spans="1:14" x14ac:dyDescent="0.3">
      <c r="A54" s="101" t="s">
        <v>46</v>
      </c>
      <c r="B54" s="101"/>
      <c r="C54" s="101"/>
      <c r="D54" s="101"/>
      <c r="E54" s="101"/>
      <c r="F54" s="101"/>
      <c r="G54" s="101"/>
      <c r="H54" s="101"/>
    </row>
    <row r="55" spans="1:14" x14ac:dyDescent="0.3">
      <c r="A55" s="102" t="s">
        <v>93</v>
      </c>
      <c r="B55" s="102"/>
      <c r="C55" s="102"/>
      <c r="D55" s="91">
        <f>E45</f>
        <v>16755.400000000001</v>
      </c>
      <c r="E55" s="91"/>
      <c r="F55" s="91"/>
      <c r="G55" s="91"/>
      <c r="H55" s="91"/>
    </row>
    <row r="56" spans="1:14" x14ac:dyDescent="0.3">
      <c r="A56" s="97" t="s">
        <v>47</v>
      </c>
      <c r="B56" s="91"/>
      <c r="C56" s="91"/>
      <c r="D56" s="91" t="s">
        <v>227</v>
      </c>
      <c r="E56" s="91"/>
      <c r="F56" s="91"/>
      <c r="G56" s="91"/>
      <c r="H56" s="91"/>
      <c r="I56" s="24"/>
    </row>
    <row r="57" spans="1:14" ht="15.75" customHeight="1" x14ac:dyDescent="0.3">
      <c r="A57" s="95" t="s">
        <v>48</v>
      </c>
      <c r="B57" s="96"/>
      <c r="C57" s="156"/>
      <c r="D57" s="97" t="s">
        <v>197</v>
      </c>
      <c r="E57" s="91"/>
      <c r="F57" s="91"/>
      <c r="G57" s="91"/>
      <c r="H57" s="91"/>
    </row>
    <row r="58" spans="1:14" ht="15.75" customHeight="1" x14ac:dyDescent="0.3">
      <c r="A58" s="95" t="s">
        <v>91</v>
      </c>
      <c r="B58" s="96"/>
      <c r="C58" s="96"/>
      <c r="D58" s="97" t="s">
        <v>197</v>
      </c>
      <c r="E58" s="91"/>
      <c r="F58" s="91"/>
      <c r="G58" s="91"/>
      <c r="H58" s="91"/>
    </row>
    <row r="59" spans="1:14" ht="15.75" customHeight="1" x14ac:dyDescent="0.3">
      <c r="A59" s="68" t="s">
        <v>45</v>
      </c>
      <c r="B59" s="68"/>
      <c r="C59" s="68"/>
      <c r="D59" s="154" t="s">
        <v>193</v>
      </c>
      <c r="E59" s="154"/>
      <c r="F59" s="154"/>
      <c r="G59" s="154"/>
      <c r="H59" s="154"/>
      <c r="J59" s="25"/>
      <c r="K59" s="24"/>
      <c r="N59" s="24"/>
    </row>
    <row r="60" spans="1:14" ht="15.75" customHeight="1" x14ac:dyDescent="0.3">
      <c r="A60" s="68" t="s">
        <v>89</v>
      </c>
      <c r="B60" s="68"/>
      <c r="C60" s="68"/>
      <c r="D60" s="173" t="str">
        <f>(IF(G53="NA","60 Years After Completion",IF(G53&lt;&gt;"NA",""&amp;60-ROUNDDOWN((E3-G53)/360,0)&amp;" Years"," ")))</f>
        <v>60 Years After Completion</v>
      </c>
      <c r="E60" s="173"/>
      <c r="F60" s="173"/>
      <c r="G60" s="173"/>
      <c r="H60" s="173"/>
      <c r="N60" s="24"/>
    </row>
    <row r="61" spans="1:14" ht="15.75" customHeight="1" x14ac:dyDescent="0.3">
      <c r="A61" s="68" t="s">
        <v>90</v>
      </c>
      <c r="B61" s="68"/>
      <c r="C61" s="68"/>
      <c r="D61" s="102" t="s">
        <v>23</v>
      </c>
      <c r="E61" s="102"/>
      <c r="F61" s="102"/>
      <c r="G61" s="102"/>
      <c r="H61" s="102"/>
      <c r="J61" s="26"/>
      <c r="K61" s="26"/>
    </row>
    <row r="62" spans="1:14" ht="30" hidden="1" customHeight="1" x14ac:dyDescent="0.3">
      <c r="A62" s="68" t="s">
        <v>76</v>
      </c>
      <c r="B62" s="68"/>
      <c r="C62" s="68"/>
      <c r="D62" s="97"/>
      <c r="E62" s="102"/>
      <c r="F62" s="102"/>
      <c r="G62" s="102"/>
      <c r="H62" s="102"/>
    </row>
    <row r="63" spans="1:14" x14ac:dyDescent="0.3">
      <c r="A63" s="102" t="s">
        <v>155</v>
      </c>
      <c r="B63" s="102"/>
      <c r="C63" s="102"/>
      <c r="D63" s="102" t="s">
        <v>29</v>
      </c>
      <c r="E63" s="102"/>
      <c r="F63" s="102"/>
      <c r="G63" s="102"/>
      <c r="H63" s="102"/>
      <c r="I63" s="27"/>
      <c r="J63" s="27"/>
      <c r="K63" s="27"/>
      <c r="L63" s="27"/>
      <c r="M63" s="27"/>
      <c r="N63" s="27"/>
    </row>
    <row r="64" spans="1:14" ht="15.75" customHeight="1" x14ac:dyDescent="0.3">
      <c r="A64" s="107" t="s">
        <v>88</v>
      </c>
      <c r="B64" s="107"/>
      <c r="C64" s="107"/>
      <c r="D64" s="106" t="str">
        <f ca="1">(IF(G70&gt;95%,"Nothing",IF(G70&gt;0%,"Cement, Aggregate, Steel, etc",IF(G70=0%,"Work not yet Started"))))</f>
        <v>Cement, Aggregate, Steel, etc</v>
      </c>
      <c r="E64" s="106"/>
      <c r="F64" s="106"/>
      <c r="G64" s="106"/>
      <c r="H64" s="106"/>
      <c r="J64" s="26"/>
    </row>
    <row r="65" spans="1:11" ht="33.75" customHeight="1" thickBot="1" x14ac:dyDescent="0.35">
      <c r="A65" s="105" t="s">
        <v>118</v>
      </c>
      <c r="B65" s="105"/>
      <c r="C65" s="105"/>
      <c r="D65" s="106" t="str">
        <f ca="1">(IF(D64="Nothing","Yes",IF(D64="Cement, Aggregate, Steel, etc","Under Construction",IF(D64="Work not yet Started","Work not yet Started"))))</f>
        <v>Under Construction</v>
      </c>
      <c r="E65" s="106"/>
      <c r="F65" s="106" t="str">
        <f ca="1">(IF(D64="Nothing","Yes",IF(D64="Cement, Aggregate, Steel, etc","Under Construction",IF(D64="Work not yet Started","Work not yet Started"))))</f>
        <v>Under Construction</v>
      </c>
      <c r="G65" s="106"/>
      <c r="H65" s="106"/>
    </row>
    <row r="66" spans="1:11" ht="15.75" customHeight="1" x14ac:dyDescent="0.3">
      <c r="A66" s="115" t="s">
        <v>145</v>
      </c>
      <c r="B66" s="116"/>
      <c r="C66" s="117" t="s">
        <v>197</v>
      </c>
      <c r="D66" s="118"/>
      <c r="E66" s="118"/>
      <c r="F66" s="118"/>
      <c r="G66" s="118"/>
      <c r="H66" s="119"/>
      <c r="I66" s="48" t="str">
        <f ca="1">IF(D79=100%,"All work Completed. Possession granted to the Building.",IF(D78=100%,"All work Completed, Waiting for OC",I67&amp;""&amp;I68&amp;""&amp;J67&amp;""&amp;J66&amp;" "&amp;J68))</f>
        <v>Excavation, Plinth Completed, RCC upto 9 Slab, Brickwork upto 5 Floor, Internal Plaster upto 1 Floor Completed</v>
      </c>
      <c r="J66" s="49" t="str">
        <f ca="1">(IF(C72=(D67+F67+H67),"",IF(C72&gt;0,", RCC upto "&amp;C72&amp;" Slab","")))&amp;(IF(C73=H67,"",IF(C73&gt;0,", Brickwork upto "&amp;C73&amp;" Floor","")))&amp;(IF(C74=H67,"",IF(C74&gt;0,", Internal Plaster upto "&amp;C74&amp;" Floor","")))&amp;(IF(C75=H67,"",IF(C75&gt;0,", External Plaster upto "&amp;C75&amp;" Floor","")))&amp;(IF(C76=H67,"",IF(C76&gt;0,", Flooring upto "&amp;C76&amp;" Floor","")))&amp;(IF(C77=H67,"",IF(C77&gt;0,", Painting upto "&amp;C77&amp;" Floor","")))&amp;(IF(C78=H67,"",IF(C78&gt;0,", Finishing upto "&amp;C78&amp;" Floor","")))&amp;(IF(C79=H67,"",IF(C79&gt;0,", Possession upto "&amp;C79&amp;" Floor","")))</f>
        <v>, RCC upto 9 Slab, Brickwork upto 5 Floor, Internal Plaster upto 1 Floor</v>
      </c>
    </row>
    <row r="67" spans="1:11" x14ac:dyDescent="0.3">
      <c r="A67" s="16" t="s">
        <v>147</v>
      </c>
      <c r="B67" s="52">
        <f>IF(AND(ISNUMBER(SEARCH("1B",C66))),1,IF(AND(ISNUMBER(SEARCH("2B",C66))),2,IF(AND(ISNUMBER(SEARCH("3B",C66))),3,IF(AND(ISNUMBER(SEARCH("4B",C66))),4,IF(ISNUMBER(SEARCH("5B",C66)),5,0)))))</f>
        <v>1</v>
      </c>
      <c r="C67" s="52" t="s">
        <v>73</v>
      </c>
      <c r="D67" s="52">
        <v>1</v>
      </c>
      <c r="E67" s="52" t="s">
        <v>72</v>
      </c>
      <c r="F67" s="52">
        <v>0</v>
      </c>
      <c r="G67" s="52" t="s">
        <v>82</v>
      </c>
      <c r="H67" s="17">
        <f ca="1">--TRIM(RIGHT(SUBSTITUTE(LEFT(C66,_xlfn.AGGREGATE(16,6,FIND({0,1,2,3,4,5,6,7,8,9},C66,ROW(INDIRECT("1:"&amp;LEN(C66)))),1))," ",REPT(" ",LEN(C66))),LEN(C66)))</f>
        <v>32</v>
      </c>
      <c r="I67" s="50" t="str">
        <f ca="1">IF(D70=100%,"Excavation","")&amp;IF(D71=100%,", Plinth","")&amp;IF(D72=100%,", RCC Slab","")&amp;IF(D73=100%,", Brickwork","")&amp;IF(D74=100%,", Internal Plaster","")&amp;IF(D75=100%,", External Plaster","")&amp;IF(D76=100%,", Flooring","")&amp;IF(D77=100%,", Painting","")&amp;IF(D78=100%,", Building common Amenities","")</f>
        <v>Excavation, Plinth</v>
      </c>
      <c r="J67" s="51" t="str">
        <f ca="1">(IF(C70=0,"Work not yet Started.",IF(D70=25%,"Piling work in process",IF(D70=50%,"Excavation work in process",IF(D70=100%,"","0")))))&amp;(IF(C71=0%,"",IF(C71=J72,", Footing work is process",IF(C71=J73,", Footing work Completed",IF(C71=J74,", 1st Basement Completed",IF(C71=J75,", 1st &amp; 2nd Basement Completed",IF(C71=J76,", 1st to 3rd Basement Completed",IF(C71=J77,", 1st to 4th Basement Completed",IF(C71=J78,", Plinth work is process",IF(C71=J79,"","0"))))))))))</f>
        <v/>
      </c>
    </row>
    <row r="68" spans="1:11" ht="34.799999999999997" customHeight="1" x14ac:dyDescent="0.3">
      <c r="A68" s="113" t="s">
        <v>92</v>
      </c>
      <c r="B68" s="114"/>
      <c r="C68" s="120" t="str">
        <f ca="1">I66</f>
        <v>Excavation, Plinth Completed, RCC upto 9 Slab, Brickwork upto 5 Floor, Internal Plaster upto 1 Floor Completed</v>
      </c>
      <c r="D68" s="120"/>
      <c r="E68" s="120"/>
      <c r="F68" s="120"/>
      <c r="G68" s="120"/>
      <c r="H68" s="121"/>
      <c r="I68" s="50" t="str">
        <f ca="1">IF(I67&lt;&gt;""," Completed","")</f>
        <v xml:space="preserve"> Completed</v>
      </c>
      <c r="J68" s="51" t="str">
        <f ca="1">IF(J66&lt;&gt;"","Completed","")</f>
        <v>Completed</v>
      </c>
    </row>
    <row r="69" spans="1:11" ht="15.75" customHeight="1" x14ac:dyDescent="0.3">
      <c r="A69" s="82" t="s">
        <v>49</v>
      </c>
      <c r="B69" s="83"/>
      <c r="C69" s="44" t="s">
        <v>144</v>
      </c>
      <c r="D69" s="44" t="s">
        <v>85</v>
      </c>
      <c r="E69" s="83" t="s">
        <v>87</v>
      </c>
      <c r="F69" s="83"/>
      <c r="G69" s="83" t="s">
        <v>86</v>
      </c>
      <c r="H69" s="122"/>
      <c r="I69" s="14" t="s">
        <v>146</v>
      </c>
      <c r="J69" s="28">
        <f ca="1">H67*25%</f>
        <v>8</v>
      </c>
    </row>
    <row r="70" spans="1:11" x14ac:dyDescent="0.3">
      <c r="A70" s="82" t="s">
        <v>133</v>
      </c>
      <c r="B70" s="83"/>
      <c r="C70" s="44">
        <f ca="1">J71</f>
        <v>32</v>
      </c>
      <c r="D70" s="19">
        <f ca="1">((100/H67)*C70)/100</f>
        <v>1</v>
      </c>
      <c r="E70" s="162">
        <f ca="1">(((C71/H67*10)+(40/(D67+F67+H67)*C72)+(7.5/(H67)*C73)+(7.5/(H67)*C74)+(10/H67*C75)+(10/H67*C76)+(5/H67*C77)+(5/H67*C78)+(5/H67*C79))/100)</f>
        <v>0.22315340909090911</v>
      </c>
      <c r="F70" s="163"/>
      <c r="G70" s="162">
        <f ca="1">((((C70/H67)*20)+((C71/H67)*25)+(30/(H67+F67+D67)*C72)+(5/H67*C73)+(5/H67*C74)+(5/H67*C75)+(5/H67*C76)+(0/H67*C77)+(0/H67*C78)+(5/H67*C79))/100)</f>
        <v>0.54119318181818177</v>
      </c>
      <c r="H70" s="168"/>
      <c r="I70" s="14" t="s">
        <v>100</v>
      </c>
      <c r="J70" s="29">
        <f ca="1">H67*50%</f>
        <v>16</v>
      </c>
    </row>
    <row r="71" spans="1:11" x14ac:dyDescent="0.3">
      <c r="A71" s="82" t="s">
        <v>50</v>
      </c>
      <c r="B71" s="83"/>
      <c r="C71" s="59">
        <f ca="1">J79</f>
        <v>32</v>
      </c>
      <c r="D71" s="19">
        <f ca="1">((100/H67)*C71)/100</f>
        <v>1</v>
      </c>
      <c r="E71" s="164"/>
      <c r="F71" s="165"/>
      <c r="G71" s="164"/>
      <c r="H71" s="169"/>
      <c r="I71" s="14" t="s">
        <v>101</v>
      </c>
      <c r="J71" s="29">
        <f ca="1">H67</f>
        <v>32</v>
      </c>
    </row>
    <row r="72" spans="1:11" ht="15.75" customHeight="1" x14ac:dyDescent="0.3">
      <c r="A72" s="82" t="s">
        <v>134</v>
      </c>
      <c r="B72" s="83"/>
      <c r="C72" s="44">
        <v>9</v>
      </c>
      <c r="D72" s="19">
        <f ca="1">((100/(D67+F67+H67))*C72)/100</f>
        <v>0.27272727272727271</v>
      </c>
      <c r="E72" s="164"/>
      <c r="F72" s="165"/>
      <c r="G72" s="164"/>
      <c r="H72" s="169"/>
      <c r="I72" s="14" t="s">
        <v>102</v>
      </c>
      <c r="J72" s="30">
        <f ca="1">(IF(B67&gt;1,(H67/(B67+2)),H67/4))</f>
        <v>8</v>
      </c>
      <c r="K72" s="21" t="s">
        <v>274</v>
      </c>
    </row>
    <row r="73" spans="1:11" ht="15.75" customHeight="1" x14ac:dyDescent="0.3">
      <c r="A73" s="82" t="s">
        <v>141</v>
      </c>
      <c r="B73" s="83" t="s">
        <v>135</v>
      </c>
      <c r="C73" s="44">
        <f>C72-4</f>
        <v>5</v>
      </c>
      <c r="D73" s="19">
        <f ca="1">((100/H67)*C73)/100</f>
        <v>0.15625</v>
      </c>
      <c r="E73" s="164"/>
      <c r="F73" s="165"/>
      <c r="G73" s="164"/>
      <c r="H73" s="169"/>
      <c r="I73" s="14" t="s">
        <v>103</v>
      </c>
      <c r="J73" s="30">
        <f ca="1">(IF(B67&gt;1,(H67/(B67+2)+J72),H67/4+J72))</f>
        <v>16</v>
      </c>
    </row>
    <row r="74" spans="1:11" ht="15.75" customHeight="1" x14ac:dyDescent="0.3">
      <c r="A74" s="82" t="s">
        <v>142</v>
      </c>
      <c r="B74" s="83" t="s">
        <v>135</v>
      </c>
      <c r="C74" s="44">
        <v>1</v>
      </c>
      <c r="D74" s="19">
        <f ca="1">((100/H67)*C74)/100</f>
        <v>3.125E-2</v>
      </c>
      <c r="E74" s="164"/>
      <c r="F74" s="165"/>
      <c r="G74" s="164"/>
      <c r="H74" s="169"/>
      <c r="I74" s="14" t="s">
        <v>153</v>
      </c>
      <c r="J74" s="30">
        <f>(IF(B67&gt;1,(H67/(B67+2)+J73),0))</f>
        <v>0</v>
      </c>
    </row>
    <row r="75" spans="1:11" ht="15" customHeight="1" x14ac:dyDescent="0.3">
      <c r="A75" s="82" t="s">
        <v>140</v>
      </c>
      <c r="B75" s="83" t="s">
        <v>137</v>
      </c>
      <c r="C75" s="44">
        <v>0</v>
      </c>
      <c r="D75" s="19">
        <f ca="1">((100/(H67))*C75)/100</f>
        <v>0</v>
      </c>
      <c r="E75" s="164"/>
      <c r="F75" s="165"/>
      <c r="G75" s="164"/>
      <c r="H75" s="169"/>
      <c r="I75" s="14" t="s">
        <v>148</v>
      </c>
      <c r="J75" s="30">
        <f>(IF(B67&gt;2,(H67/(B67+2)+J74),0))</f>
        <v>0</v>
      </c>
    </row>
    <row r="76" spans="1:11" ht="15.75" customHeight="1" x14ac:dyDescent="0.3">
      <c r="A76" s="82" t="s">
        <v>136</v>
      </c>
      <c r="B76" s="83" t="s">
        <v>136</v>
      </c>
      <c r="C76" s="44">
        <v>0</v>
      </c>
      <c r="D76" s="19">
        <f ca="1">((100/H67)*C76)/100</f>
        <v>0</v>
      </c>
      <c r="E76" s="164"/>
      <c r="F76" s="165"/>
      <c r="G76" s="164"/>
      <c r="H76" s="169"/>
      <c r="I76" s="14" t="s">
        <v>149</v>
      </c>
      <c r="J76" s="31">
        <f>(IF(B67&gt;3,(H67/(B67+2)+J75),0))</f>
        <v>0</v>
      </c>
    </row>
    <row r="77" spans="1:11" ht="15.75" customHeight="1" x14ac:dyDescent="0.3">
      <c r="A77" s="82" t="s">
        <v>143</v>
      </c>
      <c r="B77" s="83"/>
      <c r="C77" s="44">
        <v>0</v>
      </c>
      <c r="D77" s="19">
        <f ca="1">((100/H67)*C77)/100</f>
        <v>0</v>
      </c>
      <c r="E77" s="164"/>
      <c r="F77" s="165"/>
      <c r="G77" s="164"/>
      <c r="H77" s="169"/>
      <c r="I77" s="14" t="s">
        <v>150</v>
      </c>
      <c r="J77" s="30">
        <f>(IF(B67&gt;4,(H67/(B67+2)+J76),0))</f>
        <v>0</v>
      </c>
    </row>
    <row r="78" spans="1:11" ht="15.75" customHeight="1" x14ac:dyDescent="0.3">
      <c r="A78" s="82" t="s">
        <v>138</v>
      </c>
      <c r="B78" s="83" t="s">
        <v>138</v>
      </c>
      <c r="C78" s="44">
        <v>0</v>
      </c>
      <c r="D78" s="19">
        <f ca="1">((100/(H67))*C78)/100</f>
        <v>0</v>
      </c>
      <c r="E78" s="164"/>
      <c r="F78" s="165"/>
      <c r="G78" s="164"/>
      <c r="H78" s="169"/>
      <c r="I78" s="14" t="s">
        <v>154</v>
      </c>
      <c r="J78" s="30">
        <f ca="1">(IF(B67=1,(H67/(B67+3)+J73),IF(B67=0,(H67/4+J73),IF(B67&gt;1,0))))</f>
        <v>24</v>
      </c>
    </row>
    <row r="79" spans="1:11" ht="16.2" thickBot="1" x14ac:dyDescent="0.35">
      <c r="A79" s="171" t="s">
        <v>139</v>
      </c>
      <c r="B79" s="172"/>
      <c r="C79" s="45">
        <v>0</v>
      </c>
      <c r="D79" s="20">
        <f ca="1">((100/(H67))*C79)/100</f>
        <v>0</v>
      </c>
      <c r="E79" s="166"/>
      <c r="F79" s="167"/>
      <c r="G79" s="166"/>
      <c r="H79" s="170"/>
      <c r="I79" s="15" t="s">
        <v>104</v>
      </c>
      <c r="J79" s="32">
        <f ca="1">(IF(B67&gt;1.5,(H67/(B67+2)+J73+MAX(0,J74-J73)+MAX(0,J75-J74)+MAX(0,J76-J75)+MAX(0,J77-J76)+MAX(0,J78-J77)),IF(B67=1,(H67/(B67+3)+J78),IF(B67=0,H67/4+J78))))</f>
        <v>32</v>
      </c>
    </row>
    <row r="80" spans="1:11" ht="15.75" hidden="1" customHeight="1" x14ac:dyDescent="0.3">
      <c r="A80" s="115" t="s">
        <v>145</v>
      </c>
      <c r="B80" s="116"/>
      <c r="C80" s="117" t="s">
        <v>263</v>
      </c>
      <c r="D80" s="118"/>
      <c r="E80" s="118"/>
      <c r="F80" s="118"/>
      <c r="G80" s="118"/>
      <c r="H80" s="119"/>
      <c r="I80" s="48" t="str">
        <f ca="1">IF(D93=100%,"All work Completed. Possession granted to the Building.",IF(D92=100%,"All work Completed, Waiting for OC",I81&amp;""&amp;I82&amp;""&amp;J81&amp;""&amp;J80&amp;" "&amp;J82))</f>
        <v>Excavation, Plinth Completed, RCC upto 1 Slab Completed</v>
      </c>
      <c r="J80" s="49" t="str">
        <f ca="1">(IF(C86=(D81+F81+H81),"",IF(C86&gt;0,", RCC upto "&amp;C86&amp;" Slab","")))&amp;(IF(C87=H81,"",IF(C87&gt;0,", Brickwork upto "&amp;C87&amp;" Floor","")))&amp;(IF(C88=H81,"",IF(C88&gt;0,", Internal Plaster upto "&amp;C88&amp;" Floor","")))&amp;(IF(C89=H81,"",IF(C89&gt;0,", External Plaster upto "&amp;C89&amp;" Floor","")))&amp;(IF(C90=H81,"",IF(C90&gt;0,", Flooring upto "&amp;C90&amp;" Floor","")))&amp;(IF(C91=H81,"",IF(C91&gt;0,", Painting upto "&amp;C91&amp;" Floor","")))&amp;(IF(C92=H81,"",IF(C92&gt;0,", Finishing upto "&amp;C92&amp;" Floor","")))&amp;(IF(C93=H81,"",IF(C93&gt;0,", Possession upto "&amp;C93&amp;" Floor","")))</f>
        <v>, RCC upto 1 Slab</v>
      </c>
    </row>
    <row r="81" spans="1:13" hidden="1" x14ac:dyDescent="0.3">
      <c r="A81" s="16" t="s">
        <v>147</v>
      </c>
      <c r="B81" s="52">
        <f>IF(AND(ISNUMBER(SEARCH("1B",C80))),1,IF(AND(ISNUMBER(SEARCH("2B",C80))),2,IF(AND(ISNUMBER(SEARCH("3B",C80))),3,IF(AND(ISNUMBER(SEARCH("4B",C80))),4,IF(ISNUMBER(SEARCH("5B",C80)),5,0)))))</f>
        <v>1</v>
      </c>
      <c r="C81" s="52" t="s">
        <v>73</v>
      </c>
      <c r="D81" s="52">
        <v>1</v>
      </c>
      <c r="E81" s="52" t="s">
        <v>72</v>
      </c>
      <c r="F81" s="52">
        <v>0</v>
      </c>
      <c r="G81" s="52" t="s">
        <v>82</v>
      </c>
      <c r="H81" s="17">
        <f ca="1">--TRIM(RIGHT(SUBSTITUTE(LEFT(C80,_xlfn.AGGREGATE(16,6,FIND({0,1,2,3,4,5,6,7,8,9},C80,ROW(INDIRECT("1:"&amp;LEN(C80)))),1))," ",REPT(" ",LEN(C80))),LEN(C80)))</f>
        <v>32</v>
      </c>
      <c r="I81" s="50" t="str">
        <f ca="1">IF(D84=100%,"Excavation","")&amp;IF(D85=100%,", Plinth","")&amp;IF(D86=100%,", RCC Slab","")&amp;IF(D87=100%,", Brickwork","")&amp;IF(D88=100%,", Internal Plaster","")&amp;IF(D89=100%,", External Plaster","")&amp;IF(D90=100%,", Flooring","")&amp;IF(D91=100%,", Painting","")&amp;IF(D92=100%,", Building common Amenities","")</f>
        <v>Excavation, Plinth</v>
      </c>
      <c r="J81" s="51" t="str">
        <f ca="1">(IF(C84=0,"Work not yet Started.",IF(D84=25%,"Piling work in process",IF(D84=50%,"Excavation work in process",IF(D84=100%,"","0")))))&amp;(IF(C85=0%,"",IF(C85=J86,", Footing work is process",IF(C85=J87,", Footing work Completed",IF(C85=J88,", 1st Basement Completed",IF(C85=J89,", 1st &amp; 2nd Basement Completed",IF(C85=J90,", 1st to 3rd Basement Completed",IF(C85=J91,", 1st to 4th Basement Completed",IF(C85=J92,", Plinth work is process",IF(C85=J93,"","0"))))))))))</f>
        <v/>
      </c>
    </row>
    <row r="82" spans="1:13" hidden="1" x14ac:dyDescent="0.3">
      <c r="A82" s="113" t="s">
        <v>92</v>
      </c>
      <c r="B82" s="114"/>
      <c r="C82" s="120" t="str">
        <f ca="1">I80</f>
        <v>Excavation, Plinth Completed, RCC upto 1 Slab Completed</v>
      </c>
      <c r="D82" s="120"/>
      <c r="E82" s="120"/>
      <c r="F82" s="120"/>
      <c r="G82" s="120"/>
      <c r="H82" s="121"/>
      <c r="I82" s="50" t="str">
        <f ca="1">IF(I81&lt;&gt;""," Completed","")</f>
        <v xml:space="preserve"> Completed</v>
      </c>
      <c r="J82" s="51" t="str">
        <f ca="1">IF(J80&lt;&gt;"","Completed","")</f>
        <v>Completed</v>
      </c>
    </row>
    <row r="83" spans="1:13" ht="15.75" hidden="1" customHeight="1" x14ac:dyDescent="0.3">
      <c r="A83" s="82" t="s">
        <v>49</v>
      </c>
      <c r="B83" s="83"/>
      <c r="C83" s="44" t="s">
        <v>144</v>
      </c>
      <c r="D83" s="44" t="s">
        <v>85</v>
      </c>
      <c r="E83" s="83" t="s">
        <v>87</v>
      </c>
      <c r="F83" s="83"/>
      <c r="G83" s="83" t="s">
        <v>86</v>
      </c>
      <c r="H83" s="122"/>
      <c r="I83" s="14" t="s">
        <v>146</v>
      </c>
      <c r="J83" s="28">
        <f ca="1">H81*25%</f>
        <v>8</v>
      </c>
    </row>
    <row r="84" spans="1:13" hidden="1" x14ac:dyDescent="0.3">
      <c r="A84" s="82" t="s">
        <v>133</v>
      </c>
      <c r="B84" s="83"/>
      <c r="C84" s="44">
        <f ca="1">J85</f>
        <v>32</v>
      </c>
      <c r="D84" s="19">
        <f ca="1">((100/H81)*C84)/100</f>
        <v>1</v>
      </c>
      <c r="E84" s="162">
        <f ca="1">(((C85/H81*10)+(40/(D81+F81+H81)*C86)+(7.5/(H81)*C87)+(7.5/(H81)*C88)+(10/H81*C89)+(10/H81*C90)+(5/H81*C91)+(5/H81*C92)+(5/H81*C93))/100)</f>
        <v>0.11212121212121212</v>
      </c>
      <c r="F84" s="163"/>
      <c r="G84" s="162">
        <f ca="1">((((C84/H81)*20)+((C85/H81)*25)+(30/(H81+F81+D81)*C86)+(5/H81*C87)+(5/H81*C88)+(5/H81*C89)+(5/H81*C90)+(0/H81*C91)+(0/H81*C92)+(5/H81*C93))/100)</f>
        <v>0.45909090909090905</v>
      </c>
      <c r="H84" s="168"/>
      <c r="I84" s="14" t="s">
        <v>100</v>
      </c>
      <c r="J84" s="29">
        <f ca="1">H81*50%</f>
        <v>16</v>
      </c>
    </row>
    <row r="85" spans="1:13" hidden="1" x14ac:dyDescent="0.3">
      <c r="A85" s="82" t="s">
        <v>50</v>
      </c>
      <c r="B85" s="83"/>
      <c r="C85" s="59">
        <f ca="1">J93</f>
        <v>32</v>
      </c>
      <c r="D85" s="19">
        <f ca="1">((100/H81)*C85)/100</f>
        <v>1</v>
      </c>
      <c r="E85" s="164"/>
      <c r="F85" s="165"/>
      <c r="G85" s="164"/>
      <c r="H85" s="169"/>
      <c r="I85" s="14" t="s">
        <v>101</v>
      </c>
      <c r="J85" s="29">
        <f ca="1">H81</f>
        <v>32</v>
      </c>
    </row>
    <row r="86" spans="1:13" ht="15.75" hidden="1" customHeight="1" x14ac:dyDescent="0.3">
      <c r="A86" s="82" t="s">
        <v>134</v>
      </c>
      <c r="B86" s="83"/>
      <c r="C86" s="44">
        <v>1</v>
      </c>
      <c r="D86" s="19">
        <f ca="1">((100/(D81+F81+H81))*C86)/100</f>
        <v>3.0303030303030304E-2</v>
      </c>
      <c r="E86" s="164"/>
      <c r="F86" s="165"/>
      <c r="G86" s="164"/>
      <c r="H86" s="169"/>
      <c r="I86" s="14" t="s">
        <v>102</v>
      </c>
      <c r="J86" s="30">
        <f ca="1">(IF(B81&gt;1,(H81/(B81+2)),H81/4))</f>
        <v>8</v>
      </c>
    </row>
    <row r="87" spans="1:13" ht="15.75" hidden="1" customHeight="1" x14ac:dyDescent="0.3">
      <c r="A87" s="82" t="s">
        <v>141</v>
      </c>
      <c r="B87" s="83" t="s">
        <v>135</v>
      </c>
      <c r="C87" s="44">
        <v>0</v>
      </c>
      <c r="D87" s="19">
        <f ca="1">((100/H81)*C87)/100</f>
        <v>0</v>
      </c>
      <c r="E87" s="164"/>
      <c r="F87" s="165"/>
      <c r="G87" s="164"/>
      <c r="H87" s="169"/>
      <c r="I87" s="14" t="s">
        <v>103</v>
      </c>
      <c r="J87" s="30">
        <f ca="1">(IF(B81&gt;1,(H81/(B81+2)+J86),H81/4+J86))</f>
        <v>16</v>
      </c>
    </row>
    <row r="88" spans="1:13" ht="15.75" hidden="1" customHeight="1" x14ac:dyDescent="0.3">
      <c r="A88" s="82" t="s">
        <v>142</v>
      </c>
      <c r="B88" s="83" t="s">
        <v>135</v>
      </c>
      <c r="C88" s="44">
        <v>0</v>
      </c>
      <c r="D88" s="19">
        <f ca="1">((100/H81)*C88)/100</f>
        <v>0</v>
      </c>
      <c r="E88" s="164"/>
      <c r="F88" s="165"/>
      <c r="G88" s="164"/>
      <c r="H88" s="169"/>
      <c r="I88" s="14" t="s">
        <v>153</v>
      </c>
      <c r="J88" s="30">
        <f>(IF(B81&gt;1,(H81/(B81+2)+J87),0))</f>
        <v>0</v>
      </c>
    </row>
    <row r="89" spans="1:13" ht="15" hidden="1" customHeight="1" x14ac:dyDescent="0.3">
      <c r="A89" s="82" t="s">
        <v>140</v>
      </c>
      <c r="B89" s="83" t="s">
        <v>137</v>
      </c>
      <c r="C89" s="44">
        <v>0</v>
      </c>
      <c r="D89" s="19">
        <f ca="1">((100/(H81))*C89)/100</f>
        <v>0</v>
      </c>
      <c r="E89" s="164"/>
      <c r="F89" s="165"/>
      <c r="G89" s="164"/>
      <c r="H89" s="169"/>
      <c r="I89" s="14" t="s">
        <v>148</v>
      </c>
      <c r="J89" s="30">
        <f>(IF(B81&gt;2,(H81/(B81+2)+J88),0))</f>
        <v>0</v>
      </c>
    </row>
    <row r="90" spans="1:13" ht="15.75" hidden="1" customHeight="1" x14ac:dyDescent="0.3">
      <c r="A90" s="82" t="s">
        <v>136</v>
      </c>
      <c r="B90" s="83" t="s">
        <v>136</v>
      </c>
      <c r="C90" s="44">
        <v>0</v>
      </c>
      <c r="D90" s="19">
        <f ca="1">((100/H81)*C90)/100</f>
        <v>0</v>
      </c>
      <c r="E90" s="164"/>
      <c r="F90" s="165"/>
      <c r="G90" s="164"/>
      <c r="H90" s="169"/>
      <c r="I90" s="14" t="s">
        <v>149</v>
      </c>
      <c r="J90" s="31">
        <f>(IF(B81&gt;3,(H81/(B81+2)+J89),0))</f>
        <v>0</v>
      </c>
    </row>
    <row r="91" spans="1:13" ht="15.75" hidden="1" customHeight="1" x14ac:dyDescent="0.3">
      <c r="A91" s="82" t="s">
        <v>143</v>
      </c>
      <c r="B91" s="83"/>
      <c r="C91" s="44">
        <v>0</v>
      </c>
      <c r="D91" s="19">
        <f ca="1">((100/H81)*C91)/100</f>
        <v>0</v>
      </c>
      <c r="E91" s="164"/>
      <c r="F91" s="165"/>
      <c r="G91" s="164"/>
      <c r="H91" s="169"/>
      <c r="I91" s="14" t="s">
        <v>150</v>
      </c>
      <c r="J91" s="30">
        <f>(IF(B81&gt;4,(H81/(B81+2)+J90),0))</f>
        <v>0</v>
      </c>
    </row>
    <row r="92" spans="1:13" ht="15.75" hidden="1" customHeight="1" x14ac:dyDescent="0.3">
      <c r="A92" s="82" t="s">
        <v>138</v>
      </c>
      <c r="B92" s="83" t="s">
        <v>138</v>
      </c>
      <c r="C92" s="44">
        <v>0</v>
      </c>
      <c r="D92" s="19">
        <f ca="1">((100/(H81))*C92)/100</f>
        <v>0</v>
      </c>
      <c r="E92" s="164"/>
      <c r="F92" s="165"/>
      <c r="G92" s="164"/>
      <c r="H92" s="169"/>
      <c r="I92" s="14" t="s">
        <v>154</v>
      </c>
      <c r="J92" s="30">
        <f ca="1">(IF(B81=1,(H81/(B81+3)+J87),IF(B81=0,(H81/4+J87),IF(B81&gt;1,0))))</f>
        <v>24</v>
      </c>
    </row>
    <row r="93" spans="1:13" ht="16.2" hidden="1" thickBot="1" x14ac:dyDescent="0.35">
      <c r="A93" s="171" t="s">
        <v>139</v>
      </c>
      <c r="B93" s="172"/>
      <c r="C93" s="45">
        <v>0</v>
      </c>
      <c r="D93" s="20">
        <f ca="1">((100/(H81))*C93)/100</f>
        <v>0</v>
      </c>
      <c r="E93" s="166"/>
      <c r="F93" s="167"/>
      <c r="G93" s="166"/>
      <c r="H93" s="170"/>
      <c r="I93" s="15" t="s">
        <v>104</v>
      </c>
      <c r="J93" s="32">
        <f ca="1">(IF(B81&gt;1.5,(H81/(B81+2)+J87+MAX(0,J88-J87)+MAX(0,J89-J88)+MAX(0,J90-J89)+MAX(0,J91-J90)+MAX(0,J92-J91)),IF(B81=1,(H81/(B81+3)+J92),IF(B81=0,H81/4+J92))))</f>
        <v>32</v>
      </c>
    </row>
    <row r="94" spans="1:13" ht="41.25" hidden="1" customHeight="1" x14ac:dyDescent="0.3">
      <c r="A94" s="207" t="s">
        <v>264</v>
      </c>
      <c r="B94" s="200"/>
      <c r="C94" s="199">
        <f ca="1">AVERAGE(E70,E84)</f>
        <v>0.16763731060606063</v>
      </c>
      <c r="D94" s="200"/>
      <c r="E94" s="207" t="s">
        <v>265</v>
      </c>
      <c r="F94" s="200"/>
      <c r="G94" s="199">
        <f ca="1">AVERAGE(G70,G84)</f>
        <v>0.50014204545454544</v>
      </c>
      <c r="H94" s="200"/>
    </row>
    <row r="95" spans="1:13" x14ac:dyDescent="0.3">
      <c r="A95" s="112" t="s">
        <v>165</v>
      </c>
      <c r="B95" s="112"/>
      <c r="C95" s="112"/>
      <c r="D95" s="112"/>
      <c r="E95" s="112"/>
      <c r="F95" s="111" t="s">
        <v>169</v>
      </c>
      <c r="G95" s="111"/>
      <c r="H95" s="111"/>
      <c r="I95" s="62" t="s">
        <v>255</v>
      </c>
      <c r="J95" s="63">
        <v>45282</v>
      </c>
      <c r="K95" s="62" t="s">
        <v>256</v>
      </c>
      <c r="L95" s="62" t="s">
        <v>261</v>
      </c>
    </row>
    <row r="96" spans="1:13" x14ac:dyDescent="0.3">
      <c r="A96" s="68" t="s">
        <v>167</v>
      </c>
      <c r="B96" s="68"/>
      <c r="C96" s="68"/>
      <c r="D96" s="68"/>
      <c r="E96" s="68"/>
      <c r="F96" s="84">
        <v>22800</v>
      </c>
      <c r="G96" s="84"/>
      <c r="H96" s="84"/>
      <c r="I96" s="21" t="s">
        <v>269</v>
      </c>
      <c r="J96" s="25">
        <v>45559</v>
      </c>
      <c r="K96" s="21" t="s">
        <v>270</v>
      </c>
      <c r="M96" s="62"/>
    </row>
    <row r="97" spans="1:10" x14ac:dyDescent="0.3">
      <c r="A97" s="68" t="s">
        <v>249</v>
      </c>
      <c r="B97" s="68"/>
      <c r="C97" s="68"/>
      <c r="D97" s="68"/>
      <c r="E97" s="68"/>
      <c r="F97" s="84">
        <v>28000</v>
      </c>
      <c r="G97" s="84"/>
      <c r="H97" s="84"/>
    </row>
    <row r="98" spans="1:10" x14ac:dyDescent="0.3">
      <c r="A98" s="68" t="s">
        <v>250</v>
      </c>
      <c r="B98" s="68"/>
      <c r="C98" s="68"/>
      <c r="D98" s="68"/>
      <c r="E98" s="68"/>
      <c r="F98" s="84">
        <v>27000</v>
      </c>
      <c r="G98" s="84"/>
      <c r="H98" s="84"/>
    </row>
    <row r="99" spans="1:10" x14ac:dyDescent="0.3">
      <c r="A99" s="68" t="s">
        <v>251</v>
      </c>
      <c r="B99" s="68"/>
      <c r="C99" s="68"/>
      <c r="D99" s="68"/>
      <c r="E99" s="68"/>
      <c r="F99" s="84">
        <v>25000</v>
      </c>
      <c r="G99" s="84"/>
      <c r="H99" s="84"/>
    </row>
    <row r="100" spans="1:10" hidden="1" x14ac:dyDescent="0.3">
      <c r="A100" s="68" t="s">
        <v>168</v>
      </c>
      <c r="B100" s="68"/>
      <c r="C100" s="68"/>
      <c r="D100" s="68"/>
      <c r="E100" s="68"/>
      <c r="F100" s="84"/>
      <c r="G100" s="84"/>
      <c r="H100" s="84"/>
    </row>
    <row r="101" spans="1:10" s="33" customFormat="1" hidden="1" x14ac:dyDescent="0.25">
      <c r="A101" s="68" t="s">
        <v>166</v>
      </c>
      <c r="B101" s="68"/>
      <c r="C101" s="68"/>
      <c r="D101" s="68"/>
      <c r="E101" s="68"/>
      <c r="F101" s="84"/>
      <c r="G101" s="84"/>
      <c r="H101" s="84"/>
    </row>
    <row r="102" spans="1:10" s="33" customFormat="1" hidden="1" x14ac:dyDescent="0.25">
      <c r="A102" s="68" t="s">
        <v>97</v>
      </c>
      <c r="B102" s="68"/>
      <c r="C102" s="68"/>
      <c r="D102" s="68"/>
      <c r="E102" s="68"/>
      <c r="F102" s="84"/>
      <c r="G102" s="84"/>
      <c r="H102" s="84"/>
    </row>
    <row r="103" spans="1:10" s="33" customFormat="1" x14ac:dyDescent="0.25">
      <c r="A103" s="68" t="s">
        <v>257</v>
      </c>
      <c r="B103" s="68"/>
      <c r="C103" s="68"/>
      <c r="D103" s="68"/>
      <c r="E103" s="68"/>
      <c r="F103" s="84">
        <v>326500</v>
      </c>
      <c r="G103" s="84"/>
      <c r="H103" s="84"/>
    </row>
    <row r="104" spans="1:10" s="33" customFormat="1" hidden="1" x14ac:dyDescent="0.25">
      <c r="A104" s="68" t="s">
        <v>170</v>
      </c>
      <c r="B104" s="68"/>
      <c r="C104" s="68"/>
      <c r="D104" s="68"/>
      <c r="E104" s="68"/>
      <c r="F104" s="84"/>
      <c r="G104" s="84"/>
      <c r="H104" s="84"/>
    </row>
    <row r="105" spans="1:10" s="33" customFormat="1" x14ac:dyDescent="0.25">
      <c r="A105" s="68" t="s">
        <v>98</v>
      </c>
      <c r="B105" s="68"/>
      <c r="C105" s="68"/>
      <c r="D105" s="68"/>
      <c r="E105" s="68"/>
      <c r="F105" s="84">
        <v>10000</v>
      </c>
      <c r="G105" s="84"/>
      <c r="H105" s="84"/>
      <c r="I105" s="61">
        <f>912*F96</f>
        <v>20793600</v>
      </c>
      <c r="J105" s="61">
        <f>I105+406500+1200000</f>
        <v>22400100</v>
      </c>
    </row>
    <row r="106" spans="1:10" s="33" customFormat="1" x14ac:dyDescent="0.25">
      <c r="A106" s="68" t="s">
        <v>260</v>
      </c>
      <c r="B106" s="68"/>
      <c r="C106" s="68"/>
      <c r="D106" s="68"/>
      <c r="E106" s="68"/>
      <c r="F106" s="84">
        <v>20000</v>
      </c>
      <c r="G106" s="84"/>
      <c r="H106" s="84"/>
    </row>
    <row r="107" spans="1:10" s="33" customFormat="1" x14ac:dyDescent="0.25">
      <c r="A107" s="68" t="s">
        <v>259</v>
      </c>
      <c r="B107" s="68"/>
      <c r="C107" s="68"/>
      <c r="D107" s="68"/>
      <c r="E107" s="68"/>
      <c r="F107" s="84">
        <v>20000</v>
      </c>
      <c r="G107" s="84"/>
      <c r="H107" s="84"/>
    </row>
    <row r="108" spans="1:10" s="33" customFormat="1" x14ac:dyDescent="0.25">
      <c r="A108" s="68" t="s">
        <v>258</v>
      </c>
      <c r="B108" s="68"/>
      <c r="C108" s="68"/>
      <c r="D108" s="68"/>
      <c r="E108" s="68"/>
      <c r="F108" s="84">
        <v>30000</v>
      </c>
      <c r="G108" s="84"/>
      <c r="H108" s="84"/>
    </row>
    <row r="109" spans="1:10" s="33" customFormat="1" hidden="1" x14ac:dyDescent="0.25">
      <c r="A109" s="68" t="s">
        <v>99</v>
      </c>
      <c r="B109" s="68"/>
      <c r="C109" s="68"/>
      <c r="D109" s="68"/>
      <c r="E109" s="68"/>
      <c r="F109" s="84"/>
      <c r="G109" s="84"/>
      <c r="H109" s="84"/>
    </row>
    <row r="110" spans="1:10" x14ac:dyDescent="0.3">
      <c r="A110" s="68" t="s">
        <v>51</v>
      </c>
      <c r="B110" s="68"/>
      <c r="C110" s="68"/>
      <c r="D110" s="68"/>
      <c r="E110" s="68"/>
      <c r="F110" s="84">
        <v>1200000</v>
      </c>
      <c r="G110" s="84"/>
      <c r="H110" s="84"/>
    </row>
    <row r="111" spans="1:10" s="34" customFormat="1" x14ac:dyDescent="0.3">
      <c r="A111" s="134" t="s">
        <v>52</v>
      </c>
      <c r="B111" s="134"/>
      <c r="C111" s="134"/>
      <c r="D111" s="134"/>
      <c r="E111" s="134"/>
      <c r="F111" s="84">
        <f>F96*0.8</f>
        <v>18240</v>
      </c>
      <c r="G111" s="84"/>
      <c r="H111" s="84"/>
    </row>
    <row r="112" spans="1:10" s="35" customFormat="1" ht="15.75" customHeight="1" x14ac:dyDescent="0.3">
      <c r="A112" s="133" t="s">
        <v>77</v>
      </c>
      <c r="B112" s="133"/>
      <c r="C112" s="133"/>
      <c r="D112" s="133"/>
      <c r="E112" s="133"/>
      <c r="F112" s="133"/>
      <c r="G112" s="133"/>
      <c r="H112" s="133"/>
    </row>
    <row r="113" spans="1:14" s="35" customFormat="1" ht="15.75" customHeight="1" x14ac:dyDescent="0.3">
      <c r="A113" s="73" t="s">
        <v>53</v>
      </c>
      <c r="B113" s="73"/>
      <c r="C113" s="109" t="s">
        <v>80</v>
      </c>
      <c r="D113" s="109"/>
      <c r="E113" s="126" t="s">
        <v>54</v>
      </c>
      <c r="F113" s="126"/>
      <c r="G113" s="73" t="s">
        <v>55</v>
      </c>
      <c r="H113" s="73"/>
    </row>
    <row r="114" spans="1:14" s="35" customFormat="1" x14ac:dyDescent="0.3">
      <c r="A114" s="136" t="s">
        <v>225</v>
      </c>
      <c r="B114" s="136"/>
      <c r="C114" s="178">
        <f>COUNT(D128:D142)+COUNT(D144:D146)</f>
        <v>18</v>
      </c>
      <c r="D114" s="161"/>
      <c r="E114" s="85">
        <f>SUM(D128:D142)+SUM(D144:D146)</f>
        <v>19240.562811599997</v>
      </c>
      <c r="F114" s="86"/>
      <c r="G114" s="85">
        <f>SUM(F128:F142)+SUM(F144:F146)</f>
        <v>29822.872357979995</v>
      </c>
      <c r="H114" s="86"/>
    </row>
    <row r="115" spans="1:14" s="35" customFormat="1" x14ac:dyDescent="0.3">
      <c r="A115" s="133" t="s">
        <v>158</v>
      </c>
      <c r="B115" s="133"/>
      <c r="C115" s="176">
        <f>SUM(C114)</f>
        <v>18</v>
      </c>
      <c r="D115" s="109"/>
      <c r="E115" s="177">
        <f>SUM(E114)</f>
        <v>19240.562811599997</v>
      </c>
      <c r="F115" s="126"/>
      <c r="G115" s="73">
        <f>SUM(G114)</f>
        <v>29822.872357979995</v>
      </c>
      <c r="H115" s="73"/>
    </row>
    <row r="116" spans="1:14" s="35" customFormat="1" x14ac:dyDescent="0.3">
      <c r="A116" s="133" t="s">
        <v>71</v>
      </c>
      <c r="B116" s="133"/>
      <c r="C116" s="133"/>
      <c r="D116" s="133"/>
      <c r="E116" s="133"/>
      <c r="F116" s="133"/>
      <c r="G116" s="133"/>
      <c r="H116" s="133"/>
    </row>
    <row r="117" spans="1:14" s="35" customFormat="1" ht="15.75" customHeight="1" x14ac:dyDescent="0.3">
      <c r="A117" s="73" t="s">
        <v>53</v>
      </c>
      <c r="B117" s="73"/>
      <c r="C117" s="109" t="s">
        <v>80</v>
      </c>
      <c r="D117" s="109"/>
      <c r="E117" s="126" t="s">
        <v>54</v>
      </c>
      <c r="F117" s="126"/>
      <c r="G117" s="73" t="s">
        <v>55</v>
      </c>
      <c r="H117" s="73"/>
    </row>
    <row r="118" spans="1:14" s="35" customFormat="1" x14ac:dyDescent="0.3">
      <c r="A118" s="136" t="s">
        <v>226</v>
      </c>
      <c r="B118" s="136"/>
      <c r="C118" s="161">
        <f>COUNT(D157:D161)+COUNT(D163:D170)*15+COUNT(D175:D179)*2+COUNT(D184:D188)+COUNT(D190:D197)+COUNT(D199:D210)+COUNT(D212:D223)*7+COUNT(D228:D236)+COUNT(D241:D243,D246)</f>
        <v>256</v>
      </c>
      <c r="D118" s="161"/>
      <c r="E118" s="85">
        <f>SUM(D157:D161)+SUM(D163:D170)*15+SUM(D175:D179)*2+SUM(D184:D188)+SUM(D190:D197)+SUM(D199:D210)+SUM(D212:D223)*7+SUM(D228:D236)+SUM(D241:D243,D246)</f>
        <v>149041.62163799998</v>
      </c>
      <c r="F118" s="85"/>
      <c r="G118" s="85">
        <f>SUM(F157:F161)+SUM(F163:F170)*15+SUM(F175:F179)*2+SUM(F184:F188)+SUM(F190:F197)+SUM(F199:F210)+SUM(F212:F223)*7+SUM(F228:F236)+SUM(F241:F243,F246)</f>
        <v>223562.43245699999</v>
      </c>
      <c r="H118" s="85"/>
    </row>
    <row r="119" spans="1:14" s="35" customFormat="1" ht="16.2" thickBot="1" x14ac:dyDescent="0.35">
      <c r="A119" s="181" t="s">
        <v>158</v>
      </c>
      <c r="B119" s="181"/>
      <c r="C119" s="108">
        <f>SUM(C118)</f>
        <v>256</v>
      </c>
      <c r="D119" s="108"/>
      <c r="E119" s="182">
        <f>SUM(E118)</f>
        <v>149041.62163799998</v>
      </c>
      <c r="F119" s="182"/>
      <c r="G119" s="175">
        <f>SUM(G118)</f>
        <v>223562.43245699999</v>
      </c>
      <c r="H119" s="175"/>
    </row>
    <row r="120" spans="1:14" s="35" customFormat="1" ht="16.2" thickBot="1" x14ac:dyDescent="0.35">
      <c r="A120" s="127" t="s">
        <v>174</v>
      </c>
      <c r="B120" s="128"/>
      <c r="C120" s="129">
        <f>C115+C119</f>
        <v>274</v>
      </c>
      <c r="D120" s="129"/>
      <c r="E120" s="130">
        <f>E115+E119</f>
        <v>168282.18444959997</v>
      </c>
      <c r="F120" s="130"/>
      <c r="G120" s="131">
        <f>G115+G119</f>
        <v>253385.30481497999</v>
      </c>
      <c r="H120" s="132"/>
    </row>
    <row r="121" spans="1:14" s="34" customFormat="1" x14ac:dyDescent="0.3">
      <c r="A121" s="111" t="s">
        <v>56</v>
      </c>
      <c r="B121" s="111"/>
      <c r="C121" s="111"/>
      <c r="D121" s="111"/>
      <c r="E121" s="111"/>
      <c r="F121" s="111"/>
      <c r="G121" s="111"/>
      <c r="H121" s="111"/>
    </row>
    <row r="122" spans="1:14" x14ac:dyDescent="0.3">
      <c r="A122" s="110" t="s">
        <v>57</v>
      </c>
      <c r="B122" s="110"/>
      <c r="C122" s="110"/>
      <c r="D122" s="110"/>
      <c r="E122" s="110"/>
      <c r="F122" s="110"/>
      <c r="G122" s="110"/>
      <c r="H122" s="110"/>
    </row>
    <row r="123" spans="1:14" ht="47.25" customHeight="1" x14ac:dyDescent="0.3">
      <c r="A123" s="74" t="s">
        <v>122</v>
      </c>
      <c r="B123" s="74" t="s">
        <v>121</v>
      </c>
      <c r="C123" s="74" t="s">
        <v>58</v>
      </c>
      <c r="D123" s="74" t="s">
        <v>59</v>
      </c>
      <c r="E123" s="76" t="s">
        <v>164</v>
      </c>
      <c r="F123" s="43" t="s">
        <v>156</v>
      </c>
      <c r="G123" s="78" t="s">
        <v>61</v>
      </c>
      <c r="H123" s="79"/>
    </row>
    <row r="124" spans="1:14" s="37" customFormat="1" x14ac:dyDescent="0.3">
      <c r="A124" s="75"/>
      <c r="B124" s="75"/>
      <c r="C124" s="75"/>
      <c r="D124" s="75"/>
      <c r="E124" s="77"/>
      <c r="F124" s="13">
        <v>0.55000000000000004</v>
      </c>
      <c r="G124" s="80"/>
      <c r="H124" s="81"/>
    </row>
    <row r="125" spans="1:14" s="37" customFormat="1" x14ac:dyDescent="0.3">
      <c r="A125" s="137" t="s">
        <v>195</v>
      </c>
      <c r="B125" s="138"/>
      <c r="C125" s="138"/>
      <c r="D125" s="138"/>
      <c r="E125" s="138"/>
      <c r="F125" s="138"/>
      <c r="G125" s="138"/>
      <c r="H125" s="139"/>
      <c r="J125" s="36"/>
    </row>
    <row r="126" spans="1:14" s="37" customFormat="1" x14ac:dyDescent="0.3">
      <c r="A126" s="137" t="s">
        <v>207</v>
      </c>
      <c r="B126" s="138"/>
      <c r="C126" s="138"/>
      <c r="D126" s="138"/>
      <c r="E126" s="138"/>
      <c r="F126" s="138"/>
      <c r="G126" s="138"/>
      <c r="H126" s="139"/>
      <c r="J126" s="36"/>
      <c r="K126" s="60">
        <f>10.764</f>
        <v>10.763999999999999</v>
      </c>
    </row>
    <row r="127" spans="1:14" s="37" customFormat="1" x14ac:dyDescent="0.3">
      <c r="A127" s="137" t="s">
        <v>206</v>
      </c>
      <c r="B127" s="138"/>
      <c r="C127" s="138"/>
      <c r="D127" s="138"/>
      <c r="E127" s="138"/>
      <c r="F127" s="138"/>
      <c r="G127" s="138"/>
      <c r="H127" s="139"/>
      <c r="J127" s="36"/>
    </row>
    <row r="128" spans="1:14" s="37" customFormat="1" ht="65.25" customHeight="1" x14ac:dyDescent="0.3">
      <c r="A128" s="70">
        <v>1</v>
      </c>
      <c r="B128" s="71"/>
      <c r="C128" s="53" t="s">
        <v>208</v>
      </c>
      <c r="D128" s="60">
        <f>(6.15*2.65+1.25*1.6+1.1*0.9+(7.25*2.65+2.65*2.1)+7.3*2.65+2.65*2.1)*(10.764)</f>
        <v>742.44689999999991</v>
      </c>
      <c r="E128" s="42">
        <v>0</v>
      </c>
      <c r="F128" s="42">
        <f>(D128+E128)*(($F$124)+1)</f>
        <v>1150.7926949999999</v>
      </c>
      <c r="G128" s="189" t="str">
        <f>A127</f>
        <v>Ground Floor For Commercial</v>
      </c>
      <c r="H128" s="190"/>
      <c r="I128" s="36"/>
      <c r="L128" s="160"/>
      <c r="M128" s="160"/>
      <c r="N128" s="36"/>
    </row>
    <row r="129" spans="1:14" s="37" customFormat="1" ht="65.25" customHeight="1" x14ac:dyDescent="0.3">
      <c r="A129" s="70">
        <f t="shared" ref="A129:A140" si="0">A128+1</f>
        <v>2</v>
      </c>
      <c r="B129" s="71"/>
      <c r="C129" s="53" t="s">
        <v>208</v>
      </c>
      <c r="D129" s="60">
        <f>(0.5*4.03*8.22+1.05*4.39+0.9*1.1+0.5*4.64*9.14+0.5*4.55*9.14)*(10.764)</f>
        <v>690.6300804</v>
      </c>
      <c r="E129" s="42">
        <v>0</v>
      </c>
      <c r="F129" s="42">
        <f t="shared" ref="F129:F131" si="1">(D129+E129)*(($F$124)+1)</f>
        <v>1070.4766246199999</v>
      </c>
      <c r="G129" s="191"/>
      <c r="H129" s="192"/>
      <c r="I129" s="36"/>
      <c r="L129" s="160"/>
      <c r="M129" s="160"/>
      <c r="N129" s="36"/>
    </row>
    <row r="130" spans="1:14" s="37" customFormat="1" ht="65.25" customHeight="1" x14ac:dyDescent="0.3">
      <c r="A130" s="70">
        <f t="shared" si="0"/>
        <v>3</v>
      </c>
      <c r="B130" s="71"/>
      <c r="C130" s="53" t="s">
        <v>208</v>
      </c>
      <c r="D130" s="60">
        <f>(2.9*8.04+1.06*0.9+0.9*1.1+1.45*2.25+(2.9*5.85)+2.9*5.85)*(10.764)</f>
        <v>672.23870999999997</v>
      </c>
      <c r="E130" s="42">
        <v>0</v>
      </c>
      <c r="F130" s="42">
        <f t="shared" si="1"/>
        <v>1041.9700005</v>
      </c>
      <c r="G130" s="191"/>
      <c r="H130" s="192"/>
      <c r="I130" s="36"/>
      <c r="L130" s="160"/>
      <c r="M130" s="160"/>
      <c r="N130" s="36"/>
    </row>
    <row r="131" spans="1:14" s="37" customFormat="1" ht="65.25" customHeight="1" x14ac:dyDescent="0.3">
      <c r="A131" s="70">
        <f t="shared" si="0"/>
        <v>4</v>
      </c>
      <c r="B131" s="71"/>
      <c r="C131" s="53" t="s">
        <v>208</v>
      </c>
      <c r="D131" s="60">
        <f>(2.75*7.48+1.7*1.25+0.9*1.1+(2.75*7.23)+2.75*7.23)*(10.764)</f>
        <v>682.97579999999994</v>
      </c>
      <c r="E131" s="42">
        <v>0</v>
      </c>
      <c r="F131" s="42">
        <f t="shared" si="1"/>
        <v>1058.61249</v>
      </c>
      <c r="G131" s="191"/>
      <c r="H131" s="192"/>
      <c r="I131" s="36"/>
      <c r="L131" s="160"/>
      <c r="M131" s="160"/>
      <c r="N131" s="36"/>
    </row>
    <row r="132" spans="1:14" s="37" customFormat="1" ht="46.8" x14ac:dyDescent="0.3">
      <c r="A132" s="70">
        <f t="shared" si="0"/>
        <v>5</v>
      </c>
      <c r="B132" s="71"/>
      <c r="C132" s="57" t="s">
        <v>234</v>
      </c>
      <c r="D132" s="60">
        <f>(2.75*9.78+1.7*1.25+0.9*1.1+2.75*9.23+2.9*1.8)*(10.764)</f>
        <v>652.43294999999989</v>
      </c>
      <c r="E132" s="42">
        <v>0</v>
      </c>
      <c r="F132" s="42">
        <f t="shared" ref="F132:F137" si="2">(D132+E132)*(($F$124)+1)</f>
        <v>1011.2710724999998</v>
      </c>
      <c r="G132" s="191"/>
      <c r="H132" s="192"/>
      <c r="I132" s="36"/>
      <c r="J132" s="37" t="s">
        <v>230</v>
      </c>
      <c r="L132" s="160"/>
      <c r="M132" s="160"/>
      <c r="N132" s="36"/>
    </row>
    <row r="133" spans="1:14" s="37" customFormat="1" ht="46.8" x14ac:dyDescent="0.3">
      <c r="A133" s="70">
        <f t="shared" si="0"/>
        <v>6</v>
      </c>
      <c r="B133" s="71"/>
      <c r="C133" s="57" t="s">
        <v>234</v>
      </c>
      <c r="D133" s="60">
        <f>(2.75*9.03+2.75*2.2+0.9*1.1+2.75*5.28+3.2*3.48)*(10.764)</f>
        <v>619.23677399999997</v>
      </c>
      <c r="E133" s="42">
        <v>0</v>
      </c>
      <c r="F133" s="42">
        <f t="shared" si="2"/>
        <v>959.8169997</v>
      </c>
      <c r="G133" s="191"/>
      <c r="H133" s="192"/>
      <c r="I133" s="36"/>
      <c r="L133" s="160"/>
      <c r="M133" s="160"/>
      <c r="N133" s="36"/>
    </row>
    <row r="134" spans="1:14" s="37" customFormat="1" ht="46.8" x14ac:dyDescent="0.3">
      <c r="A134" s="179">
        <v>8</v>
      </c>
      <c r="B134" s="180"/>
      <c r="C134" s="57" t="s">
        <v>234</v>
      </c>
      <c r="D134" s="60">
        <f>(3.2*11.03+2.8*2.95+1.75*1.2+3.35*5.6+3.65*11.28+1.7*4.23)*(10.764)</f>
        <v>1213.9531559999998</v>
      </c>
      <c r="E134" s="42">
        <v>0</v>
      </c>
      <c r="F134" s="42">
        <f t="shared" si="2"/>
        <v>1881.6273917999997</v>
      </c>
      <c r="G134" s="191"/>
      <c r="H134" s="192"/>
      <c r="I134" s="36"/>
      <c r="J134" s="37" t="s">
        <v>231</v>
      </c>
      <c r="L134" s="160"/>
      <c r="M134" s="160"/>
      <c r="N134" s="36"/>
    </row>
    <row r="135" spans="1:14" s="37" customFormat="1" ht="46.8" x14ac:dyDescent="0.3">
      <c r="A135" s="179">
        <v>7</v>
      </c>
      <c r="B135" s="180"/>
      <c r="C135" s="57" t="s">
        <v>234</v>
      </c>
      <c r="D135" s="60">
        <f>(3.2*7.05+3.2*9+1.5*2.58)*(10.764)</f>
        <v>594.49571999999989</v>
      </c>
      <c r="E135" s="42">
        <v>0</v>
      </c>
      <c r="F135" s="42">
        <f t="shared" si="2"/>
        <v>921.46836599999983</v>
      </c>
      <c r="G135" s="191"/>
      <c r="H135" s="192"/>
      <c r="I135" s="36"/>
      <c r="L135" s="160"/>
      <c r="M135" s="160"/>
      <c r="N135" s="36"/>
    </row>
    <row r="136" spans="1:14" s="37" customFormat="1" ht="65.25" customHeight="1" x14ac:dyDescent="0.3">
      <c r="A136" s="179">
        <f>A134+1</f>
        <v>9</v>
      </c>
      <c r="B136" s="180"/>
      <c r="C136" s="57" t="s">
        <v>208</v>
      </c>
      <c r="D136" s="60">
        <f>(5.2*11.48+2.8*3.3+2.75*1.5+2.65*2.85+0.9*1.8+(5.2*11.33+2.65*1.65+2.05*1.5)+1.6*1.8+2.8*7.38+7.1*7.8+0.8*3.05+3.88*4.25+2.16*3.53+2.65*1.65+1*1.65)*(10.764)</f>
        <v>2799.6981011999992</v>
      </c>
      <c r="E136" s="42">
        <v>0</v>
      </c>
      <c r="F136" s="42">
        <f t="shared" si="2"/>
        <v>4339.5320568599991</v>
      </c>
      <c r="G136" s="191"/>
      <c r="H136" s="192"/>
      <c r="I136" s="36"/>
      <c r="J136" s="37" t="s">
        <v>233</v>
      </c>
      <c r="L136" s="160"/>
      <c r="M136" s="160"/>
      <c r="N136" s="36"/>
    </row>
    <row r="137" spans="1:14" s="37" customFormat="1" ht="46.8" x14ac:dyDescent="0.3">
      <c r="A137" s="70">
        <f t="shared" si="0"/>
        <v>10</v>
      </c>
      <c r="B137" s="71"/>
      <c r="C137" s="57" t="s">
        <v>234</v>
      </c>
      <c r="D137" s="60">
        <f>(4.2*11.78+0.8*3.3+1.8*0.9+4.2*11.85+0.6*2.8+1.6*1.85+2.65*1.85)*(10.764)</f>
        <v>1216.8540539999999</v>
      </c>
      <c r="E137" s="42">
        <v>0</v>
      </c>
      <c r="F137" s="42">
        <f t="shared" si="2"/>
        <v>1886.1237836999999</v>
      </c>
      <c r="G137" s="191"/>
      <c r="H137" s="192"/>
      <c r="I137" s="36"/>
      <c r="L137" s="160"/>
      <c r="M137" s="160"/>
      <c r="N137" s="36"/>
    </row>
    <row r="138" spans="1:14" s="37" customFormat="1" ht="46.8" x14ac:dyDescent="0.3">
      <c r="A138" s="70">
        <f t="shared" si="0"/>
        <v>11</v>
      </c>
      <c r="B138" s="71"/>
      <c r="C138" s="57" t="s">
        <v>234</v>
      </c>
      <c r="D138" s="60">
        <f>(4.2*6.73+0.9*1.1+1.5*1.25+4.2*7.05)*(10.764)</f>
        <v>653.81612399999995</v>
      </c>
      <c r="E138" s="42">
        <v>0</v>
      </c>
      <c r="F138" s="42">
        <f t="shared" ref="F138:F142" si="3">(D138+E138)*(($F$124)+1)</f>
        <v>1013.4149921999999</v>
      </c>
      <c r="G138" s="191"/>
      <c r="H138" s="192"/>
      <c r="I138" s="36"/>
      <c r="L138" s="160"/>
      <c r="M138" s="160"/>
      <c r="N138" s="36"/>
    </row>
    <row r="139" spans="1:14" s="37" customFormat="1" ht="46.8" x14ac:dyDescent="0.3">
      <c r="A139" s="70">
        <f t="shared" si="0"/>
        <v>12</v>
      </c>
      <c r="B139" s="71"/>
      <c r="C139" s="57" t="s">
        <v>234</v>
      </c>
      <c r="D139" s="60">
        <f>(6.7*7.83+6.05*3.97+1.1*0.95+2.1*1.4+8.05*8.4+7.4*2.5+2.7*1.32+1.75*1.2)*(10.764)</f>
        <v>1854.0828539999998</v>
      </c>
      <c r="E139" s="42">
        <v>0</v>
      </c>
      <c r="F139" s="42">
        <f t="shared" si="3"/>
        <v>2873.8284236999998</v>
      </c>
      <c r="G139" s="191"/>
      <c r="H139" s="192"/>
      <c r="I139" s="36"/>
      <c r="L139" s="160"/>
      <c r="M139" s="160"/>
      <c r="N139" s="36"/>
    </row>
    <row r="140" spans="1:14" s="37" customFormat="1" ht="65.25" customHeight="1" x14ac:dyDescent="0.3">
      <c r="A140" s="187">
        <f t="shared" si="0"/>
        <v>13</v>
      </c>
      <c r="B140" s="188"/>
      <c r="C140" s="57" t="s">
        <v>208</v>
      </c>
      <c r="D140" s="60">
        <f>(4.8*2.98+1.25*1.93+1.1*0.9+2.05*4.45+(3*2.88+2.35*4.45+2.25*1.4)+7.4*2.98+2.05*1.47+4.6*1.5)*(10.764)</f>
        <v>872.33608800000002</v>
      </c>
      <c r="E140" s="42">
        <v>0</v>
      </c>
      <c r="F140" s="42">
        <f t="shared" si="3"/>
        <v>1352.1209364000001</v>
      </c>
      <c r="G140" s="191"/>
      <c r="H140" s="192"/>
      <c r="I140" s="36"/>
      <c r="L140" s="160"/>
      <c r="M140" s="160"/>
      <c r="N140" s="36"/>
    </row>
    <row r="141" spans="1:14" s="37" customFormat="1" ht="65.25" customHeight="1" x14ac:dyDescent="0.3">
      <c r="A141" s="187">
        <v>15</v>
      </c>
      <c r="B141" s="188"/>
      <c r="C141" s="57" t="s">
        <v>208</v>
      </c>
      <c r="D141" s="60">
        <f>(4.8*3.1+1.25*2.05+1.1*0.9+(7.4*3.1+2.25*2.55)*2)*(10.764)</f>
        <v>815.7766499999999</v>
      </c>
      <c r="E141" s="42">
        <v>0</v>
      </c>
      <c r="F141" s="42">
        <f t="shared" si="3"/>
        <v>1264.4538074999998</v>
      </c>
      <c r="G141" s="191"/>
      <c r="H141" s="192"/>
      <c r="I141" s="36"/>
      <c r="J141" s="58"/>
      <c r="L141" s="160"/>
      <c r="M141" s="160"/>
      <c r="N141" s="36"/>
    </row>
    <row r="142" spans="1:14" s="37" customFormat="1" ht="65.25" customHeight="1" x14ac:dyDescent="0.3">
      <c r="A142" s="187">
        <v>14</v>
      </c>
      <c r="B142" s="188"/>
      <c r="C142" s="57" t="s">
        <v>208</v>
      </c>
      <c r="D142" s="60">
        <f>(4.5*4.25+1.55*3.75+1.4*0.9+(7.4*4.35+1.3*2.25)+7.2*4.8+0.2*4.35+5.65*2.3+2.25*2.25+1.85*3.2)*(10.764)</f>
        <v>1299.4300800000001</v>
      </c>
      <c r="E142" s="42">
        <v>0</v>
      </c>
      <c r="F142" s="42">
        <f t="shared" si="3"/>
        <v>2014.1166240000002</v>
      </c>
      <c r="G142" s="193"/>
      <c r="H142" s="194"/>
      <c r="I142" s="36"/>
      <c r="L142" s="160"/>
      <c r="M142" s="160"/>
      <c r="N142" s="36"/>
    </row>
    <row r="143" spans="1:14" s="37" customFormat="1" x14ac:dyDescent="0.3">
      <c r="A143" s="137" t="s">
        <v>235</v>
      </c>
      <c r="B143" s="138"/>
      <c r="C143" s="138"/>
      <c r="D143" s="138"/>
      <c r="E143" s="138"/>
      <c r="F143" s="138"/>
      <c r="G143" s="138"/>
      <c r="H143" s="139"/>
      <c r="J143" s="36"/>
    </row>
    <row r="144" spans="1:14" s="37" customFormat="1" ht="15.75" customHeight="1" x14ac:dyDescent="0.3">
      <c r="A144" s="70">
        <v>1</v>
      </c>
      <c r="B144" s="71"/>
      <c r="C144" s="42" t="s">
        <v>205</v>
      </c>
      <c r="D144" s="60">
        <f>(10.55*9.23+2.55*2.75+0.9*1.1+1.7*1.25+5.8*5.23+2.9*2+3.8*2.05+3.2*4.15+2.64*5.45)*(10.764)</f>
        <v>1927.7893440000003</v>
      </c>
      <c r="E144" s="42">
        <v>0</v>
      </c>
      <c r="F144" s="42">
        <f>(D144+E144)*(($F$124)+1)</f>
        <v>2988.0734832000003</v>
      </c>
      <c r="G144" s="189" t="str">
        <f>A143</f>
        <v>2nd Floor For Commercial</v>
      </c>
      <c r="H144" s="190"/>
      <c r="I144" s="36"/>
      <c r="L144" s="160"/>
      <c r="M144" s="160"/>
      <c r="N144" s="36"/>
    </row>
    <row r="145" spans="1:14" s="37" customFormat="1" ht="15.75" customHeight="1" x14ac:dyDescent="0.3">
      <c r="A145" s="70">
        <f t="shared" ref="A145" si="4">A144+1</f>
        <v>2</v>
      </c>
      <c r="B145" s="71"/>
      <c r="C145" s="42" t="s">
        <v>205</v>
      </c>
      <c r="D145" s="60">
        <f>(7.4*10.9+3.6*7.45+1.15*4.1+0.9*1.35+1*1.5+2.4*0.95+2.7*1.32)*(10.764)</f>
        <v>1299.7960560000004</v>
      </c>
      <c r="E145" s="42">
        <v>0</v>
      </c>
      <c r="F145" s="42">
        <f t="shared" ref="F145:F146" si="5">(D145+E145)*(($F$124)+1)</f>
        <v>2014.6838868000007</v>
      </c>
      <c r="G145" s="191"/>
      <c r="H145" s="192"/>
      <c r="I145" s="36"/>
      <c r="L145" s="160"/>
      <c r="M145" s="160"/>
      <c r="N145" s="36"/>
    </row>
    <row r="146" spans="1:14" s="37" customFormat="1" ht="15.75" customHeight="1" x14ac:dyDescent="0.3">
      <c r="A146" s="70">
        <v>9</v>
      </c>
      <c r="B146" s="71"/>
      <c r="C146" s="42" t="s">
        <v>205</v>
      </c>
      <c r="D146" s="60">
        <f>(7.05*5.7+5.05*3.2+2.55*0.95)*(10.764)</f>
        <v>632.57336999999995</v>
      </c>
      <c r="E146" s="42">
        <v>0</v>
      </c>
      <c r="F146" s="42">
        <f t="shared" si="5"/>
        <v>980.48872349999999</v>
      </c>
      <c r="G146" s="193"/>
      <c r="H146" s="194"/>
      <c r="I146" s="36"/>
      <c r="L146" s="160"/>
      <c r="M146" s="160"/>
      <c r="N146" s="36"/>
    </row>
    <row r="147" spans="1:14" s="37" customFormat="1" hidden="1" x14ac:dyDescent="0.3">
      <c r="A147" s="137" t="s">
        <v>119</v>
      </c>
      <c r="B147" s="138"/>
      <c r="C147" s="138"/>
      <c r="D147" s="138"/>
      <c r="E147" s="138"/>
      <c r="F147" s="138"/>
      <c r="G147" s="138"/>
      <c r="H147" s="139"/>
      <c r="J147" s="36"/>
    </row>
    <row r="148" spans="1:14" s="37" customFormat="1" hidden="1" x14ac:dyDescent="0.3">
      <c r="A148" s="70">
        <v>1</v>
      </c>
      <c r="B148" s="71"/>
      <c r="C148" s="42"/>
      <c r="D148" s="42"/>
      <c r="E148" s="42">
        <v>0</v>
      </c>
      <c r="F148" s="42">
        <f>(D148+E148)*(($F$124)+1)</f>
        <v>0</v>
      </c>
      <c r="G148" s="70" t="str">
        <f>A147</f>
        <v>Ground Floor</v>
      </c>
      <c r="H148" s="71"/>
      <c r="I148" s="36"/>
      <c r="L148" s="160"/>
      <c r="M148" s="160"/>
      <c r="N148" s="36"/>
    </row>
    <row r="149" spans="1:14" s="37" customFormat="1" hidden="1" x14ac:dyDescent="0.3">
      <c r="A149" s="70">
        <f t="shared" ref="A149:A151" si="6">A148+1</f>
        <v>2</v>
      </c>
      <c r="B149" s="71"/>
      <c r="C149" s="42"/>
      <c r="D149" s="42"/>
      <c r="E149" s="42">
        <v>0</v>
      </c>
      <c r="F149" s="42">
        <f t="shared" ref="F149:F151" si="7">(D149+E149)*(($F$124)+1)</f>
        <v>0</v>
      </c>
      <c r="G149" s="70" t="str">
        <f t="shared" ref="G149:G151" si="8">G148</f>
        <v>Ground Floor</v>
      </c>
      <c r="H149" s="71"/>
      <c r="I149" s="36"/>
      <c r="L149" s="160"/>
      <c r="M149" s="160"/>
      <c r="N149" s="36"/>
    </row>
    <row r="150" spans="1:14" s="37" customFormat="1" hidden="1" x14ac:dyDescent="0.3">
      <c r="A150" s="70">
        <f t="shared" si="6"/>
        <v>3</v>
      </c>
      <c r="B150" s="71"/>
      <c r="C150" s="42"/>
      <c r="D150" s="42"/>
      <c r="E150" s="42">
        <v>0</v>
      </c>
      <c r="F150" s="42">
        <f t="shared" si="7"/>
        <v>0</v>
      </c>
      <c r="G150" s="70" t="str">
        <f t="shared" si="8"/>
        <v>Ground Floor</v>
      </c>
      <c r="H150" s="71"/>
      <c r="I150" s="36"/>
      <c r="L150" s="160"/>
      <c r="M150" s="160"/>
      <c r="N150" s="36"/>
    </row>
    <row r="151" spans="1:14" s="37" customFormat="1" hidden="1" x14ac:dyDescent="0.3">
      <c r="A151" s="70">
        <f t="shared" si="6"/>
        <v>4</v>
      </c>
      <c r="B151" s="71"/>
      <c r="C151" s="42"/>
      <c r="D151" s="42"/>
      <c r="E151" s="42">
        <v>0</v>
      </c>
      <c r="F151" s="42">
        <f t="shared" si="7"/>
        <v>0</v>
      </c>
      <c r="G151" s="70" t="str">
        <f t="shared" si="8"/>
        <v>Ground Floor</v>
      </c>
      <c r="H151" s="71"/>
      <c r="I151" s="36"/>
      <c r="L151" s="160"/>
      <c r="M151" s="160"/>
      <c r="N151" s="36"/>
    </row>
    <row r="152" spans="1:14" s="37" customFormat="1" x14ac:dyDescent="0.3">
      <c r="A152" s="70"/>
      <c r="B152" s="174"/>
      <c r="C152" s="174"/>
      <c r="D152" s="174"/>
      <c r="E152" s="174"/>
      <c r="F152" s="174"/>
      <c r="G152" s="174"/>
      <c r="H152" s="71"/>
      <c r="I152" s="36"/>
      <c r="N152" s="36"/>
    </row>
    <row r="153" spans="1:14" ht="47.25" customHeight="1" x14ac:dyDescent="0.3">
      <c r="A153" s="78" t="s">
        <v>123</v>
      </c>
      <c r="B153" s="78" t="s">
        <v>124</v>
      </c>
      <c r="C153" s="74" t="s">
        <v>58</v>
      </c>
      <c r="D153" s="74" t="s">
        <v>59</v>
      </c>
      <c r="E153" s="76" t="s">
        <v>60</v>
      </c>
      <c r="F153" s="43" t="s">
        <v>156</v>
      </c>
      <c r="G153" s="78" t="s">
        <v>61</v>
      </c>
      <c r="H153" s="79"/>
      <c r="I153" s="36"/>
    </row>
    <row r="154" spans="1:14" s="37" customFormat="1" x14ac:dyDescent="0.3">
      <c r="A154" s="80"/>
      <c r="B154" s="80"/>
      <c r="C154" s="75"/>
      <c r="D154" s="75"/>
      <c r="E154" s="77"/>
      <c r="F154" s="13">
        <v>0.5</v>
      </c>
      <c r="G154" s="80"/>
      <c r="H154" s="81"/>
      <c r="I154" s="36"/>
    </row>
    <row r="155" spans="1:14" s="37" customFormat="1" x14ac:dyDescent="0.3">
      <c r="A155" s="137" t="s">
        <v>267</v>
      </c>
      <c r="B155" s="138"/>
      <c r="C155" s="138"/>
      <c r="D155" s="138"/>
      <c r="E155" s="138"/>
      <c r="F155" s="138"/>
      <c r="G155" s="138"/>
      <c r="H155" s="139"/>
      <c r="J155" s="36"/>
    </row>
    <row r="156" spans="1:14" s="37" customFormat="1" x14ac:dyDescent="0.3">
      <c r="A156" s="137" t="s">
        <v>209</v>
      </c>
      <c r="B156" s="138"/>
      <c r="C156" s="138"/>
      <c r="D156" s="138"/>
      <c r="E156" s="138"/>
      <c r="F156" s="138"/>
      <c r="G156" s="138"/>
      <c r="H156" s="139"/>
      <c r="J156" s="36"/>
    </row>
    <row r="157" spans="1:14" s="37" customFormat="1" ht="15.75" customHeight="1" x14ac:dyDescent="0.3">
      <c r="A157" s="70" t="s">
        <v>236</v>
      </c>
      <c r="B157" s="71"/>
      <c r="C157" s="42" t="s">
        <v>210</v>
      </c>
      <c r="D157" s="60">
        <f>(6.05*3.05+3.05*3.4+1.35*2.45+3.55*3.05+2.45*1.35+3.5*2.3+0.9*3.5+1.35*2.8)*(10.764)</f>
        <v>659.24117999999987</v>
      </c>
      <c r="E157" s="42">
        <v>0</v>
      </c>
      <c r="F157" s="42">
        <f>D157*(($F$154)+1)+(IF(E157&lt;101,E157,IF(E157&lt;201,E157/2,IF(E157&lt;=301,E157/3,E157/4))))</f>
        <v>988.86176999999975</v>
      </c>
      <c r="G157" s="189" t="str">
        <f>A156</f>
        <v>3rd Floor For Residential &amp; Part Amenities</v>
      </c>
      <c r="H157" s="190"/>
      <c r="I157" s="36"/>
      <c r="J157" s="37">
        <f>6.05*3.05+3.05*3.4+1.35*2.45+3.55*3.05+2.45*1.35+3.5*2.3+0.9*3.5+1.35*2.8</f>
        <v>61.24499999999999</v>
      </c>
      <c r="L157" s="160"/>
      <c r="M157" s="160"/>
      <c r="N157" s="36"/>
    </row>
    <row r="158" spans="1:14" s="37" customFormat="1" ht="15.75" customHeight="1" x14ac:dyDescent="0.3">
      <c r="A158" s="70" t="s">
        <v>237</v>
      </c>
      <c r="B158" s="71"/>
      <c r="C158" s="42" t="s">
        <v>211</v>
      </c>
      <c r="D158" s="60">
        <f>(4.4*3.05+2.05*2.05+3.05*3.05+0.8*2.05+1.5*1.7+2.05*1.35+0.9*(1+1.45)+0.7*1.55+1.5*1.5)*(10.764)</f>
        <v>424.34378999999996</v>
      </c>
      <c r="E158" s="42">
        <v>0</v>
      </c>
      <c r="F158" s="42">
        <f>D158*(($F$154)+1)+(IF(E158&lt;101,E158,IF(E158&lt;201,E158/2,IF(E158&lt;=301,E158/3,E158/4))))</f>
        <v>636.51568499999996</v>
      </c>
      <c r="G158" s="191"/>
      <c r="H158" s="192"/>
      <c r="I158" s="36"/>
      <c r="J158" s="37">
        <f>65.41</f>
        <v>65.41</v>
      </c>
      <c r="L158" s="160"/>
      <c r="M158" s="160"/>
      <c r="N158" s="36"/>
    </row>
    <row r="159" spans="1:14" s="37" customFormat="1" ht="15.75" customHeight="1" x14ac:dyDescent="0.3">
      <c r="A159" s="70" t="s">
        <v>238</v>
      </c>
      <c r="B159" s="71"/>
      <c r="C159" s="42" t="s">
        <v>211</v>
      </c>
      <c r="D159" s="60">
        <f>(4.4*3.05+2.05*2.05+3.05*3.05+0.8*2.05+1.5*1.7+2.05*1.35+0.9*(1+1.45)+0.7*1.55+1.5*1.5)*(10.764)</f>
        <v>424.34378999999996</v>
      </c>
      <c r="E159" s="42">
        <v>0</v>
      </c>
      <c r="F159" s="42">
        <f>D159*(($F$154)+1)+(IF(E159&lt;101,E159,IF(E159&lt;201,E159/2,IF(E159&lt;=301,E159/3,E159/4))))</f>
        <v>636.51568499999996</v>
      </c>
      <c r="G159" s="191"/>
      <c r="H159" s="192"/>
      <c r="I159" s="36"/>
      <c r="J159" s="37">
        <f>J158-J157</f>
        <v>4.1650000000000063</v>
      </c>
      <c r="L159" s="160"/>
      <c r="M159" s="160"/>
      <c r="N159" s="36"/>
    </row>
    <row r="160" spans="1:14" s="37" customFormat="1" ht="15.75" customHeight="1" x14ac:dyDescent="0.3">
      <c r="A160" s="70" t="s">
        <v>239</v>
      </c>
      <c r="B160" s="71"/>
      <c r="C160" s="42" t="s">
        <v>210</v>
      </c>
      <c r="D160" s="60">
        <f>(3.05*5.25+0.4*3.2+3.05*3.35+3.35*3.35+1.4*2.45+2.3*1.45+2.75*2.2+0.9*2.15+3.95*0.9+3.05*1.35)*(10.764)</f>
        <v>658.27242000000001</v>
      </c>
      <c r="E160" s="42">
        <v>0</v>
      </c>
      <c r="F160" s="42">
        <f>D160*(($F$154)+1)+(IF(E160&lt;101,E160,IF(E160&lt;201,E160/2,IF(E160&lt;=301,E160/3,E160/4))))</f>
        <v>987.40863000000002</v>
      </c>
      <c r="G160" s="191"/>
      <c r="H160" s="192"/>
      <c r="I160" s="36"/>
      <c r="L160" s="160"/>
      <c r="M160" s="160"/>
      <c r="N160" s="36"/>
    </row>
    <row r="161" spans="1:17" s="37" customFormat="1" ht="15.75" customHeight="1" x14ac:dyDescent="0.3">
      <c r="A161" s="70" t="s">
        <v>240</v>
      </c>
      <c r="B161" s="71"/>
      <c r="C161" s="42" t="s">
        <v>210</v>
      </c>
      <c r="D161" s="60">
        <f>(3.05*5.25+0.4*3.2+3.05*3.35+3.35*3.35+1.4*2.45+2.3*1.45+2.75*2.2+0.9*2.15+3.95*0.9+3.05*1.35)*(10.764)</f>
        <v>658.27242000000001</v>
      </c>
      <c r="E161" s="42">
        <v>0</v>
      </c>
      <c r="F161" s="42">
        <f>D161*(($F$154)+1)+(IF(E161&lt;101,E161,IF(E161&lt;201,E161/2,IF(E161&lt;=301,E161/3,E161/4))))</f>
        <v>987.40863000000002</v>
      </c>
      <c r="G161" s="193"/>
      <c r="H161" s="194"/>
      <c r="I161" s="36"/>
      <c r="L161" s="160"/>
      <c r="M161" s="160"/>
      <c r="N161" s="36"/>
    </row>
    <row r="162" spans="1:17" s="37" customFormat="1" x14ac:dyDescent="0.3">
      <c r="A162" s="137" t="s">
        <v>215</v>
      </c>
      <c r="B162" s="138"/>
      <c r="C162" s="138"/>
      <c r="D162" s="138"/>
      <c r="E162" s="138"/>
      <c r="F162" s="138"/>
      <c r="G162" s="138"/>
      <c r="H162" s="139"/>
      <c r="J162" s="36"/>
    </row>
    <row r="163" spans="1:17" s="37" customFormat="1" ht="15.75" customHeight="1" x14ac:dyDescent="0.3">
      <c r="A163" s="70" t="s">
        <v>236</v>
      </c>
      <c r="B163" s="71"/>
      <c r="C163" s="42" t="s">
        <v>210</v>
      </c>
      <c r="D163" s="60">
        <f>(6.05*3.05+3.05*3.4+1.35*2.45+3.55*3.05+2.45*1.35+3.5*2.3+0.9*3.5+1.35*2.8)*(10.764)</f>
        <v>659.24117999999987</v>
      </c>
      <c r="E163" s="42">
        <v>0</v>
      </c>
      <c r="F163" s="42">
        <f t="shared" ref="F163:F170" si="9">D163*(($F$154)+1)+(IF(E163&lt;101,E163,IF(E163&lt;201,E163/2,IF(E163&lt;=301,E163/3,E163/4))))</f>
        <v>988.86176999999975</v>
      </c>
      <c r="G163" s="189" t="str">
        <f>A162</f>
        <v>4th to 6th, 8th to 13th &amp; 15th to 20th Floor</v>
      </c>
      <c r="H163" s="190"/>
      <c r="I163" s="36"/>
      <c r="J163" s="37">
        <f>6.05*3.05+3.05*3.4+1.35*2.45+3.55*3.05+2.45*1.35+3.5*2.3+0.9*3.5+1.35*2.8</f>
        <v>61.24499999999999</v>
      </c>
      <c r="L163" s="160">
        <f>D163*10.764</f>
        <v>7096.072061519998</v>
      </c>
      <c r="M163" s="160"/>
      <c r="N163" s="36">
        <f>L163*1.55</f>
        <v>10998.911695355997</v>
      </c>
      <c r="P163" s="37">
        <f>28/1.5</f>
        <v>18.666666666666668</v>
      </c>
      <c r="Q163" s="37" t="s">
        <v>229</v>
      </c>
    </row>
    <row r="164" spans="1:17" s="37" customFormat="1" ht="15.75" customHeight="1" x14ac:dyDescent="0.3">
      <c r="A164" s="70" t="s">
        <v>237</v>
      </c>
      <c r="B164" s="71"/>
      <c r="C164" s="42" t="s">
        <v>211</v>
      </c>
      <c r="D164" s="60">
        <f>(4.4*3.05+2.05*2.05+3.05*3.05+0.8*2.05+1.5*1.7+2.05*1.35+0.9*(1+1.45)+0.7*1.55+1.5*1.5)*(10.764)</f>
        <v>424.34378999999996</v>
      </c>
      <c r="E164" s="42">
        <v>0</v>
      </c>
      <c r="F164" s="42">
        <f t="shared" si="9"/>
        <v>636.51568499999996</v>
      </c>
      <c r="G164" s="191"/>
      <c r="H164" s="192"/>
      <c r="I164" s="36"/>
      <c r="J164" s="37">
        <f>65.41</f>
        <v>65.41</v>
      </c>
      <c r="L164" s="160">
        <f t="shared" ref="L164:L170" si="10">D164*10.764</f>
        <v>4567.6365555599996</v>
      </c>
      <c r="M164" s="160"/>
      <c r="N164" s="36">
        <f t="shared" ref="N164:N170" si="11">L164*1.55</f>
        <v>7079.8366611179999</v>
      </c>
    </row>
    <row r="165" spans="1:17" s="37" customFormat="1" ht="15.75" customHeight="1" x14ac:dyDescent="0.3">
      <c r="A165" s="70" t="s">
        <v>238</v>
      </c>
      <c r="B165" s="71"/>
      <c r="C165" s="42" t="s">
        <v>211</v>
      </c>
      <c r="D165" s="60">
        <f>(4.4*3.05+2.05*2.05+3.05*3.05+0.8*2.05+1.5*1.7+2.05*1.35+0.9*(1+1.45)+0.7*1.55+1.5*1.5)*(10.764)</f>
        <v>424.34378999999996</v>
      </c>
      <c r="E165" s="42">
        <v>0</v>
      </c>
      <c r="F165" s="42">
        <f t="shared" si="9"/>
        <v>636.51568499999996</v>
      </c>
      <c r="G165" s="191"/>
      <c r="H165" s="192"/>
      <c r="I165" s="36"/>
      <c r="J165" s="37">
        <f>J164-J163</f>
        <v>4.1650000000000063</v>
      </c>
      <c r="L165" s="160">
        <f t="shared" si="10"/>
        <v>4567.6365555599996</v>
      </c>
      <c r="M165" s="160"/>
      <c r="N165" s="36">
        <f t="shared" si="11"/>
        <v>7079.8366611179999</v>
      </c>
      <c r="P165" s="37">
        <f>135000000/N165</f>
        <v>19068.23652322534</v>
      </c>
      <c r="Q165" s="37">
        <f>12700000/N165</f>
        <v>1793.8266951478654</v>
      </c>
    </row>
    <row r="166" spans="1:17" s="37" customFormat="1" ht="15.75" customHeight="1" x14ac:dyDescent="0.3">
      <c r="A166" s="70" t="s">
        <v>239</v>
      </c>
      <c r="B166" s="71"/>
      <c r="C166" s="42" t="s">
        <v>210</v>
      </c>
      <c r="D166" s="60">
        <f>(3.05*5.25+0.4*3.2+3.05*3.35+3.35*3.35+1.4*2.45+2.3*1.45+2.75*2.2+0.9*2.15+3.95*0.9+3.05*1.35)*(10.764)</f>
        <v>658.27242000000001</v>
      </c>
      <c r="E166" s="42">
        <v>0</v>
      </c>
      <c r="F166" s="42">
        <f t="shared" si="9"/>
        <v>987.40863000000002</v>
      </c>
      <c r="G166" s="191"/>
      <c r="H166" s="192"/>
      <c r="I166" s="36"/>
      <c r="L166" s="160">
        <f t="shared" si="10"/>
        <v>7085.6443288800001</v>
      </c>
      <c r="M166" s="160"/>
      <c r="N166" s="36">
        <f t="shared" si="11"/>
        <v>10982.748709764001</v>
      </c>
    </row>
    <row r="167" spans="1:17" s="37" customFormat="1" ht="15.75" customHeight="1" x14ac:dyDescent="0.3">
      <c r="A167" s="70" t="s">
        <v>240</v>
      </c>
      <c r="B167" s="71"/>
      <c r="C167" s="42" t="s">
        <v>210</v>
      </c>
      <c r="D167" s="60">
        <f>(3.05*5.25+0.4*3.2+3.05*3.35+3.35*3.35+1.4*2.45+2.3*1.45+2.75*2.2+0.9*2.15+3.95*0.9+3.05*1.35)*(10.764)</f>
        <v>658.27242000000001</v>
      </c>
      <c r="E167" s="42">
        <v>0</v>
      </c>
      <c r="F167" s="42">
        <f t="shared" si="9"/>
        <v>987.40863000000002</v>
      </c>
      <c r="G167" s="191"/>
      <c r="H167" s="192"/>
      <c r="I167" s="36"/>
      <c r="L167" s="160">
        <f t="shared" si="10"/>
        <v>7085.6443288800001</v>
      </c>
      <c r="M167" s="160"/>
      <c r="N167" s="36">
        <f t="shared" si="11"/>
        <v>10982.748709764001</v>
      </c>
      <c r="P167" s="37">
        <f>216000000/N167</f>
        <v>19667.207700743384</v>
      </c>
      <c r="Q167" s="37">
        <f>20800000/N167</f>
        <v>1893.8792600715849</v>
      </c>
    </row>
    <row r="168" spans="1:17" s="37" customFormat="1" ht="15.75" customHeight="1" x14ac:dyDescent="0.3">
      <c r="A168" s="70" t="s">
        <v>241</v>
      </c>
      <c r="B168" s="71"/>
      <c r="C168" s="42" t="s">
        <v>211</v>
      </c>
      <c r="D168" s="60">
        <f>(4.3*3.05+2.15*2.15+3.15*3.05+0.8*1.71+2*1.35+2.15*1.35+0.9*(1+1.45)+1.4*1.5)*(10.764)</f>
        <v>415.71106199999997</v>
      </c>
      <c r="E168" s="42">
        <v>0</v>
      </c>
      <c r="F168" s="42">
        <f t="shared" si="9"/>
        <v>623.56659300000001</v>
      </c>
      <c r="G168" s="191"/>
      <c r="H168" s="192"/>
      <c r="I168" s="36"/>
      <c r="J168" s="37">
        <f>J167-J166</f>
        <v>0</v>
      </c>
      <c r="L168" s="160">
        <f t="shared" si="10"/>
        <v>4474.7138713679997</v>
      </c>
      <c r="M168" s="160"/>
      <c r="N168" s="36">
        <f t="shared" si="11"/>
        <v>6935.8065006203997</v>
      </c>
    </row>
    <row r="169" spans="1:17" s="37" customFormat="1" ht="15.75" customHeight="1" x14ac:dyDescent="0.3">
      <c r="A169" s="70" t="s">
        <v>213</v>
      </c>
      <c r="B169" s="71"/>
      <c r="C169" s="53" t="s">
        <v>211</v>
      </c>
      <c r="D169" s="60">
        <f>(1.2*2.4+3.05*4.35+2.05*2.05+3.05*3.05+1.75*0.6+2*1.35+1.35*2.1+1.45*0.9+1*0.9+1.5*1.5)*(10.764)</f>
        <v>438.01406999999995</v>
      </c>
      <c r="E169" s="42">
        <v>0</v>
      </c>
      <c r="F169" s="42">
        <f t="shared" si="9"/>
        <v>657.02110499999992</v>
      </c>
      <c r="G169" s="191"/>
      <c r="H169" s="192"/>
      <c r="I169" s="36" t="s">
        <v>213</v>
      </c>
      <c r="L169" s="160">
        <f t="shared" si="10"/>
        <v>4714.783449479999</v>
      </c>
      <c r="M169" s="160"/>
      <c r="N169" s="36">
        <f t="shared" si="11"/>
        <v>7307.9143466939986</v>
      </c>
    </row>
    <row r="170" spans="1:17" s="37" customFormat="1" ht="15.75" customHeight="1" x14ac:dyDescent="0.3">
      <c r="A170" s="70" t="s">
        <v>214</v>
      </c>
      <c r="B170" s="71"/>
      <c r="C170" s="53" t="s">
        <v>212</v>
      </c>
      <c r="D170" s="60">
        <f>(1.2*2.25+3.2*6.05+0.6*2.55+3.05*3.4+3.05*4.4+2.55*1.55+1.5*2.5+2.55*0.9+3.65*2.3+3.05*3.95+1.4*2.45+0.9*2.1+3.45*1.35)*(10.764)</f>
        <v>945.05229000000008</v>
      </c>
      <c r="E170" s="42">
        <v>0</v>
      </c>
      <c r="F170" s="42">
        <f t="shared" si="9"/>
        <v>1417.5784350000001</v>
      </c>
      <c r="G170" s="193"/>
      <c r="H170" s="194"/>
      <c r="I170" s="36" t="s">
        <v>214</v>
      </c>
      <c r="L170" s="160">
        <f t="shared" si="10"/>
        <v>10172.542849560001</v>
      </c>
      <c r="M170" s="160"/>
      <c r="N170" s="36">
        <f t="shared" si="11"/>
        <v>15767.441416818001</v>
      </c>
    </row>
    <row r="171" spans="1:17" s="37" customFormat="1" x14ac:dyDescent="0.3">
      <c r="A171" s="137" t="s">
        <v>217</v>
      </c>
      <c r="B171" s="138"/>
      <c r="C171" s="138"/>
      <c r="D171" s="138"/>
      <c r="E171" s="138"/>
      <c r="F171" s="138"/>
      <c r="G171" s="138"/>
      <c r="H171" s="139"/>
      <c r="J171" s="36"/>
    </row>
    <row r="172" spans="1:17" s="37" customFormat="1" ht="15.75" customHeight="1" x14ac:dyDescent="0.3">
      <c r="A172" s="70" t="s">
        <v>236</v>
      </c>
      <c r="B172" s="71"/>
      <c r="C172" s="189" t="s">
        <v>216</v>
      </c>
      <c r="D172" s="195"/>
      <c r="E172" s="195"/>
      <c r="F172" s="190"/>
      <c r="G172" s="189" t="str">
        <f>A171</f>
        <v>7th &amp; 14th Floor (Part Refuge Area)</v>
      </c>
      <c r="H172" s="190"/>
      <c r="I172" s="36"/>
      <c r="L172" s="160"/>
      <c r="M172" s="160"/>
      <c r="N172" s="36"/>
    </row>
    <row r="173" spans="1:17" s="37" customFormat="1" ht="15.75" customHeight="1" x14ac:dyDescent="0.3">
      <c r="A173" s="70" t="s">
        <v>237</v>
      </c>
      <c r="B173" s="71"/>
      <c r="C173" s="191"/>
      <c r="D173" s="196"/>
      <c r="E173" s="196"/>
      <c r="F173" s="192"/>
      <c r="G173" s="191"/>
      <c r="H173" s="192"/>
      <c r="I173" s="36"/>
      <c r="L173" s="160"/>
      <c r="M173" s="160"/>
      <c r="N173" s="36"/>
    </row>
    <row r="174" spans="1:17" s="37" customFormat="1" ht="15.75" customHeight="1" x14ac:dyDescent="0.3">
      <c r="A174" s="70" t="s">
        <v>238</v>
      </c>
      <c r="B174" s="71"/>
      <c r="C174" s="193"/>
      <c r="D174" s="197"/>
      <c r="E174" s="197"/>
      <c r="F174" s="194"/>
      <c r="G174" s="191"/>
      <c r="H174" s="192"/>
      <c r="I174" s="36"/>
      <c r="L174" s="160"/>
      <c r="M174" s="160"/>
      <c r="N174" s="36"/>
    </row>
    <row r="175" spans="1:17" s="37" customFormat="1" ht="15.75" customHeight="1" x14ac:dyDescent="0.3">
      <c r="A175" s="70" t="s">
        <v>239</v>
      </c>
      <c r="B175" s="71"/>
      <c r="C175" s="42" t="s">
        <v>210</v>
      </c>
      <c r="D175" s="60">
        <f>(3.05*5.25+0.4*3.2+3.05*3.35+3.35*3.35+1.4*2.45+2.3*1.45+2.75*2.2+0.9*2.15+3.95*0.9+3.05*1.35)*(10.764)</f>
        <v>658.27242000000001</v>
      </c>
      <c r="E175" s="42">
        <v>0</v>
      </c>
      <c r="F175" s="42">
        <f>D175*(($F$154)+1)+(IF(E175&lt;101,E175,IF(E175&lt;201,E175/2,IF(E175&lt;=301,E175/3,E175/4))))</f>
        <v>987.40863000000002</v>
      </c>
      <c r="G175" s="191"/>
      <c r="H175" s="192"/>
      <c r="I175" s="36"/>
      <c r="L175" s="160"/>
      <c r="M175" s="160"/>
      <c r="N175" s="36"/>
    </row>
    <row r="176" spans="1:17" s="37" customFormat="1" ht="15.75" customHeight="1" x14ac:dyDescent="0.3">
      <c r="A176" s="70" t="s">
        <v>240</v>
      </c>
      <c r="B176" s="71"/>
      <c r="C176" s="42" t="s">
        <v>210</v>
      </c>
      <c r="D176" s="60">
        <f>(3.05*5.25+0.4*3.2+3.05*3.35+3.35*3.35+1.4*2.45+2.3*1.45+2.75*2.2+0.9*2.15+3.95*0.9+3.05*1.35)*(10.764)</f>
        <v>658.27242000000001</v>
      </c>
      <c r="E176" s="42">
        <v>0</v>
      </c>
      <c r="F176" s="42">
        <f>D176*(($F$154)+1)+(IF(E176&lt;101,E176,IF(E176&lt;201,E176/2,IF(E176&lt;=301,E176/3,E176/4))))</f>
        <v>987.40863000000002</v>
      </c>
      <c r="G176" s="191"/>
      <c r="H176" s="192"/>
      <c r="I176" s="36"/>
      <c r="L176" s="160"/>
      <c r="M176" s="160"/>
      <c r="N176" s="36"/>
    </row>
    <row r="177" spans="1:14" s="37" customFormat="1" ht="15.75" customHeight="1" x14ac:dyDescent="0.3">
      <c r="A177" s="70" t="s">
        <v>241</v>
      </c>
      <c r="B177" s="71"/>
      <c r="C177" s="42" t="s">
        <v>211</v>
      </c>
      <c r="D177" s="60">
        <f>(4.3*3.05+2.15*2.15+3.15*3.05+0.8*1.71+2*1.35+2.15*1.35+0.9*(1+1.45)+1.4*1.5)*(10.764)</f>
        <v>415.71106199999997</v>
      </c>
      <c r="E177" s="42">
        <v>0</v>
      </c>
      <c r="F177" s="42">
        <f>D177*(($F$154)+1)+(IF(E177&lt;101,E177,IF(E177&lt;201,E177/2,IF(E177&lt;=301,E177/3,E177/4))))</f>
        <v>623.56659300000001</v>
      </c>
      <c r="G177" s="191"/>
      <c r="H177" s="192"/>
      <c r="I177" s="36"/>
      <c r="L177" s="160"/>
      <c r="M177" s="160"/>
      <c r="N177" s="36"/>
    </row>
    <row r="178" spans="1:14" s="37" customFormat="1" ht="15.75" customHeight="1" x14ac:dyDescent="0.3">
      <c r="A178" s="70" t="s">
        <v>213</v>
      </c>
      <c r="B178" s="71"/>
      <c r="C178" s="53" t="s">
        <v>211</v>
      </c>
      <c r="D178" s="60">
        <f>(1.2*2.4+3.05*4.35+2.05*2.05+3.05*3.05+1.75*0.6+2*1.35+1.35*2.1+1.45*0.9+1*0.9+1.5*1.5)*(10.764)</f>
        <v>438.01406999999995</v>
      </c>
      <c r="E178" s="42">
        <v>0</v>
      </c>
      <c r="F178" s="42">
        <f>D178*(($F$154)+1)+(IF(E178&lt;101,E178,IF(E178&lt;201,E178/2,IF(E178&lt;=301,E178/3,E178/4))))</f>
        <v>657.02110499999992</v>
      </c>
      <c r="G178" s="191"/>
      <c r="H178" s="192"/>
      <c r="I178" s="36" t="s">
        <v>213</v>
      </c>
      <c r="L178" s="160"/>
      <c r="M178" s="160"/>
      <c r="N178" s="36"/>
    </row>
    <row r="179" spans="1:14" s="37" customFormat="1" ht="15.75" customHeight="1" x14ac:dyDescent="0.3">
      <c r="A179" s="70" t="s">
        <v>214</v>
      </c>
      <c r="B179" s="71"/>
      <c r="C179" s="53" t="s">
        <v>212</v>
      </c>
      <c r="D179" s="60">
        <f>(1.2*2.25+3.2*6.05+0.6*2.55+3.05*3.4+3.05*4.4+2.55*1.55+1.5*2.5+2.55*0.9+3.65*2.3+3.05*3.95+1.4*2.45+0.9*2.1+3.45*1.35)*(10.764)</f>
        <v>945.05229000000008</v>
      </c>
      <c r="E179" s="42">
        <v>0</v>
      </c>
      <c r="F179" s="42">
        <f>D179*(($F$154)+1)+(IF(E179&lt;101,E179,IF(E179&lt;201,E179/2,IF(E179&lt;=301,E179/3,E179/4))))</f>
        <v>1417.5784350000001</v>
      </c>
      <c r="G179" s="193"/>
      <c r="H179" s="194"/>
      <c r="I179" s="36" t="s">
        <v>214</v>
      </c>
      <c r="L179" s="160"/>
      <c r="M179" s="160"/>
      <c r="N179" s="36"/>
    </row>
    <row r="180" spans="1:14" s="37" customFormat="1" x14ac:dyDescent="0.3">
      <c r="A180" s="137" t="s">
        <v>218</v>
      </c>
      <c r="B180" s="138"/>
      <c r="C180" s="138"/>
      <c r="D180" s="138"/>
      <c r="E180" s="138"/>
      <c r="F180" s="138"/>
      <c r="G180" s="138"/>
      <c r="H180" s="139"/>
      <c r="J180" s="36"/>
    </row>
    <row r="181" spans="1:14" s="37" customFormat="1" ht="15.75" customHeight="1" x14ac:dyDescent="0.3">
      <c r="A181" s="70" t="s">
        <v>236</v>
      </c>
      <c r="B181" s="71"/>
      <c r="C181" s="189" t="s">
        <v>216</v>
      </c>
      <c r="D181" s="195"/>
      <c r="E181" s="195"/>
      <c r="F181" s="190"/>
      <c r="G181" s="189" t="str">
        <f>A180</f>
        <v>21st Floor (Part Refuge Area) &amp; Fitness Center</v>
      </c>
      <c r="H181" s="190"/>
      <c r="I181" s="36"/>
      <c r="L181" s="160"/>
      <c r="M181" s="160"/>
      <c r="N181" s="36"/>
    </row>
    <row r="182" spans="1:14" s="37" customFormat="1" ht="15.75" customHeight="1" x14ac:dyDescent="0.3">
      <c r="A182" s="70" t="s">
        <v>237</v>
      </c>
      <c r="B182" s="71"/>
      <c r="C182" s="191"/>
      <c r="D182" s="196"/>
      <c r="E182" s="196"/>
      <c r="F182" s="192"/>
      <c r="G182" s="191"/>
      <c r="H182" s="192"/>
      <c r="I182" s="36"/>
      <c r="L182" s="160"/>
      <c r="M182" s="160"/>
      <c r="N182" s="36"/>
    </row>
    <row r="183" spans="1:14" s="37" customFormat="1" ht="15.75" customHeight="1" x14ac:dyDescent="0.3">
      <c r="A183" s="70" t="s">
        <v>238</v>
      </c>
      <c r="B183" s="71"/>
      <c r="C183" s="193"/>
      <c r="D183" s="197"/>
      <c r="E183" s="197"/>
      <c r="F183" s="194"/>
      <c r="G183" s="191"/>
      <c r="H183" s="192"/>
      <c r="I183" s="36"/>
      <c r="L183" s="160"/>
      <c r="M183" s="160"/>
      <c r="N183" s="36"/>
    </row>
    <row r="184" spans="1:14" s="37" customFormat="1" ht="15.75" customHeight="1" x14ac:dyDescent="0.3">
      <c r="A184" s="70" t="s">
        <v>239</v>
      </c>
      <c r="B184" s="71"/>
      <c r="C184" s="42" t="s">
        <v>210</v>
      </c>
      <c r="D184" s="60">
        <f>(3.05*5.25+0.4*3.2+3.05*3.35+3.35*3.35+1.4*2.45+2.3*1.45+2.75*2.2+0.9*2.15+3.95*0.9+3.05*1.35)*(10.764)</f>
        <v>658.27242000000001</v>
      </c>
      <c r="E184" s="42">
        <v>0</v>
      </c>
      <c r="F184" s="42">
        <f>D184*(($F$154)+1)+(IF(E184&lt;101,E184,IF(E184&lt;201,E184/2,IF(E184&lt;=301,E184/3,E184/4))))</f>
        <v>987.40863000000002</v>
      </c>
      <c r="G184" s="191"/>
      <c r="H184" s="192"/>
      <c r="I184" s="36"/>
      <c r="L184" s="160"/>
      <c r="M184" s="160"/>
      <c r="N184" s="36"/>
    </row>
    <row r="185" spans="1:14" s="37" customFormat="1" ht="15.75" customHeight="1" x14ac:dyDescent="0.3">
      <c r="A185" s="70" t="s">
        <v>240</v>
      </c>
      <c r="B185" s="71"/>
      <c r="C185" s="42" t="s">
        <v>210</v>
      </c>
      <c r="D185" s="60">
        <f>(3.05*5.25+0.4*3.2+3.05*3.35+3.35*3.35+1.4*2.45+2.3*1.45+2.75*2.2+0.9*2.15+3.95*0.9+3.05*1.35)*(10.764)</f>
        <v>658.27242000000001</v>
      </c>
      <c r="E185" s="42">
        <v>0</v>
      </c>
      <c r="F185" s="42">
        <f>D185*(($F$154)+1)+(IF(E185&lt;101,E185,IF(E185&lt;201,E185/2,IF(E185&lt;=301,E185/3,E185/4))))</f>
        <v>987.40863000000002</v>
      </c>
      <c r="G185" s="191"/>
      <c r="H185" s="192"/>
      <c r="I185" s="36"/>
      <c r="L185" s="160"/>
      <c r="M185" s="160"/>
      <c r="N185" s="36"/>
    </row>
    <row r="186" spans="1:14" s="37" customFormat="1" ht="15.75" customHeight="1" x14ac:dyDescent="0.3">
      <c r="A186" s="70" t="s">
        <v>241</v>
      </c>
      <c r="B186" s="71"/>
      <c r="C186" s="42" t="s">
        <v>211</v>
      </c>
      <c r="D186" s="60">
        <f>(4.3*3.05+2.15*2.15+3.15*3.05+0.8*1.71+2*1.35+2.15*1.35+0.9*(1+1.45)+1.4*1.5)*(10.764)</f>
        <v>415.71106199999997</v>
      </c>
      <c r="E186" s="42">
        <v>0</v>
      </c>
      <c r="F186" s="42">
        <f>D186*(($F$154)+1)+(IF(E186&lt;101,E186,IF(E186&lt;201,E186/2,IF(E186&lt;=301,E186/3,E186/4))))</f>
        <v>623.56659300000001</v>
      </c>
      <c r="G186" s="191"/>
      <c r="H186" s="192"/>
      <c r="I186" s="36"/>
      <c r="L186" s="160"/>
      <c r="M186" s="160"/>
      <c r="N186" s="36"/>
    </row>
    <row r="187" spans="1:14" s="37" customFormat="1" ht="15.75" customHeight="1" x14ac:dyDescent="0.3">
      <c r="A187" s="70" t="s">
        <v>213</v>
      </c>
      <c r="B187" s="71"/>
      <c r="C187" s="53" t="s">
        <v>211</v>
      </c>
      <c r="D187" s="60">
        <f>(1.2*2.4+3.05*4.35+2.05*2.05+3.05*3.05+1.75*0.6+2*1.35+1.35*2.1+1.45*0.9+1*0.9+1.5*1.5)*(10.764)</f>
        <v>438.01406999999995</v>
      </c>
      <c r="E187" s="42">
        <v>0</v>
      </c>
      <c r="F187" s="42">
        <f>D187*(($F$154)+1)+(IF(E187&lt;101,E187,IF(E187&lt;201,E187/2,IF(E187&lt;=301,E187/3,E187/4))))</f>
        <v>657.02110499999992</v>
      </c>
      <c r="G187" s="191"/>
      <c r="H187" s="192"/>
      <c r="I187" s="36" t="s">
        <v>213</v>
      </c>
      <c r="L187" s="160"/>
      <c r="M187" s="160"/>
      <c r="N187" s="36"/>
    </row>
    <row r="188" spans="1:14" s="37" customFormat="1" ht="15.75" customHeight="1" x14ac:dyDescent="0.3">
      <c r="A188" s="70" t="s">
        <v>214</v>
      </c>
      <c r="B188" s="71"/>
      <c r="C188" s="53" t="s">
        <v>212</v>
      </c>
      <c r="D188" s="60">
        <f>(1.2*2.25+3.2*6.05+0.6*2.55+3.05*3.4+3.05*4.4+2.55*1.55+1.5*2.5+2.55*0.9+3.65*2.3+3.05*3.95+1.4*2.45+0.9*2.1+3.45*1.35)*(10.764)</f>
        <v>945.05229000000008</v>
      </c>
      <c r="E188" s="42">
        <v>0</v>
      </c>
      <c r="F188" s="42">
        <f>D188*(($F$154)+1)+(IF(E188&lt;101,E188,IF(E188&lt;201,E188/2,IF(E188&lt;=301,E188/3,E188/4))))</f>
        <v>1417.5784350000001</v>
      </c>
      <c r="G188" s="193"/>
      <c r="H188" s="194"/>
      <c r="I188" s="36" t="s">
        <v>214</v>
      </c>
      <c r="L188" s="160"/>
      <c r="M188" s="160"/>
      <c r="N188" s="36"/>
    </row>
    <row r="189" spans="1:14" s="37" customFormat="1" x14ac:dyDescent="0.3">
      <c r="A189" s="137" t="s">
        <v>219</v>
      </c>
      <c r="B189" s="138"/>
      <c r="C189" s="138"/>
      <c r="D189" s="138"/>
      <c r="E189" s="138"/>
      <c r="F189" s="138"/>
      <c r="G189" s="138"/>
      <c r="H189" s="139"/>
      <c r="J189" s="36"/>
    </row>
    <row r="190" spans="1:14" s="37" customFormat="1" x14ac:dyDescent="0.3">
      <c r="A190" s="70" t="s">
        <v>236</v>
      </c>
      <c r="B190" s="71"/>
      <c r="C190" s="42" t="s">
        <v>210</v>
      </c>
      <c r="D190" s="60">
        <f>(6.05*3.05+3.05*3.4+1.35*2.45+3.55*3.05+2.45*1.35+3.5*2.3+0.9*3.5+1.35*2.8)*(10.764)</f>
        <v>659.24117999999987</v>
      </c>
      <c r="E190" s="42">
        <v>0</v>
      </c>
      <c r="F190" s="42">
        <f t="shared" ref="F190:F197" si="12">D190*(($F$154)+1)+(IF(E190&lt;101,E190,IF(E190&lt;201,E190/2,IF(E190&lt;=301,E190/3,E190/4))))</f>
        <v>988.86176999999975</v>
      </c>
      <c r="G190" s="189" t="str">
        <f>A189</f>
        <v>22nd Floor</v>
      </c>
      <c r="H190" s="190"/>
      <c r="I190" s="36"/>
      <c r="L190" s="160"/>
      <c r="M190" s="160"/>
      <c r="N190" s="36"/>
    </row>
    <row r="191" spans="1:14" s="37" customFormat="1" x14ac:dyDescent="0.3">
      <c r="A191" s="70" t="s">
        <v>237</v>
      </c>
      <c r="B191" s="71"/>
      <c r="C191" s="42" t="s">
        <v>211</v>
      </c>
      <c r="D191" s="60">
        <f>(4.4*3.05+2.05*2.05+3.05*3.05+0.8*2.05+1.5*1.7+2.05*1.35+0.9*(1+1.45)+0.7*1.55+1.5*1.5)*(10.764)</f>
        <v>424.34378999999996</v>
      </c>
      <c r="E191" s="42">
        <v>0</v>
      </c>
      <c r="F191" s="42">
        <f t="shared" si="12"/>
        <v>636.51568499999996</v>
      </c>
      <c r="G191" s="191" t="str">
        <f t="shared" ref="G191:G197" si="13">G190</f>
        <v>22nd Floor</v>
      </c>
      <c r="H191" s="192"/>
      <c r="I191" s="36"/>
      <c r="L191" s="160"/>
      <c r="M191" s="160"/>
      <c r="N191" s="36"/>
    </row>
    <row r="192" spans="1:14" s="37" customFormat="1" x14ac:dyDescent="0.3">
      <c r="A192" s="70" t="s">
        <v>238</v>
      </c>
      <c r="B192" s="71"/>
      <c r="C192" s="42" t="s">
        <v>211</v>
      </c>
      <c r="D192" s="60">
        <f>(4.4*3.05+2.05*2.05+3.05*3.05+0.8*2.05+1.5*1.7+2.05*1.35+0.9*(1+1.45)+0.7*1.55+1.5*1.5)*(10.764)</f>
        <v>424.34378999999996</v>
      </c>
      <c r="E192" s="42">
        <v>0</v>
      </c>
      <c r="F192" s="42">
        <f t="shared" si="12"/>
        <v>636.51568499999996</v>
      </c>
      <c r="G192" s="191" t="str">
        <f t="shared" si="13"/>
        <v>22nd Floor</v>
      </c>
      <c r="H192" s="192"/>
      <c r="I192" s="36"/>
      <c r="L192" s="160"/>
      <c r="M192" s="160"/>
      <c r="N192" s="36"/>
    </row>
    <row r="193" spans="1:14" s="37" customFormat="1" x14ac:dyDescent="0.3">
      <c r="A193" s="70" t="s">
        <v>239</v>
      </c>
      <c r="B193" s="71"/>
      <c r="C193" s="42" t="s">
        <v>210</v>
      </c>
      <c r="D193" s="60">
        <f>(3.05*5.25+0.4*3.2+3.05*3.35+3.35*3.35+1.4*2.45+2.3*1.45+2.75*2.2+0.9*2.15+3.95*0.9+3.05*1.35)*(10.764)</f>
        <v>658.27242000000001</v>
      </c>
      <c r="E193" s="42">
        <v>0</v>
      </c>
      <c r="F193" s="42">
        <f t="shared" si="12"/>
        <v>987.40863000000002</v>
      </c>
      <c r="G193" s="191" t="str">
        <f t="shared" si="13"/>
        <v>22nd Floor</v>
      </c>
      <c r="H193" s="192"/>
      <c r="I193" s="36"/>
      <c r="L193" s="160"/>
      <c r="M193" s="160"/>
      <c r="N193" s="36"/>
    </row>
    <row r="194" spans="1:14" s="37" customFormat="1" x14ac:dyDescent="0.3">
      <c r="A194" s="70" t="s">
        <v>240</v>
      </c>
      <c r="B194" s="71"/>
      <c r="C194" s="42" t="s">
        <v>210</v>
      </c>
      <c r="D194" s="60">
        <f>(3.05*5.25+0.4*3.2+3.05*3.35+3.35*3.35+1.4*2.45+2.3*1.45+2.75*2.2+0.9*2.15+3.95*0.9+3.05*1.35)*(10.764)</f>
        <v>658.27242000000001</v>
      </c>
      <c r="E194" s="42">
        <v>0</v>
      </c>
      <c r="F194" s="42">
        <f t="shared" si="12"/>
        <v>987.40863000000002</v>
      </c>
      <c r="G194" s="191" t="str">
        <f t="shared" si="13"/>
        <v>22nd Floor</v>
      </c>
      <c r="H194" s="192"/>
      <c r="I194" s="36"/>
      <c r="L194" s="160"/>
      <c r="M194" s="160"/>
      <c r="N194" s="36"/>
    </row>
    <row r="195" spans="1:14" s="37" customFormat="1" x14ac:dyDescent="0.3">
      <c r="A195" s="70" t="s">
        <v>241</v>
      </c>
      <c r="B195" s="71"/>
      <c r="C195" s="42" t="s">
        <v>211</v>
      </c>
      <c r="D195" s="60">
        <f>(4.3*3.05+2.15*2.15+3.15*3.05+0.8*1.71+2*1.35+2.15*1.35+0.9*(1+1.45)+1.4*1.5)*(10.764)</f>
        <v>415.71106199999997</v>
      </c>
      <c r="E195" s="42">
        <v>0</v>
      </c>
      <c r="F195" s="42">
        <f t="shared" si="12"/>
        <v>623.56659300000001</v>
      </c>
      <c r="G195" s="191" t="str">
        <f t="shared" si="13"/>
        <v>22nd Floor</v>
      </c>
      <c r="H195" s="192"/>
      <c r="I195" s="36"/>
      <c r="L195" s="160"/>
      <c r="M195" s="160"/>
      <c r="N195" s="36"/>
    </row>
    <row r="196" spans="1:14" s="37" customFormat="1" x14ac:dyDescent="0.3">
      <c r="A196" s="70" t="s">
        <v>213</v>
      </c>
      <c r="B196" s="71"/>
      <c r="C196" s="53" t="s">
        <v>211</v>
      </c>
      <c r="D196" s="60">
        <f>(1.2*2.4+3.05*4.35+2.05*2.05+3.05*3.05+1.75*0.6+2*1.35+1.35*2.1+1.45*0.9+1*0.9+1.5*1.5)*(10.764)</f>
        <v>438.01406999999995</v>
      </c>
      <c r="E196" s="42">
        <v>0</v>
      </c>
      <c r="F196" s="42">
        <f t="shared" si="12"/>
        <v>657.02110499999992</v>
      </c>
      <c r="G196" s="191" t="str">
        <f t="shared" si="13"/>
        <v>22nd Floor</v>
      </c>
      <c r="H196" s="192"/>
      <c r="I196" s="36" t="s">
        <v>213</v>
      </c>
      <c r="L196" s="160"/>
      <c r="M196" s="160"/>
      <c r="N196" s="36"/>
    </row>
    <row r="197" spans="1:14" s="37" customFormat="1" x14ac:dyDescent="0.3">
      <c r="A197" s="70" t="s">
        <v>214</v>
      </c>
      <c r="B197" s="71"/>
      <c r="C197" s="53" t="s">
        <v>212</v>
      </c>
      <c r="D197" s="60">
        <f>(1.2*2.25+3.2*6.05+0.6*2.55+3.05*3.4+3.05*4.4+2.55*1.55+1.5*2.5+2.55*0.9+3.65*2.3+3.05*3.95+1.4*2.45+0.9*2.1+3.45*1.35)*(10.764)</f>
        <v>945.05229000000008</v>
      </c>
      <c r="E197" s="42">
        <v>0</v>
      </c>
      <c r="F197" s="42">
        <f t="shared" si="12"/>
        <v>1417.5784350000001</v>
      </c>
      <c r="G197" s="193" t="str">
        <f t="shared" si="13"/>
        <v>22nd Floor</v>
      </c>
      <c r="H197" s="194"/>
      <c r="I197" s="36" t="s">
        <v>214</v>
      </c>
      <c r="L197" s="160"/>
      <c r="M197" s="160"/>
      <c r="N197" s="36"/>
    </row>
    <row r="198" spans="1:14" s="37" customFormat="1" x14ac:dyDescent="0.3">
      <c r="A198" s="137" t="s">
        <v>220</v>
      </c>
      <c r="B198" s="138"/>
      <c r="C198" s="138"/>
      <c r="D198" s="138"/>
      <c r="E198" s="138"/>
      <c r="F198" s="138"/>
      <c r="G198" s="138"/>
      <c r="H198" s="139"/>
      <c r="J198" s="36"/>
    </row>
    <row r="199" spans="1:14" s="37" customFormat="1" x14ac:dyDescent="0.3">
      <c r="A199" s="70" t="s">
        <v>236</v>
      </c>
      <c r="B199" s="71"/>
      <c r="C199" s="42" t="s">
        <v>210</v>
      </c>
      <c r="D199" s="60">
        <f>(6.05*3.05+3.05*3.4+1.35*2.45+3.55*3.05+2.45*1.35+3.5*2.3+0.9*3.5+1.35*2.8)*(10.764)</f>
        <v>659.24117999999987</v>
      </c>
      <c r="E199" s="42">
        <v>0</v>
      </c>
      <c r="F199" s="42">
        <f t="shared" ref="F199:F210" si="14">D199*(($F$154)+1)+(IF(E199&lt;101,E199,IF(E199&lt;201,E199/2,IF(E199&lt;=301,E199/3,E199/4))))</f>
        <v>988.86176999999975</v>
      </c>
      <c r="G199" s="189" t="str">
        <f>A198</f>
        <v>23rd Floor</v>
      </c>
      <c r="H199" s="190"/>
      <c r="I199" s="36"/>
      <c r="L199" s="160"/>
      <c r="M199" s="160"/>
      <c r="N199" s="36"/>
    </row>
    <row r="200" spans="1:14" s="37" customFormat="1" x14ac:dyDescent="0.3">
      <c r="A200" s="70" t="s">
        <v>237</v>
      </c>
      <c r="B200" s="71"/>
      <c r="C200" s="42" t="s">
        <v>211</v>
      </c>
      <c r="D200" s="60">
        <f>(4.4*3.05+2.05*2.05+3.05*3.05+0.8*2.05+1.5*1.7+2.05*1.35+0.9*(1+1.45)+0.7*1.55+1.5*1.5)*(10.764)</f>
        <v>424.34378999999996</v>
      </c>
      <c r="E200" s="42">
        <v>0</v>
      </c>
      <c r="F200" s="42">
        <f t="shared" si="14"/>
        <v>636.51568499999996</v>
      </c>
      <c r="G200" s="191"/>
      <c r="H200" s="192"/>
      <c r="I200" s="36"/>
      <c r="L200" s="160"/>
      <c r="M200" s="160"/>
      <c r="N200" s="36"/>
    </row>
    <row r="201" spans="1:14" s="37" customFormat="1" x14ac:dyDescent="0.3">
      <c r="A201" s="70" t="s">
        <v>238</v>
      </c>
      <c r="B201" s="71"/>
      <c r="C201" s="42" t="s">
        <v>211</v>
      </c>
      <c r="D201" s="60">
        <f>(4.4*3.05+2.05*2.05+3.05*3.05+0.8*2.05+1.5*1.7+2.05*1.35+0.9*(1+1.45)+0.7*1.55+1.5*1.5)*(10.764)</f>
        <v>424.34378999999996</v>
      </c>
      <c r="E201" s="42">
        <v>0</v>
      </c>
      <c r="F201" s="42">
        <f t="shared" si="14"/>
        <v>636.51568499999996</v>
      </c>
      <c r="G201" s="191"/>
      <c r="H201" s="192"/>
      <c r="I201" s="36"/>
      <c r="L201" s="160"/>
      <c r="M201" s="160"/>
      <c r="N201" s="36"/>
    </row>
    <row r="202" spans="1:14" s="37" customFormat="1" x14ac:dyDescent="0.3">
      <c r="A202" s="70" t="s">
        <v>239</v>
      </c>
      <c r="B202" s="71"/>
      <c r="C202" s="42" t="s">
        <v>210</v>
      </c>
      <c r="D202" s="60">
        <f>(3.05*5.25+0.4*3.2+3.05*3.35+3.35*3.35+1.4*2.45+2.3*1.45+2.75*2.2+0.9*2.15+3.95*0.9+3.05*1.35)*(10.764)</f>
        <v>658.27242000000001</v>
      </c>
      <c r="E202" s="42">
        <v>0</v>
      </c>
      <c r="F202" s="42">
        <f t="shared" si="14"/>
        <v>987.40863000000002</v>
      </c>
      <c r="G202" s="191"/>
      <c r="H202" s="192"/>
      <c r="I202" s="36"/>
      <c r="L202" s="160"/>
      <c r="M202" s="160"/>
      <c r="N202" s="36"/>
    </row>
    <row r="203" spans="1:14" s="37" customFormat="1" x14ac:dyDescent="0.3">
      <c r="A203" s="70" t="s">
        <v>240</v>
      </c>
      <c r="B203" s="71"/>
      <c r="C203" s="42" t="s">
        <v>210</v>
      </c>
      <c r="D203" s="60">
        <f>(3.05*5.25+0.4*3.2+3.05*3.35+3.35*3.35+1.4*2.45+2.3*1.45+2.75*2.2+0.9*2.15+3.95*0.9+3.05*1.35)*(10.764)</f>
        <v>658.27242000000001</v>
      </c>
      <c r="E203" s="42">
        <v>0</v>
      </c>
      <c r="F203" s="42">
        <f t="shared" si="14"/>
        <v>987.40863000000002</v>
      </c>
      <c r="G203" s="191"/>
      <c r="H203" s="192"/>
      <c r="I203" s="36"/>
      <c r="L203" s="160"/>
      <c r="M203" s="160"/>
      <c r="N203" s="36"/>
    </row>
    <row r="204" spans="1:14" s="37" customFormat="1" x14ac:dyDescent="0.3">
      <c r="A204" s="70" t="s">
        <v>241</v>
      </c>
      <c r="B204" s="71"/>
      <c r="C204" s="42" t="s">
        <v>211</v>
      </c>
      <c r="D204" s="60">
        <f>(4.3*3.05+2.15*2.15+3.15*3.05+0.8*1.71+2*1.35+2.15*1.35+0.9*(1+1.45)+1.4*1.5)*(10.764)</f>
        <v>415.71106199999997</v>
      </c>
      <c r="E204" s="42">
        <v>0</v>
      </c>
      <c r="F204" s="42">
        <f t="shared" si="14"/>
        <v>623.56659300000001</v>
      </c>
      <c r="G204" s="191"/>
      <c r="H204" s="192"/>
      <c r="I204" s="36"/>
      <c r="L204" s="160"/>
      <c r="M204" s="160"/>
      <c r="N204" s="36"/>
    </row>
    <row r="205" spans="1:14" s="37" customFormat="1" x14ac:dyDescent="0.3">
      <c r="A205" s="70" t="s">
        <v>242</v>
      </c>
      <c r="B205" s="71"/>
      <c r="C205" s="53" t="s">
        <v>211</v>
      </c>
      <c r="D205" s="60">
        <f>(3.05*4.6+2.15*2.15+2.2*1.25+1.05*0.9+3.1*3.05+2.15*1.45+1.6*1.4)*(10.764)</f>
        <v>399.99023999999991</v>
      </c>
      <c r="E205" s="42">
        <v>0</v>
      </c>
      <c r="F205" s="42">
        <f>D205*(($F$154)+1)+(IF(E205&lt;101,E205,IF(E205&lt;201,E205/2,IF(E205&lt;=301,E205/3,E205/4))))</f>
        <v>599.9853599999999</v>
      </c>
      <c r="G205" s="191"/>
      <c r="H205" s="192"/>
      <c r="I205" s="36" t="s">
        <v>214</v>
      </c>
      <c r="L205" s="160"/>
      <c r="M205" s="160"/>
      <c r="N205" s="36"/>
    </row>
    <row r="206" spans="1:14" s="37" customFormat="1" x14ac:dyDescent="0.3">
      <c r="A206" s="70" t="s">
        <v>213</v>
      </c>
      <c r="B206" s="71"/>
      <c r="C206" s="53" t="s">
        <v>211</v>
      </c>
      <c r="D206" s="60">
        <f>(1.2*2.4+3.05*4.35+2.05*2.05+3.05*3.05+1.75*0.6+2*1.35+1.35*2.1+1.45*0.9+1*0.9+1.5*1.5)*(10.764)</f>
        <v>438.01406999999995</v>
      </c>
      <c r="E206" s="42">
        <v>0</v>
      </c>
      <c r="F206" s="42">
        <f t="shared" si="14"/>
        <v>657.02110499999992</v>
      </c>
      <c r="G206" s="191"/>
      <c r="H206" s="192"/>
      <c r="I206" s="36" t="s">
        <v>213</v>
      </c>
      <c r="L206" s="160"/>
      <c r="M206" s="160"/>
      <c r="N206" s="36"/>
    </row>
    <row r="207" spans="1:14" s="37" customFormat="1" x14ac:dyDescent="0.3">
      <c r="A207" s="70" t="s">
        <v>214</v>
      </c>
      <c r="B207" s="71"/>
      <c r="C207" s="53" t="s">
        <v>212</v>
      </c>
      <c r="D207" s="60">
        <f>(1.2*2.25+3.2*6.05+0.6*2.55+3.05*3.4+3.05*4.4+2.55*1.55+1.5*2.5+2.55*0.9+3.65*2.3+3.05*3.95+1.4*2.45+0.9*2.1+3.45*1.35)*(10.764)</f>
        <v>945.05229000000008</v>
      </c>
      <c r="E207" s="42">
        <v>0</v>
      </c>
      <c r="F207" s="42">
        <f t="shared" si="14"/>
        <v>1417.5784350000001</v>
      </c>
      <c r="G207" s="191"/>
      <c r="H207" s="192"/>
      <c r="I207" s="36" t="s">
        <v>214</v>
      </c>
      <c r="L207" s="160"/>
      <c r="M207" s="160"/>
      <c r="N207" s="36"/>
    </row>
    <row r="208" spans="1:14" s="37" customFormat="1" x14ac:dyDescent="0.3">
      <c r="A208" s="70" t="s">
        <v>243</v>
      </c>
      <c r="B208" s="71"/>
      <c r="C208" s="42" t="s">
        <v>210</v>
      </c>
      <c r="D208" s="60">
        <f>(5.3*3.05+2.25*3.45+1.35*2.4+3.05*3.75+3.65*3.05+2.5*1.35+1.7*0.9+3.05*0.9+1.35*3.2)*(10.764)</f>
        <v>664.21952999999996</v>
      </c>
      <c r="E208" s="42">
        <v>0</v>
      </c>
      <c r="F208" s="42">
        <f t="shared" si="14"/>
        <v>996.329295</v>
      </c>
      <c r="G208" s="191"/>
      <c r="H208" s="192"/>
      <c r="I208" s="36"/>
      <c r="J208" s="37">
        <f>23000000/F208</f>
        <v>23084.737260485752</v>
      </c>
      <c r="L208" s="160"/>
      <c r="M208" s="160"/>
      <c r="N208" s="36"/>
    </row>
    <row r="209" spans="1:14" s="37" customFormat="1" x14ac:dyDescent="0.3">
      <c r="A209" s="70" t="s">
        <v>244</v>
      </c>
      <c r="B209" s="71"/>
      <c r="C209" s="42" t="s">
        <v>210</v>
      </c>
      <c r="D209" s="60">
        <f>(3.05*4.65+2.25*2.45+3.05*3.05+2.15*1.45+1.1*1.45+2.5*0.9+3.2*3.5+2.25*1.4+3.05*1.35+2.25*0.9)*(10.764)</f>
        <v>607.65470999999991</v>
      </c>
      <c r="E209" s="42">
        <v>0</v>
      </c>
      <c r="F209" s="42">
        <f t="shared" si="14"/>
        <v>911.48206499999992</v>
      </c>
      <c r="G209" s="191"/>
      <c r="H209" s="192"/>
      <c r="I209" s="36"/>
      <c r="L209" s="160"/>
      <c r="M209" s="160"/>
      <c r="N209" s="36"/>
    </row>
    <row r="210" spans="1:14" s="37" customFormat="1" x14ac:dyDescent="0.3">
      <c r="A210" s="70" t="s">
        <v>245</v>
      </c>
      <c r="B210" s="71"/>
      <c r="C210" s="42" t="s">
        <v>210</v>
      </c>
      <c r="D210" s="60">
        <f>(3.05*4.65+2.25*2.45+3.05*3.05+2.25*1.45+2.5*0.9+1*1.5+3.2*3.5+2.25*1.4+3.05*1.35+2.25*0.9)*(10.764)</f>
        <v>608.19290999999998</v>
      </c>
      <c r="E210" s="42">
        <v>0</v>
      </c>
      <c r="F210" s="42">
        <f t="shared" si="14"/>
        <v>912.28936499999998</v>
      </c>
      <c r="G210" s="193"/>
      <c r="H210" s="194"/>
      <c r="I210" s="36" t="s">
        <v>213</v>
      </c>
      <c r="L210" s="160"/>
      <c r="M210" s="160"/>
      <c r="N210" s="36"/>
    </row>
    <row r="211" spans="1:14" s="37" customFormat="1" x14ac:dyDescent="0.3">
      <c r="A211" s="137" t="s">
        <v>221</v>
      </c>
      <c r="B211" s="138"/>
      <c r="C211" s="138"/>
      <c r="D211" s="138"/>
      <c r="E211" s="138"/>
      <c r="F211" s="138"/>
      <c r="G211" s="138"/>
      <c r="H211" s="139"/>
      <c r="J211" s="36"/>
    </row>
    <row r="212" spans="1:14" s="37" customFormat="1" ht="15.75" customHeight="1" x14ac:dyDescent="0.3">
      <c r="A212" s="70" t="s">
        <v>236</v>
      </c>
      <c r="B212" s="71"/>
      <c r="C212" s="42" t="s">
        <v>210</v>
      </c>
      <c r="D212" s="60">
        <f>(6.05*3.05+3.05*3.4+1.35*2.45+3.55*3.05+2.45*1.35+3.5*2.3+0.9*3.5+1.35*2.8)*(10.764)</f>
        <v>659.24117999999987</v>
      </c>
      <c r="E212" s="42">
        <v>0</v>
      </c>
      <c r="F212" s="42">
        <f t="shared" ref="F212:F223" si="15">D212*(($F$154)+1)+(IF(E212&lt;101,E212,IF(E212&lt;201,E212/2,IF(E212&lt;=301,E212/3,E212/4))))</f>
        <v>988.86176999999975</v>
      </c>
      <c r="G212" s="189" t="str">
        <f>A211</f>
        <v>24th to 27th &amp; 29th to 31st Floor</v>
      </c>
      <c r="H212" s="190"/>
      <c r="I212" s="36"/>
      <c r="L212" s="160"/>
      <c r="M212" s="160"/>
      <c r="N212" s="36"/>
    </row>
    <row r="213" spans="1:14" s="37" customFormat="1" ht="15.75" customHeight="1" x14ac:dyDescent="0.3">
      <c r="A213" s="70" t="s">
        <v>237</v>
      </c>
      <c r="B213" s="71"/>
      <c r="C213" s="42" t="s">
        <v>211</v>
      </c>
      <c r="D213" s="60">
        <f>(4.4*3.05+2.05*2.05+3.05*3.05+0.8*2.05+1.5*1.7+2.05*1.35+0.9*(1+1.45)+0.7*1.55+1.5*1.5)*(10.764)</f>
        <v>424.34378999999996</v>
      </c>
      <c r="E213" s="42">
        <v>0</v>
      </c>
      <c r="F213" s="42">
        <f t="shared" si="15"/>
        <v>636.51568499999996</v>
      </c>
      <c r="G213" s="191" t="str">
        <f t="shared" ref="G213:G223" si="16">G212</f>
        <v>24th to 27th &amp; 29th to 31st Floor</v>
      </c>
      <c r="H213" s="192"/>
      <c r="I213" s="36"/>
      <c r="K213" s="37">
        <f>1.35*3.2</f>
        <v>4.32</v>
      </c>
      <c r="L213" s="160"/>
      <c r="M213" s="160"/>
      <c r="N213" s="36"/>
    </row>
    <row r="214" spans="1:14" s="37" customFormat="1" ht="15.75" customHeight="1" x14ac:dyDescent="0.3">
      <c r="A214" s="70" t="s">
        <v>238</v>
      </c>
      <c r="B214" s="71"/>
      <c r="C214" s="42" t="s">
        <v>211</v>
      </c>
      <c r="D214" s="60">
        <f>(4.4*3.05+2.05*2.05+3.05*3.05+0.8*2.05+1.5*1.7+2.05*1.35+0.9*(1+1.45)+0.7*1.55+1.5*1.5)*(10.764)</f>
        <v>424.34378999999996</v>
      </c>
      <c r="E214" s="42">
        <v>0</v>
      </c>
      <c r="F214" s="42">
        <f t="shared" si="15"/>
        <v>636.51568499999996</v>
      </c>
      <c r="G214" s="191" t="str">
        <f t="shared" si="16"/>
        <v>24th to 27th &amp; 29th to 31st Floor</v>
      </c>
      <c r="H214" s="192"/>
      <c r="I214" s="36"/>
      <c r="L214" s="160"/>
      <c r="M214" s="160"/>
      <c r="N214" s="36"/>
    </row>
    <row r="215" spans="1:14" s="37" customFormat="1" ht="15.75" customHeight="1" x14ac:dyDescent="0.3">
      <c r="A215" s="70" t="s">
        <v>239</v>
      </c>
      <c r="B215" s="71"/>
      <c r="C215" s="42" t="s">
        <v>210</v>
      </c>
      <c r="D215" s="60">
        <f>(3.05*5.25+0.4*3.2+3.05*3.35+3.35*3.35+1.4*2.45+2.3*1.45+2.75*2.2+0.9*2.15+3.95*0.9+3.05*1.35)*(10.764)</f>
        <v>658.27242000000001</v>
      </c>
      <c r="E215" s="42">
        <v>0</v>
      </c>
      <c r="F215" s="42">
        <f t="shared" si="15"/>
        <v>987.40863000000002</v>
      </c>
      <c r="G215" s="191" t="str">
        <f t="shared" si="16"/>
        <v>24th to 27th &amp; 29th to 31st Floor</v>
      </c>
      <c r="H215" s="192"/>
      <c r="I215" s="36"/>
      <c r="L215" s="160"/>
      <c r="M215" s="160"/>
      <c r="N215" s="36"/>
    </row>
    <row r="216" spans="1:14" s="37" customFormat="1" ht="15.75" customHeight="1" x14ac:dyDescent="0.3">
      <c r="A216" s="70" t="s">
        <v>240</v>
      </c>
      <c r="B216" s="71"/>
      <c r="C216" s="42" t="s">
        <v>210</v>
      </c>
      <c r="D216" s="60">
        <f>(3.05*5.25+0.4*3.2+3.05*3.35+3.35*3.35+1.4*2.45+2.3*1.45+2.75*2.2+0.9*2.15+3.95*0.9+3.05*1.35)*(10.764)</f>
        <v>658.27242000000001</v>
      </c>
      <c r="E216" s="42">
        <v>0</v>
      </c>
      <c r="F216" s="42">
        <f t="shared" si="15"/>
        <v>987.40863000000002</v>
      </c>
      <c r="G216" s="191" t="str">
        <f t="shared" si="16"/>
        <v>24th to 27th &amp; 29th to 31st Floor</v>
      </c>
      <c r="H216" s="192"/>
      <c r="I216" s="36"/>
      <c r="L216" s="160"/>
      <c r="M216" s="160"/>
      <c r="N216" s="36"/>
    </row>
    <row r="217" spans="1:14" s="37" customFormat="1" ht="15.75" customHeight="1" x14ac:dyDescent="0.3">
      <c r="A217" s="70" t="s">
        <v>241</v>
      </c>
      <c r="B217" s="71"/>
      <c r="C217" s="42" t="s">
        <v>211</v>
      </c>
      <c r="D217" s="60">
        <f>(4.3*3.05+2.15*2.15+3.15*3.05+0.8*1.71+2*1.35+2.15*1.35+0.9*(1+1.45)+1.4*1.5)*(10.764)</f>
        <v>415.71106199999997</v>
      </c>
      <c r="E217" s="42">
        <v>0</v>
      </c>
      <c r="F217" s="42">
        <f t="shared" si="15"/>
        <v>623.56659300000001</v>
      </c>
      <c r="G217" s="191" t="str">
        <f t="shared" si="16"/>
        <v>24th to 27th &amp; 29th to 31st Floor</v>
      </c>
      <c r="H217" s="192"/>
      <c r="I217" s="36"/>
      <c r="L217" s="160"/>
      <c r="M217" s="160"/>
      <c r="N217" s="36"/>
    </row>
    <row r="218" spans="1:14" s="37" customFormat="1" ht="15.75" customHeight="1" x14ac:dyDescent="0.3">
      <c r="A218" s="70" t="s">
        <v>242</v>
      </c>
      <c r="B218" s="71"/>
      <c r="C218" s="53" t="s">
        <v>211</v>
      </c>
      <c r="D218" s="60">
        <f>(3.05*4.6+2.15*2.15+2.2*1.25+1.05*0.9+3.1*3.05+2.15*1.45+1.6*1.4)*(10.764)</f>
        <v>399.99023999999991</v>
      </c>
      <c r="E218" s="42">
        <v>0</v>
      </c>
      <c r="F218" s="42">
        <f>D218*(($F$154)+1)+(IF(E218&lt;101,E218,IF(E218&lt;201,E218/2,IF(E218&lt;=301,E218/3,E218/4))))</f>
        <v>599.9853599999999</v>
      </c>
      <c r="G218" s="191" t="str">
        <f>G223</f>
        <v>24th to 27th &amp; 29th to 31st Floor</v>
      </c>
      <c r="H218" s="192"/>
      <c r="I218" s="36" t="s">
        <v>214</v>
      </c>
      <c r="L218" s="160"/>
      <c r="M218" s="160"/>
      <c r="N218" s="36"/>
    </row>
    <row r="219" spans="1:14" s="37" customFormat="1" ht="15.75" customHeight="1" x14ac:dyDescent="0.3">
      <c r="A219" s="70" t="s">
        <v>213</v>
      </c>
      <c r="B219" s="71"/>
      <c r="C219" s="53" t="s">
        <v>211</v>
      </c>
      <c r="D219" s="60">
        <f>(1.2*2.4+3.05*4.35+2.05*2.05+3.05*3.05+1.75*0.6+2*1.35+1.35*2.1+1.45*0.9+1*0.9+1.5*1.5)*(10.764)</f>
        <v>438.01406999999995</v>
      </c>
      <c r="E219" s="42">
        <v>0</v>
      </c>
      <c r="F219" s="42">
        <f t="shared" si="15"/>
        <v>657.02110499999992</v>
      </c>
      <c r="G219" s="191" t="str">
        <f>G217</f>
        <v>24th to 27th &amp; 29th to 31st Floor</v>
      </c>
      <c r="H219" s="192"/>
      <c r="I219" s="36" t="s">
        <v>213</v>
      </c>
      <c r="L219" s="160"/>
      <c r="M219" s="160"/>
      <c r="N219" s="36"/>
    </row>
    <row r="220" spans="1:14" s="37" customFormat="1" ht="15.75" customHeight="1" x14ac:dyDescent="0.3">
      <c r="A220" s="70" t="s">
        <v>214</v>
      </c>
      <c r="B220" s="71"/>
      <c r="C220" s="53" t="s">
        <v>212</v>
      </c>
      <c r="D220" s="60">
        <f>(1.2*2.25+3.2*6.05+0.6*2.55+3.05*3.4+3.05*4.4+2.55*1.55+1.5*2.5+2.55*0.9+3.65*2.3+3.05*3.95+1.4*2.45+0.9*2.1+3.45*1.35)*(10.764)</f>
        <v>945.05229000000008</v>
      </c>
      <c r="E220" s="42">
        <v>0</v>
      </c>
      <c r="F220" s="42">
        <f t="shared" si="15"/>
        <v>1417.5784350000001</v>
      </c>
      <c r="G220" s="191" t="str">
        <f t="shared" si="16"/>
        <v>24th to 27th &amp; 29th to 31st Floor</v>
      </c>
      <c r="H220" s="192"/>
      <c r="I220" s="36" t="s">
        <v>214</v>
      </c>
      <c r="L220" s="160"/>
      <c r="M220" s="160"/>
      <c r="N220" s="36"/>
    </row>
    <row r="221" spans="1:14" s="37" customFormat="1" ht="15.75" customHeight="1" x14ac:dyDescent="0.3">
      <c r="A221" s="70" t="s">
        <v>243</v>
      </c>
      <c r="B221" s="71"/>
      <c r="C221" s="42" t="s">
        <v>210</v>
      </c>
      <c r="D221" s="60">
        <f>(5.3*3.05+2.25*3.45+1.35*2.4+3.05*3.75+3.65*3.05+2.5*1.35+1.7*0.9+3.05*0.9+1.35*3.2)*(10.764)</f>
        <v>664.21952999999996</v>
      </c>
      <c r="E221" s="42">
        <v>0</v>
      </c>
      <c r="F221" s="42">
        <f t="shared" si="15"/>
        <v>996.329295</v>
      </c>
      <c r="G221" s="191" t="str">
        <f t="shared" si="16"/>
        <v>24th to 27th &amp; 29th to 31st Floor</v>
      </c>
      <c r="H221" s="192"/>
      <c r="I221" s="36"/>
      <c r="L221" s="160"/>
      <c r="M221" s="160"/>
      <c r="N221" s="36"/>
    </row>
    <row r="222" spans="1:14" s="37" customFormat="1" ht="15.75" customHeight="1" x14ac:dyDescent="0.3">
      <c r="A222" s="70" t="s">
        <v>244</v>
      </c>
      <c r="B222" s="71"/>
      <c r="C222" s="42" t="s">
        <v>210</v>
      </c>
      <c r="D222" s="60">
        <f>(3.05*4.65+2.25*2.45+3.05*3.05+2.15*1.45+1.1*1.45+2.5*0.9+3.2*3.5+2.25*1.4+3.05*1.35+2.25*0.9)*(10.764)</f>
        <v>607.65470999999991</v>
      </c>
      <c r="E222" s="42">
        <v>0</v>
      </c>
      <c r="F222" s="42">
        <f t="shared" si="15"/>
        <v>911.48206499999992</v>
      </c>
      <c r="G222" s="191" t="str">
        <f t="shared" si="16"/>
        <v>24th to 27th &amp; 29th to 31st Floor</v>
      </c>
      <c r="H222" s="192"/>
      <c r="I222" s="36"/>
      <c r="L222" s="160"/>
      <c r="M222" s="160"/>
      <c r="N222" s="36"/>
    </row>
    <row r="223" spans="1:14" s="37" customFormat="1" ht="15.75" customHeight="1" x14ac:dyDescent="0.3">
      <c r="A223" s="70" t="s">
        <v>245</v>
      </c>
      <c r="B223" s="71"/>
      <c r="C223" s="42" t="s">
        <v>210</v>
      </c>
      <c r="D223" s="60">
        <f>(3.05*4.65+2.25*2.45+3.05*3.05+2.25*1.45+2.5*0.9+1*1.5+3.2*3.5+2.25*1.4+3.05*1.35+2.25*0.9)*(10.764)</f>
        <v>608.19290999999998</v>
      </c>
      <c r="E223" s="42">
        <v>0</v>
      </c>
      <c r="F223" s="42">
        <f t="shared" si="15"/>
        <v>912.28936499999998</v>
      </c>
      <c r="G223" s="193" t="str">
        <f t="shared" si="16"/>
        <v>24th to 27th &amp; 29th to 31st Floor</v>
      </c>
      <c r="H223" s="194"/>
      <c r="I223" s="36" t="s">
        <v>213</v>
      </c>
      <c r="L223" s="160"/>
      <c r="M223" s="160"/>
      <c r="N223" s="36"/>
    </row>
    <row r="224" spans="1:14" s="37" customFormat="1" x14ac:dyDescent="0.3">
      <c r="A224" s="137" t="s">
        <v>222</v>
      </c>
      <c r="B224" s="138"/>
      <c r="C224" s="138"/>
      <c r="D224" s="138"/>
      <c r="E224" s="138"/>
      <c r="F224" s="138"/>
      <c r="G224" s="138"/>
      <c r="H224" s="139"/>
      <c r="J224" s="36"/>
    </row>
    <row r="225" spans="1:14" s="37" customFormat="1" ht="15.75" customHeight="1" x14ac:dyDescent="0.3">
      <c r="A225" s="70" t="s">
        <v>236</v>
      </c>
      <c r="B225" s="71"/>
      <c r="C225" s="189" t="s">
        <v>216</v>
      </c>
      <c r="D225" s="195"/>
      <c r="E225" s="195"/>
      <c r="F225" s="190"/>
      <c r="G225" s="189" t="str">
        <f>A224</f>
        <v>28th Floor (Part Refuge Area)</v>
      </c>
      <c r="H225" s="190"/>
      <c r="I225" s="36"/>
      <c r="L225" s="160"/>
      <c r="M225" s="160"/>
      <c r="N225" s="36"/>
    </row>
    <row r="226" spans="1:14" s="37" customFormat="1" ht="15.75" customHeight="1" x14ac:dyDescent="0.3">
      <c r="A226" s="70" t="s">
        <v>237</v>
      </c>
      <c r="B226" s="71"/>
      <c r="C226" s="191"/>
      <c r="D226" s="196"/>
      <c r="E226" s="196"/>
      <c r="F226" s="192"/>
      <c r="G226" s="191" t="str">
        <f t="shared" ref="G226:G236" si="17">G225</f>
        <v>28th Floor (Part Refuge Area)</v>
      </c>
      <c r="H226" s="192"/>
      <c r="I226" s="36"/>
      <c r="L226" s="160"/>
      <c r="M226" s="160"/>
      <c r="N226" s="36"/>
    </row>
    <row r="227" spans="1:14" s="37" customFormat="1" ht="15.75" customHeight="1" x14ac:dyDescent="0.3">
      <c r="A227" s="70" t="s">
        <v>238</v>
      </c>
      <c r="B227" s="71"/>
      <c r="C227" s="193"/>
      <c r="D227" s="197"/>
      <c r="E227" s="197"/>
      <c r="F227" s="194"/>
      <c r="G227" s="191" t="str">
        <f t="shared" si="17"/>
        <v>28th Floor (Part Refuge Area)</v>
      </c>
      <c r="H227" s="192"/>
      <c r="I227" s="36"/>
      <c r="L227" s="160"/>
      <c r="M227" s="160"/>
      <c r="N227" s="36"/>
    </row>
    <row r="228" spans="1:14" s="37" customFormat="1" ht="15.75" customHeight="1" x14ac:dyDescent="0.3">
      <c r="A228" s="70" t="s">
        <v>239</v>
      </c>
      <c r="B228" s="71"/>
      <c r="C228" s="42" t="s">
        <v>210</v>
      </c>
      <c r="D228" s="60">
        <f>(3.05*5.25+0.4*3.2+3.05*3.35+3.35*3.35+1.4*2.45+2.3*1.45+2.75*2.2+0.9*2.15+3.95*0.9+3.05*1.35)*(10.764)</f>
        <v>658.27242000000001</v>
      </c>
      <c r="E228" s="42">
        <v>0</v>
      </c>
      <c r="F228" s="42">
        <f t="shared" ref="F228:F236" si="18">D228*(($F$154)+1)+(IF(E228&lt;101,E228,IF(E228&lt;201,E228/2,IF(E228&lt;=301,E228/3,E228/4))))</f>
        <v>987.40863000000002</v>
      </c>
      <c r="G228" s="191" t="str">
        <f t="shared" si="17"/>
        <v>28th Floor (Part Refuge Area)</v>
      </c>
      <c r="H228" s="192"/>
      <c r="I228" s="36"/>
      <c r="L228" s="160"/>
      <c r="M228" s="160"/>
      <c r="N228" s="36"/>
    </row>
    <row r="229" spans="1:14" s="37" customFormat="1" ht="15.75" customHeight="1" x14ac:dyDescent="0.3">
      <c r="A229" s="70" t="s">
        <v>240</v>
      </c>
      <c r="B229" s="71"/>
      <c r="C229" s="42" t="s">
        <v>210</v>
      </c>
      <c r="D229" s="60">
        <f>(3.05*5.25+0.4*3.2+3.05*3.35+3.35*3.35+1.4*2.45+2.3*1.45+2.75*2.2+0.9*2.15+3.95*0.9+3.05*1.35)*(10.764)</f>
        <v>658.27242000000001</v>
      </c>
      <c r="E229" s="42">
        <v>0</v>
      </c>
      <c r="F229" s="42">
        <f t="shared" si="18"/>
        <v>987.40863000000002</v>
      </c>
      <c r="G229" s="191" t="str">
        <f t="shared" si="17"/>
        <v>28th Floor (Part Refuge Area)</v>
      </c>
      <c r="H229" s="192"/>
      <c r="I229" s="36"/>
      <c r="L229" s="160"/>
      <c r="M229" s="160"/>
      <c r="N229" s="36"/>
    </row>
    <row r="230" spans="1:14" s="37" customFormat="1" ht="15.75" customHeight="1" x14ac:dyDescent="0.3">
      <c r="A230" s="70" t="s">
        <v>241</v>
      </c>
      <c r="B230" s="71"/>
      <c r="C230" s="42" t="s">
        <v>211</v>
      </c>
      <c r="D230" s="60">
        <f>(4.3*3.05+2.15*2.15+3.15*3.05+0.8*1.71+2*1.35+2.15*1.35+0.9*(1+1.45)+1.4*1.5)*(10.764)</f>
        <v>415.71106199999997</v>
      </c>
      <c r="E230" s="42">
        <v>0</v>
      </c>
      <c r="F230" s="42">
        <f t="shared" si="18"/>
        <v>623.56659300000001</v>
      </c>
      <c r="G230" s="191" t="str">
        <f t="shared" si="17"/>
        <v>28th Floor (Part Refuge Area)</v>
      </c>
      <c r="H230" s="192"/>
      <c r="I230" s="36"/>
      <c r="L230" s="160"/>
      <c r="M230" s="160"/>
      <c r="N230" s="36"/>
    </row>
    <row r="231" spans="1:14" s="37" customFormat="1" ht="15.75" customHeight="1" x14ac:dyDescent="0.3">
      <c r="A231" s="70" t="s">
        <v>242</v>
      </c>
      <c r="B231" s="71"/>
      <c r="C231" s="179" t="s">
        <v>216</v>
      </c>
      <c r="D231" s="198"/>
      <c r="E231" s="198"/>
      <c r="F231" s="180"/>
      <c r="G231" s="191" t="str">
        <f>G236</f>
        <v>28th Floor (Part Refuge Area)</v>
      </c>
      <c r="H231" s="192"/>
      <c r="I231" s="36" t="s">
        <v>214</v>
      </c>
      <c r="L231" s="160"/>
      <c r="M231" s="160"/>
      <c r="N231" s="36"/>
    </row>
    <row r="232" spans="1:14" s="37" customFormat="1" ht="15.75" customHeight="1" x14ac:dyDescent="0.3">
      <c r="A232" s="70" t="s">
        <v>213</v>
      </c>
      <c r="B232" s="71"/>
      <c r="C232" s="53" t="s">
        <v>211</v>
      </c>
      <c r="D232" s="60">
        <f>(1.2*2.4+3.05*4.35+2.05*2.05+3.05*3.05+1.75*0.6+2*1.35+1.35*2.1+1.45*0.9+1*0.9+1.5*1.5)*(10.764)</f>
        <v>438.01406999999995</v>
      </c>
      <c r="E232" s="42">
        <v>0</v>
      </c>
      <c r="F232" s="42">
        <f t="shared" si="18"/>
        <v>657.02110499999992</v>
      </c>
      <c r="G232" s="191" t="str">
        <f>G230</f>
        <v>28th Floor (Part Refuge Area)</v>
      </c>
      <c r="H232" s="192"/>
      <c r="I232" s="36" t="s">
        <v>213</v>
      </c>
      <c r="L232" s="160"/>
      <c r="M232" s="160"/>
      <c r="N232" s="36"/>
    </row>
    <row r="233" spans="1:14" s="37" customFormat="1" ht="15.75" customHeight="1" x14ac:dyDescent="0.3">
      <c r="A233" s="70" t="s">
        <v>214</v>
      </c>
      <c r="B233" s="71"/>
      <c r="C233" s="53" t="s">
        <v>212</v>
      </c>
      <c r="D233" s="60">
        <f>(1.2*2.25+3.2*6.05+0.6*2.55+3.05*3.4+3.05*4.4+2.55*1.55+1.5*2.5+2.55*0.9+3.65*2.3+3.05*3.95+1.4*2.45+0.9*2.1+3.45*1.35)*(10.764)</f>
        <v>945.05229000000008</v>
      </c>
      <c r="E233" s="42">
        <v>0</v>
      </c>
      <c r="F233" s="42">
        <f t="shared" si="18"/>
        <v>1417.5784350000001</v>
      </c>
      <c r="G233" s="191" t="str">
        <f t="shared" si="17"/>
        <v>28th Floor (Part Refuge Area)</v>
      </c>
      <c r="H233" s="192"/>
      <c r="I233" s="36" t="s">
        <v>214</v>
      </c>
      <c r="L233" s="160"/>
      <c r="M233" s="160"/>
      <c r="N233" s="36"/>
    </row>
    <row r="234" spans="1:14" s="37" customFormat="1" ht="15.75" customHeight="1" x14ac:dyDescent="0.3">
      <c r="A234" s="70" t="s">
        <v>243</v>
      </c>
      <c r="B234" s="71"/>
      <c r="C234" s="42" t="s">
        <v>210</v>
      </c>
      <c r="D234" s="60">
        <f>(5.3*3.05+2.25*3.45+1.35*2.4+3.05*3.75+3.65*3.05+2.5*1.35+1.7*0.9+3.05*0.9+1.35*3.2)*(10.764)</f>
        <v>664.21952999999996</v>
      </c>
      <c r="E234" s="42">
        <v>0</v>
      </c>
      <c r="F234" s="42">
        <f t="shared" si="18"/>
        <v>996.329295</v>
      </c>
      <c r="G234" s="191" t="str">
        <f t="shared" si="17"/>
        <v>28th Floor (Part Refuge Area)</v>
      </c>
      <c r="H234" s="192"/>
      <c r="I234" s="36"/>
      <c r="L234" s="160"/>
      <c r="M234" s="160"/>
      <c r="N234" s="36"/>
    </row>
    <row r="235" spans="1:14" s="37" customFormat="1" ht="15.75" customHeight="1" x14ac:dyDescent="0.3">
      <c r="A235" s="70" t="s">
        <v>244</v>
      </c>
      <c r="B235" s="71"/>
      <c r="C235" s="42" t="s">
        <v>210</v>
      </c>
      <c r="D235" s="60">
        <f>(3.05*4.65+2.25*2.45+3.05*3.05+2.15*1.45+1.1*1.45+2.5*0.9+3.2*3.5+2.25*1.4+3.05*1.35+2.25*0.9)*(10.764)</f>
        <v>607.65470999999991</v>
      </c>
      <c r="E235" s="42">
        <v>0</v>
      </c>
      <c r="F235" s="42">
        <f t="shared" si="18"/>
        <v>911.48206499999992</v>
      </c>
      <c r="G235" s="191" t="str">
        <f t="shared" si="17"/>
        <v>28th Floor (Part Refuge Area)</v>
      </c>
      <c r="H235" s="192"/>
      <c r="I235" s="36"/>
      <c r="L235" s="160"/>
      <c r="M235" s="160"/>
      <c r="N235" s="36"/>
    </row>
    <row r="236" spans="1:14" s="37" customFormat="1" ht="15.75" customHeight="1" x14ac:dyDescent="0.3">
      <c r="A236" s="70" t="s">
        <v>245</v>
      </c>
      <c r="B236" s="71"/>
      <c r="C236" s="42" t="s">
        <v>210</v>
      </c>
      <c r="D236" s="60">
        <f>(3.05*4.65+2.25*2.45+3.05*3.05+2.25*1.45+2.5*0.9+1*1.5+3.2*3.5+2.25*1.4+3.05*1.35+2.25*0.9)*(10.764)</f>
        <v>608.19290999999998</v>
      </c>
      <c r="E236" s="42">
        <v>0</v>
      </c>
      <c r="F236" s="42">
        <f t="shared" si="18"/>
        <v>912.28936499999998</v>
      </c>
      <c r="G236" s="193" t="str">
        <f t="shared" si="17"/>
        <v>28th Floor (Part Refuge Area)</v>
      </c>
      <c r="H236" s="194"/>
      <c r="I236" s="36" t="s">
        <v>213</v>
      </c>
      <c r="L236" s="160"/>
      <c r="M236" s="160"/>
      <c r="N236" s="36"/>
    </row>
    <row r="237" spans="1:14" s="37" customFormat="1" x14ac:dyDescent="0.3">
      <c r="A237" s="137" t="s">
        <v>223</v>
      </c>
      <c r="B237" s="138"/>
      <c r="C237" s="138"/>
      <c r="D237" s="138"/>
      <c r="E237" s="138"/>
      <c r="F237" s="138"/>
      <c r="G237" s="138"/>
      <c r="H237" s="139"/>
      <c r="J237" s="36"/>
    </row>
    <row r="238" spans="1:14" s="37" customFormat="1" ht="15.75" customHeight="1" x14ac:dyDescent="0.3">
      <c r="A238" s="70" t="s">
        <v>236</v>
      </c>
      <c r="B238" s="71"/>
      <c r="C238" s="189" t="s">
        <v>224</v>
      </c>
      <c r="D238" s="195"/>
      <c r="E238" s="195"/>
      <c r="F238" s="190"/>
      <c r="G238" s="189" t="str">
        <f>A237</f>
        <v>32nd Floor (Part Terrace Area)</v>
      </c>
      <c r="H238" s="190"/>
      <c r="I238" s="36"/>
      <c r="L238" s="160"/>
      <c r="M238" s="160"/>
      <c r="N238" s="36"/>
    </row>
    <row r="239" spans="1:14" s="37" customFormat="1" ht="15.75" customHeight="1" x14ac:dyDescent="0.3">
      <c r="A239" s="70" t="s">
        <v>237</v>
      </c>
      <c r="B239" s="71"/>
      <c r="C239" s="191"/>
      <c r="D239" s="196"/>
      <c r="E239" s="196"/>
      <c r="F239" s="192"/>
      <c r="G239" s="191" t="str">
        <f t="shared" ref="G239:G249" si="19">G238</f>
        <v>32nd Floor (Part Terrace Area)</v>
      </c>
      <c r="H239" s="192"/>
      <c r="I239" s="36"/>
      <c r="L239" s="160"/>
      <c r="M239" s="160"/>
      <c r="N239" s="36"/>
    </row>
    <row r="240" spans="1:14" s="37" customFormat="1" ht="15.75" customHeight="1" x14ac:dyDescent="0.3">
      <c r="A240" s="70" t="s">
        <v>238</v>
      </c>
      <c r="B240" s="71"/>
      <c r="C240" s="193"/>
      <c r="D240" s="197"/>
      <c r="E240" s="197"/>
      <c r="F240" s="194"/>
      <c r="G240" s="191" t="str">
        <f t="shared" si="19"/>
        <v>32nd Floor (Part Terrace Area)</v>
      </c>
      <c r="H240" s="192"/>
      <c r="I240" s="36"/>
      <c r="L240" s="160"/>
      <c r="M240" s="160"/>
      <c r="N240" s="36"/>
    </row>
    <row r="241" spans="1:14" s="37" customFormat="1" ht="15.75" customHeight="1" x14ac:dyDescent="0.3">
      <c r="A241" s="70" t="s">
        <v>239</v>
      </c>
      <c r="B241" s="71"/>
      <c r="C241" s="42" t="s">
        <v>210</v>
      </c>
      <c r="D241" s="60">
        <f>(3.05*5.25+0.4*3.2+3.05*3.35+3.35*3.35+1.4*2.45+2.3*1.45+2.75*2.2+0.9*2.15+3.95*0.9+3.05*1.35)*(10.764)</f>
        <v>658.27242000000001</v>
      </c>
      <c r="E241" s="42">
        <v>0</v>
      </c>
      <c r="F241" s="42">
        <f>D241*(($F$154)+1)+(IF(E241&lt;101,E241,IF(E241&lt;201,E241/2,IF(E241&lt;=301,E241/3,E241/4))))</f>
        <v>987.40863000000002</v>
      </c>
      <c r="G241" s="191" t="str">
        <f t="shared" si="19"/>
        <v>32nd Floor (Part Terrace Area)</v>
      </c>
      <c r="H241" s="192"/>
      <c r="I241" s="36"/>
      <c r="L241" s="160"/>
      <c r="M241" s="160"/>
      <c r="N241" s="36"/>
    </row>
    <row r="242" spans="1:14" s="37" customFormat="1" ht="15.75" customHeight="1" x14ac:dyDescent="0.3">
      <c r="A242" s="70" t="s">
        <v>240</v>
      </c>
      <c r="B242" s="71"/>
      <c r="C242" s="42" t="s">
        <v>210</v>
      </c>
      <c r="D242" s="60">
        <f>(3.05*5.25+0.4*3.2+3.05*3.35+3.35*3.35+1.4*2.45+2.3*1.45+2.75*2.2+0.9*2.15+3.95*0.9+3.05*1.35)*(10.764)</f>
        <v>658.27242000000001</v>
      </c>
      <c r="E242" s="42">
        <v>0</v>
      </c>
      <c r="F242" s="42">
        <f>D242*(($F$154)+1)+(IF(E242&lt;101,E242,IF(E242&lt;201,E242/2,IF(E242&lt;=301,E242/3,E242/4))))</f>
        <v>987.40863000000002</v>
      </c>
      <c r="G242" s="191" t="str">
        <f t="shared" si="19"/>
        <v>32nd Floor (Part Terrace Area)</v>
      </c>
      <c r="H242" s="192"/>
      <c r="I242" s="36"/>
      <c r="L242" s="160"/>
      <c r="M242" s="160"/>
      <c r="N242" s="36"/>
    </row>
    <row r="243" spans="1:14" s="37" customFormat="1" ht="15.75" customHeight="1" x14ac:dyDescent="0.3">
      <c r="A243" s="70" t="s">
        <v>241</v>
      </c>
      <c r="B243" s="71"/>
      <c r="C243" s="42" t="s">
        <v>211</v>
      </c>
      <c r="D243" s="60">
        <f>(4.3*3.05+2.15*2.15+3.15*3.05+0.8*1.71+2*1.35+2.15*1.35+0.9*(1+1.45)+1.4*1.5)*(10.764)</f>
        <v>415.71106199999997</v>
      </c>
      <c r="E243" s="42">
        <v>0</v>
      </c>
      <c r="F243" s="42">
        <f>D243*(($F$154)+1)+(IF(E243&lt;101,E243,IF(E243&lt;201,E243/2,IF(E243&lt;=301,E243/3,E243/4))))</f>
        <v>623.56659300000001</v>
      </c>
      <c r="G243" s="191" t="str">
        <f t="shared" si="19"/>
        <v>32nd Floor (Part Terrace Area)</v>
      </c>
      <c r="H243" s="192"/>
      <c r="I243" s="36"/>
      <c r="L243" s="160"/>
      <c r="M243" s="160"/>
      <c r="N243" s="36"/>
    </row>
    <row r="244" spans="1:14" s="37" customFormat="1" ht="15.75" customHeight="1" x14ac:dyDescent="0.3">
      <c r="A244" s="70" t="s">
        <v>242</v>
      </c>
      <c r="B244" s="71"/>
      <c r="C244" s="201" t="s">
        <v>224</v>
      </c>
      <c r="D244" s="202"/>
      <c r="E244" s="202"/>
      <c r="F244" s="203"/>
      <c r="G244" s="191" t="str">
        <f>G242</f>
        <v>32nd Floor (Part Terrace Area)</v>
      </c>
      <c r="H244" s="192"/>
      <c r="I244" s="36" t="s">
        <v>213</v>
      </c>
      <c r="L244" s="160"/>
      <c r="M244" s="160"/>
      <c r="N244" s="36"/>
    </row>
    <row r="245" spans="1:14" s="37" customFormat="1" ht="15.75" customHeight="1" x14ac:dyDescent="0.3">
      <c r="A245" s="70" t="s">
        <v>213</v>
      </c>
      <c r="B245" s="71"/>
      <c r="C245" s="204"/>
      <c r="D245" s="205"/>
      <c r="E245" s="205"/>
      <c r="F245" s="206"/>
      <c r="G245" s="191" t="str">
        <f>G243</f>
        <v>32nd Floor (Part Terrace Area)</v>
      </c>
      <c r="H245" s="192"/>
      <c r="I245" s="36" t="s">
        <v>213</v>
      </c>
      <c r="L245" s="160"/>
      <c r="M245" s="160"/>
      <c r="N245" s="36"/>
    </row>
    <row r="246" spans="1:14" s="37" customFormat="1" ht="15.75" customHeight="1" x14ac:dyDescent="0.3">
      <c r="A246" s="70" t="s">
        <v>214</v>
      </c>
      <c r="B246" s="71"/>
      <c r="C246" s="53" t="s">
        <v>212</v>
      </c>
      <c r="D246" s="60">
        <f>(1.2*2.25+3.2*6.05+0.6*2.55+3.05*3.4+3.05*4.4+2.55*1.55+1.5*2.5+2.55*0.9+3.65*2.3+3.05*3.95+1.4*2.45+0.9*2.1+3.45*1.35)*(10.764)</f>
        <v>945.05229000000008</v>
      </c>
      <c r="E246" s="42">
        <v>0</v>
      </c>
      <c r="F246" s="42">
        <f>D246*(($F$154)+1)+(IF(E246&lt;101,E246,IF(E246&lt;201,E246/2,IF(E246&lt;=301,E246/3,E246/4))))</f>
        <v>1417.5784350000001</v>
      </c>
      <c r="G246" s="191" t="str">
        <f t="shared" si="19"/>
        <v>32nd Floor (Part Terrace Area)</v>
      </c>
      <c r="H246" s="192"/>
      <c r="I246" s="36" t="s">
        <v>214</v>
      </c>
      <c r="L246" s="160"/>
      <c r="M246" s="160"/>
      <c r="N246" s="36"/>
    </row>
    <row r="247" spans="1:14" s="37" customFormat="1" ht="15.75" customHeight="1" x14ac:dyDescent="0.3">
      <c r="A247" s="70" t="s">
        <v>243</v>
      </c>
      <c r="B247" s="71"/>
      <c r="C247" s="189" t="s">
        <v>224</v>
      </c>
      <c r="D247" s="195"/>
      <c r="E247" s="195"/>
      <c r="F247" s="190"/>
      <c r="G247" s="191" t="str">
        <f t="shared" si="19"/>
        <v>32nd Floor (Part Terrace Area)</v>
      </c>
      <c r="H247" s="192"/>
      <c r="I247" s="36"/>
      <c r="L247" s="160"/>
      <c r="M247" s="160"/>
      <c r="N247" s="36"/>
    </row>
    <row r="248" spans="1:14" s="37" customFormat="1" ht="15.75" customHeight="1" x14ac:dyDescent="0.3">
      <c r="A248" s="70" t="s">
        <v>244</v>
      </c>
      <c r="B248" s="71"/>
      <c r="C248" s="191"/>
      <c r="D248" s="196"/>
      <c r="E248" s="196"/>
      <c r="F248" s="192"/>
      <c r="G248" s="191" t="str">
        <f t="shared" si="19"/>
        <v>32nd Floor (Part Terrace Area)</v>
      </c>
      <c r="H248" s="192"/>
      <c r="I248" s="36"/>
      <c r="L248" s="160"/>
      <c r="M248" s="160"/>
      <c r="N248" s="36"/>
    </row>
    <row r="249" spans="1:14" s="37" customFormat="1" ht="15.75" customHeight="1" x14ac:dyDescent="0.3">
      <c r="A249" s="70" t="s">
        <v>245</v>
      </c>
      <c r="B249" s="71"/>
      <c r="C249" s="191"/>
      <c r="D249" s="196"/>
      <c r="E249" s="196"/>
      <c r="F249" s="192"/>
      <c r="G249" s="193" t="str">
        <f t="shared" si="19"/>
        <v>32nd Floor (Part Terrace Area)</v>
      </c>
      <c r="H249" s="194"/>
      <c r="I249" s="36" t="s">
        <v>213</v>
      </c>
      <c r="L249" s="160"/>
      <c r="M249" s="160"/>
      <c r="N249" s="36"/>
    </row>
    <row r="250" spans="1:14" s="37" customFormat="1" hidden="1" x14ac:dyDescent="0.3">
      <c r="A250" s="137" t="s">
        <v>119</v>
      </c>
      <c r="B250" s="138"/>
      <c r="C250" s="138"/>
      <c r="D250" s="138"/>
      <c r="E250" s="138"/>
      <c r="F250" s="138"/>
      <c r="G250" s="138"/>
      <c r="H250" s="139"/>
      <c r="J250" s="55"/>
    </row>
    <row r="251" spans="1:14" s="37" customFormat="1" hidden="1" x14ac:dyDescent="0.3">
      <c r="A251" s="70">
        <v>1</v>
      </c>
      <c r="B251" s="71"/>
      <c r="C251" s="42"/>
      <c r="D251" s="42"/>
      <c r="E251" s="42">
        <v>0</v>
      </c>
      <c r="F251" s="42">
        <f>D251*(($F$154)+1)+(IF(E251&lt;101,E251,IF(E251&lt;201,E251/2,IF(E251&lt;=301,E251/3,E251/4))))</f>
        <v>0</v>
      </c>
      <c r="G251" s="70" t="str">
        <f>A250</f>
        <v>Ground Floor</v>
      </c>
      <c r="H251" s="71"/>
      <c r="I251" s="36"/>
      <c r="J251" s="54"/>
      <c r="L251" s="160"/>
      <c r="M251" s="160"/>
      <c r="N251" s="36"/>
    </row>
    <row r="252" spans="1:14" s="37" customFormat="1" hidden="1" x14ac:dyDescent="0.3">
      <c r="A252" s="70">
        <f t="shared" ref="A252:A254" si="20">A251+1</f>
        <v>2</v>
      </c>
      <c r="B252" s="71"/>
      <c r="C252" s="42"/>
      <c r="D252" s="42"/>
      <c r="E252" s="42">
        <v>0</v>
      </c>
      <c r="F252" s="42">
        <f>D252*(($F$154)+1)+(IF(E252&lt;101,E252,IF(E252&lt;201,E252/2,IF(E252&lt;=301,E252/3,E252/4))))</f>
        <v>0</v>
      </c>
      <c r="G252" s="70" t="str">
        <f t="shared" ref="G252:G254" si="21">G251</f>
        <v>Ground Floor</v>
      </c>
      <c r="H252" s="71"/>
      <c r="I252" s="36"/>
      <c r="J252" s="54"/>
      <c r="L252" s="160"/>
      <c r="M252" s="160"/>
      <c r="N252" s="36"/>
    </row>
    <row r="253" spans="1:14" s="37" customFormat="1" hidden="1" x14ac:dyDescent="0.3">
      <c r="A253" s="70">
        <f t="shared" si="20"/>
        <v>3</v>
      </c>
      <c r="B253" s="71"/>
      <c r="C253" s="42"/>
      <c r="D253" s="42"/>
      <c r="E253" s="42">
        <v>0</v>
      </c>
      <c r="F253" s="42">
        <f>D253*(($F$154)+1)+(IF(E253&lt;101,E253,IF(E253&lt;201,E253/2,IF(E253&lt;=301,E253/3,E253/4))))</f>
        <v>0</v>
      </c>
      <c r="G253" s="70" t="str">
        <f t="shared" si="21"/>
        <v>Ground Floor</v>
      </c>
      <c r="H253" s="71"/>
      <c r="I253" s="36"/>
      <c r="J253" s="54"/>
      <c r="L253" s="160"/>
      <c r="M253" s="160"/>
      <c r="N253" s="36"/>
    </row>
    <row r="254" spans="1:14" s="37" customFormat="1" hidden="1" x14ac:dyDescent="0.3">
      <c r="A254" s="70">
        <f t="shared" si="20"/>
        <v>4</v>
      </c>
      <c r="B254" s="71"/>
      <c r="C254" s="42"/>
      <c r="D254" s="42"/>
      <c r="E254" s="42">
        <v>0</v>
      </c>
      <c r="F254" s="42">
        <f>D254*(($F$154)+1)+(IF(E254&lt;101,E254,IF(E254&lt;201,E254/2,IF(E254&lt;=301,E254/3,E254/4))))</f>
        <v>0</v>
      </c>
      <c r="G254" s="70" t="str">
        <f t="shared" si="21"/>
        <v>Ground Floor</v>
      </c>
      <c r="H254" s="71"/>
      <c r="I254" s="36"/>
      <c r="J254" s="54"/>
      <c r="L254" s="160"/>
      <c r="M254" s="160"/>
      <c r="N254" s="36"/>
    </row>
    <row r="255" spans="1:14" s="37" customFormat="1" hidden="1" x14ac:dyDescent="0.3">
      <c r="A255" s="135" t="s">
        <v>120</v>
      </c>
      <c r="B255" s="135"/>
      <c r="C255" s="135"/>
      <c r="D255" s="135"/>
      <c r="E255" s="135"/>
      <c r="F255" s="135"/>
      <c r="G255" s="135"/>
      <c r="H255" s="135"/>
      <c r="I255" s="36"/>
      <c r="J255" s="54"/>
      <c r="L255" s="160"/>
      <c r="M255" s="160"/>
    </row>
    <row r="256" spans="1:14" s="37" customFormat="1" hidden="1" x14ac:dyDescent="0.3">
      <c r="A256" s="72">
        <f>LEFT(A255,SUM(LEN(A255)-LEN(SUBSTITUTE(A255,{"0","1","2","3","4","5","6","7","8","9"},""))))*100+1</f>
        <v>201</v>
      </c>
      <c r="B256" s="72"/>
      <c r="C256" s="42"/>
      <c r="D256" s="42"/>
      <c r="E256" s="42">
        <v>0</v>
      </c>
      <c r="F256" s="42">
        <f t="shared" ref="F256:F257" si="22">D256*(($F$154)+1)+(IF(E256&lt;101,E256,IF(E256&lt;201,E256/2,IF(E256&lt;=301,E256/3,E256/4))))</f>
        <v>0</v>
      </c>
      <c r="G256" s="72" t="str">
        <f>A255</f>
        <v>2nd Floor</v>
      </c>
      <c r="H256" s="72"/>
      <c r="I256" s="36"/>
      <c r="J256" s="54"/>
      <c r="N256" s="36"/>
    </row>
    <row r="257" spans="1:14" s="37" customFormat="1" hidden="1" x14ac:dyDescent="0.3">
      <c r="A257" s="72">
        <f>A256+1</f>
        <v>202</v>
      </c>
      <c r="B257" s="72"/>
      <c r="C257" s="42"/>
      <c r="D257" s="42"/>
      <c r="E257" s="42">
        <v>0</v>
      </c>
      <c r="F257" s="42">
        <f t="shared" si="22"/>
        <v>0</v>
      </c>
      <c r="G257" s="72" t="str">
        <f>G256</f>
        <v>2nd Floor</v>
      </c>
      <c r="H257" s="72"/>
      <c r="I257" s="36"/>
      <c r="J257" s="54"/>
      <c r="N257" s="36"/>
    </row>
    <row r="258" spans="1:14" s="37" customFormat="1" hidden="1" x14ac:dyDescent="0.3">
      <c r="A258" s="72">
        <f>A257+1</f>
        <v>203</v>
      </c>
      <c r="B258" s="72"/>
      <c r="C258" s="42"/>
      <c r="D258" s="42"/>
      <c r="E258" s="42">
        <v>0</v>
      </c>
      <c r="F258" s="42">
        <f>D258*(($F$154)+1)+(IF(E258&lt;101,E258,IF(E258&lt;201,E258/2,IF(E258&lt;=301,E258/3,E258/4))))</f>
        <v>0</v>
      </c>
      <c r="G258" s="72" t="str">
        <f>G257</f>
        <v>2nd Floor</v>
      </c>
      <c r="H258" s="72"/>
      <c r="I258" s="36"/>
      <c r="J258" s="54"/>
      <c r="N258" s="36"/>
    </row>
    <row r="259" spans="1:14" s="37" customFormat="1" hidden="1" x14ac:dyDescent="0.3">
      <c r="A259" s="72">
        <f>A258+1</f>
        <v>204</v>
      </c>
      <c r="B259" s="72"/>
      <c r="C259" s="42"/>
      <c r="D259" s="42"/>
      <c r="E259" s="42">
        <v>0</v>
      </c>
      <c r="F259" s="42">
        <f>D259*(($F$154)+1)+(IF(E259&lt;101,E259,IF(E259&lt;201,E259/2,IF(E259&lt;=301,E259/3,E259/4))))</f>
        <v>0</v>
      </c>
      <c r="G259" s="72" t="str">
        <f>G258</f>
        <v>2nd Floor</v>
      </c>
      <c r="H259" s="72"/>
      <c r="I259" s="36"/>
      <c r="J259" s="54"/>
      <c r="N259" s="36"/>
    </row>
    <row r="260" spans="1:14" s="37" customFormat="1" hidden="1" x14ac:dyDescent="0.3">
      <c r="A260" s="72">
        <f>A259+1</f>
        <v>205</v>
      </c>
      <c r="B260" s="72"/>
      <c r="C260" s="42"/>
      <c r="D260" s="42"/>
      <c r="E260" s="42">
        <v>0</v>
      </c>
      <c r="F260" s="42">
        <f>D260*(($F$154)+1)+(IF(E260&lt;101,E260,IF(E260&lt;201,E260/2,IF(E260&lt;=301,E260/3,E260/4))))</f>
        <v>0</v>
      </c>
      <c r="G260" s="72" t="str">
        <f>G259</f>
        <v>2nd Floor</v>
      </c>
      <c r="H260" s="72"/>
      <c r="I260" s="36"/>
      <c r="J260" s="54"/>
      <c r="N260" s="36"/>
    </row>
    <row r="261" spans="1:14" s="37" customFormat="1" ht="15.75" hidden="1" customHeight="1" x14ac:dyDescent="0.3">
      <c r="A261" s="137" t="s">
        <v>157</v>
      </c>
      <c r="B261" s="138"/>
      <c r="C261" s="138"/>
      <c r="D261" s="138"/>
      <c r="E261" s="138"/>
      <c r="F261" s="138"/>
      <c r="G261" s="138"/>
      <c r="H261" s="139"/>
      <c r="I261" s="36"/>
      <c r="J261" s="54"/>
    </row>
    <row r="262" spans="1:14" s="37" customFormat="1" hidden="1" x14ac:dyDescent="0.3">
      <c r="A262" s="70" t="str">
        <f ca="1">(SUMPRODUCT(MID(0&amp;(LEFT(A261,SUM(LEN(A261)-LEN(SUBSTITUTE(A261,{"0","1","2"},""))))), LARGE(INDEX(ISNUMBER(--MID((LEFT(A261,SUM(LEN(A261)-LEN(SUBSTITUTE(A261,{"0","1","2"},""))))), ROW(INDIRECT("1:"&amp;LEN((LEFT(A261,SUM(LEN(A261)-LEN(SUBSTITUTE(A261,{"0","1","2"},"")))))))), 1)) * ROW(INDIRECT("1:"&amp;LEN((LEFT(A261,SUM(LEN(A261)-LEN(SUBSTITUTE(A261,{"0","1","2"},"")))))))), 0), ROW(INDIRECT("1:"&amp;LEN((LEFT(A261,SUM(LEN(A261)-LEN(SUBSTITUTE(A261,{"0","1","2"},"")))))))))+1, 1) * 10^ROW(INDIRECT("1:"&amp;LEN((LEFT(A261,SUM(LEN(A261)-LEN(SUBSTITUTE(A261,{"0","1","2"},""))))))))/10))*100+1&amp;""&amp;" ,.., "&amp;""&amp;(SUMPRODUCT(MID(0&amp;(--TRIM(RIGHT(SUBSTITUTE(LEFT(A261,_xlfn.AGGREGATE(16,6,FIND({0,1,2,3,4,5,6,7,8,9},A261,ROW(INDIRECT("1:"&amp;LEN(A261)))),1))," ",REPT(" ",LEN(A261))),LEN(A261)))), LARGE(INDEX(ISNUMBER(--MID((--TRIM(RIGHT(SUBSTITUTE(LEFT(A261,_xlfn.AGGREGATE(16,6,FIND({0,1,2,3,4,5,6,7,8,9},A261,ROW(INDIRECT("1:"&amp;LEN(A261)))),1))," ",REPT(" ",LEN(A261))),LEN(A261)))), ROW(INDIRECT("1:"&amp;LEN((--TRIM(RIGHT(SUBSTITUTE(LEFT(A261,_xlfn.AGGREGATE(16,6,FIND({0,1,2,3,4,5,6,7,8,9},A261,ROW(INDIRECT("1:"&amp;LEN(A261)))),1))," ",REPT(" ",LEN(A261))),LEN(A261))))))), 1)) * ROW(INDIRECT("1:"&amp;LEN((--TRIM(RIGHT(SUBSTITUTE(LEFT(A261,_xlfn.AGGREGATE(16,6,FIND({0,1,2,3,4,5,6,7,8,9},A261,ROW(INDIRECT("1:"&amp;LEN(A261)))),1))," ",REPT(" ",LEN(A261))),LEN(A261))))))), 0), ROW(INDIRECT("1:"&amp;LEN((--TRIM(RIGHT(SUBSTITUTE(LEFT(A261,_xlfn.AGGREGATE(16,6,FIND({0,1,2,3,4,5,6,7,8,9},A261,ROW(INDIRECT("1:"&amp;LEN(A261)))),1))," ",REPT(" ",LEN(A261))),LEN(A261))))))))+1, 1) * 10^ROW(INDIRECT("1:"&amp;LEN((--TRIM(RIGHT(SUBSTITUTE(LEFT(A261,_xlfn.AGGREGATE(16,6,FIND({0,1,2,3,4,5,6,7,8,9},A261,ROW(INDIRECT("1:"&amp;LEN(A261)))),1))," ",REPT(" ",LEN(A261))),LEN(A261)))))))/10))*100+1</f>
        <v>301 ,.., 1501</v>
      </c>
      <c r="B262" s="71"/>
      <c r="C262" s="42"/>
      <c r="D262" s="42"/>
      <c r="E262" s="42">
        <v>0</v>
      </c>
      <c r="F262" s="42">
        <f>D262*(($F$154)+1)+(IF(E262&lt;101,E262,IF(E262&lt;201,E262/2,IF(E262&lt;=301,E262/3,E262/4))))</f>
        <v>0</v>
      </c>
      <c r="G262" s="70" t="str">
        <f>A261</f>
        <v>3rd, 5th, 7th, 9th, 11th, 13th, 15th Floor</v>
      </c>
      <c r="H262" s="71"/>
      <c r="I262" s="36"/>
      <c r="J262" s="54"/>
    </row>
    <row r="263" spans="1:14" s="37" customFormat="1" hidden="1" x14ac:dyDescent="0.3">
      <c r="A263" s="70" t="str">
        <f ca="1">(SUMPRODUCT(MID(0&amp;(LEFT(A262,SUM(LEN(A262)-LEN(SUBSTITUTE(A262,{"0","1","2"},""))))), LARGE(INDEX(ISNUMBER(--MID((LEFT(A262,SUM(LEN(A262)-LEN(SUBSTITUTE(A262,{"0","1","2"},""))))), ROW(INDIRECT("1:"&amp;LEN((LEFT(A262,SUM(LEN(A262)-LEN(SUBSTITUTE(A262,{"0","1","2"},"")))))))), 1)) * ROW(INDIRECT("1:"&amp;LEN((LEFT(A262,SUM(LEN(A262)-LEN(SUBSTITUTE(A262,{"0","1","2"},"")))))))), 0), ROW(INDIRECT("1:"&amp;LEN((LEFT(A262,SUM(LEN(A262)-LEN(SUBSTITUTE(A262,{"0","1","2"},"")))))))))+1, 1) * 10^ROW(INDIRECT("1:"&amp;LEN((LEFT(A262,SUM(LEN(A262)-LEN(SUBSTITUTE(A262,{"0","1","2"},""))))))))/10))*1+1&amp;""&amp;" ,.., "&amp;""&amp;(SUMPRODUCT(MID(0&amp;(--TRIM(RIGHT(SUBSTITUTE(LEFT(A262,_xlfn.AGGREGATE(16,6,FIND({0,1,2,3,4,5,6,7,8,9},A262,ROW(INDIRECT("1:"&amp;LEN(A262)))),1))," ",REPT(" ",LEN(A262))),LEN(A262)))), LARGE(INDEX(ISNUMBER(--MID((--TRIM(RIGHT(SUBSTITUTE(LEFT(A262,_xlfn.AGGREGATE(16,6,FIND({0,1,2,3,4,5,6,7,8,9},A262,ROW(INDIRECT("1:"&amp;LEN(A262)))),1))," ",REPT(" ",LEN(A262))),LEN(A262)))), ROW(INDIRECT("1:"&amp;LEN((--TRIM(RIGHT(SUBSTITUTE(LEFT(A262,_xlfn.AGGREGATE(16,6,FIND({0,1,2,3,4,5,6,7,8,9},A262,ROW(INDIRECT("1:"&amp;LEN(A262)))),1))," ",REPT(" ",LEN(A262))),LEN(A262))))))), 1)) * ROW(INDIRECT("1:"&amp;LEN((--TRIM(RIGHT(SUBSTITUTE(LEFT(A262,_xlfn.AGGREGATE(16,6,FIND({0,1,2,3,4,5,6,7,8,9},A262,ROW(INDIRECT("1:"&amp;LEN(A262)))),1))," ",REPT(" ",LEN(A262))),LEN(A262))))))), 0), ROW(INDIRECT("1:"&amp;LEN((--TRIM(RIGHT(SUBSTITUTE(LEFT(A262,_xlfn.AGGREGATE(16,6,FIND({0,1,2,3,4,5,6,7,8,9},A262,ROW(INDIRECT("1:"&amp;LEN(A262)))),1))," ",REPT(" ",LEN(A262))),LEN(A262))))))))+1, 1) * 10^ROW(INDIRECT("1:"&amp;LEN((--TRIM(RIGHT(SUBSTITUTE(LEFT(A262,_xlfn.AGGREGATE(16,6,FIND({0,1,2,3,4,5,6,7,8,9},A262,ROW(INDIRECT("1:"&amp;LEN(A262)))),1))," ",REPT(" ",LEN(A262))),LEN(A262)))))))/10))*1+1</f>
        <v>302 ,.., 1502</v>
      </c>
      <c r="B263" s="71"/>
      <c r="C263" s="42"/>
      <c r="D263" s="42"/>
      <c r="E263" s="42">
        <v>0</v>
      </c>
      <c r="F263" s="42">
        <f>D263*(($F$154)+1)+(IF(E263&lt;101,E263,IF(E263&lt;201,E263/2,IF(E263&lt;=301,E263/3,E263/4))))</f>
        <v>0</v>
      </c>
      <c r="G263" s="70" t="str">
        <f>G262</f>
        <v>3rd, 5th, 7th, 9th, 11th, 13th, 15th Floor</v>
      </c>
      <c r="H263" s="71"/>
      <c r="I263" s="36"/>
      <c r="J263" s="54"/>
    </row>
    <row r="264" spans="1:14" s="37" customFormat="1" ht="15.75" hidden="1" customHeight="1" x14ac:dyDescent="0.3">
      <c r="A264" s="70" t="str">
        <f ca="1">(SUMPRODUCT(MID(0&amp;(LEFT(A263,SUM(LEN(A263)-LEN(SUBSTITUTE(A263,{"0","1","2"},""))))), LARGE(INDEX(ISNUMBER(--MID((LEFT(A263,SUM(LEN(A263)-LEN(SUBSTITUTE(A263,{"0","1","2"},""))))), ROW(INDIRECT("1:"&amp;LEN((LEFT(A263,SUM(LEN(A263)-LEN(SUBSTITUTE(A263,{"0","1","2"},"")))))))), 1)) * ROW(INDIRECT("1:"&amp;LEN((LEFT(A263,SUM(LEN(A263)-LEN(SUBSTITUTE(A263,{"0","1","2"},"")))))))), 0), ROW(INDIRECT("1:"&amp;LEN((LEFT(A263,SUM(LEN(A263)-LEN(SUBSTITUTE(A263,{"0","1","2"},"")))))))))+1, 1) * 10^ROW(INDIRECT("1:"&amp;LEN((LEFT(A263,SUM(LEN(A263)-LEN(SUBSTITUTE(A263,{"0","1","2"},""))))))))/10))*1+1&amp;""&amp;" ,.., "&amp;""&amp;(SUMPRODUCT(MID(0&amp;(--TRIM(RIGHT(SUBSTITUTE(LEFT(A263,_xlfn.AGGREGATE(16,6,FIND({0,1,2,3,4,5,6,7,8,9},A263,ROW(INDIRECT("1:"&amp;LEN(A263)))),1))," ",REPT(" ",LEN(A263))),LEN(A263)))), LARGE(INDEX(ISNUMBER(--MID((--TRIM(RIGHT(SUBSTITUTE(LEFT(A263,_xlfn.AGGREGATE(16,6,FIND({0,1,2,3,4,5,6,7,8,9},A263,ROW(INDIRECT("1:"&amp;LEN(A263)))),1))," ",REPT(" ",LEN(A263))),LEN(A263)))), ROW(INDIRECT("1:"&amp;LEN((--TRIM(RIGHT(SUBSTITUTE(LEFT(A263,_xlfn.AGGREGATE(16,6,FIND({0,1,2,3,4,5,6,7,8,9},A263,ROW(INDIRECT("1:"&amp;LEN(A263)))),1))," ",REPT(" ",LEN(A263))),LEN(A263))))))), 1)) * ROW(INDIRECT("1:"&amp;LEN((--TRIM(RIGHT(SUBSTITUTE(LEFT(A263,_xlfn.AGGREGATE(16,6,FIND({0,1,2,3,4,5,6,7,8,9},A263,ROW(INDIRECT("1:"&amp;LEN(A263)))),1))," ",REPT(" ",LEN(A263))),LEN(A263))))))), 0), ROW(INDIRECT("1:"&amp;LEN((--TRIM(RIGHT(SUBSTITUTE(LEFT(A263,_xlfn.AGGREGATE(16,6,FIND({0,1,2,3,4,5,6,7,8,9},A263,ROW(INDIRECT("1:"&amp;LEN(A263)))),1))," ",REPT(" ",LEN(A263))),LEN(A263))))))))+1, 1) * 10^ROW(INDIRECT("1:"&amp;LEN((--TRIM(RIGHT(SUBSTITUTE(LEFT(A263,_xlfn.AGGREGATE(16,6,FIND({0,1,2,3,4,5,6,7,8,9},A263,ROW(INDIRECT("1:"&amp;LEN(A263)))),1))," ",REPT(" ",LEN(A263))),LEN(A263)))))))/10))*1+1</f>
        <v>303 ,.., 1503</v>
      </c>
      <c r="B264" s="71"/>
      <c r="C264" s="42"/>
      <c r="D264" s="42"/>
      <c r="E264" s="42">
        <v>0</v>
      </c>
      <c r="F264" s="42">
        <f>D264*(($F$154)+1)+(IF(E264&lt;101,E264,IF(E264&lt;201,E264/2,IF(E264&lt;=301,E264/3,E264/4))))</f>
        <v>0</v>
      </c>
      <c r="G264" s="70" t="str">
        <f>G263</f>
        <v>3rd, 5th, 7th, 9th, 11th, 13th, 15th Floor</v>
      </c>
      <c r="H264" s="71"/>
      <c r="I264" s="36"/>
      <c r="J264" s="54"/>
    </row>
    <row r="265" spans="1:14" s="37" customFormat="1" ht="15.75" hidden="1" customHeight="1" x14ac:dyDescent="0.3">
      <c r="A265" s="70" t="str">
        <f ca="1">(SUMPRODUCT(MID(0&amp;(LEFT(A264,SUM(LEN(A264)-LEN(SUBSTITUTE(A264,{"0","1","2"},""))))), LARGE(INDEX(ISNUMBER(--MID((LEFT(A264,SUM(LEN(A264)-LEN(SUBSTITUTE(A264,{"0","1","2"},""))))), ROW(INDIRECT("1:"&amp;LEN((LEFT(A264,SUM(LEN(A264)-LEN(SUBSTITUTE(A264,{"0","1","2"},"")))))))), 1)) * ROW(INDIRECT("1:"&amp;LEN((LEFT(A264,SUM(LEN(A264)-LEN(SUBSTITUTE(A264,{"0","1","2"},"")))))))), 0), ROW(INDIRECT("1:"&amp;LEN((LEFT(A264,SUM(LEN(A264)-LEN(SUBSTITUTE(A264,{"0","1","2"},"")))))))))+1, 1) * 10^ROW(INDIRECT("1:"&amp;LEN((LEFT(A264,SUM(LEN(A264)-LEN(SUBSTITUTE(A264,{"0","1","2"},""))))))))/10))*1+1&amp;""&amp;" ,.., "&amp;""&amp;(SUMPRODUCT(MID(0&amp;(--TRIM(RIGHT(SUBSTITUTE(LEFT(A264,_xlfn.AGGREGATE(16,6,FIND({0,1,2,3,4,5,6,7,8,9},A264,ROW(INDIRECT("1:"&amp;LEN(A264)))),1))," ",REPT(" ",LEN(A264))),LEN(A264)))), LARGE(INDEX(ISNUMBER(--MID((--TRIM(RIGHT(SUBSTITUTE(LEFT(A264,_xlfn.AGGREGATE(16,6,FIND({0,1,2,3,4,5,6,7,8,9},A264,ROW(INDIRECT("1:"&amp;LEN(A264)))),1))," ",REPT(" ",LEN(A264))),LEN(A264)))), ROW(INDIRECT("1:"&amp;LEN((--TRIM(RIGHT(SUBSTITUTE(LEFT(A264,_xlfn.AGGREGATE(16,6,FIND({0,1,2,3,4,5,6,7,8,9},A264,ROW(INDIRECT("1:"&amp;LEN(A264)))),1))," ",REPT(" ",LEN(A264))),LEN(A264))))))), 1)) * ROW(INDIRECT("1:"&amp;LEN((--TRIM(RIGHT(SUBSTITUTE(LEFT(A264,_xlfn.AGGREGATE(16,6,FIND({0,1,2,3,4,5,6,7,8,9},A264,ROW(INDIRECT("1:"&amp;LEN(A264)))),1))," ",REPT(" ",LEN(A264))),LEN(A264))))))), 0), ROW(INDIRECT("1:"&amp;LEN((--TRIM(RIGHT(SUBSTITUTE(LEFT(A264,_xlfn.AGGREGATE(16,6,FIND({0,1,2,3,4,5,6,7,8,9},A264,ROW(INDIRECT("1:"&amp;LEN(A264)))),1))," ",REPT(" ",LEN(A264))),LEN(A264))))))))+1, 1) * 10^ROW(INDIRECT("1:"&amp;LEN((--TRIM(RIGHT(SUBSTITUTE(LEFT(A264,_xlfn.AGGREGATE(16,6,FIND({0,1,2,3,4,5,6,7,8,9},A264,ROW(INDIRECT("1:"&amp;LEN(A264)))),1))," ",REPT(" ",LEN(A264))),LEN(A264)))))))/10))*1+1</f>
        <v>304 ,.., 1504</v>
      </c>
      <c r="B265" s="71"/>
      <c r="C265" s="42"/>
      <c r="D265" s="42"/>
      <c r="E265" s="42">
        <v>0</v>
      </c>
      <c r="F265" s="42">
        <f>D265*(($F$154)+1)+(IF(E265&lt;101,E265,IF(E265&lt;201,E265/2,IF(E265&lt;=301,E265/3,E265/4))))</f>
        <v>0</v>
      </c>
      <c r="G265" s="70" t="str">
        <f>G264</f>
        <v>3rd, 5th, 7th, 9th, 11th, 13th, 15th Floor</v>
      </c>
      <c r="H265" s="71"/>
      <c r="I265" s="36"/>
      <c r="J265" s="54"/>
    </row>
    <row r="266" spans="1:14" s="37" customFormat="1" ht="15.75" hidden="1" customHeight="1" x14ac:dyDescent="0.3">
      <c r="A266" s="70" t="str">
        <f ca="1">(SUMPRODUCT(MID(0&amp;(LEFT(A265,SUM(LEN(A265)-LEN(SUBSTITUTE(A265,{"0","1","2"},""))))), LARGE(INDEX(ISNUMBER(--MID((LEFT(A265,SUM(LEN(A265)-LEN(SUBSTITUTE(A265,{"0","1","2"},""))))), ROW(INDIRECT("1:"&amp;LEN((LEFT(A265,SUM(LEN(A265)-LEN(SUBSTITUTE(A265,{"0","1","2"},"")))))))), 1)) * ROW(INDIRECT("1:"&amp;LEN((LEFT(A265,SUM(LEN(A265)-LEN(SUBSTITUTE(A265,{"0","1","2"},"")))))))), 0), ROW(INDIRECT("1:"&amp;LEN((LEFT(A265,SUM(LEN(A265)-LEN(SUBSTITUTE(A265,{"0","1","2"},"")))))))))+1, 1) * 10^ROW(INDIRECT("1:"&amp;LEN((LEFT(A265,SUM(LEN(A265)-LEN(SUBSTITUTE(A265,{"0","1","2"},""))))))))/10))*1+1&amp;""&amp;" ,.., "&amp;""&amp;(SUMPRODUCT(MID(0&amp;(--TRIM(RIGHT(SUBSTITUTE(LEFT(A265,_xlfn.AGGREGATE(16,6,FIND({0,1,2,3,4,5,6,7,8,9},A265,ROW(INDIRECT("1:"&amp;LEN(A265)))),1))," ",REPT(" ",LEN(A265))),LEN(A265)))), LARGE(INDEX(ISNUMBER(--MID((--TRIM(RIGHT(SUBSTITUTE(LEFT(A265,_xlfn.AGGREGATE(16,6,FIND({0,1,2,3,4,5,6,7,8,9},A265,ROW(INDIRECT("1:"&amp;LEN(A265)))),1))," ",REPT(" ",LEN(A265))),LEN(A265)))), ROW(INDIRECT("1:"&amp;LEN((--TRIM(RIGHT(SUBSTITUTE(LEFT(A265,_xlfn.AGGREGATE(16,6,FIND({0,1,2,3,4,5,6,7,8,9},A265,ROW(INDIRECT("1:"&amp;LEN(A265)))),1))," ",REPT(" ",LEN(A265))),LEN(A265))))))), 1)) * ROW(INDIRECT("1:"&amp;LEN((--TRIM(RIGHT(SUBSTITUTE(LEFT(A265,_xlfn.AGGREGATE(16,6,FIND({0,1,2,3,4,5,6,7,8,9},A265,ROW(INDIRECT("1:"&amp;LEN(A265)))),1))," ",REPT(" ",LEN(A265))),LEN(A265))))))), 0), ROW(INDIRECT("1:"&amp;LEN((--TRIM(RIGHT(SUBSTITUTE(LEFT(A265,_xlfn.AGGREGATE(16,6,FIND({0,1,2,3,4,5,6,7,8,9},A265,ROW(INDIRECT("1:"&amp;LEN(A265)))),1))," ",REPT(" ",LEN(A265))),LEN(A265))))))))+1, 1) * 10^ROW(INDIRECT("1:"&amp;LEN((--TRIM(RIGHT(SUBSTITUTE(LEFT(A265,_xlfn.AGGREGATE(16,6,FIND({0,1,2,3,4,5,6,7,8,9},A265,ROW(INDIRECT("1:"&amp;LEN(A265)))),1))," ",REPT(" ",LEN(A265))),LEN(A265)))))))/10))*1+1</f>
        <v>305 ,.., 1505</v>
      </c>
      <c r="B266" s="71"/>
      <c r="C266" s="42"/>
      <c r="D266" s="42"/>
      <c r="E266" s="42">
        <v>0</v>
      </c>
      <c r="F266" s="42">
        <f>D266*(($F$154)+1)+(IF(E266&lt;101,E266,IF(E266&lt;201,E266/2,IF(E266&lt;=301,E266/3,E266/4))))</f>
        <v>0</v>
      </c>
      <c r="G266" s="70" t="str">
        <f>G265</f>
        <v>3rd, 5th, 7th, 9th, 11th, 13th, 15th Floor</v>
      </c>
      <c r="H266" s="71"/>
      <c r="I266" s="36"/>
      <c r="J266" s="54"/>
    </row>
    <row r="267" spans="1:14" s="37" customFormat="1" hidden="1" x14ac:dyDescent="0.3">
      <c r="A267" s="137" t="s">
        <v>151</v>
      </c>
      <c r="B267" s="138"/>
      <c r="C267" s="138"/>
      <c r="D267" s="138"/>
      <c r="E267" s="138"/>
      <c r="F267" s="138"/>
      <c r="G267" s="138"/>
      <c r="H267" s="139"/>
      <c r="I267" s="36"/>
      <c r="J267" s="54"/>
    </row>
    <row r="268" spans="1:14" s="37" customFormat="1" hidden="1" x14ac:dyDescent="0.3">
      <c r="A268" s="70" t="str">
        <f ca="1">(SUMPRODUCT(MID(0&amp;(LEFT(A267,SUM(LEN(A267)-LEN(SUBSTITUTE(A267,{"0","1","2"},""))))), LARGE(INDEX(ISNUMBER(--MID((LEFT(A267,SUM(LEN(A267)-LEN(SUBSTITUTE(A267,{"0","1","2"},""))))), ROW(INDIRECT("1:"&amp;LEN((LEFT(A267,SUM(LEN(A267)-LEN(SUBSTITUTE(A267,{"0","1","2"},"")))))))), 1)) * ROW(INDIRECT("1:"&amp;LEN((LEFT(A267,SUM(LEN(A267)-LEN(SUBSTITUTE(A267,{"0","1","2"},"")))))))), 0), ROW(INDIRECT("1:"&amp;LEN((LEFT(A267,SUM(LEN(A267)-LEN(SUBSTITUTE(A267,{"0","1","2"},"")))))))))+1, 1) * 10^ROW(INDIRECT("1:"&amp;LEN((LEFT(A267,SUM(LEN(A267)-LEN(SUBSTITUTE(A267,{"0","1","2"},""))))))))/10))*100+1&amp;""&amp;" to "&amp;""&amp;(SUMPRODUCT(MID(0&amp;(--TRIM(RIGHT(SUBSTITUTE(LEFT(A267,_xlfn.AGGREGATE(16,6,FIND({0,1,2,3,4,5,6,7,8,9},A267,ROW(INDIRECT("1:"&amp;LEN(A267)))),1))," ",REPT(" ",LEN(A267))),LEN(A267)))), LARGE(INDEX(ISNUMBER(--MID((--TRIM(RIGHT(SUBSTITUTE(LEFT(A267,_xlfn.AGGREGATE(16,6,FIND({0,1,2,3,4,5,6,7,8,9},A267,ROW(INDIRECT("1:"&amp;LEN(A267)))),1))," ",REPT(" ",LEN(A267))),LEN(A267)))), ROW(INDIRECT("1:"&amp;LEN((--TRIM(RIGHT(SUBSTITUTE(LEFT(A267,_xlfn.AGGREGATE(16,6,FIND({0,1,2,3,4,5,6,7,8,9},A267,ROW(INDIRECT("1:"&amp;LEN(A267)))),1))," ",REPT(" ",LEN(A267))),LEN(A267))))))), 1)) * ROW(INDIRECT("1:"&amp;LEN((--TRIM(RIGHT(SUBSTITUTE(LEFT(A267,_xlfn.AGGREGATE(16,6,FIND({0,1,2,3,4,5,6,7,8,9},A267,ROW(INDIRECT("1:"&amp;LEN(A267)))),1))," ",REPT(" ",LEN(A267))),LEN(A267))))))), 0), ROW(INDIRECT("1:"&amp;LEN((--TRIM(RIGHT(SUBSTITUTE(LEFT(A267,_xlfn.AGGREGATE(16,6,FIND({0,1,2,3,4,5,6,7,8,9},A267,ROW(INDIRECT("1:"&amp;LEN(A267)))),1))," ",REPT(" ",LEN(A267))),LEN(A267))))))))+1, 1) * 10^ROW(INDIRECT("1:"&amp;LEN((--TRIM(RIGHT(SUBSTITUTE(LEFT(A267,_xlfn.AGGREGATE(16,6,FIND({0,1,2,3,4,5,6,7,8,9},A267,ROW(INDIRECT("1:"&amp;LEN(A267)))),1))," ",REPT(" ",LEN(A267))),LEN(A267)))))))/10))*100+1</f>
        <v>201 to 501</v>
      </c>
      <c r="B268" s="71"/>
      <c r="C268" s="42"/>
      <c r="D268" s="42"/>
      <c r="E268" s="42">
        <v>0</v>
      </c>
      <c r="F268" s="42">
        <f>D268*(($F$154)+1)+(IF(E268&lt;101,E268,IF(E268&lt;201,E268/2,IF(E268&lt;=301,E268/3,E268/4))))</f>
        <v>0</v>
      </c>
      <c r="G268" s="70" t="str">
        <f>A267</f>
        <v>2nd to 5th Floor</v>
      </c>
      <c r="H268" s="71"/>
      <c r="I268" s="36"/>
      <c r="J268" s="54"/>
    </row>
    <row r="269" spans="1:14" s="37" customFormat="1" hidden="1" x14ac:dyDescent="0.3">
      <c r="A269" s="70" t="str">
        <f ca="1">(SUMPRODUCT(MID(0&amp;(LEFT(A268,SUM(LEN(A268)-LEN(SUBSTITUTE(A268,{"0","1","2"},""))))), LARGE(INDEX(ISNUMBER(--MID((LEFT(A268,SUM(LEN(A268)-LEN(SUBSTITUTE(A268,{"0","1","2"},""))))), ROW(INDIRECT("1:"&amp;LEN((LEFT(A268,SUM(LEN(A268)-LEN(SUBSTITUTE(A268,{"0","1","2"},"")))))))), 1)) * ROW(INDIRECT("1:"&amp;LEN((LEFT(A268,SUM(LEN(A268)-LEN(SUBSTITUTE(A268,{"0","1","2"},"")))))))), 0), ROW(INDIRECT("1:"&amp;LEN((LEFT(A268,SUM(LEN(A268)-LEN(SUBSTITUTE(A268,{"0","1","2"},"")))))))))+1, 1) * 10^ROW(INDIRECT("1:"&amp;LEN((LEFT(A268,SUM(LEN(A268)-LEN(SUBSTITUTE(A268,{"0","1","2"},""))))))))/10))*1+1&amp;""&amp;" to "&amp;""&amp;(SUMPRODUCT(MID(0&amp;(--TRIM(RIGHT(SUBSTITUTE(LEFT(A268,_xlfn.AGGREGATE(16,6,FIND({0,1,2,3,4,5,6,7,8,9},A268,ROW(INDIRECT("1:"&amp;LEN(A268)))),1))," ",REPT(" ",LEN(A268))),LEN(A268)))), LARGE(INDEX(ISNUMBER(--MID((--TRIM(RIGHT(SUBSTITUTE(LEFT(A268,_xlfn.AGGREGATE(16,6,FIND({0,1,2,3,4,5,6,7,8,9},A268,ROW(INDIRECT("1:"&amp;LEN(A268)))),1))," ",REPT(" ",LEN(A268))),LEN(A268)))), ROW(INDIRECT("1:"&amp;LEN((--TRIM(RIGHT(SUBSTITUTE(LEFT(A268,_xlfn.AGGREGATE(16,6,FIND({0,1,2,3,4,5,6,7,8,9},A268,ROW(INDIRECT("1:"&amp;LEN(A268)))),1))," ",REPT(" ",LEN(A268))),LEN(A268))))))), 1)) * ROW(INDIRECT("1:"&amp;LEN((--TRIM(RIGHT(SUBSTITUTE(LEFT(A268,_xlfn.AGGREGATE(16,6,FIND({0,1,2,3,4,5,6,7,8,9},A268,ROW(INDIRECT("1:"&amp;LEN(A268)))),1))," ",REPT(" ",LEN(A268))),LEN(A268))))))), 0), ROW(INDIRECT("1:"&amp;LEN((--TRIM(RIGHT(SUBSTITUTE(LEFT(A268,_xlfn.AGGREGATE(16,6,FIND({0,1,2,3,4,5,6,7,8,9},A268,ROW(INDIRECT("1:"&amp;LEN(A268)))),1))," ",REPT(" ",LEN(A268))),LEN(A268))))))))+1, 1) * 10^ROW(INDIRECT("1:"&amp;LEN((--TRIM(RIGHT(SUBSTITUTE(LEFT(A268,_xlfn.AGGREGATE(16,6,FIND({0,1,2,3,4,5,6,7,8,9},A268,ROW(INDIRECT("1:"&amp;LEN(A268)))),1))," ",REPT(" ",LEN(A268))),LEN(A268)))))))/10))*1+1</f>
        <v>202 to 502</v>
      </c>
      <c r="B269" s="71"/>
      <c r="C269" s="42"/>
      <c r="D269" s="42"/>
      <c r="E269" s="42">
        <v>0</v>
      </c>
      <c r="F269" s="42">
        <f>D269*(($F$154)+1)+(IF(E269&lt;101,E269,IF(E269&lt;201,E269/2,IF(E269&lt;=301,E269/3,E269/4))))</f>
        <v>0</v>
      </c>
      <c r="G269" s="70" t="str">
        <f>G268</f>
        <v>2nd to 5th Floor</v>
      </c>
      <c r="H269" s="71"/>
      <c r="I269" s="36"/>
      <c r="J269" s="54"/>
    </row>
    <row r="270" spans="1:14" s="37" customFormat="1" hidden="1" x14ac:dyDescent="0.3">
      <c r="A270" s="70" t="str">
        <f ca="1">(SUMPRODUCT(MID(0&amp;(LEFT(A269,SUM(LEN(A269)-LEN(SUBSTITUTE(A269,{"0","1","2"},""))))), LARGE(INDEX(ISNUMBER(--MID((LEFT(A269,SUM(LEN(A269)-LEN(SUBSTITUTE(A269,{"0","1","2"},""))))), ROW(INDIRECT("1:"&amp;LEN((LEFT(A269,SUM(LEN(A269)-LEN(SUBSTITUTE(A269,{"0","1","2"},"")))))))), 1)) * ROW(INDIRECT("1:"&amp;LEN((LEFT(A269,SUM(LEN(A269)-LEN(SUBSTITUTE(A269,{"0","1","2"},"")))))))), 0), ROW(INDIRECT("1:"&amp;LEN((LEFT(A269,SUM(LEN(A269)-LEN(SUBSTITUTE(A269,{"0","1","2"},"")))))))))+1, 1) * 10^ROW(INDIRECT("1:"&amp;LEN((LEFT(A269,SUM(LEN(A269)-LEN(SUBSTITUTE(A269,{"0","1","2"},""))))))))/10))*1+1&amp;""&amp;" to "&amp;""&amp;(SUMPRODUCT(MID(0&amp;(--TRIM(RIGHT(SUBSTITUTE(LEFT(A269,_xlfn.AGGREGATE(16,6,FIND({0,1,2,3,4,5,6,7,8,9},A269,ROW(INDIRECT("1:"&amp;LEN(A269)))),1))," ",REPT(" ",LEN(A269))),LEN(A269)))), LARGE(INDEX(ISNUMBER(--MID((--TRIM(RIGHT(SUBSTITUTE(LEFT(A269,_xlfn.AGGREGATE(16,6,FIND({0,1,2,3,4,5,6,7,8,9},A269,ROW(INDIRECT("1:"&amp;LEN(A269)))),1))," ",REPT(" ",LEN(A269))),LEN(A269)))), ROW(INDIRECT("1:"&amp;LEN((--TRIM(RIGHT(SUBSTITUTE(LEFT(A269,_xlfn.AGGREGATE(16,6,FIND({0,1,2,3,4,5,6,7,8,9},A269,ROW(INDIRECT("1:"&amp;LEN(A269)))),1))," ",REPT(" ",LEN(A269))),LEN(A269))))))), 1)) * ROW(INDIRECT("1:"&amp;LEN((--TRIM(RIGHT(SUBSTITUTE(LEFT(A269,_xlfn.AGGREGATE(16,6,FIND({0,1,2,3,4,5,6,7,8,9},A269,ROW(INDIRECT("1:"&amp;LEN(A269)))),1))," ",REPT(" ",LEN(A269))),LEN(A269))))))), 0), ROW(INDIRECT("1:"&amp;LEN((--TRIM(RIGHT(SUBSTITUTE(LEFT(A269,_xlfn.AGGREGATE(16,6,FIND({0,1,2,3,4,5,6,7,8,9},A269,ROW(INDIRECT("1:"&amp;LEN(A269)))),1))," ",REPT(" ",LEN(A269))),LEN(A269))))))))+1, 1) * 10^ROW(INDIRECT("1:"&amp;LEN((--TRIM(RIGHT(SUBSTITUTE(LEFT(A269,_xlfn.AGGREGATE(16,6,FIND({0,1,2,3,4,5,6,7,8,9},A269,ROW(INDIRECT("1:"&amp;LEN(A269)))),1))," ",REPT(" ",LEN(A269))),LEN(A269)))))))/10))*1+1</f>
        <v>203 to 503</v>
      </c>
      <c r="B270" s="71"/>
      <c r="C270" s="42"/>
      <c r="D270" s="42"/>
      <c r="E270" s="42">
        <v>0</v>
      </c>
      <c r="F270" s="42">
        <f>D270*(($F$154)+1)+(IF(E270&lt;101,E270,IF(E270&lt;201,E270/2,IF(E270&lt;=301,E270/3,E270/4))))</f>
        <v>0</v>
      </c>
      <c r="G270" s="70" t="str">
        <f>G269</f>
        <v>2nd to 5th Floor</v>
      </c>
      <c r="H270" s="71"/>
      <c r="I270" s="36"/>
      <c r="J270" s="54"/>
    </row>
    <row r="271" spans="1:14" s="37" customFormat="1" hidden="1" x14ac:dyDescent="0.3">
      <c r="A271" s="70" t="str">
        <f ca="1">(SUMPRODUCT(MID(0&amp;(LEFT(A270,SUM(LEN(A270)-LEN(SUBSTITUTE(A270,{"0","1","2"},""))))), LARGE(INDEX(ISNUMBER(--MID((LEFT(A270,SUM(LEN(A270)-LEN(SUBSTITUTE(A270,{"0","1","2"},""))))), ROW(INDIRECT("1:"&amp;LEN((LEFT(A270,SUM(LEN(A270)-LEN(SUBSTITUTE(A270,{"0","1","2"},"")))))))), 1)) * ROW(INDIRECT("1:"&amp;LEN((LEFT(A270,SUM(LEN(A270)-LEN(SUBSTITUTE(A270,{"0","1","2"},"")))))))), 0), ROW(INDIRECT("1:"&amp;LEN((LEFT(A270,SUM(LEN(A270)-LEN(SUBSTITUTE(A270,{"0","1","2"},"")))))))))+1, 1) * 10^ROW(INDIRECT("1:"&amp;LEN((LEFT(A270,SUM(LEN(A270)-LEN(SUBSTITUTE(A270,{"0","1","2"},""))))))))/10))*1+1&amp;""&amp;" to "&amp;""&amp;(SUMPRODUCT(MID(0&amp;(--TRIM(RIGHT(SUBSTITUTE(LEFT(A270,_xlfn.AGGREGATE(16,6,FIND({0,1,2,3,4,5,6,7,8,9},A270,ROW(INDIRECT("1:"&amp;LEN(A270)))),1))," ",REPT(" ",LEN(A270))),LEN(A270)))), LARGE(INDEX(ISNUMBER(--MID((--TRIM(RIGHT(SUBSTITUTE(LEFT(A270,_xlfn.AGGREGATE(16,6,FIND({0,1,2,3,4,5,6,7,8,9},A270,ROW(INDIRECT("1:"&amp;LEN(A270)))),1))," ",REPT(" ",LEN(A270))),LEN(A270)))), ROW(INDIRECT("1:"&amp;LEN((--TRIM(RIGHT(SUBSTITUTE(LEFT(A270,_xlfn.AGGREGATE(16,6,FIND({0,1,2,3,4,5,6,7,8,9},A270,ROW(INDIRECT("1:"&amp;LEN(A270)))),1))," ",REPT(" ",LEN(A270))),LEN(A270))))))), 1)) * ROW(INDIRECT("1:"&amp;LEN((--TRIM(RIGHT(SUBSTITUTE(LEFT(A270,_xlfn.AGGREGATE(16,6,FIND({0,1,2,3,4,5,6,7,8,9},A270,ROW(INDIRECT("1:"&amp;LEN(A270)))),1))," ",REPT(" ",LEN(A270))),LEN(A270))))))), 0), ROW(INDIRECT("1:"&amp;LEN((--TRIM(RIGHT(SUBSTITUTE(LEFT(A270,_xlfn.AGGREGATE(16,6,FIND({0,1,2,3,4,5,6,7,8,9},A270,ROW(INDIRECT("1:"&amp;LEN(A270)))),1))," ",REPT(" ",LEN(A270))),LEN(A270))))))))+1, 1) * 10^ROW(INDIRECT("1:"&amp;LEN((--TRIM(RIGHT(SUBSTITUTE(LEFT(A270,_xlfn.AGGREGATE(16,6,FIND({0,1,2,3,4,5,6,7,8,9},A270,ROW(INDIRECT("1:"&amp;LEN(A270)))),1))," ",REPT(" ",LEN(A270))),LEN(A270)))))))/10))*1+1</f>
        <v>204 to 504</v>
      </c>
      <c r="B271" s="71"/>
      <c r="C271" s="42"/>
      <c r="D271" s="42"/>
      <c r="E271" s="42">
        <v>0</v>
      </c>
      <c r="F271" s="42">
        <f>D271*(($F$154)+1)+(IF(E271&lt;101,E271,IF(E271&lt;201,E271/2,IF(E271&lt;=301,E271/3,E271/4))))</f>
        <v>0</v>
      </c>
      <c r="G271" s="70" t="str">
        <f>G270</f>
        <v>2nd to 5th Floor</v>
      </c>
      <c r="H271" s="71"/>
      <c r="I271" s="36"/>
      <c r="J271" s="54"/>
    </row>
    <row r="272" spans="1:14" s="37" customFormat="1" hidden="1" x14ac:dyDescent="0.3">
      <c r="A272" s="70" t="str">
        <f ca="1">(SUMPRODUCT(MID(0&amp;(LEFT(A271,SUM(LEN(A271)-LEN(SUBSTITUTE(A271,{"0","1","2"},""))))), LARGE(INDEX(ISNUMBER(--MID((LEFT(A271,SUM(LEN(A271)-LEN(SUBSTITUTE(A271,{"0","1","2"},""))))), ROW(INDIRECT("1:"&amp;LEN((LEFT(A271,SUM(LEN(A271)-LEN(SUBSTITUTE(A271,{"0","1","2"},"")))))))), 1)) * ROW(INDIRECT("1:"&amp;LEN((LEFT(A271,SUM(LEN(A271)-LEN(SUBSTITUTE(A271,{"0","1","2"},"")))))))), 0), ROW(INDIRECT("1:"&amp;LEN((LEFT(A271,SUM(LEN(A271)-LEN(SUBSTITUTE(A271,{"0","1","2"},"")))))))))+1, 1) * 10^ROW(INDIRECT("1:"&amp;LEN((LEFT(A271,SUM(LEN(A271)-LEN(SUBSTITUTE(A271,{"0","1","2"},""))))))))/10))*1+1&amp;""&amp;" to "&amp;""&amp;(SUMPRODUCT(MID(0&amp;(--TRIM(RIGHT(SUBSTITUTE(LEFT(A271,_xlfn.AGGREGATE(16,6,FIND({0,1,2,3,4,5,6,7,8,9},A271,ROW(INDIRECT("1:"&amp;LEN(A271)))),1))," ",REPT(" ",LEN(A271))),LEN(A271)))), LARGE(INDEX(ISNUMBER(--MID((--TRIM(RIGHT(SUBSTITUTE(LEFT(A271,_xlfn.AGGREGATE(16,6,FIND({0,1,2,3,4,5,6,7,8,9},A271,ROW(INDIRECT("1:"&amp;LEN(A271)))),1))," ",REPT(" ",LEN(A271))),LEN(A271)))), ROW(INDIRECT("1:"&amp;LEN((--TRIM(RIGHT(SUBSTITUTE(LEFT(A271,_xlfn.AGGREGATE(16,6,FIND({0,1,2,3,4,5,6,7,8,9},A271,ROW(INDIRECT("1:"&amp;LEN(A271)))),1))," ",REPT(" ",LEN(A271))),LEN(A271))))))), 1)) * ROW(INDIRECT("1:"&amp;LEN((--TRIM(RIGHT(SUBSTITUTE(LEFT(A271,_xlfn.AGGREGATE(16,6,FIND({0,1,2,3,4,5,6,7,8,9},A271,ROW(INDIRECT("1:"&amp;LEN(A271)))),1))," ",REPT(" ",LEN(A271))),LEN(A271))))))), 0), ROW(INDIRECT("1:"&amp;LEN((--TRIM(RIGHT(SUBSTITUTE(LEFT(A271,_xlfn.AGGREGATE(16,6,FIND({0,1,2,3,4,5,6,7,8,9},A271,ROW(INDIRECT("1:"&amp;LEN(A271)))),1))," ",REPT(" ",LEN(A271))),LEN(A271))))))))+1, 1) * 10^ROW(INDIRECT("1:"&amp;LEN((--TRIM(RIGHT(SUBSTITUTE(LEFT(A271,_xlfn.AGGREGATE(16,6,FIND({0,1,2,3,4,5,6,7,8,9},A271,ROW(INDIRECT("1:"&amp;LEN(A271)))),1))," ",REPT(" ",LEN(A271))),LEN(A271)))))))/10))*1+1</f>
        <v>205 to 505</v>
      </c>
      <c r="B272" s="71"/>
      <c r="C272" s="42"/>
      <c r="D272" s="42"/>
      <c r="E272" s="42">
        <v>0</v>
      </c>
      <c r="F272" s="42">
        <f>D272*(($F$154)+1)+(IF(E272&lt;101,E272,IF(E272&lt;201,E272/2,IF(E272&lt;=301,E272/3,E272/4))))</f>
        <v>0</v>
      </c>
      <c r="G272" s="70" t="str">
        <f>G271</f>
        <v>2nd to 5th Floor</v>
      </c>
      <c r="H272" s="71"/>
      <c r="I272" s="36"/>
      <c r="J272" s="54"/>
    </row>
    <row r="273" spans="1:10" s="37" customFormat="1" hidden="1" x14ac:dyDescent="0.3">
      <c r="A273" s="137" t="s">
        <v>152</v>
      </c>
      <c r="B273" s="138"/>
      <c r="C273" s="138"/>
      <c r="D273" s="138"/>
      <c r="E273" s="138"/>
      <c r="F273" s="138"/>
      <c r="G273" s="138"/>
      <c r="H273" s="139"/>
      <c r="I273" s="36"/>
      <c r="J273" s="54"/>
    </row>
    <row r="274" spans="1:10" s="37" customFormat="1" hidden="1" x14ac:dyDescent="0.3">
      <c r="A274" s="70" t="str">
        <f ca="1">(SUMPRODUCT(MID(0&amp;(LEFT(A273,SUM(LEN(A273)-LEN(SUBSTITUTE(A273,{"0","1","2"},""))))), LARGE(INDEX(ISNUMBER(--MID((LEFT(A273,SUM(LEN(A273)-LEN(SUBSTITUTE(A273,{"0","1","2"},""))))), ROW(INDIRECT("1:"&amp;LEN((LEFT(A273,SUM(LEN(A273)-LEN(SUBSTITUTE(A273,{"0","1","2"},"")))))))), 1)) * ROW(INDIRECT("1:"&amp;LEN((LEFT(A273,SUM(LEN(A273)-LEN(SUBSTITUTE(A273,{"0","1","2"},"")))))))), 0), ROW(INDIRECT("1:"&amp;LEN((LEFT(A273,SUM(LEN(A273)-LEN(SUBSTITUTE(A273,{"0","1","2"},"")))))))))+1, 1) * 10^ROW(INDIRECT("1:"&amp;LEN((LEFT(A273,SUM(LEN(A273)-LEN(SUBSTITUTE(A273,{"0","1","2"},""))))))))/10))*100+1&amp;""&amp;" &amp; "&amp;""&amp;(SUMPRODUCT(MID(0&amp;(--TRIM(RIGHT(SUBSTITUTE(LEFT(A273,_xlfn.AGGREGATE(16,6,FIND({0,1,2,3,4,5,6,7,8,9},A273,ROW(INDIRECT("1:"&amp;LEN(A273)))),1))," ",REPT(" ",LEN(A273))),LEN(A273)))), LARGE(INDEX(ISNUMBER(--MID((--TRIM(RIGHT(SUBSTITUTE(LEFT(A273,_xlfn.AGGREGATE(16,6,FIND({0,1,2,3,4,5,6,7,8,9},A273,ROW(INDIRECT("1:"&amp;LEN(A273)))),1))," ",REPT(" ",LEN(A273))),LEN(A273)))), ROW(INDIRECT("1:"&amp;LEN((--TRIM(RIGHT(SUBSTITUTE(LEFT(A273,_xlfn.AGGREGATE(16,6,FIND({0,1,2,3,4,5,6,7,8,9},A273,ROW(INDIRECT("1:"&amp;LEN(A273)))),1))," ",REPT(" ",LEN(A273))),LEN(A273))))))), 1)) * ROW(INDIRECT("1:"&amp;LEN((--TRIM(RIGHT(SUBSTITUTE(LEFT(A273,_xlfn.AGGREGATE(16,6,FIND({0,1,2,3,4,5,6,7,8,9},A273,ROW(INDIRECT("1:"&amp;LEN(A273)))),1))," ",REPT(" ",LEN(A273))),LEN(A273))))))), 0), ROW(INDIRECT("1:"&amp;LEN((--TRIM(RIGHT(SUBSTITUTE(LEFT(A273,_xlfn.AGGREGATE(16,6,FIND({0,1,2,3,4,5,6,7,8,9},A273,ROW(INDIRECT("1:"&amp;LEN(A273)))),1))," ",REPT(" ",LEN(A273))),LEN(A273))))))))+1, 1) * 10^ROW(INDIRECT("1:"&amp;LEN((--TRIM(RIGHT(SUBSTITUTE(LEFT(A273,_xlfn.AGGREGATE(16,6,FIND({0,1,2,3,4,5,6,7,8,9},A273,ROW(INDIRECT("1:"&amp;LEN(A273)))),1))," ",REPT(" ",LEN(A273))),LEN(A273)))))))/10))*100+1</f>
        <v>201 &amp; 501</v>
      </c>
      <c r="B274" s="71"/>
      <c r="C274" s="42"/>
      <c r="D274" s="42"/>
      <c r="E274" s="42">
        <v>0</v>
      </c>
      <c r="F274" s="42">
        <f>D274*(($F$154)+1)+(IF(E274&lt;101,E274,IF(E274&lt;201,E274/2,IF(E274&lt;=301,E274/3,E274/4))))</f>
        <v>0</v>
      </c>
      <c r="G274" s="70" t="str">
        <f>A273</f>
        <v>2nd &amp; 5th Floor</v>
      </c>
      <c r="H274" s="71"/>
      <c r="I274" s="36"/>
      <c r="J274" s="54"/>
    </row>
    <row r="275" spans="1:10" s="37" customFormat="1" hidden="1" x14ac:dyDescent="0.3">
      <c r="A275" s="70" t="str">
        <f ca="1">(SUMPRODUCT(MID(0&amp;(LEFT(A274,SUM(LEN(A274)-LEN(SUBSTITUTE(A274,{"0","1","2"},""))))), LARGE(INDEX(ISNUMBER(--MID((LEFT(A274,SUM(LEN(A274)-LEN(SUBSTITUTE(A274,{"0","1","2"},""))))), ROW(INDIRECT("1:"&amp;LEN((LEFT(A274,SUM(LEN(A274)-LEN(SUBSTITUTE(A274,{"0","1","2"},"")))))))), 1)) * ROW(INDIRECT("1:"&amp;LEN((LEFT(A274,SUM(LEN(A274)-LEN(SUBSTITUTE(A274,{"0","1","2"},"")))))))), 0), ROW(INDIRECT("1:"&amp;LEN((LEFT(A274,SUM(LEN(A274)-LEN(SUBSTITUTE(A274,{"0","1","2"},"")))))))))+1, 1) * 10^ROW(INDIRECT("1:"&amp;LEN((LEFT(A274,SUM(LEN(A274)-LEN(SUBSTITUTE(A274,{"0","1","2"},""))))))))/10))*1+1&amp;""&amp;" &amp; "&amp;""&amp;(SUMPRODUCT(MID(0&amp;(--TRIM(RIGHT(SUBSTITUTE(LEFT(A274,_xlfn.AGGREGATE(16,6,FIND({0,1,2,3,4,5,6,7,8,9},A274,ROW(INDIRECT("1:"&amp;LEN(A274)))),1))," ",REPT(" ",LEN(A274))),LEN(A274)))), LARGE(INDEX(ISNUMBER(--MID((--TRIM(RIGHT(SUBSTITUTE(LEFT(A274,_xlfn.AGGREGATE(16,6,FIND({0,1,2,3,4,5,6,7,8,9},A274,ROW(INDIRECT("1:"&amp;LEN(A274)))),1))," ",REPT(" ",LEN(A274))),LEN(A274)))), ROW(INDIRECT("1:"&amp;LEN((--TRIM(RIGHT(SUBSTITUTE(LEFT(A274,_xlfn.AGGREGATE(16,6,FIND({0,1,2,3,4,5,6,7,8,9},A274,ROW(INDIRECT("1:"&amp;LEN(A274)))),1))," ",REPT(" ",LEN(A274))),LEN(A274))))))), 1)) * ROW(INDIRECT("1:"&amp;LEN((--TRIM(RIGHT(SUBSTITUTE(LEFT(A274,_xlfn.AGGREGATE(16,6,FIND({0,1,2,3,4,5,6,7,8,9},A274,ROW(INDIRECT("1:"&amp;LEN(A274)))),1))," ",REPT(" ",LEN(A274))),LEN(A274))))))), 0), ROW(INDIRECT("1:"&amp;LEN((--TRIM(RIGHT(SUBSTITUTE(LEFT(A274,_xlfn.AGGREGATE(16,6,FIND({0,1,2,3,4,5,6,7,8,9},A274,ROW(INDIRECT("1:"&amp;LEN(A274)))),1))," ",REPT(" ",LEN(A274))),LEN(A274))))))))+1, 1) * 10^ROW(INDIRECT("1:"&amp;LEN((--TRIM(RIGHT(SUBSTITUTE(LEFT(A274,_xlfn.AGGREGATE(16,6,FIND({0,1,2,3,4,5,6,7,8,9},A274,ROW(INDIRECT("1:"&amp;LEN(A274)))),1))," ",REPT(" ",LEN(A274))),LEN(A274)))))))/10))*1+1</f>
        <v>202 &amp; 502</v>
      </c>
      <c r="B275" s="71"/>
      <c r="C275" s="42"/>
      <c r="D275" s="42"/>
      <c r="E275" s="42">
        <v>0</v>
      </c>
      <c r="F275" s="42">
        <f>D275*(($F$154)+1)+(IF(E275&lt;101,E275,IF(E275&lt;201,E275/2,IF(E275&lt;=301,E275/3,E275/4))))</f>
        <v>0</v>
      </c>
      <c r="G275" s="70" t="str">
        <f t="shared" ref="G275:G278" si="23">G274</f>
        <v>2nd &amp; 5th Floor</v>
      </c>
      <c r="H275" s="71"/>
      <c r="I275" s="36"/>
      <c r="J275" s="54"/>
    </row>
    <row r="276" spans="1:10" s="37" customFormat="1" hidden="1" x14ac:dyDescent="0.3">
      <c r="A276" s="70" t="str">
        <f ca="1">(SUMPRODUCT(MID(0&amp;(LEFT(A275,SUM(LEN(A275)-LEN(SUBSTITUTE(A275,{"0","1","2"},""))))), LARGE(INDEX(ISNUMBER(--MID((LEFT(A275,SUM(LEN(A275)-LEN(SUBSTITUTE(A275,{"0","1","2"},""))))), ROW(INDIRECT("1:"&amp;LEN((LEFT(A275,SUM(LEN(A275)-LEN(SUBSTITUTE(A275,{"0","1","2"},"")))))))), 1)) * ROW(INDIRECT("1:"&amp;LEN((LEFT(A275,SUM(LEN(A275)-LEN(SUBSTITUTE(A275,{"0","1","2"},"")))))))), 0), ROW(INDIRECT("1:"&amp;LEN((LEFT(A275,SUM(LEN(A275)-LEN(SUBSTITUTE(A275,{"0","1","2"},"")))))))))+1, 1) * 10^ROW(INDIRECT("1:"&amp;LEN((LEFT(A275,SUM(LEN(A275)-LEN(SUBSTITUTE(A275,{"0","1","2"},""))))))))/10))*1+1&amp;""&amp;" &amp; "&amp;""&amp;(SUMPRODUCT(MID(0&amp;(--TRIM(RIGHT(SUBSTITUTE(LEFT(A275,_xlfn.AGGREGATE(16,6,FIND({0,1,2,3,4,5,6,7,8,9},A275,ROW(INDIRECT("1:"&amp;LEN(A275)))),1))," ",REPT(" ",LEN(A275))),LEN(A275)))), LARGE(INDEX(ISNUMBER(--MID((--TRIM(RIGHT(SUBSTITUTE(LEFT(A275,_xlfn.AGGREGATE(16,6,FIND({0,1,2,3,4,5,6,7,8,9},A275,ROW(INDIRECT("1:"&amp;LEN(A275)))),1))," ",REPT(" ",LEN(A275))),LEN(A275)))), ROW(INDIRECT("1:"&amp;LEN((--TRIM(RIGHT(SUBSTITUTE(LEFT(A275,_xlfn.AGGREGATE(16,6,FIND({0,1,2,3,4,5,6,7,8,9},A275,ROW(INDIRECT("1:"&amp;LEN(A275)))),1))," ",REPT(" ",LEN(A275))),LEN(A275))))))), 1)) * ROW(INDIRECT("1:"&amp;LEN((--TRIM(RIGHT(SUBSTITUTE(LEFT(A275,_xlfn.AGGREGATE(16,6,FIND({0,1,2,3,4,5,6,7,8,9},A275,ROW(INDIRECT("1:"&amp;LEN(A275)))),1))," ",REPT(" ",LEN(A275))),LEN(A275))))))), 0), ROW(INDIRECT("1:"&amp;LEN((--TRIM(RIGHT(SUBSTITUTE(LEFT(A275,_xlfn.AGGREGATE(16,6,FIND({0,1,2,3,4,5,6,7,8,9},A275,ROW(INDIRECT("1:"&amp;LEN(A275)))),1))," ",REPT(" ",LEN(A275))),LEN(A275))))))))+1, 1) * 10^ROW(INDIRECT("1:"&amp;LEN((--TRIM(RIGHT(SUBSTITUTE(LEFT(A275,_xlfn.AGGREGATE(16,6,FIND({0,1,2,3,4,5,6,7,8,9},A275,ROW(INDIRECT("1:"&amp;LEN(A275)))),1))," ",REPT(" ",LEN(A275))),LEN(A275)))))))/10))*1+1</f>
        <v>203 &amp; 503</v>
      </c>
      <c r="B276" s="71"/>
      <c r="C276" s="42"/>
      <c r="D276" s="42"/>
      <c r="E276" s="42">
        <v>0</v>
      </c>
      <c r="F276" s="42">
        <f>D276*(($F$154)+1)+(IF(E276&lt;101,E276,IF(E276&lt;201,E276/2,IF(E276&lt;=301,E276/3,E276/4))))</f>
        <v>0</v>
      </c>
      <c r="G276" s="70" t="str">
        <f t="shared" si="23"/>
        <v>2nd &amp; 5th Floor</v>
      </c>
      <c r="H276" s="71"/>
      <c r="I276" s="36"/>
      <c r="J276" s="54"/>
    </row>
    <row r="277" spans="1:10" s="37" customFormat="1" hidden="1" x14ac:dyDescent="0.3">
      <c r="A277" s="70" t="str">
        <f ca="1">(SUMPRODUCT(MID(0&amp;(LEFT(A276,SUM(LEN(A276)-LEN(SUBSTITUTE(A276,{"0","1","2"},""))))), LARGE(INDEX(ISNUMBER(--MID((LEFT(A276,SUM(LEN(A276)-LEN(SUBSTITUTE(A276,{"0","1","2"},""))))), ROW(INDIRECT("1:"&amp;LEN((LEFT(A276,SUM(LEN(A276)-LEN(SUBSTITUTE(A276,{"0","1","2"},"")))))))), 1)) * ROW(INDIRECT("1:"&amp;LEN((LEFT(A276,SUM(LEN(A276)-LEN(SUBSTITUTE(A276,{"0","1","2"},"")))))))), 0), ROW(INDIRECT("1:"&amp;LEN((LEFT(A276,SUM(LEN(A276)-LEN(SUBSTITUTE(A276,{"0","1","2"},"")))))))))+1, 1) * 10^ROW(INDIRECT("1:"&amp;LEN((LEFT(A276,SUM(LEN(A276)-LEN(SUBSTITUTE(A276,{"0","1","2"},""))))))))/10))*1+1&amp;""&amp;" &amp; "&amp;""&amp;(SUMPRODUCT(MID(0&amp;(--TRIM(RIGHT(SUBSTITUTE(LEFT(A276,_xlfn.AGGREGATE(16,6,FIND({0,1,2,3,4,5,6,7,8,9},A276,ROW(INDIRECT("1:"&amp;LEN(A276)))),1))," ",REPT(" ",LEN(A276))),LEN(A276)))), LARGE(INDEX(ISNUMBER(--MID((--TRIM(RIGHT(SUBSTITUTE(LEFT(A276,_xlfn.AGGREGATE(16,6,FIND({0,1,2,3,4,5,6,7,8,9},A276,ROW(INDIRECT("1:"&amp;LEN(A276)))),1))," ",REPT(" ",LEN(A276))),LEN(A276)))), ROW(INDIRECT("1:"&amp;LEN((--TRIM(RIGHT(SUBSTITUTE(LEFT(A276,_xlfn.AGGREGATE(16,6,FIND({0,1,2,3,4,5,6,7,8,9},A276,ROW(INDIRECT("1:"&amp;LEN(A276)))),1))," ",REPT(" ",LEN(A276))),LEN(A276))))))), 1)) * ROW(INDIRECT("1:"&amp;LEN((--TRIM(RIGHT(SUBSTITUTE(LEFT(A276,_xlfn.AGGREGATE(16,6,FIND({0,1,2,3,4,5,6,7,8,9},A276,ROW(INDIRECT("1:"&amp;LEN(A276)))),1))," ",REPT(" ",LEN(A276))),LEN(A276))))))), 0), ROW(INDIRECT("1:"&amp;LEN((--TRIM(RIGHT(SUBSTITUTE(LEFT(A276,_xlfn.AGGREGATE(16,6,FIND({0,1,2,3,4,5,6,7,8,9},A276,ROW(INDIRECT("1:"&amp;LEN(A276)))),1))," ",REPT(" ",LEN(A276))),LEN(A276))))))))+1, 1) * 10^ROW(INDIRECT("1:"&amp;LEN((--TRIM(RIGHT(SUBSTITUTE(LEFT(A276,_xlfn.AGGREGATE(16,6,FIND({0,1,2,3,4,5,6,7,8,9},A276,ROW(INDIRECT("1:"&amp;LEN(A276)))),1))," ",REPT(" ",LEN(A276))),LEN(A276)))))))/10))*1+1</f>
        <v>204 &amp; 504</v>
      </c>
      <c r="B277" s="71"/>
      <c r="C277" s="42"/>
      <c r="D277" s="42"/>
      <c r="E277" s="42">
        <v>0</v>
      </c>
      <c r="F277" s="42">
        <f>D277*(($F$154)+1)+(IF(E277&lt;101,E277,IF(E277&lt;201,E277/2,IF(E277&lt;=301,E277/3,E277/4))))</f>
        <v>0</v>
      </c>
      <c r="G277" s="70" t="str">
        <f t="shared" si="23"/>
        <v>2nd &amp; 5th Floor</v>
      </c>
      <c r="H277" s="71"/>
      <c r="I277" s="36"/>
      <c r="J277" s="54"/>
    </row>
    <row r="278" spans="1:10" s="37" customFormat="1" hidden="1" x14ac:dyDescent="0.3">
      <c r="A278" s="70" t="str">
        <f ca="1">(SUMPRODUCT(MID(0&amp;(LEFT(A277,SUM(LEN(A277)-LEN(SUBSTITUTE(A277,{"0","1","2"},""))))), LARGE(INDEX(ISNUMBER(--MID((LEFT(A277,SUM(LEN(A277)-LEN(SUBSTITUTE(A277,{"0","1","2"},""))))), ROW(INDIRECT("1:"&amp;LEN((LEFT(A277,SUM(LEN(A277)-LEN(SUBSTITUTE(A277,{"0","1","2"},"")))))))), 1)) * ROW(INDIRECT("1:"&amp;LEN((LEFT(A277,SUM(LEN(A277)-LEN(SUBSTITUTE(A277,{"0","1","2"},"")))))))), 0), ROW(INDIRECT("1:"&amp;LEN((LEFT(A277,SUM(LEN(A277)-LEN(SUBSTITUTE(A277,{"0","1","2"},"")))))))))+1, 1) * 10^ROW(INDIRECT("1:"&amp;LEN((LEFT(A277,SUM(LEN(A277)-LEN(SUBSTITUTE(A277,{"0","1","2"},""))))))))/10))*1+1&amp;""&amp;" &amp; "&amp;""&amp;(SUMPRODUCT(MID(0&amp;(--TRIM(RIGHT(SUBSTITUTE(LEFT(A277,_xlfn.AGGREGATE(16,6,FIND({0,1,2,3,4,5,6,7,8,9},A277,ROW(INDIRECT("1:"&amp;LEN(A277)))),1))," ",REPT(" ",LEN(A277))),LEN(A277)))), LARGE(INDEX(ISNUMBER(--MID((--TRIM(RIGHT(SUBSTITUTE(LEFT(A277,_xlfn.AGGREGATE(16,6,FIND({0,1,2,3,4,5,6,7,8,9},A277,ROW(INDIRECT("1:"&amp;LEN(A277)))),1))," ",REPT(" ",LEN(A277))),LEN(A277)))), ROW(INDIRECT("1:"&amp;LEN((--TRIM(RIGHT(SUBSTITUTE(LEFT(A277,_xlfn.AGGREGATE(16,6,FIND({0,1,2,3,4,5,6,7,8,9},A277,ROW(INDIRECT("1:"&amp;LEN(A277)))),1))," ",REPT(" ",LEN(A277))),LEN(A277))))))), 1)) * ROW(INDIRECT("1:"&amp;LEN((--TRIM(RIGHT(SUBSTITUTE(LEFT(A277,_xlfn.AGGREGATE(16,6,FIND({0,1,2,3,4,5,6,7,8,9},A277,ROW(INDIRECT("1:"&amp;LEN(A277)))),1))," ",REPT(" ",LEN(A277))),LEN(A277))))))), 0), ROW(INDIRECT("1:"&amp;LEN((--TRIM(RIGHT(SUBSTITUTE(LEFT(A277,_xlfn.AGGREGATE(16,6,FIND({0,1,2,3,4,5,6,7,8,9},A277,ROW(INDIRECT("1:"&amp;LEN(A277)))),1))," ",REPT(" ",LEN(A277))),LEN(A277))))))))+1, 1) * 10^ROW(INDIRECT("1:"&amp;LEN((--TRIM(RIGHT(SUBSTITUTE(LEFT(A277,_xlfn.AGGREGATE(16,6,FIND({0,1,2,3,4,5,6,7,8,9},A277,ROW(INDIRECT("1:"&amp;LEN(A277)))),1))," ",REPT(" ",LEN(A277))),LEN(A277)))))))/10))*1+1</f>
        <v>205 &amp; 505</v>
      </c>
      <c r="B278" s="71"/>
      <c r="C278" s="42"/>
      <c r="D278" s="42"/>
      <c r="E278" s="42">
        <v>0</v>
      </c>
      <c r="F278" s="42">
        <f>D278*(($F$154)+1)+(IF(E278&lt;101,E278,IF(E278&lt;201,E278/2,IF(E278&lt;=301,E278/3,E278/4))))</f>
        <v>0</v>
      </c>
      <c r="G278" s="70" t="str">
        <f t="shared" si="23"/>
        <v>2nd &amp; 5th Floor</v>
      </c>
      <c r="H278" s="71"/>
      <c r="I278" s="36"/>
      <c r="J278" s="54"/>
    </row>
    <row r="279" spans="1:10" s="35" customFormat="1" x14ac:dyDescent="0.3">
      <c r="A279" s="142" t="s">
        <v>69</v>
      </c>
      <c r="B279" s="142"/>
      <c r="C279" s="142"/>
      <c r="D279" s="142"/>
      <c r="E279" s="142"/>
      <c r="F279" s="142"/>
      <c r="G279" s="142"/>
      <c r="H279" s="142"/>
      <c r="J279" s="56" t="s">
        <v>232</v>
      </c>
    </row>
    <row r="280" spans="1:10" s="35" customFormat="1" x14ac:dyDescent="0.3">
      <c r="A280" s="47" t="s">
        <v>161</v>
      </c>
      <c r="B280" s="123" t="s">
        <v>278</v>
      </c>
      <c r="C280" s="124"/>
      <c r="D280" s="124"/>
      <c r="E280" s="124"/>
      <c r="F280" s="124"/>
      <c r="G280" s="124"/>
      <c r="H280" s="125"/>
      <c r="J280" s="56"/>
    </row>
    <row r="281" spans="1:10" s="35" customFormat="1" ht="15.75" customHeight="1" x14ac:dyDescent="0.3">
      <c r="A281" s="47" t="s">
        <v>161</v>
      </c>
      <c r="B281" s="123" t="str">
        <f>(IF(F153="Saleable area Loading :","We have considered Saleable area of Flats as per our Calculation.","We considered Saleable area of Flat as per Builder area Sheet."))</f>
        <v>We have considered Saleable area of Flats as per our Calculation.</v>
      </c>
      <c r="C281" s="124"/>
      <c r="D281" s="124"/>
      <c r="E281" s="124"/>
      <c r="F281" s="124"/>
      <c r="G281" s="124"/>
      <c r="H281" s="125"/>
    </row>
    <row r="282" spans="1:10" s="35" customFormat="1" x14ac:dyDescent="0.3">
      <c r="A282" s="47" t="s">
        <v>161</v>
      </c>
      <c r="B282" s="123" t="str">
        <f>(IF(F123="Saleable area Loading :","We have considered Saleable area of Commercial as per our Calculation.","We considered Saleable area of Commercial as per Builder area Sheet."))</f>
        <v>We have considered Saleable area of Commercial as per our Calculation.</v>
      </c>
      <c r="C282" s="124"/>
      <c r="D282" s="124"/>
      <c r="E282" s="124"/>
      <c r="F282" s="124"/>
      <c r="G282" s="124"/>
      <c r="H282" s="125"/>
    </row>
    <row r="283" spans="1:10" s="35" customFormat="1" x14ac:dyDescent="0.3">
      <c r="A283" s="47" t="s">
        <v>161</v>
      </c>
      <c r="B283" s="64" t="s">
        <v>128</v>
      </c>
      <c r="C283" s="65"/>
      <c r="D283" s="65"/>
      <c r="E283" s="65"/>
      <c r="F283" s="65"/>
      <c r="G283" s="65"/>
      <c r="H283" s="66"/>
    </row>
    <row r="284" spans="1:10" s="35" customFormat="1" x14ac:dyDescent="0.3">
      <c r="A284" s="47" t="s">
        <v>161</v>
      </c>
      <c r="B284" s="123" t="s">
        <v>246</v>
      </c>
      <c r="C284" s="124"/>
      <c r="D284" s="124"/>
      <c r="E284" s="124"/>
      <c r="F284" s="124"/>
      <c r="G284" s="124"/>
      <c r="H284" s="125"/>
    </row>
    <row r="285" spans="1:10" s="35" customFormat="1" x14ac:dyDescent="0.3">
      <c r="A285" s="47" t="s">
        <v>161</v>
      </c>
      <c r="B285" s="64" t="s">
        <v>160</v>
      </c>
      <c r="C285" s="65"/>
      <c r="D285" s="65"/>
      <c r="E285" s="65"/>
      <c r="F285" s="65"/>
      <c r="G285" s="65"/>
      <c r="H285" s="66"/>
    </row>
    <row r="286" spans="1:10" s="35" customFormat="1" x14ac:dyDescent="0.3">
      <c r="A286" s="47" t="s">
        <v>161</v>
      </c>
      <c r="B286" s="64" t="s">
        <v>129</v>
      </c>
      <c r="C286" s="65"/>
      <c r="D286" s="65"/>
      <c r="E286" s="65"/>
      <c r="F286" s="65"/>
      <c r="G286" s="65"/>
      <c r="H286" s="66"/>
    </row>
    <row r="287" spans="1:10" s="35" customFormat="1" ht="34.5" customHeight="1" x14ac:dyDescent="0.3">
      <c r="A287" s="47" t="s">
        <v>161</v>
      </c>
      <c r="B287" s="64" t="s">
        <v>162</v>
      </c>
      <c r="C287" s="65"/>
      <c r="D287" s="65"/>
      <c r="E287" s="65"/>
      <c r="F287" s="65"/>
      <c r="G287" s="65"/>
      <c r="H287" s="66"/>
    </row>
    <row r="288" spans="1:10" s="35" customFormat="1" x14ac:dyDescent="0.3">
      <c r="A288" s="47" t="s">
        <v>161</v>
      </c>
      <c r="B288" s="64" t="s">
        <v>130</v>
      </c>
      <c r="C288" s="65"/>
      <c r="D288" s="65"/>
      <c r="E288" s="65"/>
      <c r="F288" s="65"/>
      <c r="G288" s="65"/>
      <c r="H288" s="66"/>
    </row>
    <row r="289" spans="1:9" s="35" customFormat="1" x14ac:dyDescent="0.3">
      <c r="A289" s="47" t="s">
        <v>161</v>
      </c>
      <c r="B289" s="64" t="s">
        <v>247</v>
      </c>
      <c r="C289" s="65"/>
      <c r="D289" s="65"/>
      <c r="E289" s="65"/>
      <c r="F289" s="65"/>
      <c r="G289" s="65"/>
      <c r="H289" s="66"/>
    </row>
    <row r="290" spans="1:9" s="35" customFormat="1" x14ac:dyDescent="0.3">
      <c r="A290" s="47" t="s">
        <v>161</v>
      </c>
      <c r="B290" s="64" t="s">
        <v>254</v>
      </c>
      <c r="C290" s="65"/>
      <c r="D290" s="65"/>
      <c r="E290" s="65"/>
      <c r="F290" s="65"/>
      <c r="G290" s="65"/>
      <c r="H290" s="66"/>
      <c r="I290" s="35" t="s">
        <v>248</v>
      </c>
    </row>
    <row r="291" spans="1:9" s="35" customFormat="1" x14ac:dyDescent="0.3">
      <c r="A291" s="47" t="s">
        <v>161</v>
      </c>
      <c r="B291" s="64" t="s">
        <v>253</v>
      </c>
      <c r="C291" s="65"/>
      <c r="D291" s="65"/>
      <c r="E291" s="65"/>
      <c r="F291" s="65"/>
      <c r="G291" s="65"/>
      <c r="H291" s="66"/>
      <c r="I291" s="35" t="s">
        <v>248</v>
      </c>
    </row>
    <row r="292" spans="1:9" s="35" customFormat="1" hidden="1" x14ac:dyDescent="0.3">
      <c r="A292" s="47" t="s">
        <v>161</v>
      </c>
      <c r="B292" s="64" t="s">
        <v>262</v>
      </c>
      <c r="C292" s="65"/>
      <c r="D292" s="65"/>
      <c r="E292" s="65"/>
      <c r="F292" s="65"/>
      <c r="G292" s="65"/>
      <c r="H292" s="66"/>
      <c r="I292" s="35" t="s">
        <v>248</v>
      </c>
    </row>
    <row r="293" spans="1:9" s="35" customFormat="1" ht="124.5" customHeight="1" x14ac:dyDescent="0.3">
      <c r="A293" s="47" t="s">
        <v>161</v>
      </c>
      <c r="B293" s="64" t="s">
        <v>268</v>
      </c>
      <c r="C293" s="65"/>
      <c r="D293" s="65"/>
      <c r="E293" s="65"/>
      <c r="F293" s="65"/>
      <c r="G293" s="65"/>
      <c r="H293" s="66"/>
    </row>
    <row r="294" spans="1:9" s="35" customFormat="1" ht="33" customHeight="1" x14ac:dyDescent="0.3">
      <c r="A294" s="47" t="s">
        <v>161</v>
      </c>
      <c r="B294" s="64" t="s">
        <v>271</v>
      </c>
      <c r="C294" s="65"/>
      <c r="D294" s="65"/>
      <c r="E294" s="65"/>
      <c r="F294" s="65"/>
      <c r="G294" s="65"/>
      <c r="H294" s="66"/>
      <c r="I294" s="35" t="s">
        <v>248</v>
      </c>
    </row>
    <row r="295" spans="1:9" s="35" customFormat="1" x14ac:dyDescent="0.3">
      <c r="A295" s="47" t="s">
        <v>161</v>
      </c>
      <c r="B295" s="64" t="s">
        <v>273</v>
      </c>
      <c r="C295" s="65"/>
      <c r="D295" s="65"/>
      <c r="E295" s="65"/>
      <c r="F295" s="65"/>
      <c r="G295" s="65"/>
      <c r="H295" s="66"/>
      <c r="I295" s="35" t="s">
        <v>272</v>
      </c>
    </row>
    <row r="296" spans="1:9" s="35" customFormat="1" ht="33.75" customHeight="1" x14ac:dyDescent="0.3">
      <c r="A296" s="47" t="s">
        <v>161</v>
      </c>
      <c r="B296" s="64" t="s">
        <v>275</v>
      </c>
      <c r="C296" s="65"/>
      <c r="D296" s="65"/>
      <c r="E296" s="65"/>
      <c r="F296" s="65"/>
      <c r="G296" s="65"/>
      <c r="H296" s="66"/>
    </row>
    <row r="297" spans="1:9" x14ac:dyDescent="0.3">
      <c r="A297" s="101" t="s">
        <v>62</v>
      </c>
      <c r="B297" s="101"/>
      <c r="C297" s="101"/>
      <c r="D297" s="101"/>
      <c r="E297" s="101"/>
      <c r="F297" s="101"/>
      <c r="G297" s="101"/>
      <c r="H297" s="101"/>
    </row>
    <row r="298" spans="1:9" x14ac:dyDescent="0.3">
      <c r="A298" s="68" t="s">
        <v>63</v>
      </c>
      <c r="B298" s="68"/>
      <c r="C298" s="68"/>
      <c r="D298" s="68"/>
      <c r="E298" s="68"/>
      <c r="F298" s="68"/>
      <c r="G298" s="68"/>
      <c r="H298" s="68"/>
    </row>
    <row r="299" spans="1:9" ht="15.75" customHeight="1" x14ac:dyDescent="0.3">
      <c r="A299" s="69" t="s">
        <v>64</v>
      </c>
      <c r="B299" s="69"/>
      <c r="C299" s="69"/>
      <c r="D299" s="69"/>
      <c r="E299" s="69"/>
      <c r="F299" s="69"/>
      <c r="G299" s="69"/>
      <c r="H299" s="69"/>
    </row>
    <row r="300" spans="1:9" x14ac:dyDescent="0.3">
      <c r="A300" s="68" t="s">
        <v>65</v>
      </c>
      <c r="B300" s="68"/>
      <c r="C300" s="68"/>
      <c r="D300" s="68"/>
      <c r="E300" s="68"/>
      <c r="F300" s="68"/>
      <c r="G300" s="68"/>
      <c r="H300" s="68"/>
    </row>
    <row r="301" spans="1:9" x14ac:dyDescent="0.3">
      <c r="A301" s="68" t="s">
        <v>66</v>
      </c>
      <c r="B301" s="68"/>
      <c r="C301" s="68"/>
      <c r="D301" s="68"/>
      <c r="E301" s="68"/>
      <c r="F301" s="68"/>
      <c r="G301" s="68"/>
      <c r="H301" s="68"/>
    </row>
    <row r="302" spans="1:9" x14ac:dyDescent="0.3">
      <c r="A302" s="68" t="s">
        <v>131</v>
      </c>
      <c r="B302" s="68"/>
      <c r="C302" s="68"/>
      <c r="D302" s="68"/>
      <c r="E302" s="68"/>
      <c r="F302" s="68"/>
      <c r="G302" s="68"/>
      <c r="H302" s="68"/>
    </row>
    <row r="303" spans="1:9" x14ac:dyDescent="0.3">
      <c r="A303" s="102" t="s">
        <v>132</v>
      </c>
      <c r="B303" s="102"/>
      <c r="C303" s="102"/>
      <c r="D303" s="102"/>
      <c r="E303" s="102"/>
      <c r="F303" s="102"/>
      <c r="G303" s="102"/>
      <c r="H303" s="102"/>
    </row>
    <row r="304" spans="1:9" x14ac:dyDescent="0.3">
      <c r="A304" s="141" t="s">
        <v>79</v>
      </c>
      <c r="B304" s="141"/>
      <c r="C304" s="141" t="s">
        <v>277</v>
      </c>
      <c r="D304" s="141"/>
      <c r="E304" s="141" t="s">
        <v>106</v>
      </c>
      <c r="F304" s="141"/>
      <c r="G304" s="141" t="s">
        <v>276</v>
      </c>
      <c r="H304" s="141"/>
    </row>
    <row r="305" spans="1:8" x14ac:dyDescent="0.3">
      <c r="A305" s="140" t="s">
        <v>81</v>
      </c>
      <c r="B305" s="140"/>
      <c r="C305" s="140"/>
      <c r="D305" s="140"/>
      <c r="E305" s="140"/>
      <c r="F305" s="140"/>
      <c r="G305" s="140"/>
      <c r="H305" s="140"/>
    </row>
    <row r="306" spans="1:8" x14ac:dyDescent="0.3">
      <c r="A306" s="140"/>
      <c r="B306" s="140"/>
      <c r="C306" s="140"/>
      <c r="D306" s="140"/>
      <c r="E306" s="140"/>
      <c r="F306" s="140"/>
      <c r="G306" s="140"/>
      <c r="H306" s="140"/>
    </row>
    <row r="307" spans="1:8" x14ac:dyDescent="0.3">
      <c r="A307" s="140"/>
      <c r="B307" s="140"/>
      <c r="C307" s="140"/>
      <c r="D307" s="140"/>
      <c r="E307" s="140"/>
      <c r="F307" s="140"/>
      <c r="G307" s="140"/>
      <c r="H307" s="140"/>
    </row>
    <row r="308" spans="1:8" x14ac:dyDescent="0.3">
      <c r="A308" s="140"/>
      <c r="B308" s="140"/>
      <c r="C308" s="140"/>
      <c r="D308" s="140"/>
      <c r="E308" s="140"/>
      <c r="F308" s="140"/>
      <c r="G308" s="140"/>
      <c r="H308" s="140"/>
    </row>
    <row r="309" spans="1:8" x14ac:dyDescent="0.3">
      <c r="A309" s="38" t="s">
        <v>67</v>
      </c>
      <c r="B309" s="39"/>
      <c r="C309" s="39"/>
      <c r="D309" s="38" t="str">
        <f>E8</f>
        <v>Sunbeam Heights</v>
      </c>
      <c r="F309" s="39"/>
      <c r="G309" s="39"/>
      <c r="H309" s="39"/>
    </row>
    <row r="310" spans="1:8" x14ac:dyDescent="0.3">
      <c r="A310" s="39"/>
      <c r="B310" s="39"/>
      <c r="C310" s="39"/>
      <c r="D310" s="39"/>
      <c r="E310" s="39"/>
      <c r="F310" s="39"/>
      <c r="G310" s="39"/>
      <c r="H310" s="39"/>
    </row>
    <row r="311" spans="1:8" x14ac:dyDescent="0.3">
      <c r="A311" s="39"/>
      <c r="B311" s="39"/>
      <c r="C311" s="39"/>
      <c r="D311" s="39"/>
      <c r="E311" s="39"/>
      <c r="F311" s="39"/>
      <c r="G311" s="39"/>
      <c r="H311" s="39"/>
    </row>
    <row r="312" spans="1:8" ht="15" customHeight="1" x14ac:dyDescent="0.3"/>
    <row r="351" spans="1:1" x14ac:dyDescent="0.3">
      <c r="A351" s="41" t="s">
        <v>68</v>
      </c>
    </row>
    <row r="389" spans="1:1" x14ac:dyDescent="0.3">
      <c r="A389" s="41" t="s">
        <v>68</v>
      </c>
    </row>
  </sheetData>
  <mergeCells count="604">
    <mergeCell ref="B293:H293"/>
    <mergeCell ref="E94:F94"/>
    <mergeCell ref="G94:H94"/>
    <mergeCell ref="B292:H292"/>
    <mergeCell ref="A80:B80"/>
    <mergeCell ref="C80:H80"/>
    <mergeCell ref="A82:B82"/>
    <mergeCell ref="C82:H82"/>
    <mergeCell ref="A83:B83"/>
    <mergeCell ref="E83:F83"/>
    <mergeCell ref="G83:H83"/>
    <mergeCell ref="A84:B84"/>
    <mergeCell ref="E84:F93"/>
    <mergeCell ref="G84:H93"/>
    <mergeCell ref="A85:B85"/>
    <mergeCell ref="A86:B86"/>
    <mergeCell ref="A87:B87"/>
    <mergeCell ref="A88:B88"/>
    <mergeCell ref="A89:B89"/>
    <mergeCell ref="A90:B90"/>
    <mergeCell ref="A91:B91"/>
    <mergeCell ref="A92:B92"/>
    <mergeCell ref="A93:B93"/>
    <mergeCell ref="A94:B94"/>
    <mergeCell ref="C94:D94"/>
    <mergeCell ref="B290:H290"/>
    <mergeCell ref="A244:B244"/>
    <mergeCell ref="L244:M244"/>
    <mergeCell ref="C244:F245"/>
    <mergeCell ref="G199:H210"/>
    <mergeCell ref="G212:H223"/>
    <mergeCell ref="G225:H236"/>
    <mergeCell ref="G238:H249"/>
    <mergeCell ref="B289:H289"/>
    <mergeCell ref="A248:B248"/>
    <mergeCell ref="L248:M248"/>
    <mergeCell ref="A249:B249"/>
    <mergeCell ref="L249:M249"/>
    <mergeCell ref="C247:F249"/>
    <mergeCell ref="A245:B245"/>
    <mergeCell ref="L245:M245"/>
    <mergeCell ref="A246:B246"/>
    <mergeCell ref="L246:M246"/>
    <mergeCell ref="A247:B247"/>
    <mergeCell ref="L247:M247"/>
    <mergeCell ref="A241:B241"/>
    <mergeCell ref="L241:M241"/>
    <mergeCell ref="A242:B242"/>
    <mergeCell ref="L242:M242"/>
    <mergeCell ref="A243:B243"/>
    <mergeCell ref="L243:M243"/>
    <mergeCell ref="A237:H237"/>
    <mergeCell ref="A238:B238"/>
    <mergeCell ref="C238:F240"/>
    <mergeCell ref="L238:M238"/>
    <mergeCell ref="A239:B239"/>
    <mergeCell ref="L239:M239"/>
    <mergeCell ref="A240:B240"/>
    <mergeCell ref="L240:M240"/>
    <mergeCell ref="A235:B235"/>
    <mergeCell ref="L235:M235"/>
    <mergeCell ref="A236:B236"/>
    <mergeCell ref="L236:M236"/>
    <mergeCell ref="A231:B231"/>
    <mergeCell ref="L231:M231"/>
    <mergeCell ref="C231:F231"/>
    <mergeCell ref="A232:B232"/>
    <mergeCell ref="L232:M232"/>
    <mergeCell ref="A233:B233"/>
    <mergeCell ref="L233:M233"/>
    <mergeCell ref="A234:B234"/>
    <mergeCell ref="L234:M234"/>
    <mergeCell ref="A228:B228"/>
    <mergeCell ref="L228:M228"/>
    <mergeCell ref="A229:B229"/>
    <mergeCell ref="L229:M229"/>
    <mergeCell ref="A230:B230"/>
    <mergeCell ref="L230:M230"/>
    <mergeCell ref="A224:H224"/>
    <mergeCell ref="A225:B225"/>
    <mergeCell ref="L225:M225"/>
    <mergeCell ref="A226:B226"/>
    <mergeCell ref="L226:M226"/>
    <mergeCell ref="A227:B227"/>
    <mergeCell ref="L227:M227"/>
    <mergeCell ref="C225:F227"/>
    <mergeCell ref="A222:B222"/>
    <mergeCell ref="L222:M222"/>
    <mergeCell ref="A223:B223"/>
    <mergeCell ref="L223:M223"/>
    <mergeCell ref="A218:B218"/>
    <mergeCell ref="L218:M218"/>
    <mergeCell ref="A219:B219"/>
    <mergeCell ref="L219:M219"/>
    <mergeCell ref="A220:B220"/>
    <mergeCell ref="L220:M220"/>
    <mergeCell ref="A221:B221"/>
    <mergeCell ref="L221:M221"/>
    <mergeCell ref="A203:B203"/>
    <mergeCell ref="L203:M203"/>
    <mergeCell ref="A215:B215"/>
    <mergeCell ref="L215:M215"/>
    <mergeCell ref="A216:B216"/>
    <mergeCell ref="L216:M216"/>
    <mergeCell ref="A217:B217"/>
    <mergeCell ref="L217:M217"/>
    <mergeCell ref="A211:H211"/>
    <mergeCell ref="A212:B212"/>
    <mergeCell ref="L212:M212"/>
    <mergeCell ref="A213:B213"/>
    <mergeCell ref="L213:M213"/>
    <mergeCell ref="A214:B214"/>
    <mergeCell ref="L214:M214"/>
    <mergeCell ref="A208:B208"/>
    <mergeCell ref="L208:M208"/>
    <mergeCell ref="A209:B209"/>
    <mergeCell ref="L209:M209"/>
    <mergeCell ref="A210:B210"/>
    <mergeCell ref="L210:M210"/>
    <mergeCell ref="A204:B204"/>
    <mergeCell ref="L204:M204"/>
    <mergeCell ref="A206:B206"/>
    <mergeCell ref="A194:B194"/>
    <mergeCell ref="L194:M194"/>
    <mergeCell ref="A195:B195"/>
    <mergeCell ref="L195:M195"/>
    <mergeCell ref="A196:B196"/>
    <mergeCell ref="A201:B201"/>
    <mergeCell ref="L201:M201"/>
    <mergeCell ref="A202:B202"/>
    <mergeCell ref="L202:M202"/>
    <mergeCell ref="G190:H197"/>
    <mergeCell ref="A189:H189"/>
    <mergeCell ref="A190:B190"/>
    <mergeCell ref="L190:M190"/>
    <mergeCell ref="A191:B191"/>
    <mergeCell ref="L191:M191"/>
    <mergeCell ref="A192:B192"/>
    <mergeCell ref="L192:M192"/>
    <mergeCell ref="A193:B193"/>
    <mergeCell ref="L193:M193"/>
    <mergeCell ref="L206:M206"/>
    <mergeCell ref="A207:B207"/>
    <mergeCell ref="L207:M207"/>
    <mergeCell ref="A205:B205"/>
    <mergeCell ref="L205:M205"/>
    <mergeCell ref="A188:B188"/>
    <mergeCell ref="L188:M188"/>
    <mergeCell ref="C181:F183"/>
    <mergeCell ref="A198:H198"/>
    <mergeCell ref="A199:B199"/>
    <mergeCell ref="L199:M199"/>
    <mergeCell ref="A200:B200"/>
    <mergeCell ref="L200:M200"/>
    <mergeCell ref="L196:M196"/>
    <mergeCell ref="A197:B197"/>
    <mergeCell ref="L197:M197"/>
    <mergeCell ref="A185:B185"/>
    <mergeCell ref="L185:M185"/>
    <mergeCell ref="A186:B186"/>
    <mergeCell ref="L186:M186"/>
    <mergeCell ref="A187:B187"/>
    <mergeCell ref="L187:M187"/>
    <mergeCell ref="A182:B182"/>
    <mergeCell ref="L182:M182"/>
    <mergeCell ref="A183:B183"/>
    <mergeCell ref="L183:M183"/>
    <mergeCell ref="A184:B184"/>
    <mergeCell ref="L184:M184"/>
    <mergeCell ref="G181:H188"/>
    <mergeCell ref="A178:B178"/>
    <mergeCell ref="L178:M178"/>
    <mergeCell ref="A179:B179"/>
    <mergeCell ref="L179:M179"/>
    <mergeCell ref="C172:F174"/>
    <mergeCell ref="A180:H180"/>
    <mergeCell ref="A181:B181"/>
    <mergeCell ref="L181:M181"/>
    <mergeCell ref="A175:B175"/>
    <mergeCell ref="L175:M175"/>
    <mergeCell ref="A176:B176"/>
    <mergeCell ref="L176:M176"/>
    <mergeCell ref="A177:B177"/>
    <mergeCell ref="L177:M177"/>
    <mergeCell ref="G172:H179"/>
    <mergeCell ref="A172:B172"/>
    <mergeCell ref="L172:M172"/>
    <mergeCell ref="A173:B173"/>
    <mergeCell ref="L173:M173"/>
    <mergeCell ref="A174:B174"/>
    <mergeCell ref="L174:M174"/>
    <mergeCell ref="A168:B168"/>
    <mergeCell ref="L168:M168"/>
    <mergeCell ref="A169:B169"/>
    <mergeCell ref="L169:M169"/>
    <mergeCell ref="A170:B170"/>
    <mergeCell ref="L170:M170"/>
    <mergeCell ref="G163:H170"/>
    <mergeCell ref="L164:M164"/>
    <mergeCell ref="A165:B165"/>
    <mergeCell ref="L165:M165"/>
    <mergeCell ref="A166:B166"/>
    <mergeCell ref="L166:M166"/>
    <mergeCell ref="A167:B167"/>
    <mergeCell ref="L167:M167"/>
    <mergeCell ref="L163:M163"/>
    <mergeCell ref="L157:M157"/>
    <mergeCell ref="A158:B158"/>
    <mergeCell ref="L158:M158"/>
    <mergeCell ref="A143:H143"/>
    <mergeCell ref="A144:B144"/>
    <mergeCell ref="L144:M144"/>
    <mergeCell ref="A145:B145"/>
    <mergeCell ref="L145:M145"/>
    <mergeCell ref="A146:B146"/>
    <mergeCell ref="L146:M146"/>
    <mergeCell ref="G144:H146"/>
    <mergeCell ref="G157:H161"/>
    <mergeCell ref="A148:B148"/>
    <mergeCell ref="A149:B149"/>
    <mergeCell ref="L159:M159"/>
    <mergeCell ref="L160:M160"/>
    <mergeCell ref="L161:M161"/>
    <mergeCell ref="C153:C154"/>
    <mergeCell ref="G150:H150"/>
    <mergeCell ref="G148:H148"/>
    <mergeCell ref="A141:B141"/>
    <mergeCell ref="L141:M141"/>
    <mergeCell ref="A142:B142"/>
    <mergeCell ref="L142:M142"/>
    <mergeCell ref="A137:B137"/>
    <mergeCell ref="L137:M137"/>
    <mergeCell ref="A138:B138"/>
    <mergeCell ref="L138:M138"/>
    <mergeCell ref="A139:B139"/>
    <mergeCell ref="L139:M139"/>
    <mergeCell ref="G128:H142"/>
    <mergeCell ref="L132:M132"/>
    <mergeCell ref="A133:B133"/>
    <mergeCell ref="L133:M133"/>
    <mergeCell ref="A140:B140"/>
    <mergeCell ref="L140:M140"/>
    <mergeCell ref="L135:M135"/>
    <mergeCell ref="A136:B136"/>
    <mergeCell ref="L136:M136"/>
    <mergeCell ref="A131:B131"/>
    <mergeCell ref="L131:M131"/>
    <mergeCell ref="A132:B132"/>
    <mergeCell ref="A126:H126"/>
    <mergeCell ref="A134:B134"/>
    <mergeCell ref="L134:M134"/>
    <mergeCell ref="A135:B135"/>
    <mergeCell ref="A12:D12"/>
    <mergeCell ref="E12:H12"/>
    <mergeCell ref="A102:E102"/>
    <mergeCell ref="A119:B119"/>
    <mergeCell ref="E119:F119"/>
    <mergeCell ref="A39:B39"/>
    <mergeCell ref="C39:H39"/>
    <mergeCell ref="A125:H125"/>
    <mergeCell ref="A127:H127"/>
    <mergeCell ref="A128:B128"/>
    <mergeCell ref="A129:B129"/>
    <mergeCell ref="J41:M41"/>
    <mergeCell ref="J42:M42"/>
    <mergeCell ref="J43:M43"/>
    <mergeCell ref="J44:M44"/>
    <mergeCell ref="J45:M45"/>
    <mergeCell ref="L128:M128"/>
    <mergeCell ref="L129:M129"/>
    <mergeCell ref="A130:B130"/>
    <mergeCell ref="L130:M130"/>
    <mergeCell ref="B287:H287"/>
    <mergeCell ref="A48:B48"/>
    <mergeCell ref="C48:H48"/>
    <mergeCell ref="B285:H285"/>
    <mergeCell ref="F97:H97"/>
    <mergeCell ref="A97:E97"/>
    <mergeCell ref="G263:H263"/>
    <mergeCell ref="G259:H259"/>
    <mergeCell ref="G256:H256"/>
    <mergeCell ref="D123:D124"/>
    <mergeCell ref="G113:H113"/>
    <mergeCell ref="A108:E108"/>
    <mergeCell ref="C114:D114"/>
    <mergeCell ref="E114:F114"/>
    <mergeCell ref="B123:B124"/>
    <mergeCell ref="A150:B150"/>
    <mergeCell ref="G149:H149"/>
    <mergeCell ref="A271:B271"/>
    <mergeCell ref="A272:B272"/>
    <mergeCell ref="G270:H270"/>
    <mergeCell ref="C123:C124"/>
    <mergeCell ref="B153:B154"/>
    <mergeCell ref="A267:H267"/>
    <mergeCell ref="A261:H261"/>
    <mergeCell ref="A254:B254"/>
    <mergeCell ref="G264:H264"/>
    <mergeCell ref="G262:H262"/>
    <mergeCell ref="A251:B251"/>
    <mergeCell ref="A151:B151"/>
    <mergeCell ref="A269:B269"/>
    <mergeCell ref="A270:B270"/>
    <mergeCell ref="A259:B259"/>
    <mergeCell ref="G260:H260"/>
    <mergeCell ref="G266:H266"/>
    <mergeCell ref="A163:B163"/>
    <mergeCell ref="A164:B164"/>
    <mergeCell ref="A160:B160"/>
    <mergeCell ref="A161:B161"/>
    <mergeCell ref="A162:H162"/>
    <mergeCell ref="A268:B268"/>
    <mergeCell ref="G269:H269"/>
    <mergeCell ref="A263:B263"/>
    <mergeCell ref="G257:H257"/>
    <mergeCell ref="A159:B159"/>
    <mergeCell ref="A155:H155"/>
    <mergeCell ref="A156:H156"/>
    <mergeCell ref="A157:B157"/>
    <mergeCell ref="A171:H171"/>
    <mergeCell ref="L255:M255"/>
    <mergeCell ref="A152:H152"/>
    <mergeCell ref="A153:A154"/>
    <mergeCell ref="A260:B260"/>
    <mergeCell ref="A257:B257"/>
    <mergeCell ref="A258:B258"/>
    <mergeCell ref="A109:E109"/>
    <mergeCell ref="G119:H119"/>
    <mergeCell ref="A115:B115"/>
    <mergeCell ref="C115:D115"/>
    <mergeCell ref="E115:F115"/>
    <mergeCell ref="G115:H115"/>
    <mergeCell ref="C117:D117"/>
    <mergeCell ref="L254:M254"/>
    <mergeCell ref="G251:H251"/>
    <mergeCell ref="A250:H250"/>
    <mergeCell ref="G117:H117"/>
    <mergeCell ref="L251:M251"/>
    <mergeCell ref="A252:B252"/>
    <mergeCell ref="G252:H252"/>
    <mergeCell ref="L252:M252"/>
    <mergeCell ref="A253:B253"/>
    <mergeCell ref="G253:H253"/>
    <mergeCell ref="L253:M253"/>
    <mergeCell ref="A38:B38"/>
    <mergeCell ref="C38:H38"/>
    <mergeCell ref="A45:D45"/>
    <mergeCell ref="L151:M151"/>
    <mergeCell ref="L150:M150"/>
    <mergeCell ref="L149:M149"/>
    <mergeCell ref="L148:M148"/>
    <mergeCell ref="A77:B77"/>
    <mergeCell ref="C118:D118"/>
    <mergeCell ref="E118:F118"/>
    <mergeCell ref="G118:H118"/>
    <mergeCell ref="F104:H104"/>
    <mergeCell ref="A96:E96"/>
    <mergeCell ref="A147:H147"/>
    <mergeCell ref="E123:E124"/>
    <mergeCell ref="G123:H124"/>
    <mergeCell ref="A60:C60"/>
    <mergeCell ref="E70:F79"/>
    <mergeCell ref="G70:H79"/>
    <mergeCell ref="A78:B78"/>
    <mergeCell ref="A79:B79"/>
    <mergeCell ref="D60:H60"/>
    <mergeCell ref="A76:B76"/>
    <mergeCell ref="A69:B69"/>
    <mergeCell ref="A37:H37"/>
    <mergeCell ref="A36:B36"/>
    <mergeCell ref="C36:E36"/>
    <mergeCell ref="A41:D41"/>
    <mergeCell ref="E41:H41"/>
    <mergeCell ref="F33:H33"/>
    <mergeCell ref="F34:H34"/>
    <mergeCell ref="A40:H40"/>
    <mergeCell ref="A59:C59"/>
    <mergeCell ref="D59:H59"/>
    <mergeCell ref="A43:D43"/>
    <mergeCell ref="E43:H43"/>
    <mergeCell ref="E44:H44"/>
    <mergeCell ref="E45:H45"/>
    <mergeCell ref="E46:H46"/>
    <mergeCell ref="A44:D44"/>
    <mergeCell ref="F36:H36"/>
    <mergeCell ref="A46:D46"/>
    <mergeCell ref="A47:H47"/>
    <mergeCell ref="D57:H57"/>
    <mergeCell ref="A57:C57"/>
    <mergeCell ref="G50:H50"/>
    <mergeCell ref="A51:B52"/>
    <mergeCell ref="A49:B49"/>
    <mergeCell ref="A35:B35"/>
    <mergeCell ref="C35:E35"/>
    <mergeCell ref="A30:D30"/>
    <mergeCell ref="E30:H30"/>
    <mergeCell ref="A31:D31"/>
    <mergeCell ref="E31:H31"/>
    <mergeCell ref="A27:D27"/>
    <mergeCell ref="E27:H27"/>
    <mergeCell ref="C32:E32"/>
    <mergeCell ref="F35:H35"/>
    <mergeCell ref="F32:H32"/>
    <mergeCell ref="A33:B33"/>
    <mergeCell ref="A32:B32"/>
    <mergeCell ref="C33:E33"/>
    <mergeCell ref="A34:B34"/>
    <mergeCell ref="C34:E34"/>
    <mergeCell ref="E21:F21"/>
    <mergeCell ref="G21:H21"/>
    <mergeCell ref="E26:H26"/>
    <mergeCell ref="A28:D28"/>
    <mergeCell ref="E28:H28"/>
    <mergeCell ref="A25:D25"/>
    <mergeCell ref="E25:H25"/>
    <mergeCell ref="A29:D29"/>
    <mergeCell ref="E29:H29"/>
    <mergeCell ref="A26:D26"/>
    <mergeCell ref="A10:D10"/>
    <mergeCell ref="E10:H10"/>
    <mergeCell ref="A22:D23"/>
    <mergeCell ref="E22:H23"/>
    <mergeCell ref="E14:H14"/>
    <mergeCell ref="A15:B15"/>
    <mergeCell ref="C15:H15"/>
    <mergeCell ref="C16:H16"/>
    <mergeCell ref="A24:D24"/>
    <mergeCell ref="E24:H24"/>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A17:B17"/>
    <mergeCell ref="C17:H17"/>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E7:H7"/>
    <mergeCell ref="A16:B16"/>
    <mergeCell ref="A13:D13"/>
    <mergeCell ref="E13:H13"/>
    <mergeCell ref="A14:D14"/>
    <mergeCell ref="A305:H308"/>
    <mergeCell ref="A304:B304"/>
    <mergeCell ref="E304:F304"/>
    <mergeCell ref="C304:D304"/>
    <mergeCell ref="G304:H304"/>
    <mergeCell ref="A264:B264"/>
    <mergeCell ref="A300:H300"/>
    <mergeCell ref="A303:H303"/>
    <mergeCell ref="A301:H301"/>
    <mergeCell ref="A297:H297"/>
    <mergeCell ref="A298:H298"/>
    <mergeCell ref="B288:H288"/>
    <mergeCell ref="G268:H268"/>
    <mergeCell ref="A266:B266"/>
    <mergeCell ref="G265:H265"/>
    <mergeCell ref="B283:H283"/>
    <mergeCell ref="B284:H284"/>
    <mergeCell ref="G274:H274"/>
    <mergeCell ref="G272:H272"/>
    <mergeCell ref="A279:H279"/>
    <mergeCell ref="B286:H286"/>
    <mergeCell ref="B282:H282"/>
    <mergeCell ref="A276:B276"/>
    <mergeCell ref="G276:H276"/>
    <mergeCell ref="G275:H275"/>
    <mergeCell ref="A273:H273"/>
    <mergeCell ref="A274:B274"/>
    <mergeCell ref="A275:B275"/>
    <mergeCell ref="A278:B278"/>
    <mergeCell ref="G278:H278"/>
    <mergeCell ref="A277:B277"/>
    <mergeCell ref="G277:H277"/>
    <mergeCell ref="B280:H280"/>
    <mergeCell ref="B281:H281"/>
    <mergeCell ref="A265:B265"/>
    <mergeCell ref="A262:B262"/>
    <mergeCell ref="G254:H254"/>
    <mergeCell ref="F108:H108"/>
    <mergeCell ref="E113:F113"/>
    <mergeCell ref="A113:B113"/>
    <mergeCell ref="A120:B120"/>
    <mergeCell ref="C120:D120"/>
    <mergeCell ref="E120:F120"/>
    <mergeCell ref="G120:H120"/>
    <mergeCell ref="G151:H151"/>
    <mergeCell ref="G258:H258"/>
    <mergeCell ref="A112:H112"/>
    <mergeCell ref="A110:E110"/>
    <mergeCell ref="F110:H110"/>
    <mergeCell ref="A111:E111"/>
    <mergeCell ref="F111:H111"/>
    <mergeCell ref="A255:H255"/>
    <mergeCell ref="A118:B118"/>
    <mergeCell ref="A114:B114"/>
    <mergeCell ref="A116:H116"/>
    <mergeCell ref="E117:F117"/>
    <mergeCell ref="A121:H121"/>
    <mergeCell ref="A72:B72"/>
    <mergeCell ref="A68:B68"/>
    <mergeCell ref="A66:B66"/>
    <mergeCell ref="C66:H66"/>
    <mergeCell ref="A74:B74"/>
    <mergeCell ref="C68:H68"/>
    <mergeCell ref="A71:B71"/>
    <mergeCell ref="A73:B73"/>
    <mergeCell ref="E69:F69"/>
    <mergeCell ref="A70:B70"/>
    <mergeCell ref="G69:H69"/>
    <mergeCell ref="F105:H105"/>
    <mergeCell ref="C113:D113"/>
    <mergeCell ref="F109:H109"/>
    <mergeCell ref="F107:H107"/>
    <mergeCell ref="A122:H122"/>
    <mergeCell ref="F95:H95"/>
    <mergeCell ref="F102:H102"/>
    <mergeCell ref="A95:E95"/>
    <mergeCell ref="F101:H101"/>
    <mergeCell ref="F100:H100"/>
    <mergeCell ref="A105:E105"/>
    <mergeCell ref="A123:A124"/>
    <mergeCell ref="A61:C61"/>
    <mergeCell ref="D61:H61"/>
    <mergeCell ref="A62:C62"/>
    <mergeCell ref="D62:H62"/>
    <mergeCell ref="A65:C65"/>
    <mergeCell ref="D65:H65"/>
    <mergeCell ref="A63:C63"/>
    <mergeCell ref="D63:H63"/>
    <mergeCell ref="A64:C64"/>
    <mergeCell ref="D64:H64"/>
    <mergeCell ref="A101:E101"/>
    <mergeCell ref="A103:E103"/>
    <mergeCell ref="F103:H103"/>
    <mergeCell ref="A104:E104"/>
    <mergeCell ref="A107:E107"/>
    <mergeCell ref="C119:D119"/>
    <mergeCell ref="A100:E100"/>
    <mergeCell ref="A98:E98"/>
    <mergeCell ref="F98:H98"/>
    <mergeCell ref="A99:E99"/>
    <mergeCell ref="F99:H99"/>
    <mergeCell ref="A106:E106"/>
    <mergeCell ref="F106:H106"/>
    <mergeCell ref="A58:C58"/>
    <mergeCell ref="D58:H58"/>
    <mergeCell ref="C50:E50"/>
    <mergeCell ref="A53:B53"/>
    <mergeCell ref="C53:E53"/>
    <mergeCell ref="A50:B50"/>
    <mergeCell ref="A54:H54"/>
    <mergeCell ref="A55:C55"/>
    <mergeCell ref="A56:C56"/>
    <mergeCell ref="D56:H56"/>
    <mergeCell ref="G53:H53"/>
    <mergeCell ref="B296:H296"/>
    <mergeCell ref="B294:H294"/>
    <mergeCell ref="B295:H295"/>
    <mergeCell ref="B291:H291"/>
    <mergeCell ref="E42:H42"/>
    <mergeCell ref="A42:D42"/>
    <mergeCell ref="A302:H302"/>
    <mergeCell ref="A299:H299"/>
    <mergeCell ref="G271:H271"/>
    <mergeCell ref="A256:B256"/>
    <mergeCell ref="A117:B117"/>
    <mergeCell ref="D153:D154"/>
    <mergeCell ref="E153:E154"/>
    <mergeCell ref="G153:H154"/>
    <mergeCell ref="A75:B75"/>
    <mergeCell ref="F96:H96"/>
    <mergeCell ref="G114:H114"/>
    <mergeCell ref="C49:E49"/>
    <mergeCell ref="C52:E52"/>
    <mergeCell ref="G52:H52"/>
    <mergeCell ref="G49:H49"/>
    <mergeCell ref="G51:H51"/>
    <mergeCell ref="D55:H55"/>
    <mergeCell ref="C51:E51"/>
  </mergeCells>
  <hyperlinks>
    <hyperlink ref="C39"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65" max="16383" man="1"/>
    <brk id="308" max="16383" man="1"/>
    <brk id="350" max="16383" man="1"/>
    <brk id="388"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B58" sqref="B58"/>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08" t="s">
        <v>107</v>
      </c>
      <c r="C3" s="208"/>
      <c r="D3" s="208"/>
      <c r="E3" s="208"/>
      <c r="F3" s="208"/>
      <c r="G3" s="208"/>
      <c r="H3" s="208"/>
    </row>
    <row r="4" spans="1:9" x14ac:dyDescent="0.3">
      <c r="A4" s="2"/>
      <c r="B4" s="3" t="s">
        <v>108</v>
      </c>
      <c r="C4" s="3" t="s">
        <v>109</v>
      </c>
      <c r="D4" s="3" t="s">
        <v>70</v>
      </c>
      <c r="E4" s="3" t="s">
        <v>110</v>
      </c>
      <c r="F4" s="3" t="s">
        <v>116</v>
      </c>
      <c r="G4" s="3" t="s">
        <v>117</v>
      </c>
      <c r="H4" s="3" t="s">
        <v>111</v>
      </c>
    </row>
    <row r="5" spans="1:9" ht="15" customHeight="1" x14ac:dyDescent="0.3">
      <c r="A5" s="2"/>
      <c r="B5" s="5" t="s">
        <v>112</v>
      </c>
      <c r="C5" s="6"/>
      <c r="D5" s="5"/>
      <c r="E5" s="5"/>
      <c r="F5" s="7">
        <f>E5*1.6</f>
        <v>0</v>
      </c>
      <c r="G5" s="7" t="e">
        <f>H5/F5</f>
        <v>#DIV/0!</v>
      </c>
      <c r="H5" s="8"/>
    </row>
    <row r="6" spans="1:9" x14ac:dyDescent="0.3">
      <c r="A6" s="2"/>
      <c r="B6" s="5" t="s">
        <v>112</v>
      </c>
      <c r="C6" s="9"/>
      <c r="D6" s="5"/>
      <c r="E6" s="5"/>
      <c r="F6" s="7">
        <f t="shared" ref="F6:F11" si="0">E6*1.6</f>
        <v>0</v>
      </c>
      <c r="G6" s="7" t="e">
        <f t="shared" ref="G6:G11" si="1">H6/F6</f>
        <v>#DIV/0!</v>
      </c>
      <c r="H6" s="8"/>
    </row>
    <row r="7" spans="1:9" ht="15" customHeight="1" x14ac:dyDescent="0.3">
      <c r="A7" s="2"/>
      <c r="B7" s="5" t="s">
        <v>112</v>
      </c>
      <c r="C7" s="6"/>
      <c r="D7" s="5"/>
      <c r="E7" s="5"/>
      <c r="F7" s="7">
        <f t="shared" si="0"/>
        <v>0</v>
      </c>
      <c r="G7" s="7" t="e">
        <f t="shared" si="1"/>
        <v>#DIV/0!</v>
      </c>
      <c r="H7" s="8"/>
    </row>
    <row r="8" spans="1:9" x14ac:dyDescent="0.3">
      <c r="A8" s="2"/>
      <c r="B8" s="5" t="s">
        <v>112</v>
      </c>
      <c r="C8" s="9"/>
      <c r="D8" s="5"/>
      <c r="E8" s="5"/>
      <c r="F8" s="7">
        <f t="shared" si="0"/>
        <v>0</v>
      </c>
      <c r="G8" s="7" t="e">
        <f t="shared" si="1"/>
        <v>#DIV/0!</v>
      </c>
      <c r="H8" s="8"/>
    </row>
    <row r="9" spans="1:9" ht="15" customHeight="1" x14ac:dyDescent="0.3">
      <c r="A9" s="2"/>
      <c r="B9" s="5" t="s">
        <v>112</v>
      </c>
      <c r="C9" s="9"/>
      <c r="D9" s="5"/>
      <c r="E9" s="5"/>
      <c r="F9" s="7">
        <f t="shared" si="0"/>
        <v>0</v>
      </c>
      <c r="G9" s="7" t="e">
        <f t="shared" si="1"/>
        <v>#DIV/0!</v>
      </c>
      <c r="H9" s="8"/>
    </row>
    <row r="10" spans="1:9" ht="15" customHeight="1" x14ac:dyDescent="0.3">
      <c r="A10" s="2"/>
      <c r="B10" s="5" t="s">
        <v>113</v>
      </c>
      <c r="C10" s="6"/>
      <c r="D10" s="5"/>
      <c r="E10" s="5"/>
      <c r="F10" s="7">
        <f t="shared" si="0"/>
        <v>0</v>
      </c>
      <c r="G10" s="7" t="e">
        <f t="shared" si="1"/>
        <v>#DIV/0!</v>
      </c>
      <c r="H10" s="8"/>
    </row>
    <row r="11" spans="1:9" ht="15" customHeight="1" x14ac:dyDescent="0.3">
      <c r="A11" s="2"/>
      <c r="B11" s="5" t="s">
        <v>113</v>
      </c>
      <c r="C11" s="6"/>
      <c r="D11" s="5"/>
      <c r="E11" s="5"/>
      <c r="F11" s="7">
        <f t="shared" si="0"/>
        <v>0</v>
      </c>
      <c r="G11" s="7" t="e">
        <f t="shared" si="1"/>
        <v>#DIV/0!</v>
      </c>
      <c r="H11" s="8"/>
    </row>
    <row r="12" spans="1:9" ht="15" customHeight="1" x14ac:dyDescent="0.3">
      <c r="A12" s="2"/>
      <c r="B12" s="10" t="s">
        <v>114</v>
      </c>
      <c r="C12" s="5"/>
      <c r="D12" s="5"/>
      <c r="E12" s="5"/>
      <c r="F12" s="5"/>
      <c r="G12" s="11" t="e">
        <f>AVERAGE(G5:G11)</f>
        <v>#DIV/0!</v>
      </c>
      <c r="H12" s="5"/>
    </row>
    <row r="13" spans="1:9" ht="15" customHeight="1" x14ac:dyDescent="0.3">
      <c r="B13" s="10" t="s">
        <v>115</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E24" sqref="E24"/>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2025-07-14T13:59:04Z</cp:lastPrinted>
  <dcterms:created xsi:type="dcterms:W3CDTF">2019-07-16T09:29:46Z</dcterms:created>
  <dcterms:modified xsi:type="dcterms:W3CDTF">2025-07-14T14:00:47Z</dcterms:modified>
</cp:coreProperties>
</file>