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393EE048-5BA7-40EA-966B-7F6E04A0D95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Full Report" sheetId="1" r:id="rId1"/>
    <sheet name="Sheet1" sheetId="9" r:id="rId2"/>
    <sheet name="Flat detail" sheetId="3" r:id="rId3"/>
    <sheet name="valuation" sheetId="5" r:id="rId4"/>
    <sheet name="Note" sheetId="4" r:id="rId5"/>
  </sheets>
  <definedNames>
    <definedName name="_xlnm.Print_Area" localSheetId="0">'Full Report'!$A$1:$H$395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2" i="1" l="1"/>
  <c r="D314" i="9" l="1"/>
  <c r="A296" i="9"/>
  <c r="A297" i="9" s="1"/>
  <c r="A298" i="9" s="1"/>
  <c r="A299" i="9" s="1"/>
  <c r="A300" i="9" s="1"/>
  <c r="A301" i="9" s="1"/>
  <c r="D293" i="9"/>
  <c r="F293" i="9" s="1"/>
  <c r="F292" i="9"/>
  <c r="D292" i="9"/>
  <c r="D291" i="9"/>
  <c r="F291" i="9" s="1"/>
  <c r="F290" i="9"/>
  <c r="D290" i="9"/>
  <c r="D289" i="9"/>
  <c r="F289" i="9" s="1"/>
  <c r="D288" i="9"/>
  <c r="F288" i="9" s="1"/>
  <c r="F287" i="9"/>
  <c r="D287" i="9"/>
  <c r="G286" i="9"/>
  <c r="D286" i="9"/>
  <c r="F286" i="9" s="1"/>
  <c r="D284" i="9"/>
  <c r="F284" i="9" s="1"/>
  <c r="D283" i="9"/>
  <c r="F283" i="9" s="1"/>
  <c r="D282" i="9"/>
  <c r="F282" i="9" s="1"/>
  <c r="A282" i="9"/>
  <c r="A283" i="9" s="1"/>
  <c r="A284" i="9" s="1"/>
  <c r="G281" i="9"/>
  <c r="D281" i="9"/>
  <c r="F281" i="9" s="1"/>
  <c r="D278" i="9"/>
  <c r="F278" i="9" s="1"/>
  <c r="D277" i="9"/>
  <c r="F277" i="9" s="1"/>
  <c r="D276" i="9"/>
  <c r="F276" i="9" s="1"/>
  <c r="D275" i="9"/>
  <c r="F275" i="9" s="1"/>
  <c r="F274" i="9"/>
  <c r="D274" i="9"/>
  <c r="D273" i="9"/>
  <c r="F273" i="9" s="1"/>
  <c r="D272" i="9"/>
  <c r="F272" i="9" s="1"/>
  <c r="D271" i="9"/>
  <c r="F271" i="9" s="1"/>
  <c r="D270" i="9"/>
  <c r="F270" i="9" s="1"/>
  <c r="D269" i="9"/>
  <c r="F269" i="9" s="1"/>
  <c r="D268" i="9"/>
  <c r="F268" i="9" s="1"/>
  <c r="D267" i="9"/>
  <c r="F267" i="9" s="1"/>
  <c r="D266" i="9"/>
  <c r="F266" i="9" s="1"/>
  <c r="D265" i="9"/>
  <c r="G264" i="9"/>
  <c r="D264" i="9"/>
  <c r="F264" i="9" s="1"/>
  <c r="D260" i="9"/>
  <c r="F260" i="9" s="1"/>
  <c r="D259" i="9"/>
  <c r="F259" i="9" s="1"/>
  <c r="D258" i="9"/>
  <c r="F258" i="9" s="1"/>
  <c r="D257" i="9"/>
  <c r="F257" i="9" s="1"/>
  <c r="D256" i="9"/>
  <c r="F256" i="9" s="1"/>
  <c r="D255" i="9"/>
  <c r="F255" i="9" s="1"/>
  <c r="D254" i="9"/>
  <c r="F254" i="9" s="1"/>
  <c r="D253" i="9"/>
  <c r="F253" i="9" s="1"/>
  <c r="D252" i="9"/>
  <c r="F252" i="9" s="1"/>
  <c r="D251" i="9"/>
  <c r="F251" i="9" s="1"/>
  <c r="D250" i="9"/>
  <c r="F250" i="9" s="1"/>
  <c r="G249" i="9"/>
  <c r="D249" i="9"/>
  <c r="F249" i="9" s="1"/>
  <c r="D247" i="9"/>
  <c r="F247" i="9" s="1"/>
  <c r="D246" i="9"/>
  <c r="F246" i="9" s="1"/>
  <c r="D245" i="9"/>
  <c r="A245" i="9"/>
  <c r="A246" i="9" s="1"/>
  <c r="A247" i="9" s="1"/>
  <c r="G244" i="9"/>
  <c r="D244" i="9"/>
  <c r="F244" i="9" s="1"/>
  <c r="D241" i="9"/>
  <c r="F241" i="9" s="1"/>
  <c r="D240" i="9"/>
  <c r="F240" i="9" s="1"/>
  <c r="D239" i="9"/>
  <c r="F239" i="9" s="1"/>
  <c r="D238" i="9"/>
  <c r="F238" i="9" s="1"/>
  <c r="D237" i="9"/>
  <c r="F237" i="9" s="1"/>
  <c r="D236" i="9"/>
  <c r="F236" i="9" s="1"/>
  <c r="D235" i="9"/>
  <c r="F235" i="9" s="1"/>
  <c r="G234" i="9"/>
  <c r="D234" i="9"/>
  <c r="F234" i="9" s="1"/>
  <c r="D232" i="9"/>
  <c r="F232" i="9" s="1"/>
  <c r="D231" i="9"/>
  <c r="F231" i="9" s="1"/>
  <c r="D230" i="9"/>
  <c r="F230" i="9" s="1"/>
  <c r="A230" i="9"/>
  <c r="A231" i="9" s="1"/>
  <c r="A232" i="9" s="1"/>
  <c r="G229" i="9"/>
  <c r="D229" i="9"/>
  <c r="F229" i="9" s="1"/>
  <c r="D225" i="9"/>
  <c r="F225" i="9" s="1"/>
  <c r="D224" i="9"/>
  <c r="F224" i="9" s="1"/>
  <c r="D223" i="9"/>
  <c r="F223" i="9" s="1"/>
  <c r="D222" i="9"/>
  <c r="F222" i="9" s="1"/>
  <c r="D221" i="9"/>
  <c r="F221" i="9" s="1"/>
  <c r="D220" i="9"/>
  <c r="F220" i="9" s="1"/>
  <c r="D219" i="9"/>
  <c r="F219" i="9" s="1"/>
  <c r="D218" i="9"/>
  <c r="D217" i="9"/>
  <c r="F217" i="9" s="1"/>
  <c r="G216" i="9"/>
  <c r="F216" i="9"/>
  <c r="D216" i="9"/>
  <c r="D214" i="9"/>
  <c r="F214" i="9" s="1"/>
  <c r="D213" i="9"/>
  <c r="A213" i="9"/>
  <c r="A214" i="9" s="1"/>
  <c r="G212" i="9"/>
  <c r="D212" i="9"/>
  <c r="F212" i="9" s="1"/>
  <c r="D209" i="9"/>
  <c r="F209" i="9" s="1"/>
  <c r="D208" i="9"/>
  <c r="F208" i="9" s="1"/>
  <c r="D207" i="9"/>
  <c r="F207" i="9" s="1"/>
  <c r="D206" i="9"/>
  <c r="F206" i="9" s="1"/>
  <c r="D205" i="9"/>
  <c r="F205" i="9" s="1"/>
  <c r="D204" i="9"/>
  <c r="F204" i="9" s="1"/>
  <c r="D203" i="9"/>
  <c r="F203" i="9" s="1"/>
  <c r="D202" i="9"/>
  <c r="F202" i="9" s="1"/>
  <c r="D201" i="9"/>
  <c r="F201" i="9" s="1"/>
  <c r="D200" i="9"/>
  <c r="F200" i="9" s="1"/>
  <c r="D199" i="9"/>
  <c r="F199" i="9" s="1"/>
  <c r="D198" i="9"/>
  <c r="F198" i="9" s="1"/>
  <c r="D197" i="9"/>
  <c r="F197" i="9" s="1"/>
  <c r="D196" i="9"/>
  <c r="F196" i="9" s="1"/>
  <c r="D195" i="9"/>
  <c r="F195" i="9" s="1"/>
  <c r="D194" i="9"/>
  <c r="F194" i="9" s="1"/>
  <c r="D193" i="9"/>
  <c r="F193" i="9" s="1"/>
  <c r="D192" i="9"/>
  <c r="F192" i="9" s="1"/>
  <c r="G191" i="9"/>
  <c r="D191" i="9"/>
  <c r="D187" i="9"/>
  <c r="F187" i="9" s="1"/>
  <c r="D186" i="9"/>
  <c r="F186" i="9" s="1"/>
  <c r="D185" i="9"/>
  <c r="F185" i="9" s="1"/>
  <c r="D184" i="9"/>
  <c r="F184" i="9" s="1"/>
  <c r="D183" i="9"/>
  <c r="F183" i="9" s="1"/>
  <c r="D182" i="9"/>
  <c r="F182" i="9" s="1"/>
  <c r="D181" i="9"/>
  <c r="F181" i="9" s="1"/>
  <c r="D180" i="9"/>
  <c r="F180" i="9" s="1"/>
  <c r="D179" i="9"/>
  <c r="F179" i="9" s="1"/>
  <c r="D178" i="9"/>
  <c r="F178" i="9" s="1"/>
  <c r="D177" i="9"/>
  <c r="F177" i="9" s="1"/>
  <c r="D176" i="9"/>
  <c r="F176" i="9" s="1"/>
  <c r="D175" i="9"/>
  <c r="F175" i="9" s="1"/>
  <c r="D174" i="9"/>
  <c r="F174" i="9" s="1"/>
  <c r="D173" i="9"/>
  <c r="F173" i="9" s="1"/>
  <c r="D172" i="9"/>
  <c r="F172" i="9" s="1"/>
  <c r="D171" i="9"/>
  <c r="F171" i="9" s="1"/>
  <c r="D170" i="9"/>
  <c r="D169" i="9"/>
  <c r="F169" i="9" s="1"/>
  <c r="G168" i="9"/>
  <c r="D168" i="9"/>
  <c r="F160" i="9"/>
  <c r="F159" i="9"/>
  <c r="F158" i="9"/>
  <c r="F157" i="9"/>
  <c r="F156" i="9"/>
  <c r="F155" i="9"/>
  <c r="A155" i="9"/>
  <c r="A156" i="9" s="1"/>
  <c r="A157" i="9" s="1"/>
  <c r="A158" i="9" s="1"/>
  <c r="A159" i="9" s="1"/>
  <c r="A160" i="9" s="1"/>
  <c r="G154" i="9"/>
  <c r="G155" i="9" s="1"/>
  <c r="G156" i="9" s="1"/>
  <c r="G157" i="9" s="1"/>
  <c r="G158" i="9" s="1"/>
  <c r="G159" i="9" s="1"/>
  <c r="G160" i="9" s="1"/>
  <c r="F154" i="9"/>
  <c r="F133" i="9"/>
  <c r="K114" i="9"/>
  <c r="K113" i="9"/>
  <c r="K112" i="9"/>
  <c r="K111" i="9"/>
  <c r="I103" i="9"/>
  <c r="C105" i="9" s="1"/>
  <c r="C103" i="9"/>
  <c r="K100" i="9"/>
  <c r="K99" i="9"/>
  <c r="K98" i="9"/>
  <c r="K97" i="9"/>
  <c r="C89" i="9"/>
  <c r="K86" i="9"/>
  <c r="K85" i="9"/>
  <c r="K84" i="9"/>
  <c r="K83" i="9"/>
  <c r="C75" i="9"/>
  <c r="K72" i="9"/>
  <c r="K71" i="9"/>
  <c r="K70" i="9"/>
  <c r="K69" i="9"/>
  <c r="C61" i="9"/>
  <c r="D58" i="9"/>
  <c r="D50" i="9"/>
  <c r="C45" i="9"/>
  <c r="E39" i="9"/>
  <c r="E40" i="9" s="1"/>
  <c r="E24" i="9"/>
  <c r="E22" i="9"/>
  <c r="C13" i="9"/>
  <c r="E7" i="9"/>
  <c r="E3" i="9"/>
  <c r="P249" i="9"/>
  <c r="O249" i="9"/>
  <c r="P216" i="9"/>
  <c r="O168" i="9"/>
  <c r="H62" i="9"/>
  <c r="P191" i="9"/>
  <c r="H104" i="9"/>
  <c r="P168" i="9"/>
  <c r="P234" i="9"/>
  <c r="O191" i="9"/>
  <c r="P264" i="9"/>
  <c r="O286" i="9"/>
  <c r="O216" i="9"/>
  <c r="P286" i="9"/>
  <c r="H76" i="9"/>
  <c r="O264" i="9"/>
  <c r="O234" i="9"/>
  <c r="H90" i="9"/>
  <c r="E147" i="9" l="1"/>
  <c r="E146" i="9"/>
  <c r="E142" i="9"/>
  <c r="C140" i="9"/>
  <c r="E145" i="9"/>
  <c r="E144" i="9"/>
  <c r="G144" i="9"/>
  <c r="C146" i="9"/>
  <c r="F168" i="9"/>
  <c r="C142" i="9"/>
  <c r="F218" i="9"/>
  <c r="F245" i="9"/>
  <c r="G145" i="9" s="1"/>
  <c r="F265" i="9"/>
  <c r="E140" i="9"/>
  <c r="E141" i="9"/>
  <c r="G146" i="9"/>
  <c r="C147" i="9"/>
  <c r="D115" i="9"/>
  <c r="D109" i="9"/>
  <c r="K108" i="9"/>
  <c r="D108" i="9"/>
  <c r="D114" i="9"/>
  <c r="D110" i="9"/>
  <c r="K107" i="9"/>
  <c r="D111" i="9"/>
  <c r="D113" i="9"/>
  <c r="G107" i="9"/>
  <c r="D112" i="9"/>
  <c r="D107" i="9"/>
  <c r="K106" i="9"/>
  <c r="D116" i="9"/>
  <c r="K109" i="9"/>
  <c r="K110" i="9" s="1"/>
  <c r="K115" i="9" s="1"/>
  <c r="K116" i="9" s="1"/>
  <c r="P217" i="9"/>
  <c r="P218" i="9" s="1"/>
  <c r="P219" i="9" s="1"/>
  <c r="P220" i="9" s="1"/>
  <c r="P221" i="9" s="1"/>
  <c r="P222" i="9" s="1"/>
  <c r="P223" i="9" s="1"/>
  <c r="P224" i="9" s="1"/>
  <c r="P225" i="9" s="1"/>
  <c r="P259" i="9" s="1"/>
  <c r="P260" i="9" s="1"/>
  <c r="P276" i="9" s="1"/>
  <c r="P277" i="9" s="1"/>
  <c r="P278" i="9" s="1"/>
  <c r="N234" i="9"/>
  <c r="A234" i="9" s="1"/>
  <c r="O235" i="9"/>
  <c r="O250" i="9"/>
  <c r="N249" i="9"/>
  <c r="A249" i="9" s="1"/>
  <c r="P250" i="9"/>
  <c r="P251" i="9" s="1"/>
  <c r="P252" i="9" s="1"/>
  <c r="P253" i="9" s="1"/>
  <c r="P254" i="9" s="1"/>
  <c r="P255" i="9" s="1"/>
  <c r="P256" i="9" s="1"/>
  <c r="P272" i="9" s="1"/>
  <c r="P273" i="9" s="1"/>
  <c r="O265" i="9"/>
  <c r="N264" i="9"/>
  <c r="A264" i="9" s="1"/>
  <c r="K67" i="9"/>
  <c r="K68" i="9" s="1"/>
  <c r="K73" i="9" s="1"/>
  <c r="K74" i="9" s="1"/>
  <c r="D73" i="9"/>
  <c r="D67" i="9"/>
  <c r="K66" i="9"/>
  <c r="C65" i="9" s="1"/>
  <c r="D65" i="9" s="1"/>
  <c r="D74" i="9"/>
  <c r="D72" i="9"/>
  <c r="D66" i="9"/>
  <c r="K65" i="9"/>
  <c r="D71" i="9"/>
  <c r="D70" i="9"/>
  <c r="D68" i="9"/>
  <c r="D69" i="9"/>
  <c r="K64" i="9"/>
  <c r="P235" i="9"/>
  <c r="P236" i="9" s="1"/>
  <c r="P237" i="9" s="1"/>
  <c r="P238" i="9" s="1"/>
  <c r="P239" i="9" s="1"/>
  <c r="P240" i="9" s="1"/>
  <c r="N168" i="9"/>
  <c r="A168" i="9" s="1"/>
  <c r="O169" i="9"/>
  <c r="D85" i="9"/>
  <c r="K79" i="9"/>
  <c r="D84" i="9"/>
  <c r="D86" i="9"/>
  <c r="D83" i="9"/>
  <c r="K78" i="9"/>
  <c r="D88" i="9"/>
  <c r="D82" i="9"/>
  <c r="D81" i="9"/>
  <c r="K81" i="9"/>
  <c r="K82" i="9" s="1"/>
  <c r="K87" i="9" s="1"/>
  <c r="K88" i="9" s="1"/>
  <c r="C80" i="9" s="1"/>
  <c r="D80" i="9" s="1"/>
  <c r="D87" i="9"/>
  <c r="K80" i="9"/>
  <c r="C79" i="9" s="1"/>
  <c r="D79" i="9" s="1"/>
  <c r="P169" i="9"/>
  <c r="P170" i="9" s="1"/>
  <c r="P171" i="9" s="1"/>
  <c r="P172" i="9" s="1"/>
  <c r="P173" i="9" s="1"/>
  <c r="P174" i="9" s="1"/>
  <c r="P175" i="9" s="1"/>
  <c r="P176" i="9" s="1"/>
  <c r="P177" i="9" s="1"/>
  <c r="P178" i="9" s="1"/>
  <c r="P179" i="9" s="1"/>
  <c r="P180" i="9" s="1"/>
  <c r="P181" i="9" s="1"/>
  <c r="P182" i="9" s="1"/>
  <c r="P183" i="9" s="1"/>
  <c r="P184" i="9" s="1"/>
  <c r="P185" i="9" s="1"/>
  <c r="P186" i="9" s="1"/>
  <c r="P187" i="9" s="1"/>
  <c r="N191" i="9"/>
  <c r="A191" i="9" s="1"/>
  <c r="O192" i="9"/>
  <c r="P192" i="9"/>
  <c r="P193" i="9" s="1"/>
  <c r="P194" i="9" s="1"/>
  <c r="P195" i="9" s="1"/>
  <c r="P196" i="9" s="1"/>
  <c r="P197" i="9" s="1"/>
  <c r="P198" i="9" s="1"/>
  <c r="P199" i="9" s="1"/>
  <c r="P200" i="9" s="1"/>
  <c r="P201" i="9" s="1"/>
  <c r="P202" i="9" s="1"/>
  <c r="P203" i="9" s="1"/>
  <c r="P204" i="9" s="1"/>
  <c r="P205" i="9" s="1"/>
  <c r="P206" i="9" s="1"/>
  <c r="P207" i="9" s="1"/>
  <c r="P208" i="9" s="1"/>
  <c r="P209" i="9" s="1"/>
  <c r="P265" i="9"/>
  <c r="P266" i="9" s="1"/>
  <c r="P267" i="9" s="1"/>
  <c r="P268" i="9" s="1"/>
  <c r="P269" i="9" s="1"/>
  <c r="P270" i="9" s="1"/>
  <c r="P271" i="9" s="1"/>
  <c r="K92" i="9"/>
  <c r="D102" i="9"/>
  <c r="D96" i="9"/>
  <c r="K95" i="9"/>
  <c r="K96" i="9" s="1"/>
  <c r="K101" i="9" s="1"/>
  <c r="K102" i="9" s="1"/>
  <c r="C94" i="9" s="1"/>
  <c r="D94" i="9" s="1"/>
  <c r="D101" i="9"/>
  <c r="D95" i="9"/>
  <c r="K94" i="9"/>
  <c r="C93" i="9" s="1"/>
  <c r="D100" i="9"/>
  <c r="D97" i="9"/>
  <c r="K93" i="9"/>
  <c r="D99" i="9"/>
  <c r="D98" i="9"/>
  <c r="N286" i="9"/>
  <c r="A286" i="9" s="1"/>
  <c r="O287" i="9"/>
  <c r="P287" i="9"/>
  <c r="P288" i="9" s="1"/>
  <c r="P289" i="9" s="1"/>
  <c r="P290" i="9" s="1"/>
  <c r="P291" i="9" s="1"/>
  <c r="P292" i="9" s="1"/>
  <c r="P293" i="9" s="1"/>
  <c r="N216" i="9"/>
  <c r="A216" i="9" s="1"/>
  <c r="O217" i="9"/>
  <c r="E107" i="9"/>
  <c r="G147" i="9"/>
  <c r="C144" i="9"/>
  <c r="F213" i="9"/>
  <c r="G142" i="9" s="1"/>
  <c r="F170" i="9"/>
  <c r="G140" i="9" s="1"/>
  <c r="F191" i="9"/>
  <c r="G141" i="9" s="1"/>
  <c r="C145" i="9"/>
  <c r="C141" i="9"/>
  <c r="F9" i="5"/>
  <c r="F8" i="5"/>
  <c r="F7" i="5"/>
  <c r="G7" i="5" s="1"/>
  <c r="F6" i="5"/>
  <c r="F5" i="5"/>
  <c r="C105" i="1"/>
  <c r="K116" i="1"/>
  <c r="K115" i="1"/>
  <c r="K114" i="1"/>
  <c r="K113" i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5" i="1"/>
  <c r="F285" i="1" s="1"/>
  <c r="D284" i="1"/>
  <c r="F284" i="1" s="1"/>
  <c r="D283" i="1"/>
  <c r="D282" i="1"/>
  <c r="F282" i="1" s="1"/>
  <c r="A283" i="1"/>
  <c r="A284" i="1" s="1"/>
  <c r="A285" i="1" s="1"/>
  <c r="G282" i="1"/>
  <c r="G287" i="1"/>
  <c r="D279" i="1"/>
  <c r="F279" i="1" s="1"/>
  <c r="D278" i="1"/>
  <c r="F278" i="1" s="1"/>
  <c r="D277" i="1"/>
  <c r="F277" i="1" s="1"/>
  <c r="D276" i="1"/>
  <c r="D275" i="1"/>
  <c r="D274" i="1"/>
  <c r="D273" i="1"/>
  <c r="F273" i="1" s="1"/>
  <c r="D272" i="1"/>
  <c r="F272" i="1" s="1"/>
  <c r="D271" i="1"/>
  <c r="F271" i="1" s="1"/>
  <c r="D270" i="1"/>
  <c r="F270" i="1" s="1"/>
  <c r="D269" i="1"/>
  <c r="D268" i="1"/>
  <c r="D267" i="1"/>
  <c r="F267" i="1" s="1"/>
  <c r="D266" i="1"/>
  <c r="F266" i="1" s="1"/>
  <c r="D265" i="1"/>
  <c r="F265" i="1" s="1"/>
  <c r="F276" i="1"/>
  <c r="F275" i="1"/>
  <c r="F274" i="1"/>
  <c r="F269" i="1"/>
  <c r="G265" i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7" i="1"/>
  <c r="F247" i="1" s="1"/>
  <c r="D246" i="1"/>
  <c r="F246" i="1" s="1"/>
  <c r="G250" i="1"/>
  <c r="D248" i="1"/>
  <c r="F248" i="1" s="1"/>
  <c r="A246" i="1"/>
  <c r="A247" i="1" s="1"/>
  <c r="A248" i="1" s="1"/>
  <c r="G245" i="1"/>
  <c r="D245" i="1"/>
  <c r="F245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3" i="1"/>
  <c r="F233" i="1" s="1"/>
  <c r="D232" i="1"/>
  <c r="F232" i="1" s="1"/>
  <c r="D231" i="1"/>
  <c r="F231" i="1" s="1"/>
  <c r="D230" i="1"/>
  <c r="F230" i="1" s="1"/>
  <c r="G235" i="1"/>
  <c r="A231" i="1"/>
  <c r="A232" i="1" s="1"/>
  <c r="A233" i="1" s="1"/>
  <c r="G230" i="1"/>
  <c r="D226" i="1"/>
  <c r="D225" i="1"/>
  <c r="D224" i="1"/>
  <c r="D223" i="1"/>
  <c r="D222" i="1"/>
  <c r="D221" i="1"/>
  <c r="D220" i="1"/>
  <c r="D219" i="1"/>
  <c r="D218" i="1"/>
  <c r="D217" i="1"/>
  <c r="D215" i="1"/>
  <c r="D214" i="1"/>
  <c r="D213" i="1"/>
  <c r="A214" i="1"/>
  <c r="A215" i="1" s="1"/>
  <c r="G213" i="1"/>
  <c r="G217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G143" i="1" s="1"/>
  <c r="G192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L174" i="1" s="1"/>
  <c r="D173" i="1"/>
  <c r="D172" i="1"/>
  <c r="D171" i="1"/>
  <c r="D170" i="1"/>
  <c r="D169" i="1"/>
  <c r="P250" i="1"/>
  <c r="P265" i="1"/>
  <c r="P192" i="1"/>
  <c r="O217" i="1"/>
  <c r="P217" i="1"/>
  <c r="O265" i="1"/>
  <c r="P287" i="1"/>
  <c r="O235" i="1"/>
  <c r="O192" i="1"/>
  <c r="P235" i="1"/>
  <c r="O250" i="1"/>
  <c r="O287" i="1"/>
  <c r="E148" i="9" l="1"/>
  <c r="C148" i="9"/>
  <c r="G148" i="9"/>
  <c r="E148" i="1"/>
  <c r="F268" i="1"/>
  <c r="E142" i="1"/>
  <c r="E144" i="1"/>
  <c r="C148" i="1"/>
  <c r="C149" i="1"/>
  <c r="F283" i="1"/>
  <c r="G149" i="1" s="1"/>
  <c r="G146" i="1"/>
  <c r="N169" i="9"/>
  <c r="A169" i="9" s="1"/>
  <c r="O170" i="9"/>
  <c r="N250" i="9"/>
  <c r="A250" i="9" s="1"/>
  <c r="O251" i="9"/>
  <c r="N235" i="9"/>
  <c r="A235" i="9" s="1"/>
  <c r="O236" i="9"/>
  <c r="G93" i="9"/>
  <c r="I61" i="9"/>
  <c r="C63" i="9" s="1"/>
  <c r="E65" i="9" s="1"/>
  <c r="G65" i="9"/>
  <c r="P274" i="9"/>
  <c r="P275" i="9" s="1"/>
  <c r="P241" i="9"/>
  <c r="P257" i="9" s="1"/>
  <c r="P258" i="9" s="1"/>
  <c r="O218" i="9"/>
  <c r="N217" i="9"/>
  <c r="A217" i="9" s="1"/>
  <c r="D93" i="9"/>
  <c r="I89" i="9" s="1"/>
  <c r="C91" i="9" s="1"/>
  <c r="E93" i="9" s="1"/>
  <c r="O193" i="9"/>
  <c r="N192" i="9"/>
  <c r="A192" i="9" s="1"/>
  <c r="O288" i="9"/>
  <c r="N287" i="9"/>
  <c r="A287" i="9" s="1"/>
  <c r="G79" i="9"/>
  <c r="I75" i="9"/>
  <c r="C77" i="9" s="1"/>
  <c r="E79" i="9" s="1"/>
  <c r="N265" i="9"/>
  <c r="A265" i="9" s="1"/>
  <c r="O266" i="9"/>
  <c r="G144" i="1"/>
  <c r="G147" i="1"/>
  <c r="G148" i="1"/>
  <c r="E143" i="1"/>
  <c r="E149" i="1"/>
  <c r="C146" i="1"/>
  <c r="C144" i="1"/>
  <c r="E146" i="1"/>
  <c r="C142" i="1"/>
  <c r="C147" i="1"/>
  <c r="E147" i="1"/>
  <c r="C143" i="1"/>
  <c r="P288" i="1"/>
  <c r="P289" i="1" s="1"/>
  <c r="P290" i="1" s="1"/>
  <c r="P291" i="1" s="1"/>
  <c r="P292" i="1" s="1"/>
  <c r="P293" i="1" s="1"/>
  <c r="P294" i="1" s="1"/>
  <c r="O288" i="1"/>
  <c r="N287" i="1"/>
  <c r="A287" i="1" s="1"/>
  <c r="N265" i="1"/>
  <c r="A265" i="1" s="1"/>
  <c r="O266" i="1"/>
  <c r="P266" i="1"/>
  <c r="P267" i="1" s="1"/>
  <c r="P268" i="1" s="1"/>
  <c r="P269" i="1" s="1"/>
  <c r="P270" i="1" s="1"/>
  <c r="P271" i="1" s="1"/>
  <c r="P272" i="1" s="1"/>
  <c r="N250" i="1"/>
  <c r="A250" i="1" s="1"/>
  <c r="O251" i="1"/>
  <c r="P251" i="1"/>
  <c r="P252" i="1" s="1"/>
  <c r="P253" i="1" s="1"/>
  <c r="P254" i="1" s="1"/>
  <c r="P255" i="1" s="1"/>
  <c r="P256" i="1" s="1"/>
  <c r="P257" i="1" s="1"/>
  <c r="P273" i="1" s="1"/>
  <c r="P274" i="1" s="1"/>
  <c r="P236" i="1"/>
  <c r="P237" i="1" s="1"/>
  <c r="P238" i="1" s="1"/>
  <c r="P239" i="1" s="1"/>
  <c r="P240" i="1" s="1"/>
  <c r="P241" i="1" s="1"/>
  <c r="O236" i="1"/>
  <c r="N235" i="1"/>
  <c r="A235" i="1" s="1"/>
  <c r="P218" i="1"/>
  <c r="P219" i="1" s="1"/>
  <c r="P220" i="1" s="1"/>
  <c r="P221" i="1" s="1"/>
  <c r="P222" i="1" s="1"/>
  <c r="P223" i="1" s="1"/>
  <c r="P224" i="1" s="1"/>
  <c r="P225" i="1" s="1"/>
  <c r="P226" i="1" s="1"/>
  <c r="P260" i="1" s="1"/>
  <c r="P261" i="1" s="1"/>
  <c r="P277" i="1" s="1"/>
  <c r="P278" i="1" s="1"/>
  <c r="P279" i="1" s="1"/>
  <c r="O218" i="1"/>
  <c r="N217" i="1"/>
  <c r="A217" i="1" s="1"/>
  <c r="N192" i="1"/>
  <c r="A192" i="1" s="1"/>
  <c r="O193" i="1"/>
  <c r="P193" i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E150" i="1" l="1"/>
  <c r="C150" i="1"/>
  <c r="O267" i="9"/>
  <c r="N266" i="9"/>
  <c r="A266" i="9" s="1"/>
  <c r="N236" i="9"/>
  <c r="A236" i="9" s="1"/>
  <c r="O237" i="9"/>
  <c r="O252" i="9"/>
  <c r="N251" i="9"/>
  <c r="A251" i="9" s="1"/>
  <c r="N288" i="9"/>
  <c r="A288" i="9" s="1"/>
  <c r="O289" i="9"/>
  <c r="O194" i="9"/>
  <c r="N193" i="9"/>
  <c r="A193" i="9" s="1"/>
  <c r="N170" i="9"/>
  <c r="A170" i="9" s="1"/>
  <c r="O171" i="9"/>
  <c r="D60" i="9"/>
  <c r="F117" i="9"/>
  <c r="N218" i="9"/>
  <c r="A218" i="9" s="1"/>
  <c r="O219" i="9"/>
  <c r="O289" i="1"/>
  <c r="N288" i="1"/>
  <c r="A288" i="1" s="1"/>
  <c r="O267" i="1"/>
  <c r="N266" i="1"/>
  <c r="A266" i="1" s="1"/>
  <c r="P242" i="1"/>
  <c r="P258" i="1" s="1"/>
  <c r="P259" i="1" s="1"/>
  <c r="P275" i="1"/>
  <c r="O252" i="1"/>
  <c r="N251" i="1"/>
  <c r="A251" i="1" s="1"/>
  <c r="O237" i="1"/>
  <c r="N236" i="1"/>
  <c r="A236" i="1" s="1"/>
  <c r="O219" i="1"/>
  <c r="N218" i="1"/>
  <c r="A218" i="1" s="1"/>
  <c r="O194" i="1"/>
  <c r="N193" i="1"/>
  <c r="A193" i="1" s="1"/>
  <c r="N171" i="9" l="1"/>
  <c r="A171" i="9" s="1"/>
  <c r="O172" i="9"/>
  <c r="N194" i="9"/>
  <c r="A194" i="9" s="1"/>
  <c r="O195" i="9"/>
  <c r="O290" i="9"/>
  <c r="N289" i="9"/>
  <c r="A289" i="9" s="1"/>
  <c r="O220" i="9"/>
  <c r="N219" i="9"/>
  <c r="A219" i="9" s="1"/>
  <c r="N252" i="9"/>
  <c r="A252" i="9" s="1"/>
  <c r="O253" i="9"/>
  <c r="N237" i="9"/>
  <c r="A237" i="9" s="1"/>
  <c r="O238" i="9"/>
  <c r="N267" i="9"/>
  <c r="A267" i="9" s="1"/>
  <c r="O268" i="9"/>
  <c r="O290" i="1"/>
  <c r="N289" i="1"/>
  <c r="A289" i="1" s="1"/>
  <c r="P276" i="1"/>
  <c r="O268" i="1"/>
  <c r="N267" i="1"/>
  <c r="A267" i="1" s="1"/>
  <c r="O253" i="1"/>
  <c r="N252" i="1"/>
  <c r="A252" i="1" s="1"/>
  <c r="O238" i="1"/>
  <c r="N237" i="1"/>
  <c r="A237" i="1" s="1"/>
  <c r="O220" i="1"/>
  <c r="N219" i="1"/>
  <c r="A219" i="1" s="1"/>
  <c r="O195" i="1"/>
  <c r="N194" i="1"/>
  <c r="A194" i="1" s="1"/>
  <c r="N238" i="9" l="1"/>
  <c r="A238" i="9" s="1"/>
  <c r="O239" i="9"/>
  <c r="N220" i="9"/>
  <c r="A220" i="9" s="1"/>
  <c r="O221" i="9"/>
  <c r="O254" i="9"/>
  <c r="N253" i="9"/>
  <c r="A253" i="9" s="1"/>
  <c r="N290" i="9"/>
  <c r="A290" i="9" s="1"/>
  <c r="O291" i="9"/>
  <c r="O196" i="9"/>
  <c r="N195" i="9"/>
  <c r="A195" i="9" s="1"/>
  <c r="O269" i="9"/>
  <c r="N268" i="9"/>
  <c r="A268" i="9" s="1"/>
  <c r="O173" i="9"/>
  <c r="N172" i="9"/>
  <c r="A172" i="9" s="1"/>
  <c r="O291" i="1"/>
  <c r="N290" i="1"/>
  <c r="A290" i="1" s="1"/>
  <c r="O269" i="1"/>
  <c r="N268" i="1"/>
  <c r="A268" i="1" s="1"/>
  <c r="O254" i="1"/>
  <c r="N253" i="1"/>
  <c r="A253" i="1" s="1"/>
  <c r="O239" i="1"/>
  <c r="N238" i="1"/>
  <c r="A238" i="1" s="1"/>
  <c r="O221" i="1"/>
  <c r="N220" i="1"/>
  <c r="A220" i="1" s="1"/>
  <c r="O196" i="1"/>
  <c r="N195" i="1"/>
  <c r="A195" i="1" s="1"/>
  <c r="N196" i="9" l="1"/>
  <c r="A196" i="9" s="1"/>
  <c r="O197" i="9"/>
  <c r="O292" i="9"/>
  <c r="N291" i="9"/>
  <c r="A291" i="9" s="1"/>
  <c r="N269" i="9"/>
  <c r="A269" i="9" s="1"/>
  <c r="O270" i="9"/>
  <c r="O222" i="9"/>
  <c r="N221" i="9"/>
  <c r="A221" i="9" s="1"/>
  <c r="N239" i="9"/>
  <c r="A239" i="9" s="1"/>
  <c r="O240" i="9"/>
  <c r="N254" i="9"/>
  <c r="A254" i="9" s="1"/>
  <c r="O255" i="9"/>
  <c r="N173" i="9"/>
  <c r="A173" i="9" s="1"/>
  <c r="O174" i="9"/>
  <c r="O292" i="1"/>
  <c r="N291" i="1"/>
  <c r="A291" i="1" s="1"/>
  <c r="O270" i="1"/>
  <c r="N269" i="1"/>
  <c r="A269" i="1" s="1"/>
  <c r="O255" i="1"/>
  <c r="N254" i="1"/>
  <c r="A254" i="1" s="1"/>
  <c r="O240" i="1"/>
  <c r="N239" i="1"/>
  <c r="A239" i="1" s="1"/>
  <c r="O222" i="1"/>
  <c r="N221" i="1"/>
  <c r="A221" i="1" s="1"/>
  <c r="N196" i="1"/>
  <c r="A196" i="1" s="1"/>
  <c r="O197" i="1"/>
  <c r="O256" i="9" l="1"/>
  <c r="N255" i="9"/>
  <c r="A255" i="9" s="1"/>
  <c r="N240" i="9"/>
  <c r="A240" i="9" s="1"/>
  <c r="O241" i="9"/>
  <c r="O274" i="9"/>
  <c r="N222" i="9"/>
  <c r="A222" i="9" s="1"/>
  <c r="O223" i="9"/>
  <c r="O271" i="9"/>
  <c r="N271" i="9" s="1"/>
  <c r="A271" i="9" s="1"/>
  <c r="N270" i="9"/>
  <c r="A270" i="9" s="1"/>
  <c r="N292" i="9"/>
  <c r="A292" i="9" s="1"/>
  <c r="O293" i="9"/>
  <c r="N293" i="9" s="1"/>
  <c r="A293" i="9" s="1"/>
  <c r="N174" i="9"/>
  <c r="A174" i="9" s="1"/>
  <c r="O175" i="9"/>
  <c r="O198" i="9"/>
  <c r="N197" i="9"/>
  <c r="A197" i="9" s="1"/>
  <c r="O293" i="1"/>
  <c r="N292" i="1"/>
  <c r="A292" i="1" s="1"/>
  <c r="O271" i="1"/>
  <c r="N270" i="1"/>
  <c r="A270" i="1" s="1"/>
  <c r="O256" i="1"/>
  <c r="N255" i="1"/>
  <c r="A255" i="1" s="1"/>
  <c r="O241" i="1"/>
  <c r="O275" i="1" s="1"/>
  <c r="N240" i="1"/>
  <c r="A240" i="1" s="1"/>
  <c r="O223" i="1"/>
  <c r="N222" i="1"/>
  <c r="A222" i="1" s="1"/>
  <c r="O198" i="1"/>
  <c r="N197" i="1"/>
  <c r="A197" i="1" s="1"/>
  <c r="O224" i="9" l="1"/>
  <c r="N223" i="9"/>
  <c r="A223" i="9" s="1"/>
  <c r="O199" i="9"/>
  <c r="N198" i="9"/>
  <c r="A198" i="9" s="1"/>
  <c r="O275" i="9"/>
  <c r="N275" i="9" s="1"/>
  <c r="A275" i="9" s="1"/>
  <c r="N274" i="9"/>
  <c r="A274" i="9" s="1"/>
  <c r="N241" i="9"/>
  <c r="A241" i="9" s="1"/>
  <c r="O257" i="9"/>
  <c r="N175" i="9"/>
  <c r="A175" i="9" s="1"/>
  <c r="O176" i="9"/>
  <c r="N256" i="9"/>
  <c r="A256" i="9" s="1"/>
  <c r="O272" i="9"/>
  <c r="O294" i="1"/>
  <c r="N294" i="1" s="1"/>
  <c r="A294" i="1" s="1"/>
  <c r="N293" i="1"/>
  <c r="A293" i="1" s="1"/>
  <c r="O276" i="1"/>
  <c r="N276" i="1" s="1"/>
  <c r="A276" i="1" s="1"/>
  <c r="N275" i="1"/>
  <c r="A275" i="1" s="1"/>
  <c r="O272" i="1"/>
  <c r="N272" i="1" s="1"/>
  <c r="A272" i="1" s="1"/>
  <c r="N271" i="1"/>
  <c r="A271" i="1" s="1"/>
  <c r="O257" i="1"/>
  <c r="N256" i="1"/>
  <c r="A256" i="1" s="1"/>
  <c r="O242" i="1"/>
  <c r="N241" i="1"/>
  <c r="A241" i="1" s="1"/>
  <c r="O224" i="1"/>
  <c r="N223" i="1"/>
  <c r="A223" i="1" s="1"/>
  <c r="O199" i="1"/>
  <c r="N198" i="1"/>
  <c r="A198" i="1" s="1"/>
  <c r="O273" i="9" l="1"/>
  <c r="N273" i="9" s="1"/>
  <c r="A273" i="9" s="1"/>
  <c r="N272" i="9"/>
  <c r="A272" i="9" s="1"/>
  <c r="O258" i="9"/>
  <c r="N258" i="9" s="1"/>
  <c r="A258" i="9" s="1"/>
  <c r="N257" i="9"/>
  <c r="A257" i="9" s="1"/>
  <c r="O200" i="9"/>
  <c r="N199" i="9"/>
  <c r="A199" i="9" s="1"/>
  <c r="N176" i="9"/>
  <c r="A176" i="9" s="1"/>
  <c r="O177" i="9"/>
  <c r="N224" i="9"/>
  <c r="A224" i="9" s="1"/>
  <c r="O225" i="9"/>
  <c r="N257" i="1"/>
  <c r="A257" i="1" s="1"/>
  <c r="O273" i="1"/>
  <c r="O258" i="1"/>
  <c r="N242" i="1"/>
  <c r="A242" i="1" s="1"/>
  <c r="O225" i="1"/>
  <c r="N224" i="1"/>
  <c r="A224" i="1" s="1"/>
  <c r="O200" i="1"/>
  <c r="N199" i="1"/>
  <c r="A199" i="1" s="1"/>
  <c r="N225" i="9" l="1"/>
  <c r="A225" i="9" s="1"/>
  <c r="O259" i="9"/>
  <c r="N177" i="9"/>
  <c r="A177" i="9" s="1"/>
  <c r="O178" i="9"/>
  <c r="O201" i="9"/>
  <c r="N200" i="9"/>
  <c r="A200" i="9" s="1"/>
  <c r="O274" i="1"/>
  <c r="N274" i="1" s="1"/>
  <c r="A274" i="1" s="1"/>
  <c r="N273" i="1"/>
  <c r="A273" i="1" s="1"/>
  <c r="O259" i="1"/>
  <c r="N258" i="1"/>
  <c r="A258" i="1" s="1"/>
  <c r="O226" i="1"/>
  <c r="N225" i="1"/>
  <c r="A225" i="1" s="1"/>
  <c r="O201" i="1"/>
  <c r="N200" i="1"/>
  <c r="A200" i="1" s="1"/>
  <c r="N201" i="9" l="1"/>
  <c r="A201" i="9" s="1"/>
  <c r="O202" i="9"/>
  <c r="O179" i="9"/>
  <c r="N178" i="9"/>
  <c r="A178" i="9" s="1"/>
  <c r="O260" i="9"/>
  <c r="N259" i="9"/>
  <c r="A259" i="9" s="1"/>
  <c r="N259" i="1"/>
  <c r="A259" i="1" s="1"/>
  <c r="O260" i="1"/>
  <c r="N226" i="1"/>
  <c r="A226" i="1" s="1"/>
  <c r="O202" i="1"/>
  <c r="N201" i="1"/>
  <c r="A201" i="1" s="1"/>
  <c r="A297" i="1"/>
  <c r="A298" i="1" s="1"/>
  <c r="A299" i="1" s="1"/>
  <c r="A300" i="1" s="1"/>
  <c r="A301" i="1" s="1"/>
  <c r="O203" i="9" l="1"/>
  <c r="N202" i="9"/>
  <c r="A202" i="9" s="1"/>
  <c r="N260" i="9"/>
  <c r="A260" i="9" s="1"/>
  <c r="O276" i="9"/>
  <c r="N179" i="9"/>
  <c r="A179" i="9" s="1"/>
  <c r="O180" i="9"/>
  <c r="O261" i="1"/>
  <c r="N260" i="1"/>
  <c r="A260" i="1" s="1"/>
  <c r="O203" i="1"/>
  <c r="N202" i="1"/>
  <c r="A202" i="1" s="1"/>
  <c r="P169" i="1"/>
  <c r="O169" i="1"/>
  <c r="O181" i="9" l="1"/>
  <c r="N180" i="9"/>
  <c r="A180" i="9" s="1"/>
  <c r="O277" i="9"/>
  <c r="N276" i="9"/>
  <c r="A276" i="9" s="1"/>
  <c r="N203" i="9"/>
  <c r="A203" i="9" s="1"/>
  <c r="O204" i="9"/>
  <c r="O277" i="1"/>
  <c r="N261" i="1"/>
  <c r="A261" i="1" s="1"/>
  <c r="O204" i="1"/>
  <c r="N203" i="1"/>
  <c r="A203" i="1" s="1"/>
  <c r="N169" i="1"/>
  <c r="C91" i="1"/>
  <c r="C77" i="1"/>
  <c r="C63" i="1"/>
  <c r="H78" i="1"/>
  <c r="H92" i="1"/>
  <c r="H64" i="1"/>
  <c r="O205" i="9" l="1"/>
  <c r="N204" i="9"/>
  <c r="A204" i="9" s="1"/>
  <c r="N277" i="9"/>
  <c r="A277" i="9" s="1"/>
  <c r="O278" i="9"/>
  <c r="N278" i="9" s="1"/>
  <c r="A278" i="9" s="1"/>
  <c r="N181" i="9"/>
  <c r="A181" i="9" s="1"/>
  <c r="O182" i="9"/>
  <c r="O278" i="1"/>
  <c r="N277" i="1"/>
  <c r="A277" i="1" s="1"/>
  <c r="O205" i="1"/>
  <c r="N204" i="1"/>
  <c r="A204" i="1" s="1"/>
  <c r="D104" i="1"/>
  <c r="D97" i="1"/>
  <c r="D103" i="1"/>
  <c r="D101" i="1"/>
  <c r="D102" i="1"/>
  <c r="D100" i="1"/>
  <c r="D99" i="1"/>
  <c r="D98" i="1"/>
  <c r="D89" i="1"/>
  <c r="D88" i="1"/>
  <c r="D87" i="1"/>
  <c r="D86" i="1"/>
  <c r="D83" i="1"/>
  <c r="D85" i="1"/>
  <c r="D84" i="1"/>
  <c r="D90" i="1"/>
  <c r="D69" i="1"/>
  <c r="K94" i="1"/>
  <c r="K96" i="1"/>
  <c r="C95" i="1" s="1"/>
  <c r="K95" i="1"/>
  <c r="K97" i="1"/>
  <c r="K98" i="1" s="1"/>
  <c r="K82" i="1"/>
  <c r="C81" i="1" s="1"/>
  <c r="D81" i="1" s="1"/>
  <c r="K81" i="1"/>
  <c r="K83" i="1"/>
  <c r="K84" i="1" s="1"/>
  <c r="K85" i="1" s="1"/>
  <c r="K86" i="1" s="1"/>
  <c r="K87" i="1" s="1"/>
  <c r="K88" i="1" s="1"/>
  <c r="K80" i="1"/>
  <c r="D76" i="1"/>
  <c r="D72" i="1"/>
  <c r="K68" i="1"/>
  <c r="C67" i="1" s="1"/>
  <c r="D75" i="1"/>
  <c r="D71" i="1"/>
  <c r="K67" i="1"/>
  <c r="D74" i="1"/>
  <c r="D70" i="1"/>
  <c r="K66" i="1"/>
  <c r="K69" i="1"/>
  <c r="K70" i="1" s="1"/>
  <c r="D73" i="1"/>
  <c r="H106" i="1"/>
  <c r="N182" i="9" l="1"/>
  <c r="A182" i="9" s="1"/>
  <c r="O183" i="9"/>
  <c r="O206" i="9"/>
  <c r="N205" i="9"/>
  <c r="A205" i="9" s="1"/>
  <c r="K110" i="1"/>
  <c r="D109" i="1" s="1"/>
  <c r="K108" i="1"/>
  <c r="D113" i="1"/>
  <c r="D118" i="1"/>
  <c r="D116" i="1"/>
  <c r="D114" i="1"/>
  <c r="D112" i="1"/>
  <c r="D115" i="1"/>
  <c r="D111" i="1"/>
  <c r="K111" i="1"/>
  <c r="K112" i="1" s="1"/>
  <c r="K117" i="1" s="1"/>
  <c r="K118" i="1" s="1"/>
  <c r="D110" i="1" s="1"/>
  <c r="D117" i="1"/>
  <c r="K109" i="1"/>
  <c r="O279" i="1"/>
  <c r="N278" i="1"/>
  <c r="A278" i="1" s="1"/>
  <c r="O206" i="1"/>
  <c r="N205" i="1"/>
  <c r="A205" i="1" s="1"/>
  <c r="D95" i="1"/>
  <c r="D67" i="1"/>
  <c r="K99" i="1"/>
  <c r="K100" i="1" s="1"/>
  <c r="K101" i="1" s="1"/>
  <c r="K102" i="1" s="1"/>
  <c r="K89" i="1"/>
  <c r="K90" i="1" s="1"/>
  <c r="C82" i="1" s="1"/>
  <c r="D82" i="1" s="1"/>
  <c r="K71" i="1"/>
  <c r="K72" i="1" s="1"/>
  <c r="K73" i="1" s="1"/>
  <c r="K74" i="1" s="1"/>
  <c r="N206" i="9" l="1"/>
  <c r="A206" i="9" s="1"/>
  <c r="O207" i="9"/>
  <c r="N183" i="9"/>
  <c r="A183" i="9" s="1"/>
  <c r="O184" i="9"/>
  <c r="G109" i="1"/>
  <c r="I105" i="1"/>
  <c r="C107" i="1" s="1"/>
  <c r="E109" i="1" s="1"/>
  <c r="N279" i="1"/>
  <c r="A279" i="1" s="1"/>
  <c r="O207" i="1"/>
  <c r="N206" i="1"/>
  <c r="A206" i="1" s="1"/>
  <c r="G81" i="1"/>
  <c r="I77" i="1"/>
  <c r="C79" i="1" s="1"/>
  <c r="E81" i="1" s="1"/>
  <c r="K103" i="1"/>
  <c r="K75" i="1"/>
  <c r="N184" i="9" l="1"/>
  <c r="A184" i="9" s="1"/>
  <c r="O185" i="9"/>
  <c r="N207" i="9"/>
  <c r="A207" i="9" s="1"/>
  <c r="O208" i="9"/>
  <c r="O208" i="1"/>
  <c r="N207" i="1"/>
  <c r="A207" i="1" s="1"/>
  <c r="K104" i="1"/>
  <c r="C96" i="1" s="1"/>
  <c r="K76" i="1"/>
  <c r="O209" i="9" l="1"/>
  <c r="N209" i="9" s="1"/>
  <c r="A209" i="9" s="1"/>
  <c r="N208" i="9"/>
  <c r="A208" i="9" s="1"/>
  <c r="N185" i="9"/>
  <c r="A185" i="9" s="1"/>
  <c r="O186" i="9"/>
  <c r="O209" i="1"/>
  <c r="N208" i="1"/>
  <c r="A208" i="1" s="1"/>
  <c r="D96" i="1"/>
  <c r="G95" i="1"/>
  <c r="G67" i="1"/>
  <c r="N186" i="9" l="1"/>
  <c r="A186" i="9" s="1"/>
  <c r="O187" i="9"/>
  <c r="N187" i="9" s="1"/>
  <c r="A187" i="9" s="1"/>
  <c r="O210" i="1"/>
  <c r="N209" i="1"/>
  <c r="A209" i="1" s="1"/>
  <c r="D62" i="1"/>
  <c r="F119" i="1"/>
  <c r="I91" i="1"/>
  <c r="C93" i="1" s="1"/>
  <c r="E95" i="1" s="1"/>
  <c r="D68" i="1"/>
  <c r="I63" i="1"/>
  <c r="C65" i="1" s="1"/>
  <c r="E67" i="1" s="1"/>
  <c r="N210" i="1" l="1"/>
  <c r="A210" i="1" s="1"/>
  <c r="C14" i="1" l="1"/>
  <c r="E41" i="1" l="1"/>
  <c r="E42" i="1" s="1"/>
  <c r="F156" i="1" l="1"/>
  <c r="G156" i="1"/>
  <c r="G157" i="1" s="1"/>
  <c r="G158" i="1" s="1"/>
  <c r="G159" i="1" s="1"/>
  <c r="G160" i="1" s="1"/>
  <c r="G161" i="1" s="1"/>
  <c r="G162" i="1" s="1"/>
  <c r="A157" i="1"/>
  <c r="A158" i="1" s="1"/>
  <c r="A159" i="1" s="1"/>
  <c r="A160" i="1" s="1"/>
  <c r="A161" i="1" s="1"/>
  <c r="A162" i="1" s="1"/>
  <c r="F157" i="1"/>
  <c r="F158" i="1"/>
  <c r="F159" i="1"/>
  <c r="F160" i="1"/>
  <c r="F161" i="1"/>
  <c r="F162" i="1"/>
  <c r="E3" i="1"/>
  <c r="D60" i="1" l="1"/>
  <c r="G142" i="1"/>
  <c r="G150" i="1" s="1"/>
  <c r="G169" i="1"/>
  <c r="O170" i="1" l="1"/>
  <c r="E25" i="1"/>
  <c r="E23" i="1"/>
  <c r="A169" i="1" l="1"/>
  <c r="P170" i="1"/>
  <c r="P171" i="1" s="1"/>
  <c r="P172" i="1" s="1"/>
  <c r="P173" i="1" s="1"/>
  <c r="P174" i="1" s="1"/>
  <c r="P175" i="1" s="1"/>
  <c r="O171" i="1"/>
  <c r="G6" i="5"/>
  <c r="G8" i="5"/>
  <c r="G9" i="5"/>
  <c r="G5" i="5"/>
  <c r="G10" i="5" l="1"/>
  <c r="N170" i="1"/>
  <c r="A170" i="1" s="1"/>
  <c r="N171" i="1"/>
  <c r="A171" i="1" s="1"/>
  <c r="O172" i="1"/>
  <c r="N172" i="1" s="1"/>
  <c r="A172" i="1" l="1"/>
  <c r="O173" i="1"/>
  <c r="N173" i="1" l="1"/>
  <c r="A173" i="1" s="1"/>
  <c r="O174" i="1"/>
  <c r="N174" i="1" l="1"/>
  <c r="A174" i="1" s="1"/>
  <c r="O175" i="1"/>
  <c r="E7" i="1"/>
  <c r="D314" i="1" l="1"/>
  <c r="F135" i="1"/>
  <c r="C47" i="1"/>
  <c r="D52" i="1"/>
  <c r="N175" i="1" l="1"/>
  <c r="A175" i="1" s="1"/>
  <c r="O176" i="1"/>
  <c r="P176" i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N176" i="1" l="1"/>
  <c r="A176" i="1" s="1"/>
  <c r="O177" i="1"/>
  <c r="L34" i="3"/>
  <c r="K34" i="3" s="1"/>
  <c r="E34" i="3"/>
  <c r="I34" i="3"/>
  <c r="H34" i="3" s="1"/>
  <c r="N177" i="1" l="1"/>
  <c r="A177" i="1" s="1"/>
  <c r="O178" i="1"/>
  <c r="D34" i="3"/>
  <c r="D36" i="3" s="1"/>
  <c r="E36" i="3"/>
  <c r="N178" i="1" l="1"/>
  <c r="A178" i="1" s="1"/>
  <c r="O179" i="1"/>
  <c r="N179" i="1" l="1"/>
  <c r="A179" i="1" s="1"/>
  <c r="O180" i="1"/>
  <c r="N180" i="1" l="1"/>
  <c r="A180" i="1" s="1"/>
  <c r="O181" i="1"/>
  <c r="N181" i="1" l="1"/>
  <c r="A181" i="1" s="1"/>
  <c r="O182" i="1"/>
  <c r="N182" i="1" l="1"/>
  <c r="A182" i="1" s="1"/>
  <c r="O183" i="1"/>
  <c r="O184" i="1" l="1"/>
  <c r="N183" i="1"/>
  <c r="A183" i="1" s="1"/>
  <c r="N184" i="1" l="1"/>
  <c r="A184" i="1" s="1"/>
  <c r="O185" i="1"/>
  <c r="N185" i="1" l="1"/>
  <c r="A185" i="1" s="1"/>
  <c r="O186" i="1"/>
  <c r="O187" i="1" l="1"/>
  <c r="N186" i="1"/>
  <c r="A186" i="1" s="1"/>
  <c r="N187" i="1" l="1"/>
  <c r="A187" i="1" s="1"/>
  <c r="O188" i="1"/>
  <c r="N188" i="1" s="1"/>
  <c r="A188" i="1" s="1"/>
</calcChain>
</file>

<file path=xl/sharedStrings.xml><?xml version="1.0" encoding="utf-8"?>
<sst xmlns="http://schemas.openxmlformats.org/spreadsheetml/2006/main" count="1057" uniqueCount="287">
  <si>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</si>
  <si>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</si>
  <si>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</si>
  <si>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</si>
  <si>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</si>
  <si>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</si>
  <si>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</si>
  <si>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</si>
  <si>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</si>
  <si>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</si>
  <si>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</si>
  <si>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</si>
  <si>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</si>
  <si>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</si>
  <si>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</si>
  <si>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</si>
  <si>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</si>
  <si>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</si>
  <si>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</si>
  <si>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</si>
  <si>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</si>
  <si>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</si>
  <si>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</si>
  <si>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</si>
  <si>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</si>
  <si>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</si>
  <si>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</si>
  <si>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</si>
  <si>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</si>
  <si>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</si>
  <si>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</si>
  <si>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</si>
  <si>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</si>
  <si>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</si>
  <si>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</si>
  <si>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</si>
  <si>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</si>
  <si>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</si>
  <si>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</si>
  <si>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</si>
  <si>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</si>
  <si>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</si>
  <si>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</si>
  <si>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</si>
  <si>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</si>
  <si>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</si>
  <si>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</si>
  <si>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</si>
  <si>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</si>
  <si>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</si>
  <si>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</si>
  <si>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</si>
  <si>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</si>
  <si>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</si>
  <si>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</si>
  <si>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</si>
  <si>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</si>
  <si>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</si>
  <si>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</si>
  <si>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</si>
  <si>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</si>
  <si>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</si>
  <si>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</si>
  <si>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</si>
  <si>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</si>
  <si>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</si>
  <si>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</si>
  <si>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</si>
  <si>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</si>
  <si>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</si>
  <si>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</si>
  <si>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</si>
  <si>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</si>
  <si>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</si>
  <si>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</si>
  <si>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</si>
  <si>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</si>
  <si>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</si>
  <si>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</si>
  <si>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</si>
  <si>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</si>
  <si>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</si>
  <si>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</si>
  <si>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</si>
  <si>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</si>
  <si>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</si>
  <si>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</si>
  <si>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</si>
  <si>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</si>
  <si>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</si>
  <si>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</si>
  <si>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</si>
  <si>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</si>
  <si>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</si>
  <si>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</si>
  <si>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</si>
  <si>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</si>
  <si>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</si>
  <si>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</si>
  <si>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</si>
  <si>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</si>
  <si>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</si>
  <si>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</si>
  <si>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</si>
  <si>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</si>
  <si>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</si>
  <si>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</si>
  <si>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</si>
  <si>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</si>
  <si>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</si>
  <si>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</si>
  <si>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</si>
  <si>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1302-ELLORA FIESTA, PLOT NO. 8, SECTOR 11, OPP. JUINAGAR RAILWAY STATION, SANPADA, NAVI MUMBAI 400 706. TEL: 022-27758396/95. FAX :022-27758394.
E mail : axisbank@vsjadon.com. vsjcvaluer@gmail.com. Web site : www.vsjadon.com</t>
  </si>
  <si>
    <t>Authorized Signatory
Name &amp; Seal of the agency</t>
  </si>
  <si>
    <t>Recommended rate of the shop Per Sq. Ft. ( on Saleable area)</t>
  </si>
  <si>
    <t>Sudhir Bhosale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</si>
  <si>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</si>
  <si>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</si>
  <si>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</si>
  <si>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</si>
  <si>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</si>
  <si>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</si>
  <si>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</si>
  <si>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</si>
  <si>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</si>
  <si>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</si>
  <si>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</si>
  <si>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</si>
  <si>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</si>
  <si>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</si>
  <si>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</si>
  <si>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</si>
  <si>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</si>
  <si>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</si>
  <si>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</si>
  <si>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</si>
  <si>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</si>
  <si>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</si>
  <si>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</si>
  <si>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</si>
  <si>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</si>
  <si>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</si>
  <si>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</si>
  <si>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</si>
  <si>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</si>
  <si>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</si>
  <si>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</si>
  <si>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</si>
  <si>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</si>
  <si>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</si>
  <si>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</si>
  <si>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</si>
  <si>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</si>
  <si>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</si>
  <si>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</si>
  <si>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</si>
  <si>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</si>
  <si>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</si>
  <si>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</si>
  <si>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</si>
  <si>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</si>
  <si>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</si>
  <si>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</si>
  <si>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</si>
  <si>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</si>
  <si>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</si>
  <si>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</si>
  <si>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</si>
  <si>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</si>
  <si>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</si>
  <si>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</si>
  <si>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</si>
  <si>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</si>
  <si>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</si>
  <si>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</si>
  <si>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</si>
  <si>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</si>
  <si>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</si>
  <si>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</si>
  <si>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</si>
  <si>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</si>
  <si>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</si>
  <si>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</si>
  <si>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</si>
  <si>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</si>
  <si>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</si>
  <si>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</si>
  <si>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</si>
  <si>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</si>
  <si>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</si>
  <si>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</si>
  <si>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Axis Sanpada</t>
  </si>
  <si>
    <t>13/07/2021.</t>
  </si>
  <si>
    <t>Phase II (Part 1)</t>
  </si>
  <si>
    <t>Type-3 - D Wing (Lake Pushkar)</t>
  </si>
  <si>
    <t>Ground Floor for Parking</t>
  </si>
  <si>
    <t>1st to 4th Floor</t>
  </si>
  <si>
    <t>1BHK</t>
  </si>
  <si>
    <t>1RK</t>
  </si>
  <si>
    <t>2BHK</t>
  </si>
  <si>
    <t>Type 4 - E Wing (Lake Pawna)</t>
  </si>
  <si>
    <t>Type 10 - L Wing (Lake Pichola)</t>
  </si>
  <si>
    <t>Ground Floor for Residential + Parking</t>
  </si>
  <si>
    <t>Phase II (Part 2)</t>
  </si>
  <si>
    <t>Type 6 - H Wing</t>
  </si>
  <si>
    <t>Type 7 - I Wing</t>
  </si>
  <si>
    <t>Type 8 - J Wing</t>
  </si>
  <si>
    <t>Type 9 - Wing K</t>
  </si>
  <si>
    <t>M/s.Kothari &amp; Deshmukh Landmark LLP</t>
  </si>
  <si>
    <t>SPM Lake City Phase II</t>
  </si>
  <si>
    <t>Rupesh-7744814896</t>
  </si>
  <si>
    <t xml:space="preserve">Part I = P51700024808
Part II = P51700024828
</t>
  </si>
  <si>
    <t>As per RERA - 28/08/2025.</t>
  </si>
  <si>
    <t>BISHE/REKHANKAN/BP/MAU.KARAV/TAL.AMERNATH/SSTHANE/2239</t>
  </si>
  <si>
    <t>29/11/2019.</t>
  </si>
  <si>
    <t>MAHSUL/KAKSH-1/TE-14/BP/SR-(25/18) 24/2019</t>
  </si>
  <si>
    <t>05/02/2020.</t>
  </si>
  <si>
    <t>Deshmukh Udya Farm Road</t>
  </si>
  <si>
    <t>Open Plot</t>
  </si>
  <si>
    <t>Appanchiwadi</t>
  </si>
  <si>
    <t>Karav</t>
  </si>
  <si>
    <t>Village</t>
  </si>
  <si>
    <t>56/2</t>
  </si>
  <si>
    <t>Gut No</t>
  </si>
  <si>
    <t>Ambernath</t>
  </si>
  <si>
    <t>Thane</t>
  </si>
  <si>
    <t>Part II
Building Type 8 -Wing H
Building Type 7 -Wing I
Building Type 8 -Wing J
Building Type 9 -Wing K</t>
  </si>
  <si>
    <t xml:space="preserve">Part I
Building Type 3 - 
(Wing D-Lake Pushkar)
Building Type 4 - 
(Wing E-Lake Pawna)
Building Type 10 -
(Wing L - Lake Pichola)
</t>
  </si>
  <si>
    <t>Dhanashree</t>
  </si>
  <si>
    <t>3.3Km from Vangani Railway Station</t>
  </si>
  <si>
    <t xml:space="preserve">Vangani </t>
  </si>
  <si>
    <t xml:space="preserve">Residential </t>
  </si>
  <si>
    <t>Wing D, E, L, H, I, J &amp; K  = G + 1st to 4th Floor</t>
  </si>
  <si>
    <t>Part I</t>
  </si>
  <si>
    <t xml:space="preserve">Type-3 - D Wing </t>
  </si>
  <si>
    <t>Type 4 - E Wing</t>
  </si>
  <si>
    <t xml:space="preserve">Type 10 - L Wing </t>
  </si>
  <si>
    <t>Part II</t>
  </si>
  <si>
    <t>Type 7 -Wing I</t>
  </si>
  <si>
    <t>Type 9 -Wing K</t>
  </si>
  <si>
    <t>Type 8 -Wing J</t>
  </si>
  <si>
    <t>Flats - 383</t>
  </si>
  <si>
    <t>07 Building</t>
  </si>
  <si>
    <t>Wing D  = G + 1st to 4th Floor</t>
  </si>
  <si>
    <t>Wing E  = G + 1st to 4th Floor</t>
  </si>
  <si>
    <t>Wing L  = G + 1st to 4th Floor</t>
  </si>
  <si>
    <t>Wing H, I, J &amp; K  = G + 1st to 4th Floor</t>
  </si>
  <si>
    <t xml:space="preserve">RCC </t>
  </si>
  <si>
    <t>100000/-</t>
  </si>
  <si>
    <t>Construction work is in process at the time of Visit.</t>
  </si>
  <si>
    <t>We considered  Saleable area  as per our calculation.</t>
  </si>
  <si>
    <t>We considered Gross carpet area = Net carpet + Enclose balcony + C. B. Area + W. S.</t>
  </si>
  <si>
    <t>On Site, we meet Miss. Nandani (Sales) - 7774000747.</t>
  </si>
  <si>
    <t>housing.</t>
  </si>
  <si>
    <t>Approved Plans, CC</t>
  </si>
  <si>
    <t>Valid Up to: Wing D, E, L, H, I, J &amp; K  = G + 1st to 4th Floor</t>
  </si>
  <si>
    <t>Wing D, E, L  = G + 1st to 4th Floor</t>
  </si>
  <si>
    <t>Flats - 199</t>
  </si>
  <si>
    <t>03 Buildings</t>
  </si>
  <si>
    <t>We considered  Saleable area  as per Builder Saleable Area.</t>
  </si>
  <si>
    <t>Builder
Saleable area</t>
  </si>
  <si>
    <t>1,50,000/-</t>
  </si>
  <si>
    <t>Society Charges</t>
  </si>
  <si>
    <t>1,00,000/-</t>
  </si>
  <si>
    <t>Other Charges</t>
  </si>
  <si>
    <t>Rate has changed from 3000/- to 3300/- by Market inqury and builder Cost Sheet.
By Abhishek Manjrekar (on 03/03/2022).</t>
  </si>
  <si>
    <t>Maintenance Charges for 24 months</t>
  </si>
  <si>
    <t>25,000/-</t>
  </si>
  <si>
    <t>Valid Up to: Phase 2 Part I Wing D, E, L  = G + 1st to 4th Floor</t>
  </si>
  <si>
    <t xml:space="preserve">Phase II Part I
Building Type 3 (Wing D - Lake Pushkar)
Building Type 4 (Wing E - Lake Pawna)
Building Type 10 (Wing L -  Lake Pichola)
</t>
  </si>
  <si>
    <t xml:space="preserve">Type 3 - D Wing </t>
  </si>
  <si>
    <t>Location Link</t>
  </si>
  <si>
    <t>https://goo.gl/maps/uj9QeTsnxdPymeAL7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</si>
  <si>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</si>
  <si>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Latitude, Longitude</t>
  </si>
  <si>
    <t>19.1138552, 73.3099923</t>
  </si>
  <si>
    <t>Site Meet Person Contact Details ( Name &amp; Contact No.)</t>
  </si>
  <si>
    <t>Naynesh Sunil Lovanshi</t>
  </si>
  <si>
    <t>As per RERA - 30/01/2026</t>
  </si>
  <si>
    <t>has resumed</t>
  </si>
  <si>
    <t>Mr. Tehjas Patil</t>
  </si>
  <si>
    <t>Mr. Rupesh 7744814896</t>
  </si>
  <si>
    <t>Work is same as last visit but construction work is in process (Very Slow Speed).</t>
  </si>
  <si>
    <t>Mr. Ganesh Magde 9702980142</t>
  </si>
  <si>
    <t>Project received First CC on 05/02/2020 but still construction work is not completed yet.</t>
  </si>
  <si>
    <t>Wing D = Construction work same as last visit (dtd 07/04/2025) But work is in process. (Very very slow speed).
Wing E = Construction work has resume (Very Slow Speed).
Wing L = Work is same as last visit dtd.06/05/2024. But work is in process (Very Slow Speed).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</si>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</sst>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7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9" fontId="18" fillId="0" borderId="0" xfId="0" applyNumberFormat="1" applyFont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0" fontId="18" fillId="0" borderId="13" xfId="0" applyFont="1" applyBorder="1" applyProtection="1">
      <protection hidden="1"/>
    </xf>
    <xf numFmtId="0" fontId="18" fillId="0" borderId="14" xfId="0" applyFont="1" applyBorder="1" applyProtection="1">
      <protection hidden="1"/>
    </xf>
    <xf numFmtId="9" fontId="18" fillId="0" borderId="14" xfId="0" applyNumberFormat="1" applyFont="1" applyBorder="1" applyProtection="1">
      <protection hidden="1"/>
    </xf>
    <xf numFmtId="164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3" fillId="0" borderId="4" xfId="1" applyFont="1" applyBorder="1" applyAlignment="1" applyProtection="1">
      <alignment horizontal="center" vertical="top"/>
      <protection locked="0"/>
    </xf>
    <xf numFmtId="0" fontId="0" fillId="0" borderId="13" xfId="0" applyBorder="1"/>
    <xf numFmtId="1" fontId="0" fillId="0" borderId="0" xfId="0" applyNumberFormat="1"/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49" fontId="13" fillId="0" borderId="1" xfId="1" quotePrefix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13" fillId="0" borderId="9" xfId="1" quotePrefix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64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9" xfId="1" applyFont="1" applyBorder="1" applyAlignment="1" applyProtection="1">
      <alignment vertical="top" wrapText="1"/>
      <protection locked="0"/>
    </xf>
    <xf numFmtId="0" fontId="13" fillId="0" borderId="10" xfId="1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top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25" xfId="1" applyFont="1" applyBorder="1" applyAlignment="1" applyProtection="1">
      <alignment horizontal="center" vertical="top" wrapText="1"/>
      <protection locked="0"/>
    </xf>
    <xf numFmtId="0" fontId="14" fillId="0" borderId="18" xfId="1" applyFont="1" applyBorder="1" applyAlignment="1" applyProtection="1">
      <alignment horizontal="center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9" fontId="13" fillId="0" borderId="5" xfId="1" applyNumberFormat="1" applyFont="1" applyBorder="1" applyAlignment="1" applyProtection="1">
      <alignment horizontal="center" vertical="center" wrapText="1"/>
      <protection hidden="1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13" fillId="0" borderId="24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167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24" fillId="0" borderId="9" xfId="9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8" fillId="3" borderId="28" xfId="1" applyFont="1" applyFill="1" applyBorder="1" applyAlignment="1">
      <alignment horizontal="left" vertical="top" wrapText="1"/>
    </xf>
    <xf numFmtId="0" fontId="8" fillId="3" borderId="0" xfId="1" applyFont="1" applyFill="1" applyAlignment="1">
      <alignment horizontal="left" vertical="top" wrapText="1"/>
    </xf>
    <xf numFmtId="0" fontId="13" fillId="0" borderId="10" xfId="1" applyFont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3" fillId="0" borderId="29" xfId="1" applyFont="1" applyBorder="1" applyAlignment="1" applyProtection="1">
      <alignment horizontal="left" vertical="top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jpg"/><Relationship Id="rId3" Type="http://schemas.openxmlformats.org/officeDocument/2006/relationships/image" Target="../media/image23.jpg"/><Relationship Id="rId7" Type="http://schemas.openxmlformats.org/officeDocument/2006/relationships/image" Target="../media/image2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6.jpg"/><Relationship Id="rId11" Type="http://schemas.openxmlformats.org/officeDocument/2006/relationships/image" Target="../media/image31.jpg"/><Relationship Id="rId5" Type="http://schemas.openxmlformats.org/officeDocument/2006/relationships/image" Target="../media/image25.jpg"/><Relationship Id="rId10" Type="http://schemas.openxmlformats.org/officeDocument/2006/relationships/image" Target="../media/image30.jpg"/><Relationship Id="rId4" Type="http://schemas.openxmlformats.org/officeDocument/2006/relationships/image" Target="../media/image24.jpeg"/><Relationship Id="rId9" Type="http://schemas.openxmlformats.org/officeDocument/2006/relationships/image" Target="../media/image29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4" Type="http://schemas.openxmlformats.org/officeDocument/2006/relationships/image" Target="../media/image3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</xdr:colOff>
      <xdr:row>355</xdr:row>
      <xdr:rowOff>190500</xdr:rowOff>
    </xdr:from>
    <xdr:to>
      <xdr:col>7</xdr:col>
      <xdr:colOff>243594</xdr:colOff>
      <xdr:row>373</xdr:row>
      <xdr:rowOff>159796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5" y="53244750"/>
          <a:ext cx="5177539" cy="35697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</xdr:colOff>
      <xdr:row>374</xdr:row>
      <xdr:rowOff>142669</xdr:rowOff>
    </xdr:from>
    <xdr:to>
      <xdr:col>7</xdr:col>
      <xdr:colOff>243594</xdr:colOff>
      <xdr:row>392</xdr:row>
      <xdr:rowOff>111963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5" y="56997394"/>
          <a:ext cx="5177539" cy="35697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301073</xdr:colOff>
      <xdr:row>317</xdr:row>
      <xdr:rowOff>132108</xdr:rowOff>
    </xdr:from>
    <xdr:ext cx="593304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25698" y="45585408"/>
          <a:ext cx="593304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I</a:t>
          </a:r>
        </a:p>
      </xdr:txBody>
    </xdr:sp>
    <xdr:clientData/>
  </xdr:oneCellAnchor>
  <xdr:oneCellAnchor>
    <xdr:from>
      <xdr:col>10</xdr:col>
      <xdr:colOff>530109</xdr:colOff>
      <xdr:row>318</xdr:row>
      <xdr:rowOff>35497</xdr:rowOff>
    </xdr:from>
    <xdr:ext cx="649280" cy="28020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64484" y="45688822"/>
          <a:ext cx="649280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E</a:t>
          </a:r>
        </a:p>
      </xdr:txBody>
    </xdr:sp>
    <xdr:clientData/>
  </xdr:oneCellAnchor>
  <xdr:oneCellAnchor>
    <xdr:from>
      <xdr:col>13</xdr:col>
      <xdr:colOff>368164</xdr:colOff>
      <xdr:row>317</xdr:row>
      <xdr:rowOff>187897</xdr:rowOff>
    </xdr:from>
    <xdr:ext cx="617348" cy="28020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902814" y="45641197"/>
          <a:ext cx="617348" cy="28020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L</a:t>
          </a:r>
        </a:p>
      </xdr:txBody>
    </xdr:sp>
    <xdr:clientData/>
  </xdr:oneCellAnchor>
  <xdr:oneCellAnchor>
    <xdr:from>
      <xdr:col>9</xdr:col>
      <xdr:colOff>242892</xdr:colOff>
      <xdr:row>321</xdr:row>
      <xdr:rowOff>2917</xdr:rowOff>
    </xdr:from>
    <xdr:ext cx="617348" cy="280205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815267" y="46256317"/>
          <a:ext cx="617348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L</a:t>
          </a:r>
        </a:p>
      </xdr:txBody>
    </xdr:sp>
    <xdr:clientData/>
  </xdr:oneCellAnchor>
  <xdr:oneCellAnchor>
    <xdr:from>
      <xdr:col>9</xdr:col>
      <xdr:colOff>685499</xdr:colOff>
      <xdr:row>316</xdr:row>
      <xdr:rowOff>181910</xdr:rowOff>
    </xdr:from>
    <xdr:ext cx="627351" cy="28020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257874" y="45444710"/>
          <a:ext cx="627351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E</a:t>
          </a:r>
        </a:p>
      </xdr:txBody>
    </xdr:sp>
    <xdr:clientData/>
  </xdr:oneCellAnchor>
  <xdr:oneCellAnchor>
    <xdr:from>
      <xdr:col>11</xdr:col>
      <xdr:colOff>267590</xdr:colOff>
      <xdr:row>315</xdr:row>
      <xdr:rowOff>193115</xdr:rowOff>
    </xdr:from>
    <xdr:ext cx="627351" cy="28020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306815" y="45255890"/>
          <a:ext cx="627351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L</a:t>
          </a:r>
        </a:p>
      </xdr:txBody>
    </xdr:sp>
    <xdr:clientData/>
  </xdr:oneCellAnchor>
  <xdr:oneCellAnchor>
    <xdr:from>
      <xdr:col>8</xdr:col>
      <xdr:colOff>611093</xdr:colOff>
      <xdr:row>317</xdr:row>
      <xdr:rowOff>111313</xdr:rowOff>
    </xdr:from>
    <xdr:ext cx="649280" cy="280205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645882F-1C29-4631-B028-074113B0D39A}"/>
            </a:ext>
          </a:extLst>
        </xdr:cNvPr>
        <xdr:cNvSpPr txBox="1"/>
      </xdr:nvSpPr>
      <xdr:spPr>
        <a:xfrm>
          <a:off x="7135718" y="45288388"/>
          <a:ext cx="649280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D</a:t>
          </a:r>
        </a:p>
      </xdr:txBody>
    </xdr:sp>
    <xdr:clientData/>
  </xdr:oneCellAnchor>
  <xdr:twoCellAnchor>
    <xdr:from>
      <xdr:col>8</xdr:col>
      <xdr:colOff>1024890</xdr:colOff>
      <xdr:row>315</xdr:row>
      <xdr:rowOff>7620</xdr:rowOff>
    </xdr:from>
    <xdr:to>
      <xdr:col>16</xdr:col>
      <xdr:colOff>577215</xdr:colOff>
      <xdr:row>354</xdr:row>
      <xdr:rowOff>45720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D78DAC54-AC38-40CB-870C-2DA94029D266}"/>
            </a:ext>
          </a:extLst>
        </xdr:cNvPr>
        <xdr:cNvGrpSpPr/>
      </xdr:nvGrpSpPr>
      <xdr:grpSpPr>
        <a:xfrm>
          <a:off x="7722870" y="45407580"/>
          <a:ext cx="5930265" cy="7757160"/>
          <a:chOff x="613420" y="348361"/>
          <a:chExt cx="5759313" cy="8228348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91BE1101-83AF-4576-8A2F-86524EC34353}"/>
              </a:ext>
            </a:extLst>
          </xdr:cNvPr>
          <xdr:cNvGrpSpPr/>
        </xdr:nvGrpSpPr>
        <xdr:grpSpPr>
          <a:xfrm>
            <a:off x="613420" y="348361"/>
            <a:ext cx="5759313" cy="8228348"/>
            <a:chOff x="613420" y="348361"/>
            <a:chExt cx="5759313" cy="8228348"/>
          </a:xfrm>
        </xdr:grpSpPr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FF2F1B2E-67CD-4441-814D-61E356C144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66750" y="348361"/>
              <a:ext cx="2697174" cy="216200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F21B5F97-65F0-4222-B72B-074FDF845A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96573" y="350362"/>
              <a:ext cx="2694677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92A04CD1-B9B1-428E-B785-D9DE0C3423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57250" y="2664011"/>
              <a:ext cx="1726906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CF255863-3291-495B-B1D9-AE9B4F4623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38640" y="2664011"/>
              <a:ext cx="307041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95BF17FB-45B0-452B-9C76-8BD7BBB9C1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83938" y="500306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A0A89919-0F9E-4552-BC21-7C2354BFFA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54344" y="500306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7B449622-CA67-41FD-97B2-82B772B70B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13420" y="500306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EE2AC172-13DF-49DA-B1C1-DD888871CB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24139" y="500306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id="{87DE04A1-8C02-47ED-998D-4CA69C2775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15266" y="6956709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54A86329-12F2-45E0-B987-38EA6F9995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54344" y="6956709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5" name="TextBox 197">
            <a:extLst>
              <a:ext uri="{FF2B5EF4-FFF2-40B4-BE49-F238E27FC236}">
                <a16:creationId xmlns:a16="http://schemas.microsoft.com/office/drawing/2014/main" id="{5AC79097-4E15-4472-A6D4-4852627684A1}"/>
              </a:ext>
            </a:extLst>
          </xdr:cNvPr>
          <xdr:cNvSpPr txBox="1"/>
        </xdr:nvSpPr>
        <xdr:spPr>
          <a:xfrm>
            <a:off x="2015337" y="567291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6" name="TextBox 198">
            <a:extLst>
              <a:ext uri="{FF2B5EF4-FFF2-40B4-BE49-F238E27FC236}">
                <a16:creationId xmlns:a16="http://schemas.microsoft.com/office/drawing/2014/main" id="{6EBD26EB-0CA7-478F-A4E5-4750C10E5690}"/>
              </a:ext>
            </a:extLst>
          </xdr:cNvPr>
          <xdr:cNvSpPr txBox="1"/>
        </xdr:nvSpPr>
        <xdr:spPr>
          <a:xfrm>
            <a:off x="4902938" y="531313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7" name="TextBox 199">
            <a:extLst>
              <a:ext uri="{FF2B5EF4-FFF2-40B4-BE49-F238E27FC236}">
                <a16:creationId xmlns:a16="http://schemas.microsoft.com/office/drawing/2014/main" id="{E82AE761-EA6C-4D0A-8AA0-4EDA7ADB4740}"/>
              </a:ext>
            </a:extLst>
          </xdr:cNvPr>
          <xdr:cNvSpPr txBox="1"/>
        </xdr:nvSpPr>
        <xdr:spPr>
          <a:xfrm>
            <a:off x="1333293" y="3112565"/>
            <a:ext cx="84830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E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1" name="TextBox 200">
            <a:extLst>
              <a:ext uri="{FF2B5EF4-FFF2-40B4-BE49-F238E27FC236}">
                <a16:creationId xmlns:a16="http://schemas.microsoft.com/office/drawing/2014/main" id="{3B43FB3F-C34B-4617-B7DA-7A1099BAD1F5}"/>
              </a:ext>
            </a:extLst>
          </xdr:cNvPr>
          <xdr:cNvSpPr txBox="1"/>
        </xdr:nvSpPr>
        <xdr:spPr>
          <a:xfrm>
            <a:off x="2897310" y="2743233"/>
            <a:ext cx="83388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L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2" name="TextBox 201">
            <a:extLst>
              <a:ext uri="{FF2B5EF4-FFF2-40B4-BE49-F238E27FC236}">
                <a16:creationId xmlns:a16="http://schemas.microsoft.com/office/drawing/2014/main" id="{BEC4DC1F-8866-44F9-995A-625B564E0BA1}"/>
              </a:ext>
            </a:extLst>
          </xdr:cNvPr>
          <xdr:cNvSpPr txBox="1"/>
        </xdr:nvSpPr>
        <xdr:spPr>
          <a:xfrm>
            <a:off x="892306" y="6167991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3" name="TextBox 202">
            <a:extLst>
              <a:ext uri="{FF2B5EF4-FFF2-40B4-BE49-F238E27FC236}">
                <a16:creationId xmlns:a16="http://schemas.microsoft.com/office/drawing/2014/main" id="{40DDC887-1F60-412A-9F3E-8B8F7C1FFA8E}"/>
              </a:ext>
            </a:extLst>
          </xdr:cNvPr>
          <xdr:cNvSpPr txBox="1"/>
        </xdr:nvSpPr>
        <xdr:spPr>
          <a:xfrm>
            <a:off x="2143169" y="6157948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203">
            <a:extLst>
              <a:ext uri="{FF2B5EF4-FFF2-40B4-BE49-F238E27FC236}">
                <a16:creationId xmlns:a16="http://schemas.microsoft.com/office/drawing/2014/main" id="{373BD437-2497-4EF3-8D99-A400BB2031C6}"/>
              </a:ext>
            </a:extLst>
          </xdr:cNvPr>
          <xdr:cNvSpPr txBox="1"/>
        </xdr:nvSpPr>
        <xdr:spPr>
          <a:xfrm>
            <a:off x="3787654" y="6217220"/>
            <a:ext cx="83388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L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220980</xdr:colOff>
      <xdr:row>315</xdr:row>
      <xdr:rowOff>15240</xdr:rowOff>
    </xdr:from>
    <xdr:to>
      <xdr:col>7</xdr:col>
      <xdr:colOff>516647</xdr:colOff>
      <xdr:row>353</xdr:row>
      <xdr:rowOff>73999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80B114D-A701-A0C3-2872-F9EEA76BE017}"/>
            </a:ext>
          </a:extLst>
        </xdr:cNvPr>
        <xdr:cNvGrpSpPr/>
      </xdr:nvGrpSpPr>
      <xdr:grpSpPr>
        <a:xfrm>
          <a:off x="220980" y="45415200"/>
          <a:ext cx="6140207" cy="7579699"/>
          <a:chOff x="343203" y="235132"/>
          <a:chExt cx="6140207" cy="7579699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62E690DC-CC74-A918-E71E-BAF0AE7D7B52}"/>
              </a:ext>
            </a:extLst>
          </xdr:cNvPr>
          <xdr:cNvGrpSpPr/>
        </xdr:nvGrpSpPr>
        <xdr:grpSpPr>
          <a:xfrm>
            <a:off x="715989" y="6006446"/>
            <a:ext cx="5394634" cy="1808385"/>
            <a:chOff x="343203" y="6006446"/>
            <a:chExt cx="5394634" cy="1808385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DB891347-F733-1CD2-7339-A244CC8B7D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203" y="6014831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30E32A24-A6EC-731A-6B42-232830DF27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87123" y="600644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C08BF25C-931E-A8D6-E95D-2DEBA9014C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89243" y="600644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6D722BE3-4934-9B5F-2351-938EDF3F591E}"/>
              </a:ext>
            </a:extLst>
          </xdr:cNvPr>
          <xdr:cNvGrpSpPr/>
        </xdr:nvGrpSpPr>
        <xdr:grpSpPr>
          <a:xfrm>
            <a:off x="395668" y="3300789"/>
            <a:ext cx="6035277" cy="2520000"/>
            <a:chOff x="343203" y="3300789"/>
            <a:chExt cx="6035277" cy="25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64D01B64-BE11-EE28-164A-F8D92907B7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203" y="330078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3F1567A7-B4B5-F3DA-0090-C2D8FF5E66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90449" y="330078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832CFACC-09A5-FCDF-1938-DF611F92BA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16826" y="330078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7F625987-774D-2C39-F2B9-715382148DD6}"/>
                </a:ext>
              </a:extLst>
            </xdr:cNvPr>
            <xdr:cNvSpPr/>
          </xdr:nvSpPr>
          <xdr:spPr>
            <a:xfrm>
              <a:off x="1173480" y="4522470"/>
              <a:ext cx="205740" cy="91439"/>
            </a:xfrm>
            <a:prstGeom prst="rect">
              <a:avLst/>
            </a:prstGeom>
            <a:solidFill>
              <a:srgbClr val="BDC3B6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18" name="TextBox 18">
              <a:extLst>
                <a:ext uri="{FF2B5EF4-FFF2-40B4-BE49-F238E27FC236}">
                  <a16:creationId xmlns:a16="http://schemas.microsoft.com/office/drawing/2014/main" id="{C18B704A-FB56-15BE-8375-D70B5EC46929}"/>
                </a:ext>
              </a:extLst>
            </xdr:cNvPr>
            <xdr:cNvSpPr txBox="1"/>
          </xdr:nvSpPr>
          <xdr:spPr>
            <a:xfrm>
              <a:off x="582980" y="3438643"/>
              <a:ext cx="886781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L Wing </a:t>
              </a:r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579A303C-0D2B-A722-47FD-9AE402F8E8E0}"/>
              </a:ext>
            </a:extLst>
          </xdr:cNvPr>
          <xdr:cNvGrpSpPr/>
        </xdr:nvGrpSpPr>
        <xdr:grpSpPr>
          <a:xfrm>
            <a:off x="343203" y="235132"/>
            <a:ext cx="6140207" cy="2880000"/>
            <a:chOff x="343203" y="235132"/>
            <a:chExt cx="6140207" cy="288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6580B361-451B-466B-2063-83DB7893DC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25660" y="235132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A23F856D-6198-C577-C9D0-D7A5D28E12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203" y="235132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2" name="TextBox 20">
              <a:extLst>
                <a:ext uri="{FF2B5EF4-FFF2-40B4-BE49-F238E27FC236}">
                  <a16:creationId xmlns:a16="http://schemas.microsoft.com/office/drawing/2014/main" id="{BEBF38EE-4D23-516A-C348-267FDD2F4A8F}"/>
                </a:ext>
              </a:extLst>
            </xdr:cNvPr>
            <xdr:cNvSpPr txBox="1"/>
          </xdr:nvSpPr>
          <xdr:spPr>
            <a:xfrm>
              <a:off x="2626549" y="432888"/>
              <a:ext cx="934871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D Wing </a:t>
              </a:r>
            </a:p>
          </xdr:txBody>
        </xdr:sp>
        <xdr:sp macro="" textlink="">
          <xdr:nvSpPr>
            <xdr:cNvPr id="13" name="TextBox 21">
              <a:extLst>
                <a:ext uri="{FF2B5EF4-FFF2-40B4-BE49-F238E27FC236}">
                  <a16:creationId xmlns:a16="http://schemas.microsoft.com/office/drawing/2014/main" id="{A94FA003-54CB-29AD-D0E4-23828A013B6E}"/>
                </a:ext>
              </a:extLst>
            </xdr:cNvPr>
            <xdr:cNvSpPr txBox="1"/>
          </xdr:nvSpPr>
          <xdr:spPr>
            <a:xfrm>
              <a:off x="5063540" y="461763"/>
              <a:ext cx="901209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E Wing 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762005</xdr:colOff>
      <xdr:row>402</xdr:row>
      <xdr:rowOff>190500</xdr:rowOff>
    </xdr:from>
    <xdr:to>
      <xdr:col>10</xdr:col>
      <xdr:colOff>110244</xdr:colOff>
      <xdr:row>421</xdr:row>
      <xdr:rowOff>140744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5" y="79733775"/>
          <a:ext cx="5596639" cy="35697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762005</xdr:colOff>
      <xdr:row>421</xdr:row>
      <xdr:rowOff>142669</xdr:rowOff>
    </xdr:from>
    <xdr:to>
      <xdr:col>10</xdr:col>
      <xdr:colOff>110244</xdr:colOff>
      <xdr:row>440</xdr:row>
      <xdr:rowOff>92913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5" y="83486419"/>
          <a:ext cx="5596639" cy="35697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298101</xdr:colOff>
      <xdr:row>315</xdr:row>
      <xdr:rowOff>0</xdr:rowOff>
    </xdr:from>
    <xdr:to>
      <xdr:col>5</xdr:col>
      <xdr:colOff>368009</xdr:colOff>
      <xdr:row>327</xdr:row>
      <xdr:rowOff>37191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01" y="62160150"/>
          <a:ext cx="3117908" cy="23231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83210</xdr:colOff>
      <xdr:row>315</xdr:row>
      <xdr:rowOff>0</xdr:rowOff>
    </xdr:from>
    <xdr:to>
      <xdr:col>9</xdr:col>
      <xdr:colOff>144153</xdr:colOff>
      <xdr:row>327</xdr:row>
      <xdr:rowOff>37191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660" y="62160150"/>
          <a:ext cx="3108943" cy="23231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279838</xdr:colOff>
      <xdr:row>327</xdr:row>
      <xdr:rowOff>176336</xdr:rowOff>
    </xdr:from>
    <xdr:to>
      <xdr:col>5</xdr:col>
      <xdr:colOff>368009</xdr:colOff>
      <xdr:row>340</xdr:row>
      <xdr:rowOff>19665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3"/>
        <a:stretch/>
      </xdr:blipFill>
      <xdr:spPr>
        <a:xfrm>
          <a:off x="279838" y="64727261"/>
          <a:ext cx="3136171" cy="23198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84578</xdr:colOff>
      <xdr:row>327</xdr:row>
      <xdr:rowOff>192900</xdr:rowOff>
    </xdr:from>
    <xdr:to>
      <xdr:col>9</xdr:col>
      <xdr:colOff>145521</xdr:colOff>
      <xdr:row>340</xdr:row>
      <xdr:rowOff>36229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5028" y="64743825"/>
          <a:ext cx="3108943" cy="23198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268944</xdr:colOff>
      <xdr:row>340</xdr:row>
      <xdr:rowOff>138367</xdr:rowOff>
    </xdr:from>
    <xdr:to>
      <xdr:col>5</xdr:col>
      <xdr:colOff>338852</xdr:colOff>
      <xdr:row>352</xdr:row>
      <xdr:rowOff>172197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944" y="67289617"/>
          <a:ext cx="3117908" cy="2319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54681</xdr:colOff>
      <xdr:row>340</xdr:row>
      <xdr:rowOff>138367</xdr:rowOff>
    </xdr:from>
    <xdr:to>
      <xdr:col>9</xdr:col>
      <xdr:colOff>115624</xdr:colOff>
      <xdr:row>352</xdr:row>
      <xdr:rowOff>172197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5131" y="67289617"/>
          <a:ext cx="3108943" cy="2319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216227</xdr:colOff>
      <xdr:row>336</xdr:row>
      <xdr:rowOff>127935</xdr:rowOff>
    </xdr:from>
    <xdr:to>
      <xdr:col>3</xdr:col>
      <xdr:colOff>20361</xdr:colOff>
      <xdr:row>338</xdr:row>
      <xdr:rowOff>186188</xdr:rowOff>
    </xdr:to>
    <xdr:sp macro="" textlink="">
      <xdr:nvSpPr>
        <xdr:cNvPr id="10" name="TextBox 2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35377" y="66479085"/>
          <a:ext cx="1575784" cy="4583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 b="1">
              <a:solidFill>
                <a:schemeClr val="bg1"/>
              </a:solidFill>
            </a:rPr>
            <a:t>E Wing</a:t>
          </a:r>
        </a:p>
      </xdr:txBody>
    </xdr:sp>
    <xdr:clientData/>
  </xdr:twoCellAnchor>
  <xdr:twoCellAnchor>
    <xdr:from>
      <xdr:col>1</xdr:col>
      <xdr:colOff>466007</xdr:colOff>
      <xdr:row>322</xdr:row>
      <xdr:rowOff>201181</xdr:rowOff>
    </xdr:from>
    <xdr:to>
      <xdr:col>3</xdr:col>
      <xdr:colOff>270141</xdr:colOff>
      <xdr:row>325</xdr:row>
      <xdr:rowOff>57729</xdr:rowOff>
    </xdr:to>
    <xdr:sp macro="" textlink="">
      <xdr:nvSpPr>
        <xdr:cNvPr id="11" name="TextBox 4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285157" y="63751981"/>
          <a:ext cx="1575784" cy="45662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 b="1">
              <a:solidFill>
                <a:schemeClr val="bg1"/>
              </a:solidFill>
            </a:rPr>
            <a:t>D Wing</a:t>
          </a:r>
        </a:p>
      </xdr:txBody>
    </xdr:sp>
    <xdr:clientData/>
  </xdr:twoCellAnchor>
  <xdr:twoCellAnchor>
    <xdr:from>
      <xdr:col>4</xdr:col>
      <xdr:colOff>825182</xdr:colOff>
      <xdr:row>323</xdr:row>
      <xdr:rowOff>106880</xdr:rowOff>
    </xdr:from>
    <xdr:to>
      <xdr:col>6</xdr:col>
      <xdr:colOff>718963</xdr:colOff>
      <xdr:row>325</xdr:row>
      <xdr:rowOff>165134</xdr:rowOff>
    </xdr:to>
    <xdr:sp macro="" textlink="">
      <xdr:nvSpPr>
        <xdr:cNvPr id="12" name="TextBox 4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425632" y="63857705"/>
          <a:ext cx="1570181" cy="458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 b="1">
              <a:solidFill>
                <a:schemeClr val="bg1"/>
              </a:solidFill>
            </a:rPr>
            <a:t>D Wing</a:t>
          </a:r>
        </a:p>
      </xdr:txBody>
    </xdr:sp>
    <xdr:clientData/>
  </xdr:twoCellAnchor>
  <xdr:twoCellAnchor>
    <xdr:from>
      <xdr:col>5</xdr:col>
      <xdr:colOff>404329</xdr:colOff>
      <xdr:row>334</xdr:row>
      <xdr:rowOff>7388</xdr:rowOff>
    </xdr:from>
    <xdr:to>
      <xdr:col>7</xdr:col>
      <xdr:colOff>298110</xdr:colOff>
      <xdr:row>336</xdr:row>
      <xdr:rowOff>65641</xdr:rowOff>
    </xdr:to>
    <xdr:sp macro="" textlink="">
      <xdr:nvSpPr>
        <xdr:cNvPr id="13" name="TextBox 4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842979" y="65958488"/>
          <a:ext cx="1570181" cy="4583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 b="1">
              <a:solidFill>
                <a:schemeClr val="bg1"/>
              </a:solidFill>
            </a:rPr>
            <a:t>L Wing</a:t>
          </a:r>
        </a:p>
      </xdr:txBody>
    </xdr:sp>
    <xdr:clientData/>
  </xdr:twoCellAnchor>
  <xdr:twoCellAnchor>
    <xdr:from>
      <xdr:col>1</xdr:col>
      <xdr:colOff>474595</xdr:colOff>
      <xdr:row>346</xdr:row>
      <xdr:rowOff>187102</xdr:rowOff>
    </xdr:from>
    <xdr:to>
      <xdr:col>3</xdr:col>
      <xdr:colOff>278729</xdr:colOff>
      <xdr:row>349</xdr:row>
      <xdr:rowOff>43650</xdr:rowOff>
    </xdr:to>
    <xdr:sp macro="" textlink="">
      <xdr:nvSpPr>
        <xdr:cNvPr id="14" name="TextBox 4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293745" y="68538502"/>
          <a:ext cx="1575784" cy="45662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 b="1">
              <a:solidFill>
                <a:schemeClr val="bg1"/>
              </a:solidFill>
            </a:rPr>
            <a:t>L Wing</a:t>
          </a:r>
        </a:p>
      </xdr:txBody>
    </xdr:sp>
    <xdr:clientData/>
  </xdr:twoCellAnchor>
  <xdr:twoCellAnchor editAs="oneCell">
    <xdr:from>
      <xdr:col>0</xdr:col>
      <xdr:colOff>224121</xdr:colOff>
      <xdr:row>371</xdr:row>
      <xdr:rowOff>153387</xdr:rowOff>
    </xdr:from>
    <xdr:to>
      <xdr:col>5</xdr:col>
      <xdr:colOff>294029</xdr:colOff>
      <xdr:row>383</xdr:row>
      <xdr:rowOff>187216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1" y="73495887"/>
          <a:ext cx="3117908" cy="23198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12530</xdr:colOff>
      <xdr:row>371</xdr:row>
      <xdr:rowOff>178541</xdr:rowOff>
    </xdr:from>
    <xdr:to>
      <xdr:col>9</xdr:col>
      <xdr:colOff>73473</xdr:colOff>
      <xdr:row>384</xdr:row>
      <xdr:rowOff>21870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2980" y="73521041"/>
          <a:ext cx="3108943" cy="23198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268944</xdr:colOff>
      <xdr:row>359</xdr:row>
      <xdr:rowOff>0</xdr:rowOff>
    </xdr:from>
    <xdr:to>
      <xdr:col>5</xdr:col>
      <xdr:colOff>338852</xdr:colOff>
      <xdr:row>371</xdr:row>
      <xdr:rowOff>37191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944" y="70951725"/>
          <a:ext cx="3117908" cy="23231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1124</xdr:colOff>
      <xdr:row>359</xdr:row>
      <xdr:rowOff>0</xdr:rowOff>
    </xdr:from>
    <xdr:to>
      <xdr:col>9</xdr:col>
      <xdr:colOff>62067</xdr:colOff>
      <xdr:row>371</xdr:row>
      <xdr:rowOff>37191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1574" y="70951725"/>
          <a:ext cx="3108943" cy="23231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18554</xdr:colOff>
      <xdr:row>13</xdr:row>
      <xdr:rowOff>0</xdr:rowOff>
    </xdr:from>
    <xdr:to>
      <xdr:col>6</xdr:col>
      <xdr:colOff>19223</xdr:colOff>
      <xdr:row>31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337" y="2865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32</xdr:row>
      <xdr:rowOff>180941</xdr:rowOff>
    </xdr:from>
    <xdr:to>
      <xdr:col>6</xdr:col>
      <xdr:colOff>669</xdr:colOff>
      <xdr:row>51</xdr:row>
      <xdr:rowOff>161441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6666224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140990</xdr:colOff>
      <xdr:row>13</xdr:row>
      <xdr:rowOff>53698</xdr:rowOff>
    </xdr:from>
    <xdr:to>
      <xdr:col>15</xdr:col>
      <xdr:colOff>58832</xdr:colOff>
      <xdr:row>32</xdr:row>
      <xdr:rowOff>34198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3229" y="291948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136167</xdr:colOff>
      <xdr:row>33</xdr:row>
      <xdr:rowOff>11798</xdr:rowOff>
    </xdr:from>
    <xdr:to>
      <xdr:col>15</xdr:col>
      <xdr:colOff>54009</xdr:colOff>
      <xdr:row>51</xdr:row>
      <xdr:rowOff>182798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8406" y="668758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j9QeTsnxdPymeAL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55"/>
  <sheetViews>
    <sheetView tabSelected="1" view="pageBreakPreview" zoomScaleNormal="100" zoomScaleSheetLayoutView="100" workbookViewId="0">
      <selection activeCell="J4" sqref="J4"/>
    </sheetView>
  </sheetViews>
  <sheetFormatPr defaultColWidth="9.109375" defaultRowHeight="15.6" x14ac:dyDescent="0.3"/>
  <cols>
    <col min="1" max="1" width="11.44140625" style="16" customWidth="1"/>
    <col min="2" max="2" width="12" style="16" customWidth="1"/>
    <col min="3" max="3" width="12.6640625" style="16" customWidth="1"/>
    <col min="4" max="4" width="14.109375" style="16" customWidth="1"/>
    <col min="5" max="7" width="11.6640625" style="16" customWidth="1"/>
    <col min="8" max="8" width="12.44140625" style="16" customWidth="1"/>
    <col min="9" max="9" width="15.66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88671875" style="8" customWidth="1"/>
    <col min="14" max="14" width="12.5546875" style="8" customWidth="1"/>
    <col min="15" max="15" width="9.88671875" style="8" customWidth="1"/>
    <col min="16" max="16" width="10.44140625" style="8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16" ht="46.5" customHeight="1" x14ac:dyDescent="0.3">
      <c r="A1" s="162" t="s">
        <v>273</v>
      </c>
      <c r="B1" s="162"/>
      <c r="C1" s="162"/>
      <c r="D1" s="162"/>
      <c r="E1" s="162"/>
      <c r="F1" s="162"/>
      <c r="G1" s="162"/>
      <c r="H1" s="162"/>
    </row>
    <row r="2" spans="1:16" ht="16.5" customHeight="1" x14ac:dyDescent="0.3">
      <c r="A2" s="134" t="s">
        <v>0</v>
      </c>
      <c r="B2" s="134"/>
      <c r="C2" s="134"/>
      <c r="D2" s="134"/>
      <c r="E2" s="134"/>
      <c r="F2" s="134"/>
      <c r="G2" s="134"/>
      <c r="H2" s="134"/>
    </row>
    <row r="3" spans="1:16" x14ac:dyDescent="0.3">
      <c r="A3" s="79" t="s">
        <v>1</v>
      </c>
      <c r="B3" s="79"/>
      <c r="C3" s="79"/>
      <c r="D3" s="79"/>
      <c r="E3" s="163" t="str">
        <f ca="1">TEXT(TODAY(),"DD/MM/YYYY")</f>
        <v>14/07/2025</v>
      </c>
      <c r="F3" s="163"/>
      <c r="G3" s="163"/>
      <c r="H3" s="163"/>
    </row>
    <row r="4" spans="1:16" ht="15" customHeight="1" x14ac:dyDescent="0.3">
      <c r="A4" s="79" t="s">
        <v>2</v>
      </c>
      <c r="B4" s="79"/>
      <c r="C4" s="79"/>
      <c r="D4" s="79"/>
      <c r="E4" s="164" t="s">
        <v>191</v>
      </c>
      <c r="F4" s="164"/>
      <c r="G4" s="164"/>
      <c r="H4" s="164"/>
    </row>
    <row r="5" spans="1:16" x14ac:dyDescent="0.3">
      <c r="A5" s="79" t="s">
        <v>3</v>
      </c>
      <c r="B5" s="79"/>
      <c r="C5" s="79"/>
      <c r="D5" s="79"/>
      <c r="E5" s="165">
        <v>45848</v>
      </c>
      <c r="F5" s="165"/>
      <c r="G5" s="165"/>
      <c r="H5" s="165"/>
    </row>
    <row r="6" spans="1:16" ht="16.5" customHeight="1" x14ac:dyDescent="0.3">
      <c r="A6" s="79" t="s">
        <v>4</v>
      </c>
      <c r="B6" s="79"/>
      <c r="C6" s="79"/>
      <c r="D6" s="79"/>
      <c r="E6" s="88" t="s">
        <v>208</v>
      </c>
      <c r="F6" s="88"/>
      <c r="G6" s="88"/>
      <c r="H6" s="88"/>
    </row>
    <row r="7" spans="1:16" ht="15" customHeight="1" x14ac:dyDescent="0.3">
      <c r="A7" s="79" t="s">
        <v>5</v>
      </c>
      <c r="B7" s="79"/>
      <c r="C7" s="79"/>
      <c r="D7" s="79"/>
      <c r="E7" s="88" t="str">
        <f>E6</f>
        <v>M/s.Kothari &amp; Deshmukh Landmark LLP</v>
      </c>
      <c r="F7" s="88"/>
      <c r="G7" s="88"/>
      <c r="H7" s="88"/>
    </row>
    <row r="8" spans="1:16" x14ac:dyDescent="0.3">
      <c r="A8" s="79" t="s">
        <v>6</v>
      </c>
      <c r="B8" s="79"/>
      <c r="C8" s="79"/>
      <c r="D8" s="79"/>
      <c r="E8" s="129" t="s">
        <v>209</v>
      </c>
      <c r="F8" s="129"/>
      <c r="G8" s="129"/>
      <c r="H8" s="129"/>
    </row>
    <row r="9" spans="1:16" x14ac:dyDescent="0.3">
      <c r="A9" s="79" t="s">
        <v>166</v>
      </c>
      <c r="B9" s="79"/>
      <c r="C9" s="79"/>
      <c r="D9" s="79"/>
      <c r="E9" s="79" t="s">
        <v>281</v>
      </c>
      <c r="F9" s="79"/>
      <c r="G9" s="79"/>
      <c r="H9" s="79"/>
      <c r="L9" s="79" t="s">
        <v>280</v>
      </c>
      <c r="M9" s="79"/>
      <c r="N9" s="79"/>
      <c r="O9" s="79"/>
    </row>
    <row r="10" spans="1:16" x14ac:dyDescent="0.3">
      <c r="A10" s="79" t="s">
        <v>276</v>
      </c>
      <c r="B10" s="79"/>
      <c r="C10" s="79"/>
      <c r="D10" s="79"/>
      <c r="E10" s="79" t="s">
        <v>30</v>
      </c>
      <c r="F10" s="79"/>
      <c r="G10" s="79"/>
      <c r="H10" s="79"/>
      <c r="I10" s="79">
        <v>7506955770</v>
      </c>
      <c r="J10" s="79"/>
      <c r="K10" s="79"/>
      <c r="L10" s="79"/>
      <c r="M10" s="79" t="s">
        <v>283</v>
      </c>
      <c r="N10" s="79"/>
      <c r="O10" s="79"/>
      <c r="P10" s="79"/>
    </row>
    <row r="11" spans="1:16" ht="66" customHeight="1" x14ac:dyDescent="0.3">
      <c r="A11" s="136" t="s">
        <v>7</v>
      </c>
      <c r="B11" s="136"/>
      <c r="C11" s="136"/>
      <c r="D11" s="136"/>
      <c r="E11" s="166" t="s">
        <v>269</v>
      </c>
      <c r="F11" s="167"/>
      <c r="G11" s="167"/>
      <c r="H11" s="168"/>
      <c r="I11" s="70"/>
      <c r="J11" s="71"/>
    </row>
    <row r="12" spans="1:16" x14ac:dyDescent="0.3">
      <c r="A12" s="79" t="s">
        <v>8</v>
      </c>
      <c r="B12" s="79"/>
      <c r="C12" s="79"/>
      <c r="D12" s="79"/>
      <c r="E12" s="89" t="s">
        <v>254</v>
      </c>
      <c r="F12" s="89"/>
      <c r="G12" s="89"/>
      <c r="H12" s="89"/>
    </row>
    <row r="13" spans="1:16" ht="33" customHeight="1" x14ac:dyDescent="0.3">
      <c r="A13" s="79" t="s">
        <v>9</v>
      </c>
      <c r="B13" s="79"/>
      <c r="C13" s="79"/>
      <c r="D13" s="79"/>
      <c r="E13" s="89" t="s">
        <v>211</v>
      </c>
      <c r="F13" s="136"/>
      <c r="G13" s="136"/>
      <c r="H13" s="136"/>
    </row>
    <row r="14" spans="1:16" ht="33.75" customHeight="1" x14ac:dyDescent="0.3">
      <c r="A14" s="88" t="s">
        <v>10</v>
      </c>
      <c r="B14" s="88"/>
      <c r="C14" s="8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SPM Lake City Phase II, Gut No.56/2, near Appanchiwadi, Deshmukh Udya Farm Road, Karav, Vangani , Ambernath, Thane.</v>
      </c>
      <c r="D14" s="88"/>
      <c r="E14" s="88"/>
      <c r="F14" s="88"/>
      <c r="G14" s="88"/>
      <c r="H14" s="88"/>
    </row>
    <row r="15" spans="1:16" x14ac:dyDescent="0.3">
      <c r="A15" s="89" t="s">
        <v>223</v>
      </c>
      <c r="B15" s="89"/>
      <c r="C15" s="89" t="s">
        <v>222</v>
      </c>
      <c r="D15" s="89"/>
      <c r="E15" s="89"/>
      <c r="F15" s="89"/>
      <c r="G15" s="89"/>
      <c r="H15" s="89"/>
    </row>
    <row r="16" spans="1:16" ht="15.75" customHeight="1" x14ac:dyDescent="0.3">
      <c r="A16" s="88" t="s">
        <v>11</v>
      </c>
      <c r="B16" s="88"/>
      <c r="C16" s="136" t="s">
        <v>217</v>
      </c>
      <c r="D16" s="136"/>
      <c r="E16" s="88" t="s">
        <v>221</v>
      </c>
      <c r="F16" s="88"/>
      <c r="G16" s="89" t="s">
        <v>220</v>
      </c>
      <c r="H16" s="89"/>
    </row>
    <row r="17" spans="1:8" x14ac:dyDescent="0.3">
      <c r="A17" s="79" t="s">
        <v>13</v>
      </c>
      <c r="B17" s="79"/>
      <c r="C17" s="89" t="s">
        <v>230</v>
      </c>
      <c r="D17" s="89"/>
      <c r="E17" s="88" t="s">
        <v>12</v>
      </c>
      <c r="F17" s="88"/>
      <c r="G17" s="169" t="s">
        <v>225</v>
      </c>
      <c r="H17" s="169"/>
    </row>
    <row r="18" spans="1:8" x14ac:dyDescent="0.3">
      <c r="A18" s="79" t="s">
        <v>104</v>
      </c>
      <c r="B18" s="79"/>
      <c r="C18" s="89" t="s">
        <v>224</v>
      </c>
      <c r="D18" s="89"/>
      <c r="E18" s="88" t="s">
        <v>14</v>
      </c>
      <c r="F18" s="88"/>
      <c r="G18" s="89">
        <v>421503</v>
      </c>
      <c r="H18" s="89"/>
    </row>
    <row r="19" spans="1:8" ht="32.25" customHeight="1" x14ac:dyDescent="0.3">
      <c r="A19" s="79" t="s">
        <v>167</v>
      </c>
      <c r="B19" s="79"/>
      <c r="C19" s="88" t="s">
        <v>219</v>
      </c>
      <c r="D19" s="88"/>
      <c r="E19" s="88" t="s">
        <v>15</v>
      </c>
      <c r="F19" s="88"/>
      <c r="G19" s="89" t="s">
        <v>229</v>
      </c>
      <c r="H19" s="89"/>
    </row>
    <row r="20" spans="1:8" ht="15" customHeight="1" x14ac:dyDescent="0.3">
      <c r="A20" s="88" t="s">
        <v>109</v>
      </c>
      <c r="B20" s="88"/>
      <c r="C20" s="88"/>
      <c r="D20" s="88"/>
      <c r="E20" s="136" t="s">
        <v>16</v>
      </c>
      <c r="F20" s="136"/>
      <c r="G20" s="136"/>
      <c r="H20" s="136"/>
    </row>
    <row r="21" spans="1:8" ht="18.75" customHeight="1" x14ac:dyDescent="0.3">
      <c r="A21" s="88"/>
      <c r="B21" s="88"/>
      <c r="C21" s="88"/>
      <c r="D21" s="88"/>
      <c r="E21" s="136"/>
      <c r="F21" s="136"/>
      <c r="G21" s="136"/>
      <c r="H21" s="136"/>
    </row>
    <row r="22" spans="1:8" ht="15" customHeight="1" x14ac:dyDescent="0.3">
      <c r="A22" s="88" t="s">
        <v>17</v>
      </c>
      <c r="B22" s="88"/>
      <c r="C22" s="88"/>
      <c r="D22" s="88"/>
      <c r="E22" s="89" t="s">
        <v>18</v>
      </c>
      <c r="F22" s="89"/>
      <c r="G22" s="89"/>
      <c r="H22" s="89"/>
    </row>
    <row r="23" spans="1:8" ht="15" customHeight="1" x14ac:dyDescent="0.3">
      <c r="A23" s="79" t="s">
        <v>19</v>
      </c>
      <c r="B23" s="79"/>
      <c r="C23" s="79"/>
      <c r="D23" s="79"/>
      <c r="E23" s="89" t="str">
        <f>IF(AND(G17="Mumbai"),"Upper Class","Middle Class")</f>
        <v>Middle Class</v>
      </c>
      <c r="F23" s="89"/>
      <c r="G23" s="89"/>
      <c r="H23" s="89"/>
    </row>
    <row r="24" spans="1:8" x14ac:dyDescent="0.3">
      <c r="A24" s="79" t="s">
        <v>20</v>
      </c>
      <c r="B24" s="79"/>
      <c r="C24" s="79"/>
      <c r="D24" s="79"/>
      <c r="E24" s="89" t="s">
        <v>21</v>
      </c>
      <c r="F24" s="89"/>
      <c r="G24" s="89"/>
      <c r="H24" s="89"/>
    </row>
    <row r="25" spans="1:8" ht="15.75" customHeight="1" x14ac:dyDescent="0.3">
      <c r="A25" s="79" t="s">
        <v>22</v>
      </c>
      <c r="B25" s="79"/>
      <c r="C25" s="79"/>
      <c r="D25" s="79"/>
      <c r="E25" s="89" t="str">
        <f>IF(AND(G17="Mumbai"),"Developed","Developing")</f>
        <v>Developing</v>
      </c>
      <c r="F25" s="89"/>
      <c r="G25" s="89"/>
      <c r="H25" s="89"/>
    </row>
    <row r="26" spans="1:8" x14ac:dyDescent="0.3">
      <c r="A26" s="79" t="s">
        <v>23</v>
      </c>
      <c r="B26" s="79"/>
      <c r="C26" s="79"/>
      <c r="D26" s="79"/>
      <c r="E26" s="89" t="s">
        <v>24</v>
      </c>
      <c r="F26" s="89"/>
      <c r="G26" s="89"/>
      <c r="H26" s="89"/>
    </row>
    <row r="27" spans="1:8" x14ac:dyDescent="0.3">
      <c r="A27" s="79" t="s">
        <v>118</v>
      </c>
      <c r="B27" s="79"/>
      <c r="C27" s="79"/>
      <c r="D27" s="79"/>
      <c r="E27" s="89" t="s">
        <v>119</v>
      </c>
      <c r="F27" s="89"/>
      <c r="G27" s="89"/>
      <c r="H27" s="89"/>
    </row>
    <row r="28" spans="1:8" ht="15" customHeight="1" x14ac:dyDescent="0.3">
      <c r="A28" s="88" t="s">
        <v>35</v>
      </c>
      <c r="B28" s="88"/>
      <c r="C28" s="88"/>
      <c r="D28" s="88"/>
      <c r="E28" s="164" t="s">
        <v>231</v>
      </c>
      <c r="F28" s="164"/>
      <c r="G28" s="164"/>
      <c r="H28" s="164"/>
    </row>
    <row r="29" spans="1:8" x14ac:dyDescent="0.3">
      <c r="A29" s="88" t="s">
        <v>130</v>
      </c>
      <c r="B29" s="88"/>
      <c r="C29" s="88"/>
      <c r="D29" s="88"/>
      <c r="E29" s="88" t="s">
        <v>36</v>
      </c>
      <c r="F29" s="88"/>
      <c r="G29" s="88"/>
      <c r="H29" s="88"/>
    </row>
    <row r="30" spans="1:8" s="11" customFormat="1" x14ac:dyDescent="0.3">
      <c r="A30" s="174" t="s">
        <v>131</v>
      </c>
      <c r="B30" s="174"/>
      <c r="C30" s="173" t="s">
        <v>29</v>
      </c>
      <c r="D30" s="173"/>
      <c r="E30" s="173"/>
      <c r="F30" s="173" t="s">
        <v>31</v>
      </c>
      <c r="G30" s="173"/>
      <c r="H30" s="173"/>
    </row>
    <row r="31" spans="1:8" s="11" customFormat="1" x14ac:dyDescent="0.3">
      <c r="A31" s="170" t="s">
        <v>25</v>
      </c>
      <c r="B31" s="170" t="s">
        <v>30</v>
      </c>
      <c r="C31" s="171" t="s">
        <v>30</v>
      </c>
      <c r="D31" s="171"/>
      <c r="E31" s="171"/>
      <c r="F31" s="171" t="s">
        <v>218</v>
      </c>
      <c r="G31" s="171"/>
      <c r="H31" s="171"/>
    </row>
    <row r="32" spans="1:8" x14ac:dyDescent="0.3">
      <c r="A32" s="170" t="s">
        <v>26</v>
      </c>
      <c r="B32" s="170" t="s">
        <v>30</v>
      </c>
      <c r="C32" s="171" t="s">
        <v>30</v>
      </c>
      <c r="D32" s="171"/>
      <c r="E32" s="171"/>
      <c r="F32" s="171" t="s">
        <v>217</v>
      </c>
      <c r="G32" s="171"/>
      <c r="H32" s="171"/>
    </row>
    <row r="33" spans="1:8" s="11" customFormat="1" x14ac:dyDescent="0.3">
      <c r="A33" s="170" t="s">
        <v>28</v>
      </c>
      <c r="B33" s="170" t="s">
        <v>30</v>
      </c>
      <c r="C33" s="171" t="s">
        <v>30</v>
      </c>
      <c r="D33" s="171"/>
      <c r="E33" s="171"/>
      <c r="F33" s="171" t="s">
        <v>217</v>
      </c>
      <c r="G33" s="171"/>
      <c r="H33" s="171"/>
    </row>
    <row r="34" spans="1:8" x14ac:dyDescent="0.3">
      <c r="A34" s="170" t="s">
        <v>27</v>
      </c>
      <c r="B34" s="170" t="s">
        <v>30</v>
      </c>
      <c r="C34" s="171" t="s">
        <v>30</v>
      </c>
      <c r="D34" s="171"/>
      <c r="E34" s="171"/>
      <c r="F34" s="171" t="s">
        <v>218</v>
      </c>
      <c r="G34" s="171"/>
      <c r="H34" s="171"/>
    </row>
    <row r="35" spans="1:8" x14ac:dyDescent="0.3">
      <c r="A35" s="79" t="s">
        <v>32</v>
      </c>
      <c r="B35" s="79"/>
      <c r="C35" s="79"/>
      <c r="D35" s="79"/>
      <c r="E35" s="79"/>
      <c r="F35" s="79"/>
      <c r="G35" s="79"/>
      <c r="H35" s="79"/>
    </row>
    <row r="36" spans="1:8" ht="15.75" customHeight="1" x14ac:dyDescent="0.3">
      <c r="A36" s="134" t="s">
        <v>274</v>
      </c>
      <c r="B36" s="134"/>
      <c r="C36" s="175" t="s">
        <v>275</v>
      </c>
      <c r="D36" s="176"/>
      <c r="E36" s="176"/>
      <c r="F36" s="176"/>
      <c r="G36" s="176"/>
      <c r="H36" s="177"/>
    </row>
    <row r="37" spans="1:8" ht="15.75" customHeight="1" x14ac:dyDescent="0.3">
      <c r="A37" s="134" t="s">
        <v>271</v>
      </c>
      <c r="B37" s="134"/>
      <c r="C37" s="178" t="s">
        <v>272</v>
      </c>
      <c r="D37" s="179"/>
      <c r="E37" s="179"/>
      <c r="F37" s="179"/>
      <c r="G37" s="179"/>
      <c r="H37" s="180"/>
    </row>
    <row r="38" spans="1:8" x14ac:dyDescent="0.3">
      <c r="A38" s="129" t="s">
        <v>37</v>
      </c>
      <c r="B38" s="129"/>
      <c r="C38" s="129"/>
      <c r="D38" s="129"/>
      <c r="E38" s="129"/>
      <c r="F38" s="129"/>
      <c r="G38" s="129"/>
      <c r="H38" s="129"/>
    </row>
    <row r="39" spans="1:8" x14ac:dyDescent="0.3">
      <c r="A39" s="79" t="s">
        <v>38</v>
      </c>
      <c r="B39" s="79"/>
      <c r="C39" s="79"/>
      <c r="D39" s="79"/>
      <c r="E39" s="172">
        <v>17522</v>
      </c>
      <c r="F39" s="172"/>
      <c r="G39" s="172"/>
      <c r="H39" s="172"/>
    </row>
    <row r="40" spans="1:8" x14ac:dyDescent="0.3">
      <c r="A40" s="79" t="s">
        <v>39</v>
      </c>
      <c r="B40" s="79"/>
      <c r="C40" s="79"/>
      <c r="D40" s="79"/>
      <c r="E40" s="80">
        <v>1</v>
      </c>
      <c r="F40" s="80"/>
      <c r="G40" s="80"/>
      <c r="H40" s="80"/>
    </row>
    <row r="41" spans="1:8" x14ac:dyDescent="0.3">
      <c r="A41" s="79" t="s">
        <v>40</v>
      </c>
      <c r="B41" s="79"/>
      <c r="C41" s="79"/>
      <c r="D41" s="79"/>
      <c r="E41" s="80">
        <f>E43/E39-E40</f>
        <v>0</v>
      </c>
      <c r="F41" s="80"/>
      <c r="G41" s="80"/>
      <c r="H41" s="80"/>
    </row>
    <row r="42" spans="1:8" x14ac:dyDescent="0.3">
      <c r="A42" s="79" t="s">
        <v>41</v>
      </c>
      <c r="B42" s="79"/>
      <c r="C42" s="79"/>
      <c r="D42" s="79"/>
      <c r="E42" s="80">
        <f>E40+E41</f>
        <v>1</v>
      </c>
      <c r="F42" s="80"/>
      <c r="G42" s="80"/>
      <c r="H42" s="80"/>
    </row>
    <row r="43" spans="1:8" x14ac:dyDescent="0.3">
      <c r="A43" s="79" t="s">
        <v>129</v>
      </c>
      <c r="B43" s="79"/>
      <c r="C43" s="79"/>
      <c r="D43" s="79"/>
      <c r="E43" s="161">
        <v>17522</v>
      </c>
      <c r="F43" s="161"/>
      <c r="G43" s="161"/>
      <c r="H43" s="161"/>
    </row>
    <row r="44" spans="1:8" x14ac:dyDescent="0.3">
      <c r="A44" s="136" t="s">
        <v>42</v>
      </c>
      <c r="B44" s="136"/>
      <c r="C44" s="136"/>
      <c r="D44" s="136"/>
      <c r="E44" s="136" t="s">
        <v>258</v>
      </c>
      <c r="F44" s="136"/>
      <c r="G44" s="136"/>
      <c r="H44" s="136"/>
    </row>
    <row r="45" spans="1:8" x14ac:dyDescent="0.3">
      <c r="A45" s="129" t="s">
        <v>43</v>
      </c>
      <c r="B45" s="129"/>
      <c r="C45" s="129"/>
      <c r="D45" s="129"/>
      <c r="E45" s="129"/>
      <c r="F45" s="129"/>
      <c r="G45" s="129"/>
      <c r="H45" s="129"/>
    </row>
    <row r="46" spans="1:8" ht="33.75" customHeight="1" x14ac:dyDescent="0.3">
      <c r="A46" s="88" t="s">
        <v>44</v>
      </c>
      <c r="B46" s="88"/>
      <c r="C46" s="89" t="s">
        <v>213</v>
      </c>
      <c r="D46" s="89"/>
      <c r="E46" s="89"/>
      <c r="F46" s="75" t="s">
        <v>45</v>
      </c>
      <c r="G46" s="135" t="s">
        <v>214</v>
      </c>
      <c r="H46" s="135"/>
    </row>
    <row r="47" spans="1:8" ht="32.25" customHeight="1" x14ac:dyDescent="0.3">
      <c r="A47" s="79" t="s">
        <v>46</v>
      </c>
      <c r="B47" s="79"/>
      <c r="C47" s="89" t="str">
        <f>C46</f>
        <v>BISHE/REKHANKAN/BP/MAU.KARAV/TAL.AMERNATH/SSTHANE/2239</v>
      </c>
      <c r="D47" s="89"/>
      <c r="E47" s="89"/>
      <c r="F47" s="75" t="s">
        <v>45</v>
      </c>
      <c r="G47" s="135" t="s">
        <v>214</v>
      </c>
      <c r="H47" s="135"/>
    </row>
    <row r="48" spans="1:8" s="10" customFormat="1" ht="33.75" customHeight="1" x14ac:dyDescent="0.3">
      <c r="A48" s="89" t="s">
        <v>47</v>
      </c>
      <c r="B48" s="89"/>
      <c r="C48" s="89" t="s">
        <v>215</v>
      </c>
      <c r="D48" s="136"/>
      <c r="E48" s="136"/>
      <c r="F48" s="76" t="s">
        <v>45</v>
      </c>
      <c r="G48" s="135" t="s">
        <v>216</v>
      </c>
      <c r="H48" s="135"/>
    </row>
    <row r="49" spans="1:14" s="10" customFormat="1" x14ac:dyDescent="0.3">
      <c r="A49" s="89"/>
      <c r="B49" s="89"/>
      <c r="C49" s="137" t="s">
        <v>268</v>
      </c>
      <c r="D49" s="138"/>
      <c r="E49" s="138"/>
      <c r="F49" s="138"/>
      <c r="G49" s="138"/>
      <c r="H49" s="139"/>
    </row>
    <row r="50" spans="1:14" x14ac:dyDescent="0.3">
      <c r="A50" s="140" t="s">
        <v>48</v>
      </c>
      <c r="B50" s="140"/>
      <c r="C50" s="93" t="s">
        <v>147</v>
      </c>
      <c r="D50" s="104"/>
      <c r="E50" s="104" t="s">
        <v>49</v>
      </c>
      <c r="F50" s="72" t="s">
        <v>45</v>
      </c>
      <c r="G50" s="142" t="s">
        <v>30</v>
      </c>
      <c r="H50" s="142"/>
    </row>
    <row r="51" spans="1:14" x14ac:dyDescent="0.3">
      <c r="A51" s="141" t="s">
        <v>51</v>
      </c>
      <c r="B51" s="141"/>
      <c r="C51" s="141"/>
      <c r="D51" s="141"/>
      <c r="E51" s="141"/>
      <c r="F51" s="141"/>
      <c r="G51" s="141"/>
      <c r="H51" s="141"/>
    </row>
    <row r="52" spans="1:14" x14ac:dyDescent="0.3">
      <c r="A52" s="88" t="s">
        <v>128</v>
      </c>
      <c r="B52" s="88"/>
      <c r="C52" s="88"/>
      <c r="D52" s="79">
        <f>E43</f>
        <v>17522</v>
      </c>
      <c r="E52" s="79"/>
      <c r="F52" s="79"/>
      <c r="G52" s="79"/>
      <c r="H52" s="79"/>
    </row>
    <row r="53" spans="1:14" x14ac:dyDescent="0.3">
      <c r="A53" s="89" t="s">
        <v>52</v>
      </c>
      <c r="B53" s="136"/>
      <c r="C53" s="136"/>
      <c r="D53" s="136" t="s">
        <v>257</v>
      </c>
      <c r="E53" s="136"/>
      <c r="F53" s="136"/>
      <c r="G53" s="136"/>
      <c r="H53" s="136"/>
      <c r="I53" s="40"/>
    </row>
    <row r="54" spans="1:14" ht="15.75" customHeight="1" x14ac:dyDescent="0.3">
      <c r="A54" s="144" t="s">
        <v>53</v>
      </c>
      <c r="B54" s="145"/>
      <c r="C54" s="146"/>
      <c r="D54" s="143" t="s">
        <v>256</v>
      </c>
      <c r="E54" s="143"/>
      <c r="F54" s="143"/>
      <c r="G54" s="143"/>
      <c r="H54" s="143"/>
    </row>
    <row r="55" spans="1:14" ht="15.75" customHeight="1" x14ac:dyDescent="0.3">
      <c r="A55" s="144" t="s">
        <v>126</v>
      </c>
      <c r="B55" s="145"/>
      <c r="C55" s="146"/>
      <c r="D55" s="136" t="s">
        <v>243</v>
      </c>
      <c r="E55" s="136"/>
      <c r="F55" s="136"/>
      <c r="G55" s="136"/>
      <c r="H55" s="136"/>
    </row>
    <row r="56" spans="1:14" ht="15.75" customHeight="1" x14ac:dyDescent="0.3">
      <c r="A56" s="147"/>
      <c r="B56" s="148"/>
      <c r="C56" s="149"/>
      <c r="D56" s="136" t="s">
        <v>244</v>
      </c>
      <c r="E56" s="136"/>
      <c r="F56" s="136"/>
      <c r="G56" s="136"/>
      <c r="H56" s="136"/>
    </row>
    <row r="57" spans="1:14" ht="15.75" customHeight="1" x14ac:dyDescent="0.3">
      <c r="A57" s="147"/>
      <c r="B57" s="148"/>
      <c r="C57" s="149"/>
      <c r="D57" s="136" t="s">
        <v>245</v>
      </c>
      <c r="E57" s="136"/>
      <c r="F57" s="136"/>
      <c r="G57" s="136"/>
      <c r="H57" s="136"/>
    </row>
    <row r="58" spans="1:14" ht="15.75" hidden="1" customHeight="1" x14ac:dyDescent="0.3">
      <c r="A58" s="150"/>
      <c r="B58" s="151"/>
      <c r="C58" s="152"/>
      <c r="D58" s="153" t="s">
        <v>246</v>
      </c>
      <c r="E58" s="154"/>
      <c r="F58" s="154"/>
      <c r="G58" s="154"/>
      <c r="H58" s="155"/>
    </row>
    <row r="59" spans="1:14" ht="15.75" customHeight="1" x14ac:dyDescent="0.3">
      <c r="A59" s="79" t="s">
        <v>50</v>
      </c>
      <c r="B59" s="79"/>
      <c r="C59" s="79"/>
      <c r="D59" s="95" t="s">
        <v>278</v>
      </c>
      <c r="E59" s="95"/>
      <c r="F59" s="95"/>
      <c r="G59" s="95"/>
      <c r="H59" s="95"/>
      <c r="J59" s="39"/>
      <c r="K59" s="40"/>
      <c r="N59" s="40"/>
    </row>
    <row r="60" spans="1:14" ht="15.75" customHeight="1" x14ac:dyDescent="0.3">
      <c r="A60" s="79" t="s">
        <v>124</v>
      </c>
      <c r="B60" s="79"/>
      <c r="C60" s="79"/>
      <c r="D60" s="102" t="str">
        <f>(IF(G50="NA","60 Years After Completion",IF(G50&lt;&gt;"NA",""&amp;ROUNDDOWN((E3-G50)/360,0)&amp;" Years"," ")))</f>
        <v>60 Years After Completion</v>
      </c>
      <c r="E60" s="102"/>
      <c r="F60" s="102"/>
      <c r="G60" s="102"/>
      <c r="H60" s="102"/>
      <c r="N60" s="40"/>
    </row>
    <row r="61" spans="1:14" ht="15.75" customHeight="1" x14ac:dyDescent="0.3">
      <c r="A61" s="79" t="s">
        <v>125</v>
      </c>
      <c r="B61" s="79"/>
      <c r="C61" s="79"/>
      <c r="D61" s="88" t="s">
        <v>24</v>
      </c>
      <c r="E61" s="88"/>
      <c r="F61" s="88"/>
      <c r="G61" s="88"/>
      <c r="H61" s="88"/>
      <c r="J61" s="18"/>
      <c r="K61" s="18"/>
    </row>
    <row r="62" spans="1:14" ht="15.75" customHeight="1" thickBot="1" x14ac:dyDescent="0.35">
      <c r="A62" s="136" t="s">
        <v>123</v>
      </c>
      <c r="B62" s="136"/>
      <c r="C62" s="136"/>
      <c r="D62" s="89" t="str">
        <f ca="1">(IF(G67&gt;95%,"Nothing",IF(G67&gt;0%,"Cement, Aggregate, Steel, etc",IF(G67=0%,"Work not yet Started"))))</f>
        <v>Cement, Aggregate, Steel, etc</v>
      </c>
      <c r="E62" s="89"/>
      <c r="F62" s="89"/>
      <c r="G62" s="89"/>
      <c r="H62" s="89"/>
      <c r="J62" s="18"/>
      <c r="K62" s="18"/>
    </row>
    <row r="63" spans="1:14" ht="15.75" customHeight="1" x14ac:dyDescent="0.3">
      <c r="A63" s="156" t="s">
        <v>184</v>
      </c>
      <c r="B63" s="156"/>
      <c r="C63" s="93" t="str">
        <f>D55</f>
        <v>Wing D  = G + 1st to 4th Floor</v>
      </c>
      <c r="D63" s="93"/>
      <c r="E63" s="93"/>
      <c r="F63" s="93"/>
      <c r="G63" s="93"/>
      <c r="H63" s="93"/>
      <c r="I63" s="19" t="str">
        <f ca="1">(IF(C67=0,"Work not yet Started.",IF(D67=25%,"Piling work in process",IF(D67=50%,"Excavation work in process",IF(D67=100%,"Excavation work completed, ","0")))&amp;(IF(C68=0%,"",IF(C68=K69,"Footing work is process",IF(C68=K70,"Footing work Completed",IF(C68=K71,"1st Basement Completed",IF(C68=K72,"1st &amp; 2nd Basement Completed",IF(C68=K73,"1st to 3rd Basement Completed",IF(C68=K74,"1st to 4th Basement Completed",IF(C68=K75,"Plinth work is process",IF(C68=K76,"Plinth work completed","0")))))))))))&amp;(IF(C69&gt;0,", RCC upto "&amp;C69&amp;" Slab completed",""))&amp;(IF(C70&gt;0,", Brickwork upto "&amp;C70&amp;" Floor completed"," "))&amp;(IF(C71&gt;0,", Internal Plaster upto "&amp;C71&amp;" Floor completed"," "))&amp;(IF(C72&gt;0,", External Plaster upto "&amp;C72&amp;" Floor completed"," "))&amp;(IF(C73&gt;0,", Flooring upto "&amp;C73&amp;" Floor completed"," "))&amp;(IF(C74&gt;0,", Painting upto "&amp;C74&amp;" Floor completed"," "))&amp;(IF(C75&gt;0,", Finishing upto "&amp;C75&amp;" Floor completed"," ")))</f>
        <v xml:space="preserve">Excavation work completed, Plinth work completed, RCC upto 5 Slab completed, Brickwork upto 4 Floor completed, Internal Plaster upto 3 Floor completed    </v>
      </c>
      <c r="J63" s="19"/>
      <c r="K63" s="20"/>
    </row>
    <row r="64" spans="1:14" x14ac:dyDescent="0.3">
      <c r="A64" s="48" t="s">
        <v>186</v>
      </c>
      <c r="B64" s="57">
        <v>0</v>
      </c>
      <c r="C64" s="57" t="s">
        <v>103</v>
      </c>
      <c r="D64" s="57">
        <v>1</v>
      </c>
      <c r="E64" s="57" t="s">
        <v>102</v>
      </c>
      <c r="F64" s="57">
        <v>0</v>
      </c>
      <c r="G64" s="57" t="s">
        <v>117</v>
      </c>
      <c r="H64" s="61">
        <f ca="1">--TRIM(RIGHT(SUBSTITUTE(LEFT(C63,_xlfn.AGGREGATE(16,6,FIND({0,1,2,3,4,5,6,7,8,9},C63,ROW(INDIRECT("1:"&amp;LEN(C63)))),1))," ",REPT(" ",LEN(C63))),LEN(C63)))</f>
        <v>4</v>
      </c>
      <c r="I64" s="18" t="s">
        <v>158</v>
      </c>
      <c r="J64" s="18"/>
      <c r="K64" s="21"/>
    </row>
    <row r="65" spans="1:11" ht="31.5" customHeight="1" x14ac:dyDescent="0.3">
      <c r="A65" s="103" t="s">
        <v>127</v>
      </c>
      <c r="B65" s="104"/>
      <c r="C65" s="93" t="str">
        <f ca="1">I63</f>
        <v xml:space="preserve">Excavation work completed, Plinth work completed, RCC upto 5 Slab completed, Brickwork upto 4 Floor completed, Internal Plaster upto 3 Floor completed    </v>
      </c>
      <c r="D65" s="93"/>
      <c r="E65" s="93"/>
      <c r="F65" s="93"/>
      <c r="G65" s="93"/>
      <c r="H65" s="94"/>
      <c r="I65" s="18" t="s">
        <v>146</v>
      </c>
      <c r="J65" s="18"/>
      <c r="K65" s="21"/>
    </row>
    <row r="66" spans="1:11" x14ac:dyDescent="0.3">
      <c r="A66" s="86" t="s">
        <v>54</v>
      </c>
      <c r="B66" s="87"/>
      <c r="C66" s="51" t="s">
        <v>183</v>
      </c>
      <c r="D66" s="51" t="s">
        <v>120</v>
      </c>
      <c r="E66" s="87" t="s">
        <v>122</v>
      </c>
      <c r="F66" s="87"/>
      <c r="G66" s="87" t="s">
        <v>121</v>
      </c>
      <c r="H66" s="105"/>
      <c r="I66" s="38" t="s">
        <v>185</v>
      </c>
      <c r="K66" s="22">
        <f ca="1">H64*25%</f>
        <v>1</v>
      </c>
    </row>
    <row r="67" spans="1:11" x14ac:dyDescent="0.3">
      <c r="A67" s="86" t="s">
        <v>173</v>
      </c>
      <c r="B67" s="87"/>
      <c r="C67" s="52">
        <f ca="1">K68</f>
        <v>4</v>
      </c>
      <c r="D67" s="77">
        <f ca="1">((100/H64)*C67)/100</f>
        <v>1</v>
      </c>
      <c r="E67" s="96">
        <f ca="1">(IF(C65=I64,"100%",IF(C65=I65,"100%",(((C68/H64*10)+(40/(D64+F64+H64)*C69)+(7.5/(H64)*C70)+(7.5/(H64)*C71)+(10/H64*C72)+(10/H64*C73)+(5/H64*C74)+(5/H64*C75)+(5/H64*C76))/100))))</f>
        <v>0.63124999999999998</v>
      </c>
      <c r="F67" s="96"/>
      <c r="G67" s="96">
        <f ca="1">((((C67/H64)*20)+((C68/H64)*25)+(30/(H64+F64+D64)*C69)+(5/H64*C70)+(5/H64*C71)+(5/H64*C72)+(5/H64*C73)+(0/H64*C74)+(0/H64*C75)+(5/H64*C76))/100)</f>
        <v>0.83750000000000002</v>
      </c>
      <c r="H67" s="98"/>
      <c r="I67" s="38" t="s">
        <v>140</v>
      </c>
      <c r="J67" s="23"/>
      <c r="K67" s="41">
        <f ca="1">H64*50%</f>
        <v>2</v>
      </c>
    </row>
    <row r="68" spans="1:11" x14ac:dyDescent="0.3">
      <c r="A68" s="86" t="s">
        <v>55</v>
      </c>
      <c r="B68" s="87"/>
      <c r="C68" s="53">
        <v>4</v>
      </c>
      <c r="D68" s="77">
        <f ca="1">((100/H64)*C68)/100</f>
        <v>1</v>
      </c>
      <c r="E68" s="96"/>
      <c r="F68" s="96"/>
      <c r="G68" s="96"/>
      <c r="H68" s="98"/>
      <c r="I68" s="38" t="s">
        <v>141</v>
      </c>
      <c r="J68" s="23"/>
      <c r="K68" s="41">
        <f ca="1">H64</f>
        <v>4</v>
      </c>
    </row>
    <row r="69" spans="1:11" ht="15.75" customHeight="1" x14ac:dyDescent="0.3">
      <c r="A69" s="86" t="s">
        <v>247</v>
      </c>
      <c r="B69" s="87"/>
      <c r="C69" s="53">
        <v>5</v>
      </c>
      <c r="D69" s="77">
        <f ca="1">((100/(D64+F64+H64))*C69)/100</f>
        <v>1</v>
      </c>
      <c r="E69" s="96"/>
      <c r="F69" s="96"/>
      <c r="G69" s="96"/>
      <c r="H69" s="98"/>
      <c r="I69" s="38" t="s">
        <v>142</v>
      </c>
      <c r="J69" s="23"/>
      <c r="K69" s="45">
        <f ca="1">(IF(B64=0,H64/4,(H64/(B64+4))))</f>
        <v>1</v>
      </c>
    </row>
    <row r="70" spans="1:11" ht="15.75" customHeight="1" x14ac:dyDescent="0.3">
      <c r="A70" s="86" t="s">
        <v>180</v>
      </c>
      <c r="B70" s="87" t="s">
        <v>174</v>
      </c>
      <c r="C70" s="52">
        <v>4</v>
      </c>
      <c r="D70" s="77">
        <f ca="1">((100/H64)*C70)/100</f>
        <v>1</v>
      </c>
      <c r="E70" s="96"/>
      <c r="F70" s="96"/>
      <c r="G70" s="96"/>
      <c r="H70" s="98"/>
      <c r="I70" s="38" t="s">
        <v>143</v>
      </c>
      <c r="J70" s="23"/>
      <c r="K70" s="45">
        <f ca="1">(IF(B64=0,H64/4+K69,(H64/(B64+4)+K69)))</f>
        <v>2</v>
      </c>
    </row>
    <row r="71" spans="1:11" ht="15.75" customHeight="1" x14ac:dyDescent="0.3">
      <c r="A71" s="86" t="s">
        <v>181</v>
      </c>
      <c r="B71" s="87" t="s">
        <v>174</v>
      </c>
      <c r="C71" s="52">
        <v>3</v>
      </c>
      <c r="D71" s="77">
        <f ca="1">((100/H64)*C71)/100</f>
        <v>0.75</v>
      </c>
      <c r="E71" s="96"/>
      <c r="F71" s="96"/>
      <c r="G71" s="96"/>
      <c r="H71" s="98"/>
      <c r="I71" s="38" t="s">
        <v>187</v>
      </c>
      <c r="J71" s="50"/>
      <c r="K71" s="45">
        <f>(IF(B64=0,0,(H64/(B64+4)+K70)))</f>
        <v>0</v>
      </c>
    </row>
    <row r="72" spans="1:11" ht="15" customHeight="1" x14ac:dyDescent="0.3">
      <c r="A72" s="86" t="s">
        <v>179</v>
      </c>
      <c r="B72" s="87" t="s">
        <v>176</v>
      </c>
      <c r="C72" s="52">
        <v>0</v>
      </c>
      <c r="D72" s="77">
        <f ca="1">((100/(H64))*C72)/100</f>
        <v>0</v>
      </c>
      <c r="E72" s="96"/>
      <c r="F72" s="96"/>
      <c r="G72" s="96"/>
      <c r="H72" s="98"/>
      <c r="I72" s="38" t="s">
        <v>188</v>
      </c>
      <c r="J72" s="50"/>
      <c r="K72" s="45">
        <f>(IF(B64&gt;1,(H64/(B64+4)+K71),0))</f>
        <v>0</v>
      </c>
    </row>
    <row r="73" spans="1:11" ht="15.75" customHeight="1" x14ac:dyDescent="0.3">
      <c r="A73" s="86" t="s">
        <v>175</v>
      </c>
      <c r="B73" s="87" t="s">
        <v>175</v>
      </c>
      <c r="C73" s="52">
        <v>0</v>
      </c>
      <c r="D73" s="77">
        <f ca="1">((100/H64)*C73)/100</f>
        <v>0</v>
      </c>
      <c r="E73" s="96"/>
      <c r="F73" s="96"/>
      <c r="G73" s="96"/>
      <c r="H73" s="98"/>
      <c r="I73" s="38" t="s">
        <v>189</v>
      </c>
      <c r="J73" s="44"/>
      <c r="K73" s="46">
        <f>(IF(B64&gt;2,(H64/(B64+4)+K72),0))</f>
        <v>0</v>
      </c>
    </row>
    <row r="74" spans="1:11" ht="15.75" customHeight="1" x14ac:dyDescent="0.3">
      <c r="A74" s="86" t="s">
        <v>182</v>
      </c>
      <c r="B74" s="87"/>
      <c r="C74" s="52">
        <v>0</v>
      </c>
      <c r="D74" s="77">
        <f ca="1">((100/H64)*C74)/100</f>
        <v>0</v>
      </c>
      <c r="E74" s="96"/>
      <c r="F74" s="96"/>
      <c r="G74" s="96"/>
      <c r="H74" s="98"/>
      <c r="I74" s="38" t="s">
        <v>190</v>
      </c>
      <c r="J74"/>
      <c r="K74" s="49">
        <f>(IF(B64&gt;3,(H64/(B64+4)+K73),0))</f>
        <v>0</v>
      </c>
    </row>
    <row r="75" spans="1:11" ht="15.75" customHeight="1" x14ac:dyDescent="0.3">
      <c r="A75" s="86" t="s">
        <v>177</v>
      </c>
      <c r="B75" s="87" t="s">
        <v>177</v>
      </c>
      <c r="C75" s="52">
        <v>0</v>
      </c>
      <c r="D75" s="77">
        <f ca="1">((100/(H64))*C75)/100</f>
        <v>0</v>
      </c>
      <c r="E75" s="96"/>
      <c r="F75" s="96"/>
      <c r="G75" s="96"/>
      <c r="H75" s="98"/>
      <c r="I75" s="38" t="s">
        <v>144</v>
      </c>
      <c r="J75" s="23"/>
      <c r="K75" s="45">
        <f ca="1">(IF(B64=0,H64/4+K70,(H64/(B64+4)+K70+MAX(0,K71-K70)+MAX(0,K72-K71)+MAX(0,K73-K72)+MAX(0,K74-K73))))</f>
        <v>3</v>
      </c>
    </row>
    <row r="76" spans="1:11" ht="16.2" thickBot="1" x14ac:dyDescent="0.35">
      <c r="A76" s="100" t="s">
        <v>178</v>
      </c>
      <c r="B76" s="101"/>
      <c r="C76" s="54">
        <v>0</v>
      </c>
      <c r="D76" s="78">
        <f ca="1">((100/(H64))*C76)/100</f>
        <v>0</v>
      </c>
      <c r="E76" s="97"/>
      <c r="F76" s="97"/>
      <c r="G76" s="97"/>
      <c r="H76" s="99"/>
      <c r="I76" s="42" t="s">
        <v>145</v>
      </c>
      <c r="J76" s="43"/>
      <c r="K76" s="47">
        <f ca="1">(IF(B64=0,H64/4+K75,(H64/(B64+4)+K75)))</f>
        <v>4</v>
      </c>
    </row>
    <row r="77" spans="1:11" ht="15.75" customHeight="1" x14ac:dyDescent="0.3">
      <c r="A77" s="81" t="s">
        <v>184</v>
      </c>
      <c r="B77" s="82"/>
      <c r="C77" s="83" t="str">
        <f>D56</f>
        <v>Wing E  = G + 1st to 4th Floor</v>
      </c>
      <c r="D77" s="84"/>
      <c r="E77" s="84"/>
      <c r="F77" s="84"/>
      <c r="G77" s="84"/>
      <c r="H77" s="85"/>
      <c r="I77" s="19" t="str">
        <f ca="1">(IF(C81=0,"Work not yet Started.",IF(D81=25%,"Piling work in process",IF(D81=50%,"Excavation work in process",IF(D81=100%,"Excavation work completed, ","0")))&amp;(IF(C82=0%,"",IF(C82=K83,"Footing work is process",IF(C82=K84,"Footing work Completed",IF(C82=K85,"1st Basement Completed",IF(C82=K86,"1st &amp; 2nd Basement Completed",IF(C82=K87,"1st to 3rd Basement Completed",IF(C82=K88,"1st to 4th Basement Completed",IF(C82=K89,"Plinth work is process",IF(C82=K90,"Plinth work completed","0")))))))))))&amp;(IF(C83&gt;0,", RCC upto "&amp;C83&amp;" Slab completed",""))&amp;(IF(C84&gt;0,", Brickwork upto "&amp;C84&amp;" Floor completed"," "))&amp;(IF(C85&gt;0,", Internal Plaster upto "&amp;C85&amp;" Floor completed"," "))&amp;(IF(C86&gt;0,", External Plaster upto "&amp;C86&amp;" Floor completed"," "))&amp;(IF(C87&gt;0,", Flooring upto "&amp;C87&amp;" Floor completed"," "))&amp;(IF(C88&gt;0,", Painting upto "&amp;C88&amp;" Floor completed"," "))&amp;(IF(C89&gt;0,", Finishing upto "&amp;C89&amp;" Floor completed"," ")))</f>
        <v xml:space="preserve">Excavation work completed, Plinth work completed, RCC upto 3 Slab completed      </v>
      </c>
      <c r="J77" s="19"/>
      <c r="K77" s="20"/>
    </row>
    <row r="78" spans="1:11" x14ac:dyDescent="0.3">
      <c r="A78" s="48" t="s">
        <v>186</v>
      </c>
      <c r="B78" s="57">
        <v>0</v>
      </c>
      <c r="C78" s="57" t="s">
        <v>103</v>
      </c>
      <c r="D78" s="57">
        <v>1</v>
      </c>
      <c r="E78" s="57" t="s">
        <v>102</v>
      </c>
      <c r="F78" s="57">
        <v>0</v>
      </c>
      <c r="G78" s="57" t="s">
        <v>117</v>
      </c>
      <c r="H78" s="61">
        <f ca="1">--TRIM(RIGHT(SUBSTITUTE(LEFT(C77,_xlfn.AGGREGATE(16,6,FIND({0,1,2,3,4,5,6,7,8,9},C77,ROW(INDIRECT("1:"&amp;LEN(C77)))),1))," ",REPT(" ",LEN(C77))),LEN(C77)))</f>
        <v>4</v>
      </c>
      <c r="I78" s="18" t="s">
        <v>158</v>
      </c>
      <c r="J78" s="18"/>
      <c r="K78" s="21"/>
    </row>
    <row r="79" spans="1:11" ht="32.25" customHeight="1" x14ac:dyDescent="0.3">
      <c r="A79" s="103" t="s">
        <v>127</v>
      </c>
      <c r="B79" s="104"/>
      <c r="C79" s="93" t="str">
        <f ca="1">I77</f>
        <v xml:space="preserve">Excavation work completed, Plinth work completed, RCC upto 3 Slab completed      </v>
      </c>
      <c r="D79" s="93"/>
      <c r="E79" s="93"/>
      <c r="F79" s="93"/>
      <c r="G79" s="93"/>
      <c r="H79" s="94"/>
      <c r="I79" s="18" t="s">
        <v>146</v>
      </c>
      <c r="J79" s="18"/>
      <c r="K79" s="21"/>
    </row>
    <row r="80" spans="1:11" x14ac:dyDescent="0.3">
      <c r="A80" s="86" t="s">
        <v>54</v>
      </c>
      <c r="B80" s="87"/>
      <c r="C80" s="51" t="s">
        <v>183</v>
      </c>
      <c r="D80" s="51" t="s">
        <v>120</v>
      </c>
      <c r="E80" s="87" t="s">
        <v>122</v>
      </c>
      <c r="F80" s="87"/>
      <c r="G80" s="87" t="s">
        <v>121</v>
      </c>
      <c r="H80" s="105"/>
      <c r="I80" s="38" t="s">
        <v>185</v>
      </c>
      <c r="K80" s="22">
        <f ca="1">H78*25%</f>
        <v>1</v>
      </c>
    </row>
    <row r="81" spans="1:11" x14ac:dyDescent="0.3">
      <c r="A81" s="86" t="s">
        <v>173</v>
      </c>
      <c r="B81" s="87"/>
      <c r="C81" s="52">
        <f ca="1">K82</f>
        <v>4</v>
      </c>
      <c r="D81" s="77">
        <f ca="1">((100/H78)*C81)/100</f>
        <v>1</v>
      </c>
      <c r="E81" s="96">
        <f ca="1">(IF(C79=I78,"100%",IF(C79=I79,"100%",(((C82/H78*10)+(40/(D78+F78+H78)*C83)+(7.5/(H78)*C84)+(7.5/(H78)*C85)+(10/H78*C86)+(10/H78*C87)+(5/H78*C88)+(5/H78*C89)+(5/H78*C90))/100))))</f>
        <v>0.34</v>
      </c>
      <c r="F81" s="96"/>
      <c r="G81" s="96">
        <f ca="1">((((C81/H78)*20)+((C82/H78)*25)+(30/(H78+F78+D78)*C83)+(5/H78*C84)+(5/H78*C85)+(5/H78*C86)+(5/H78*C87)+(0/H78*C88)+(0/H78*C89)+(5/H78*C90))/100)</f>
        <v>0.63</v>
      </c>
      <c r="H81" s="98"/>
      <c r="I81" s="38" t="s">
        <v>140</v>
      </c>
      <c r="J81" s="23"/>
      <c r="K81" s="41">
        <f ca="1">H78*50%</f>
        <v>2</v>
      </c>
    </row>
    <row r="82" spans="1:11" x14ac:dyDescent="0.3">
      <c r="A82" s="86" t="s">
        <v>55</v>
      </c>
      <c r="B82" s="87"/>
      <c r="C82" s="53">
        <f ca="1">K90</f>
        <v>4</v>
      </c>
      <c r="D82" s="77">
        <f ca="1">((100/H78)*C82)/100</f>
        <v>1</v>
      </c>
      <c r="E82" s="96"/>
      <c r="F82" s="96"/>
      <c r="G82" s="96"/>
      <c r="H82" s="98"/>
      <c r="I82" s="38" t="s">
        <v>141</v>
      </c>
      <c r="J82" s="23"/>
      <c r="K82" s="41">
        <f ca="1">H78</f>
        <v>4</v>
      </c>
    </row>
    <row r="83" spans="1:11" ht="15.75" customHeight="1" x14ac:dyDescent="0.3">
      <c r="A83" s="86" t="s">
        <v>247</v>
      </c>
      <c r="B83" s="87"/>
      <c r="C83" s="53">
        <v>3</v>
      </c>
      <c r="D83" s="77">
        <f ca="1">((100/(D78+F78+H78))*C83)/100</f>
        <v>0.6</v>
      </c>
      <c r="E83" s="96"/>
      <c r="F83" s="96"/>
      <c r="G83" s="96"/>
      <c r="H83" s="98"/>
      <c r="I83" s="38" t="s">
        <v>142</v>
      </c>
      <c r="J83" s="23"/>
      <c r="K83" s="45">
        <f ca="1">(IF(B78=0,H78/4,(H78/(B78+4))))</f>
        <v>1</v>
      </c>
    </row>
    <row r="84" spans="1:11" ht="15.75" customHeight="1" x14ac:dyDescent="0.3">
      <c r="A84" s="86" t="s">
        <v>180</v>
      </c>
      <c r="B84" s="87" t="s">
        <v>174</v>
      </c>
      <c r="C84" s="52">
        <v>0</v>
      </c>
      <c r="D84" s="77">
        <f ca="1">((100/H78)*C84)/100</f>
        <v>0</v>
      </c>
      <c r="E84" s="96"/>
      <c r="F84" s="96"/>
      <c r="G84" s="96"/>
      <c r="H84" s="98"/>
      <c r="I84" s="38" t="s">
        <v>143</v>
      </c>
      <c r="J84" s="23"/>
      <c r="K84" s="45">
        <f ca="1">(IF(B78=0,H78/4+K83,(H78/(B78+4)+K83)))</f>
        <v>2</v>
      </c>
    </row>
    <row r="85" spans="1:11" ht="15.75" customHeight="1" x14ac:dyDescent="0.3">
      <c r="A85" s="86" t="s">
        <v>181</v>
      </c>
      <c r="B85" s="87" t="s">
        <v>174</v>
      </c>
      <c r="C85" s="52">
        <v>0</v>
      </c>
      <c r="D85" s="77">
        <f ca="1">((100/H78)*C85)/100</f>
        <v>0</v>
      </c>
      <c r="E85" s="96"/>
      <c r="F85" s="96"/>
      <c r="G85" s="96"/>
      <c r="H85" s="98"/>
      <c r="I85" s="38" t="s">
        <v>187</v>
      </c>
      <c r="J85" s="50"/>
      <c r="K85" s="45">
        <f>(IF(B78=0,0,(H78/(B78+4)+K84)))</f>
        <v>0</v>
      </c>
    </row>
    <row r="86" spans="1:11" ht="15" customHeight="1" x14ac:dyDescent="0.3">
      <c r="A86" s="86" t="s">
        <v>179</v>
      </c>
      <c r="B86" s="87" t="s">
        <v>176</v>
      </c>
      <c r="C86" s="52">
        <v>0</v>
      </c>
      <c r="D86" s="77">
        <f ca="1">((100/(H78))*C86)/100</f>
        <v>0</v>
      </c>
      <c r="E86" s="96"/>
      <c r="F86" s="96"/>
      <c r="G86" s="96"/>
      <c r="H86" s="98"/>
      <c r="I86" s="38" t="s">
        <v>188</v>
      </c>
      <c r="J86" s="50"/>
      <c r="K86" s="45">
        <f>(IF(B78&gt;1,(H78/(B78+4)+K85),0))</f>
        <v>0</v>
      </c>
    </row>
    <row r="87" spans="1:11" ht="15.75" customHeight="1" x14ac:dyDescent="0.3">
      <c r="A87" s="86" t="s">
        <v>175</v>
      </c>
      <c r="B87" s="87" t="s">
        <v>175</v>
      </c>
      <c r="C87" s="52">
        <v>0</v>
      </c>
      <c r="D87" s="77">
        <f ca="1">((100/H78)*C87)/100</f>
        <v>0</v>
      </c>
      <c r="E87" s="96"/>
      <c r="F87" s="96"/>
      <c r="G87" s="96"/>
      <c r="H87" s="98"/>
      <c r="I87" s="38" t="s">
        <v>189</v>
      </c>
      <c r="J87" s="44"/>
      <c r="K87" s="46">
        <f>(IF(B78&gt;2,(H78/(B78+4)+K86),0))</f>
        <v>0</v>
      </c>
    </row>
    <row r="88" spans="1:11" ht="15.75" customHeight="1" x14ac:dyDescent="0.3">
      <c r="A88" s="86" t="s">
        <v>182</v>
      </c>
      <c r="B88" s="87"/>
      <c r="C88" s="52">
        <v>0</v>
      </c>
      <c r="D88" s="77">
        <f ca="1">((100/H78)*C88)/100</f>
        <v>0</v>
      </c>
      <c r="E88" s="96"/>
      <c r="F88" s="96"/>
      <c r="G88" s="96"/>
      <c r="H88" s="98"/>
      <c r="I88" s="38" t="s">
        <v>190</v>
      </c>
      <c r="J88"/>
      <c r="K88" s="49">
        <f>(IF(B78&gt;3,(H78/(B78+4)+K87),0))</f>
        <v>0</v>
      </c>
    </row>
    <row r="89" spans="1:11" ht="15.75" customHeight="1" x14ac:dyDescent="0.3">
      <c r="A89" s="86" t="s">
        <v>177</v>
      </c>
      <c r="B89" s="87" t="s">
        <v>177</v>
      </c>
      <c r="C89" s="52">
        <v>0</v>
      </c>
      <c r="D89" s="77">
        <f ca="1">((100/(H78))*C89)/100</f>
        <v>0</v>
      </c>
      <c r="E89" s="96"/>
      <c r="F89" s="96"/>
      <c r="G89" s="96"/>
      <c r="H89" s="98"/>
      <c r="I89" s="38" t="s">
        <v>144</v>
      </c>
      <c r="J89" s="23"/>
      <c r="K89" s="45">
        <f ca="1">(IF(B78=0,H78/4+K84,(H78/(B78+4)+K84+MAX(0,K85-K84)+MAX(0,K86-K85)+MAX(0,K87-K86)+MAX(0,K88-K87))))</f>
        <v>3</v>
      </c>
    </row>
    <row r="90" spans="1:11" ht="16.2" thickBot="1" x14ac:dyDescent="0.35">
      <c r="A90" s="100" t="s">
        <v>178</v>
      </c>
      <c r="B90" s="101"/>
      <c r="C90" s="54">
        <v>0</v>
      </c>
      <c r="D90" s="78">
        <f ca="1">((100/(H78))*C90)/100</f>
        <v>0</v>
      </c>
      <c r="E90" s="97"/>
      <c r="F90" s="97"/>
      <c r="G90" s="97"/>
      <c r="H90" s="99"/>
      <c r="I90" s="42" t="s">
        <v>145</v>
      </c>
      <c r="J90" s="43"/>
      <c r="K90" s="47">
        <f ca="1">(IF(B78=0,H78/4+K89,(H78/(B78+4)+K89)))</f>
        <v>4</v>
      </c>
    </row>
    <row r="91" spans="1:11" ht="15.75" customHeight="1" x14ac:dyDescent="0.3">
      <c r="A91" s="81" t="s">
        <v>184</v>
      </c>
      <c r="B91" s="82"/>
      <c r="C91" s="83" t="str">
        <f>D57</f>
        <v>Wing L  = G + 1st to 4th Floor</v>
      </c>
      <c r="D91" s="84"/>
      <c r="E91" s="84"/>
      <c r="F91" s="84"/>
      <c r="G91" s="84"/>
      <c r="H91" s="85"/>
      <c r="I91" s="19" t="str">
        <f ca="1">(IF(C95=0,"Work not yet Started.",IF(D95=25%,"Piling work in process",IF(D95=50%,"Excavation work in process",IF(D95=100%,"Excavation work completed, ","0")))&amp;(IF(C96=0%,"",IF(C96=K97,"Footing work is process",IF(C96=K98,"Footing work Completed",IF(C96=K99,"1st Basement Completed",IF(C96=K100,"1st &amp; 2nd Basement Completed",IF(C96=K101,"1st to 3rd Basement Completed",IF(C96=K102,"1st to 4th Basement Completed",IF(C96=K103,"Plinth work is process",IF(C96=K104,"Plinth work completed","0")))))))))))&amp;(IF(C97&gt;0,", RCC upto "&amp;C97&amp;" Slab completed",""))&amp;(IF(C98&gt;0,", Brickwork upto "&amp;C98&amp;" Floor completed"," "))&amp;(IF(C99&gt;0,", Internal Plaster upto "&amp;C99&amp;" Floor completed"," "))&amp;(IF(C100&gt;0,", External Plaster upto "&amp;C100&amp;" Floor completed"," "))&amp;(IF(C101&gt;0,", Flooring upto "&amp;C101&amp;" Floor completed"," "))&amp;(IF(C102&gt;0,", Painting upto "&amp;C102&amp;" Floor completed"," "))&amp;(IF(C103&gt;0,", Finishing upto "&amp;C103&amp;" Floor completed"," ")))</f>
        <v xml:space="preserve">Excavation work completed, Plinth work completed, RCC upto 5 Slab completed, Brickwork upto 4 Floor completed, Internal Plaster upto 4 Floor completed, External Plaster upto 3 Floor completed   </v>
      </c>
      <c r="J91" s="19"/>
      <c r="K91" s="20"/>
    </row>
    <row r="92" spans="1:11" x14ac:dyDescent="0.3">
      <c r="A92" s="48" t="s">
        <v>186</v>
      </c>
      <c r="B92" s="57">
        <v>0</v>
      </c>
      <c r="C92" s="57" t="s">
        <v>103</v>
      </c>
      <c r="D92" s="57">
        <v>1</v>
      </c>
      <c r="E92" s="57" t="s">
        <v>102</v>
      </c>
      <c r="F92" s="57">
        <v>0</v>
      </c>
      <c r="G92" s="57" t="s">
        <v>117</v>
      </c>
      <c r="H92" s="61">
        <f ca="1">--TRIM(RIGHT(SUBSTITUTE(LEFT(C91,_xlfn.AGGREGATE(16,6,FIND({0,1,2,3,4,5,6,7,8,9},C91,ROW(INDIRECT("1:"&amp;LEN(C91)))),1))," ",REPT(" ",LEN(C91))),LEN(C91)))</f>
        <v>4</v>
      </c>
      <c r="I92" s="18" t="s">
        <v>158</v>
      </c>
      <c r="J92" s="18"/>
      <c r="K92" s="21"/>
    </row>
    <row r="93" spans="1:11" ht="48.75" customHeight="1" x14ac:dyDescent="0.3">
      <c r="A93" s="103" t="s">
        <v>127</v>
      </c>
      <c r="B93" s="104"/>
      <c r="C93" s="93" t="str">
        <f ca="1">I91</f>
        <v xml:space="preserve">Excavation work completed, Plinth work completed, RCC upto 5 Slab completed, Brickwork upto 4 Floor completed, Internal Plaster upto 4 Floor completed, External Plaster upto 3 Floor completed   </v>
      </c>
      <c r="D93" s="93"/>
      <c r="E93" s="93"/>
      <c r="F93" s="93"/>
      <c r="G93" s="93"/>
      <c r="H93" s="94"/>
      <c r="I93" s="18" t="s">
        <v>146</v>
      </c>
      <c r="J93" s="18"/>
      <c r="K93" s="21"/>
    </row>
    <row r="94" spans="1:11" x14ac:dyDescent="0.3">
      <c r="A94" s="86" t="s">
        <v>54</v>
      </c>
      <c r="B94" s="87"/>
      <c r="C94" s="51" t="s">
        <v>183</v>
      </c>
      <c r="D94" s="51" t="s">
        <v>120</v>
      </c>
      <c r="E94" s="87" t="s">
        <v>122</v>
      </c>
      <c r="F94" s="87"/>
      <c r="G94" s="87" t="s">
        <v>121</v>
      </c>
      <c r="H94" s="105"/>
      <c r="I94" s="38" t="s">
        <v>185</v>
      </c>
      <c r="K94" s="22">
        <f ca="1">H92*25%</f>
        <v>1</v>
      </c>
    </row>
    <row r="95" spans="1:11" x14ac:dyDescent="0.3">
      <c r="A95" s="86" t="s">
        <v>173</v>
      </c>
      <c r="B95" s="87"/>
      <c r="C95" s="52">
        <f ca="1">K96</f>
        <v>4</v>
      </c>
      <c r="D95" s="77">
        <f ca="1">((100/H92)*C95)/100</f>
        <v>1</v>
      </c>
      <c r="E95" s="96">
        <f ca="1">(IF(C93=I92,"100%",IF(C93=I93,"100%",(((C96/H92*10)+(40/(D92+F92+H92)*C97)+(7.5/(H92)*C98)+(7.5/(H92)*C99)+(10/H92*C100)+(10/H92*C101)+(5/H92*C102)+(5/H92*C103)+(5/H92*C104))/100))))</f>
        <v>0.72499999999999998</v>
      </c>
      <c r="F95" s="96"/>
      <c r="G95" s="96">
        <f ca="1">((((C95/H92)*20)+((C96/H92)*25)+(30/(H92+F92+D92)*C97)+(5/H92*C98)+(5/H92*C99)+(5/H92*C100)+(5/H92*C101)+(0/H92*C102)+(0/H92*C103)+(5/H92*C104))/100)</f>
        <v>0.88749999999999996</v>
      </c>
      <c r="H95" s="98"/>
      <c r="I95" s="38" t="s">
        <v>140</v>
      </c>
      <c r="J95" s="23"/>
      <c r="K95" s="41">
        <f ca="1">H92*50%</f>
        <v>2</v>
      </c>
    </row>
    <row r="96" spans="1:11" x14ac:dyDescent="0.3">
      <c r="A96" s="86" t="s">
        <v>55</v>
      </c>
      <c r="B96" s="87"/>
      <c r="C96" s="53">
        <f ca="1">K104</f>
        <v>4</v>
      </c>
      <c r="D96" s="77">
        <f ca="1">((100/H92)*C96)/100</f>
        <v>1</v>
      </c>
      <c r="E96" s="96"/>
      <c r="F96" s="96"/>
      <c r="G96" s="96"/>
      <c r="H96" s="98"/>
      <c r="I96" s="38" t="s">
        <v>141</v>
      </c>
      <c r="J96" s="23"/>
      <c r="K96" s="41">
        <f ca="1">H92</f>
        <v>4</v>
      </c>
    </row>
    <row r="97" spans="1:11" ht="15.75" customHeight="1" x14ac:dyDescent="0.3">
      <c r="A97" s="86" t="s">
        <v>247</v>
      </c>
      <c r="B97" s="87"/>
      <c r="C97" s="53">
        <v>5</v>
      </c>
      <c r="D97" s="77">
        <f ca="1">((100/(D92+F92+H92))*C97)/100</f>
        <v>1</v>
      </c>
      <c r="E97" s="96"/>
      <c r="F97" s="96"/>
      <c r="G97" s="96"/>
      <c r="H97" s="98"/>
      <c r="I97" s="38" t="s">
        <v>142</v>
      </c>
      <c r="J97" s="23"/>
      <c r="K97" s="45">
        <f ca="1">(IF(B92=0,H92/4,(H92/(B92+4))))</f>
        <v>1</v>
      </c>
    </row>
    <row r="98" spans="1:11" ht="15.75" customHeight="1" x14ac:dyDescent="0.3">
      <c r="A98" s="86" t="s">
        <v>180</v>
      </c>
      <c r="B98" s="87" t="s">
        <v>174</v>
      </c>
      <c r="C98" s="52">
        <v>4</v>
      </c>
      <c r="D98" s="77">
        <f ca="1">((100/H92)*C98)/100</f>
        <v>1</v>
      </c>
      <c r="E98" s="96"/>
      <c r="F98" s="96"/>
      <c r="G98" s="96"/>
      <c r="H98" s="98"/>
      <c r="I98" s="38" t="s">
        <v>143</v>
      </c>
      <c r="J98" s="23"/>
      <c r="K98" s="45">
        <f ca="1">(IF(B92=0,H92/4+K97,(H92/(B92+4)+K97)))</f>
        <v>2</v>
      </c>
    </row>
    <row r="99" spans="1:11" ht="15.75" customHeight="1" x14ac:dyDescent="0.3">
      <c r="A99" s="86" t="s">
        <v>181</v>
      </c>
      <c r="B99" s="87" t="s">
        <v>174</v>
      </c>
      <c r="C99" s="52">
        <v>4</v>
      </c>
      <c r="D99" s="77">
        <f ca="1">((100/H92)*C99)/100</f>
        <v>1</v>
      </c>
      <c r="E99" s="96"/>
      <c r="F99" s="96"/>
      <c r="G99" s="96"/>
      <c r="H99" s="98"/>
      <c r="I99" s="38" t="s">
        <v>187</v>
      </c>
      <c r="J99" s="50"/>
      <c r="K99" s="45">
        <f>(IF(B92=0,0,(H92/(B92+4)+K98)))</f>
        <v>0</v>
      </c>
    </row>
    <row r="100" spans="1:11" ht="15" customHeight="1" x14ac:dyDescent="0.3">
      <c r="A100" s="86" t="s">
        <v>179</v>
      </c>
      <c r="B100" s="87" t="s">
        <v>176</v>
      </c>
      <c r="C100" s="52">
        <v>3</v>
      </c>
      <c r="D100" s="77">
        <f ca="1">((100/(H92))*C100)/100</f>
        <v>0.75</v>
      </c>
      <c r="E100" s="96"/>
      <c r="F100" s="96"/>
      <c r="G100" s="96"/>
      <c r="H100" s="98"/>
      <c r="I100" s="38" t="s">
        <v>188</v>
      </c>
      <c r="J100" s="50"/>
      <c r="K100" s="45">
        <f>(IF(B92&gt;1,(H92/(B92+4)+K99),0))</f>
        <v>0</v>
      </c>
    </row>
    <row r="101" spans="1:11" ht="15.75" customHeight="1" x14ac:dyDescent="0.3">
      <c r="A101" s="86" t="s">
        <v>175</v>
      </c>
      <c r="B101" s="87" t="s">
        <v>175</v>
      </c>
      <c r="C101" s="52">
        <v>0</v>
      </c>
      <c r="D101" s="77">
        <f ca="1">((100/H92)*C101)/100</f>
        <v>0</v>
      </c>
      <c r="E101" s="96"/>
      <c r="F101" s="96"/>
      <c r="G101" s="96"/>
      <c r="H101" s="98"/>
      <c r="I101" s="38" t="s">
        <v>189</v>
      </c>
      <c r="J101" s="44"/>
      <c r="K101" s="46">
        <f>(IF(B92&gt;2,(H92/(B92+4)+K100),0))</f>
        <v>0</v>
      </c>
    </row>
    <row r="102" spans="1:11" ht="15.75" customHeight="1" x14ac:dyDescent="0.3">
      <c r="A102" s="86" t="s">
        <v>182</v>
      </c>
      <c r="B102" s="87"/>
      <c r="C102" s="52">
        <v>0</v>
      </c>
      <c r="D102" s="77">
        <f ca="1">((100/H92)*C102)/100</f>
        <v>0</v>
      </c>
      <c r="E102" s="96"/>
      <c r="F102" s="96"/>
      <c r="G102" s="96"/>
      <c r="H102" s="98"/>
      <c r="I102" s="38" t="s">
        <v>190</v>
      </c>
      <c r="J102"/>
      <c r="K102" s="49">
        <f>(IF(B92&gt;3,(H92/(B92+4)+K101),0))</f>
        <v>0</v>
      </c>
    </row>
    <row r="103" spans="1:11" ht="15.75" customHeight="1" x14ac:dyDescent="0.3">
      <c r="A103" s="86" t="s">
        <v>177</v>
      </c>
      <c r="B103" s="87" t="s">
        <v>177</v>
      </c>
      <c r="C103" s="52">
        <v>0</v>
      </c>
      <c r="D103" s="77">
        <f ca="1">((100/(H92))*C103)/100</f>
        <v>0</v>
      </c>
      <c r="E103" s="96"/>
      <c r="F103" s="96"/>
      <c r="G103" s="96"/>
      <c r="H103" s="98"/>
      <c r="I103" s="38" t="s">
        <v>144</v>
      </c>
      <c r="J103" s="23"/>
      <c r="K103" s="45">
        <f ca="1">(IF(B92=0,H92/4+K98,(H92/(B92+4)+K98+MAX(0,K99-K98)+MAX(0,K100-K99)+MAX(0,K101-K100)+MAX(0,K102-K101))))</f>
        <v>3</v>
      </c>
    </row>
    <row r="104" spans="1:11" ht="16.2" thickBot="1" x14ac:dyDescent="0.35">
      <c r="A104" s="100" t="s">
        <v>178</v>
      </c>
      <c r="B104" s="101"/>
      <c r="C104" s="54">
        <v>0</v>
      </c>
      <c r="D104" s="78">
        <f ca="1">((100/(H92))*C104)/100</f>
        <v>0</v>
      </c>
      <c r="E104" s="97"/>
      <c r="F104" s="97"/>
      <c r="G104" s="97"/>
      <c r="H104" s="99"/>
      <c r="I104" s="42" t="s">
        <v>145</v>
      </c>
      <c r="J104" s="43"/>
      <c r="K104" s="47">
        <f ca="1">(IF(B92=0,H92/4+K103,(H92/(B92+4)+K103)))</f>
        <v>4</v>
      </c>
    </row>
    <row r="105" spans="1:11" ht="15.75" hidden="1" customHeight="1" x14ac:dyDescent="0.3">
      <c r="A105" s="81" t="s">
        <v>184</v>
      </c>
      <c r="B105" s="82"/>
      <c r="C105" s="83" t="str">
        <f>D58</f>
        <v>Wing H, I, J &amp; K  = G + 1st to 4th Floor</v>
      </c>
      <c r="D105" s="84"/>
      <c r="E105" s="84"/>
      <c r="F105" s="84"/>
      <c r="G105" s="84"/>
      <c r="H105" s="85"/>
      <c r="I105" s="19" t="str">
        <f>(IF(C109=0,"Work not yet Started.",IF(D109=25%,"Piling work in process",IF(D109=50%,"Excavation work in process",IF(D109=100%,"Excavation work completed, ","0")))&amp;(IF(C110=0%,"",IF(C110=K111,"Footing work is process",IF(C110=K112,"Footing work Completed",IF(C110=K113,"1st Basement Completed",IF(C110=K114,"1st &amp; 2nd Basement Completed",IF(C110=K115,"1st to 3rd Basement Completed",IF(C110=K116,"1st to 4th Basement Completed",IF(C110=K117,"Plinth work is process",IF(C110=K118,"Plinth work completed","0")))))))))))&amp;(IF(C111&gt;0,", RCC upto "&amp;C111&amp;" Slab completed",""))&amp;(IF(C112&gt;0,", Brickwork upto "&amp;C112&amp;" Floor completed"," "))&amp;(IF(C113&gt;0,", Internal Plaster upto "&amp;C113&amp;" Floor completed"," "))&amp;(IF(C114&gt;0,", External Plaster upto "&amp;C114&amp;" Floor completed"," "))&amp;(IF(C115&gt;0,", Flooring upto "&amp;C115&amp;" Floor completed"," "))&amp;(IF(C116&gt;0,", Painting upto "&amp;C116&amp;" Floor completed"," "))&amp;(IF(C117&gt;0,", Finishing upto "&amp;C117&amp;" Floor completed"," ")))</f>
        <v xml:space="preserve">Work not yet Started.      </v>
      </c>
      <c r="J105" s="19"/>
      <c r="K105" s="20"/>
    </row>
    <row r="106" spans="1:11" hidden="1" x14ac:dyDescent="0.3">
      <c r="A106" s="48" t="s">
        <v>186</v>
      </c>
      <c r="B106" s="57">
        <v>0</v>
      </c>
      <c r="C106" s="57" t="s">
        <v>103</v>
      </c>
      <c r="D106" s="57">
        <v>1</v>
      </c>
      <c r="E106" s="57" t="s">
        <v>102</v>
      </c>
      <c r="F106" s="57">
        <v>0</v>
      </c>
      <c r="G106" s="57" t="s">
        <v>117</v>
      </c>
      <c r="H106" s="61">
        <f ca="1">--TRIM(RIGHT(SUBSTITUTE(LEFT(C105,_xlfn.AGGREGATE(16,6,FIND({0,1,2,3,4,5,6,7,8,9},C105,ROW(INDIRECT("1:"&amp;LEN(C105)))),1))," ",REPT(" ",LEN(C105))),LEN(C105)))</f>
        <v>4</v>
      </c>
      <c r="I106" s="18" t="s">
        <v>158</v>
      </c>
      <c r="J106" s="18"/>
      <c r="K106" s="21"/>
    </row>
    <row r="107" spans="1:11" ht="15.75" hidden="1" customHeight="1" x14ac:dyDescent="0.3">
      <c r="A107" s="103" t="s">
        <v>127</v>
      </c>
      <c r="B107" s="104"/>
      <c r="C107" s="93" t="str">
        <f>I105</f>
        <v xml:space="preserve">Work not yet Started.      </v>
      </c>
      <c r="D107" s="93"/>
      <c r="E107" s="93"/>
      <c r="F107" s="93"/>
      <c r="G107" s="93"/>
      <c r="H107" s="94"/>
      <c r="I107" s="18" t="s">
        <v>146</v>
      </c>
      <c r="J107" s="18"/>
      <c r="K107" s="21"/>
    </row>
    <row r="108" spans="1:11" hidden="1" x14ac:dyDescent="0.3">
      <c r="A108" s="86" t="s">
        <v>54</v>
      </c>
      <c r="B108" s="87"/>
      <c r="C108" s="51" t="s">
        <v>183</v>
      </c>
      <c r="D108" s="51" t="s">
        <v>120</v>
      </c>
      <c r="E108" s="87" t="s">
        <v>122</v>
      </c>
      <c r="F108" s="87"/>
      <c r="G108" s="87" t="s">
        <v>121</v>
      </c>
      <c r="H108" s="105"/>
      <c r="I108" s="38" t="s">
        <v>185</v>
      </c>
      <c r="K108" s="22">
        <f ca="1">H106*25%</f>
        <v>1</v>
      </c>
    </row>
    <row r="109" spans="1:11" hidden="1" x14ac:dyDescent="0.3">
      <c r="A109" s="86" t="s">
        <v>173</v>
      </c>
      <c r="B109" s="87"/>
      <c r="C109" s="52">
        <v>0</v>
      </c>
      <c r="D109" s="77">
        <f ca="1">((100/H106)*C109)/100</f>
        <v>0</v>
      </c>
      <c r="E109" s="96">
        <f ca="1">(IF(C107=I106,"100%",IF(C107=I107,"100%",(((C110/H106*10)+(40/(D106+F106+H106)*C111)+(7.5/(H106)*C112)+(7.5/(H106)*C113)+(10/H106*C114)+(10/H106*C115)+(5/H106*C116)+(5/H106*C117)+(5/H106*C118))/100))))</f>
        <v>0</v>
      </c>
      <c r="F109" s="96"/>
      <c r="G109" s="96">
        <f ca="1">((((C109/H106)*20)+((C110/H106)*25)+(30/(H106+F106+D106)*C111)+(5/H106*C112)+(5/H106*C113)+(5/H106*C114)+(5/H106*C115)+(0/H106*C116)+(0/H106*C117)+(5/H106*C118))/100)</f>
        <v>0</v>
      </c>
      <c r="H109" s="98"/>
      <c r="I109" s="38" t="s">
        <v>140</v>
      </c>
      <c r="J109" s="23"/>
      <c r="K109" s="41">
        <f ca="1">H106*50%</f>
        <v>2</v>
      </c>
    </row>
    <row r="110" spans="1:11" hidden="1" x14ac:dyDescent="0.3">
      <c r="A110" s="86" t="s">
        <v>55</v>
      </c>
      <c r="B110" s="87"/>
      <c r="C110" s="53">
        <v>0</v>
      </c>
      <c r="D110" s="77">
        <f ca="1">((100/H106)*C110)/100</f>
        <v>0</v>
      </c>
      <c r="E110" s="96"/>
      <c r="F110" s="96"/>
      <c r="G110" s="96"/>
      <c r="H110" s="98"/>
      <c r="I110" s="38" t="s">
        <v>141</v>
      </c>
      <c r="J110" s="23"/>
      <c r="K110" s="41">
        <f ca="1">H106</f>
        <v>4</v>
      </c>
    </row>
    <row r="111" spans="1:11" ht="15.75" hidden="1" customHeight="1" x14ac:dyDescent="0.3">
      <c r="A111" s="86" t="s">
        <v>247</v>
      </c>
      <c r="B111" s="87"/>
      <c r="C111" s="53">
        <v>0</v>
      </c>
      <c r="D111" s="77">
        <f ca="1">((100/(D106+F106+H106))*C111)/100</f>
        <v>0</v>
      </c>
      <c r="E111" s="96"/>
      <c r="F111" s="96"/>
      <c r="G111" s="96"/>
      <c r="H111" s="98"/>
      <c r="I111" s="38" t="s">
        <v>142</v>
      </c>
      <c r="J111" s="23"/>
      <c r="K111" s="45">
        <f ca="1">(IF(B106=0,H106/4,(H106/(B106+4))))</f>
        <v>1</v>
      </c>
    </row>
    <row r="112" spans="1:11" ht="15.75" hidden="1" customHeight="1" x14ac:dyDescent="0.3">
      <c r="A112" s="86" t="s">
        <v>180</v>
      </c>
      <c r="B112" s="87" t="s">
        <v>174</v>
      </c>
      <c r="C112" s="52">
        <v>0</v>
      </c>
      <c r="D112" s="77">
        <f ca="1">((100/H106)*C112)/100</f>
        <v>0</v>
      </c>
      <c r="E112" s="96"/>
      <c r="F112" s="96"/>
      <c r="G112" s="96"/>
      <c r="H112" s="98"/>
      <c r="I112" s="38" t="s">
        <v>143</v>
      </c>
      <c r="J112" s="23"/>
      <c r="K112" s="45">
        <f ca="1">(IF(B106=0,H106/4+K111,(H106/(B106+4)+K111)))</f>
        <v>2</v>
      </c>
    </row>
    <row r="113" spans="1:14" ht="15.75" hidden="1" customHeight="1" x14ac:dyDescent="0.3">
      <c r="A113" s="86" t="s">
        <v>181</v>
      </c>
      <c r="B113" s="87" t="s">
        <v>174</v>
      </c>
      <c r="C113" s="52">
        <v>0</v>
      </c>
      <c r="D113" s="77">
        <f ca="1">((100/H106)*C113)/100</f>
        <v>0</v>
      </c>
      <c r="E113" s="96"/>
      <c r="F113" s="96"/>
      <c r="G113" s="96"/>
      <c r="H113" s="98"/>
      <c r="I113" s="38" t="s">
        <v>187</v>
      </c>
      <c r="J113" s="50"/>
      <c r="K113" s="45">
        <f>(IF(B106=0,0,(H106/(B106+4)+K112)))</f>
        <v>0</v>
      </c>
    </row>
    <row r="114" spans="1:14" ht="15" hidden="1" customHeight="1" x14ac:dyDescent="0.3">
      <c r="A114" s="86" t="s">
        <v>179</v>
      </c>
      <c r="B114" s="87" t="s">
        <v>176</v>
      </c>
      <c r="C114" s="52">
        <v>0</v>
      </c>
      <c r="D114" s="77">
        <f ca="1">((100/(H106))*C114)/100</f>
        <v>0</v>
      </c>
      <c r="E114" s="96"/>
      <c r="F114" s="96"/>
      <c r="G114" s="96"/>
      <c r="H114" s="98"/>
      <c r="I114" s="38" t="s">
        <v>188</v>
      </c>
      <c r="J114" s="50"/>
      <c r="K114" s="45">
        <f>(IF(B106&gt;1,(H106/(B106+4)+K113),0))</f>
        <v>0</v>
      </c>
    </row>
    <row r="115" spans="1:14" ht="15.75" hidden="1" customHeight="1" x14ac:dyDescent="0.3">
      <c r="A115" s="86" t="s">
        <v>175</v>
      </c>
      <c r="B115" s="87" t="s">
        <v>175</v>
      </c>
      <c r="C115" s="52">
        <v>0</v>
      </c>
      <c r="D115" s="77">
        <f ca="1">((100/H106)*C115)/100</f>
        <v>0</v>
      </c>
      <c r="E115" s="96"/>
      <c r="F115" s="96"/>
      <c r="G115" s="96"/>
      <c r="H115" s="98"/>
      <c r="I115" s="38" t="s">
        <v>189</v>
      </c>
      <c r="J115" s="44"/>
      <c r="K115" s="46">
        <f>(IF(B106&gt;2,(H106/(B106+4)+K114),0))</f>
        <v>0</v>
      </c>
    </row>
    <row r="116" spans="1:14" ht="15.75" hidden="1" customHeight="1" x14ac:dyDescent="0.3">
      <c r="A116" s="86" t="s">
        <v>182</v>
      </c>
      <c r="B116" s="87"/>
      <c r="C116" s="52">
        <v>0</v>
      </c>
      <c r="D116" s="77">
        <f ca="1">((100/H106)*C116)/100</f>
        <v>0</v>
      </c>
      <c r="E116" s="96"/>
      <c r="F116" s="96"/>
      <c r="G116" s="96"/>
      <c r="H116" s="98"/>
      <c r="I116" s="38" t="s">
        <v>190</v>
      </c>
      <c r="J116"/>
      <c r="K116" s="49">
        <f>(IF(B106&gt;3,(H106/(B106+4)+K115),0))</f>
        <v>0</v>
      </c>
    </row>
    <row r="117" spans="1:14" ht="15.75" hidden="1" customHeight="1" x14ac:dyDescent="0.3">
      <c r="A117" s="86" t="s">
        <v>177</v>
      </c>
      <c r="B117" s="87" t="s">
        <v>177</v>
      </c>
      <c r="C117" s="52">
        <v>0</v>
      </c>
      <c r="D117" s="77">
        <f ca="1">((100/(H106))*C117)/100</f>
        <v>0</v>
      </c>
      <c r="E117" s="96"/>
      <c r="F117" s="96"/>
      <c r="G117" s="96"/>
      <c r="H117" s="98"/>
      <c r="I117" s="38" t="s">
        <v>144</v>
      </c>
      <c r="J117" s="23"/>
      <c r="K117" s="45">
        <f ca="1">(IF(B106=0,H106/4+K112,(H106/(B106+4)+K112+MAX(0,K113-K112)+MAX(0,K114-K113)+MAX(0,K115-K114)+MAX(0,K116-K115))))</f>
        <v>3</v>
      </c>
    </row>
    <row r="118" spans="1:14" ht="16.2" hidden="1" thickBot="1" x14ac:dyDescent="0.35">
      <c r="A118" s="100" t="s">
        <v>178</v>
      </c>
      <c r="B118" s="101"/>
      <c r="C118" s="54">
        <v>0</v>
      </c>
      <c r="D118" s="78">
        <f ca="1">((100/(H106))*C118)/100</f>
        <v>0</v>
      </c>
      <c r="E118" s="97"/>
      <c r="F118" s="97"/>
      <c r="G118" s="97"/>
      <c r="H118" s="99"/>
      <c r="I118" s="42" t="s">
        <v>145</v>
      </c>
      <c r="J118" s="43"/>
      <c r="K118" s="47">
        <f ca="1">(IF(B106=0,H106/4+K117,(H106/(B106+4)+K117)))</f>
        <v>4</v>
      </c>
    </row>
    <row r="119" spans="1:14" x14ac:dyDescent="0.3">
      <c r="A119" s="131" t="s">
        <v>159</v>
      </c>
      <c r="B119" s="132"/>
      <c r="C119" s="132"/>
      <c r="D119" s="132"/>
      <c r="E119" s="133"/>
      <c r="F119" s="131" t="str">
        <f ca="1">(IF(G67="100%","Yes",IF(G67&gt;0%,"Under Construction",IF(G67=0%,"Work not yet Started"))))</f>
        <v>Under Construction</v>
      </c>
      <c r="G119" s="132"/>
      <c r="H119" s="133"/>
    </row>
    <row r="120" spans="1:14" x14ac:dyDescent="0.3">
      <c r="A120" s="79" t="s">
        <v>56</v>
      </c>
      <c r="B120" s="79"/>
      <c r="C120" s="79"/>
      <c r="D120" s="79"/>
      <c r="E120" s="79"/>
      <c r="F120" s="79"/>
      <c r="G120" s="79"/>
      <c r="H120" s="79"/>
    </row>
    <row r="121" spans="1:14" ht="15" customHeight="1" x14ac:dyDescent="0.3">
      <c r="A121" s="104" t="s">
        <v>105</v>
      </c>
      <c r="B121" s="104"/>
      <c r="C121" s="93" t="s">
        <v>106</v>
      </c>
      <c r="D121" s="93"/>
      <c r="E121" s="93"/>
      <c r="F121" s="93"/>
      <c r="G121" s="93"/>
      <c r="H121" s="93"/>
    </row>
    <row r="122" spans="1:14" x14ac:dyDescent="0.3">
      <c r="A122" s="129" t="s">
        <v>57</v>
      </c>
      <c r="B122" s="129"/>
      <c r="C122" s="129"/>
      <c r="D122" s="129"/>
      <c r="E122" s="129"/>
      <c r="F122" s="129"/>
      <c r="G122" s="129"/>
      <c r="H122" s="129"/>
    </row>
    <row r="123" spans="1:14" ht="15.75" customHeight="1" x14ac:dyDescent="0.3">
      <c r="A123" s="79" t="s">
        <v>107</v>
      </c>
      <c r="B123" s="79"/>
      <c r="C123" s="79"/>
      <c r="D123" s="79"/>
      <c r="E123" s="79"/>
      <c r="F123" s="104">
        <v>3300</v>
      </c>
      <c r="G123" s="104"/>
      <c r="H123" s="104"/>
      <c r="I123" s="191" t="s">
        <v>265</v>
      </c>
      <c r="J123" s="192"/>
      <c r="K123" s="192"/>
      <c r="L123" s="192"/>
      <c r="M123" s="192"/>
      <c r="N123" s="192"/>
    </row>
    <row r="124" spans="1:14" ht="15.75" hidden="1" customHeight="1" x14ac:dyDescent="0.3">
      <c r="A124" s="79" t="s">
        <v>114</v>
      </c>
      <c r="B124" s="79"/>
      <c r="C124" s="79"/>
      <c r="D124" s="79"/>
      <c r="E124" s="79"/>
      <c r="F124" s="136"/>
      <c r="G124" s="136"/>
      <c r="H124" s="136"/>
      <c r="I124" s="191"/>
      <c r="J124" s="192"/>
      <c r="K124" s="192"/>
      <c r="L124" s="192"/>
      <c r="M124" s="192"/>
      <c r="N124" s="192"/>
    </row>
    <row r="125" spans="1:14" ht="15.75" hidden="1" customHeight="1" x14ac:dyDescent="0.3">
      <c r="A125" s="79" t="s">
        <v>116</v>
      </c>
      <c r="B125" s="79"/>
      <c r="C125" s="79"/>
      <c r="D125" s="79"/>
      <c r="E125" s="79"/>
      <c r="F125" s="136"/>
      <c r="G125" s="136"/>
      <c r="H125" s="136"/>
      <c r="I125" s="191"/>
      <c r="J125" s="192"/>
      <c r="K125" s="192"/>
      <c r="L125" s="192"/>
      <c r="M125" s="192"/>
      <c r="N125" s="192"/>
    </row>
    <row r="126" spans="1:14" s="12" customFormat="1" ht="15.75" hidden="1" customHeight="1" x14ac:dyDescent="0.25">
      <c r="A126" s="79" t="s">
        <v>132</v>
      </c>
      <c r="B126" s="79"/>
      <c r="C126" s="79"/>
      <c r="D126" s="79"/>
      <c r="E126" s="79"/>
      <c r="F126" s="136" t="s">
        <v>30</v>
      </c>
      <c r="G126" s="136"/>
      <c r="H126" s="136"/>
      <c r="I126" s="191"/>
      <c r="J126" s="192"/>
      <c r="K126" s="192"/>
      <c r="L126" s="192"/>
      <c r="M126" s="192"/>
      <c r="N126" s="192"/>
    </row>
    <row r="127" spans="1:14" s="12" customFormat="1" x14ac:dyDescent="0.25">
      <c r="A127" s="79" t="s">
        <v>133</v>
      </c>
      <c r="B127" s="79"/>
      <c r="C127" s="79"/>
      <c r="D127" s="79"/>
      <c r="E127" s="79"/>
      <c r="F127" s="136" t="s">
        <v>261</v>
      </c>
      <c r="G127" s="136"/>
      <c r="H127" s="136"/>
      <c r="I127" s="191"/>
      <c r="J127" s="192"/>
      <c r="K127" s="192"/>
      <c r="L127" s="192"/>
      <c r="M127" s="192"/>
      <c r="N127" s="192"/>
    </row>
    <row r="128" spans="1:14" s="12" customFormat="1" ht="15.75" hidden="1" customHeight="1" x14ac:dyDescent="0.25">
      <c r="A128" s="79" t="s">
        <v>134</v>
      </c>
      <c r="B128" s="79"/>
      <c r="C128" s="79"/>
      <c r="D128" s="79"/>
      <c r="E128" s="79"/>
      <c r="F128" s="136" t="s">
        <v>30</v>
      </c>
      <c r="G128" s="136"/>
      <c r="H128" s="136"/>
      <c r="I128" s="191"/>
      <c r="J128" s="192"/>
      <c r="K128" s="192"/>
      <c r="L128" s="192"/>
      <c r="M128" s="192"/>
      <c r="N128" s="192"/>
    </row>
    <row r="129" spans="1:14" s="12" customFormat="1" ht="15.75" hidden="1" customHeight="1" x14ac:dyDescent="0.25">
      <c r="A129" s="79" t="s">
        <v>135</v>
      </c>
      <c r="B129" s="79"/>
      <c r="C129" s="79"/>
      <c r="D129" s="79"/>
      <c r="E129" s="79"/>
      <c r="F129" s="136" t="s">
        <v>30</v>
      </c>
      <c r="G129" s="136"/>
      <c r="H129" s="136"/>
      <c r="I129" s="191"/>
      <c r="J129" s="192"/>
      <c r="K129" s="192"/>
      <c r="L129" s="192"/>
      <c r="M129" s="192"/>
      <c r="N129" s="192"/>
    </row>
    <row r="130" spans="1:14" s="12" customFormat="1" x14ac:dyDescent="0.25">
      <c r="A130" s="79" t="s">
        <v>264</v>
      </c>
      <c r="B130" s="79"/>
      <c r="C130" s="79"/>
      <c r="D130" s="79"/>
      <c r="E130" s="79"/>
      <c r="F130" s="136" t="s">
        <v>263</v>
      </c>
      <c r="G130" s="136"/>
      <c r="H130" s="136"/>
      <c r="I130" s="191"/>
      <c r="J130" s="192"/>
      <c r="K130" s="192"/>
      <c r="L130" s="192"/>
      <c r="M130" s="192"/>
      <c r="N130" s="192"/>
    </row>
    <row r="131" spans="1:14" s="12" customFormat="1" hidden="1" x14ac:dyDescent="0.25">
      <c r="A131" s="79" t="s">
        <v>137</v>
      </c>
      <c r="B131" s="79"/>
      <c r="C131" s="79"/>
      <c r="D131" s="79"/>
      <c r="E131" s="79"/>
      <c r="F131" s="136" t="s">
        <v>30</v>
      </c>
      <c r="G131" s="136"/>
      <c r="H131" s="136"/>
    </row>
    <row r="132" spans="1:14" s="12" customFormat="1" x14ac:dyDescent="0.25">
      <c r="A132" s="79" t="s">
        <v>262</v>
      </c>
      <c r="B132" s="79"/>
      <c r="C132" s="79"/>
      <c r="D132" s="79"/>
      <c r="E132" s="79"/>
      <c r="F132" s="136" t="s">
        <v>263</v>
      </c>
      <c r="G132" s="136"/>
      <c r="H132" s="136"/>
    </row>
    <row r="133" spans="1:14" s="12" customFormat="1" x14ac:dyDescent="0.25">
      <c r="A133" s="79" t="s">
        <v>266</v>
      </c>
      <c r="B133" s="79"/>
      <c r="C133" s="79"/>
      <c r="D133" s="79"/>
      <c r="E133" s="79"/>
      <c r="F133" s="136" t="s">
        <v>267</v>
      </c>
      <c r="G133" s="136"/>
      <c r="H133" s="136"/>
    </row>
    <row r="134" spans="1:14" x14ac:dyDescent="0.3">
      <c r="A134" s="79" t="s">
        <v>58</v>
      </c>
      <c r="B134" s="79"/>
      <c r="C134" s="79"/>
      <c r="D134" s="79"/>
      <c r="E134" s="79"/>
      <c r="F134" s="89" t="s">
        <v>263</v>
      </c>
      <c r="G134" s="89"/>
      <c r="H134" s="89"/>
    </row>
    <row r="135" spans="1:14" s="9" customFormat="1" x14ac:dyDescent="0.3">
      <c r="A135" s="129" t="s">
        <v>59</v>
      </c>
      <c r="B135" s="129"/>
      <c r="C135" s="129"/>
      <c r="D135" s="129"/>
      <c r="E135" s="129"/>
      <c r="F135" s="104">
        <f>F123*0.8</f>
        <v>2640</v>
      </c>
      <c r="G135" s="104"/>
      <c r="H135" s="104"/>
    </row>
    <row r="136" spans="1:14" s="1" customFormat="1" ht="15.75" hidden="1" customHeight="1" x14ac:dyDescent="0.3">
      <c r="A136" s="158" t="s">
        <v>108</v>
      </c>
      <c r="B136" s="158"/>
      <c r="C136" s="158"/>
      <c r="D136" s="158"/>
      <c r="E136" s="158"/>
      <c r="F136" s="158"/>
      <c r="G136" s="158"/>
      <c r="H136" s="158"/>
    </row>
    <row r="137" spans="1:14" s="1" customFormat="1" ht="15.75" hidden="1" customHeight="1" x14ac:dyDescent="0.3">
      <c r="A137" s="109" t="s">
        <v>60</v>
      </c>
      <c r="B137" s="109"/>
      <c r="C137" s="107" t="s">
        <v>111</v>
      </c>
      <c r="D137" s="107"/>
      <c r="E137" s="130" t="s">
        <v>61</v>
      </c>
      <c r="F137" s="130"/>
      <c r="G137" s="109" t="s">
        <v>62</v>
      </c>
      <c r="H137" s="109"/>
    </row>
    <row r="138" spans="1:14" s="1" customFormat="1" hidden="1" x14ac:dyDescent="0.3">
      <c r="A138" s="110"/>
      <c r="B138" s="110"/>
      <c r="C138" s="111"/>
      <c r="D138" s="111"/>
      <c r="E138" s="181"/>
      <c r="F138" s="181"/>
      <c r="G138" s="106"/>
      <c r="H138" s="106"/>
    </row>
    <row r="139" spans="1:14" s="1" customFormat="1" x14ac:dyDescent="0.3">
      <c r="A139" s="158" t="s">
        <v>101</v>
      </c>
      <c r="B139" s="158"/>
      <c r="C139" s="158"/>
      <c r="D139" s="158"/>
      <c r="E139" s="158"/>
      <c r="F139" s="158"/>
      <c r="G139" s="158"/>
      <c r="H139" s="158"/>
    </row>
    <row r="140" spans="1:14" s="1" customFormat="1" ht="15.75" customHeight="1" x14ac:dyDescent="0.3">
      <c r="A140" s="109" t="s">
        <v>60</v>
      </c>
      <c r="B140" s="109"/>
      <c r="C140" s="107" t="s">
        <v>111</v>
      </c>
      <c r="D140" s="107"/>
      <c r="E140" s="130" t="s">
        <v>61</v>
      </c>
      <c r="F140" s="130"/>
      <c r="G140" s="109" t="s">
        <v>62</v>
      </c>
      <c r="H140" s="109"/>
    </row>
    <row r="141" spans="1:14" s="1" customFormat="1" x14ac:dyDescent="0.3">
      <c r="A141" s="90" t="s">
        <v>233</v>
      </c>
      <c r="B141" s="91"/>
      <c r="C141" s="91"/>
      <c r="D141" s="91"/>
      <c r="E141" s="91"/>
      <c r="F141" s="91"/>
      <c r="G141" s="91"/>
      <c r="H141" s="92"/>
    </row>
    <row r="142" spans="1:14" s="1" customFormat="1" x14ac:dyDescent="0.3">
      <c r="A142" s="110" t="s">
        <v>270</v>
      </c>
      <c r="B142" s="110"/>
      <c r="C142" s="111">
        <f>COUNT(D169:D188)*4</f>
        <v>80</v>
      </c>
      <c r="D142" s="111"/>
      <c r="E142" s="112">
        <f>SUM(D169:D188)*4</f>
        <v>28016.065584</v>
      </c>
      <c r="F142" s="112"/>
      <c r="G142" s="106">
        <f>SUM(F169:F188)*4</f>
        <v>39920</v>
      </c>
      <c r="H142" s="106"/>
    </row>
    <row r="143" spans="1:14" s="1" customFormat="1" x14ac:dyDescent="0.3">
      <c r="A143" s="110" t="s">
        <v>235</v>
      </c>
      <c r="B143" s="110"/>
      <c r="C143" s="111">
        <f>COUNT(D192:D210)*4</f>
        <v>76</v>
      </c>
      <c r="D143" s="111"/>
      <c r="E143" s="112">
        <f>SUM(D192:D210)*4</f>
        <v>22453.617888000001</v>
      </c>
      <c r="F143" s="112"/>
      <c r="G143" s="106">
        <f>SUM(F192:F210)*4</f>
        <v>32720</v>
      </c>
      <c r="H143" s="106"/>
    </row>
    <row r="144" spans="1:14" s="1" customFormat="1" x14ac:dyDescent="0.3">
      <c r="A144" s="110" t="s">
        <v>236</v>
      </c>
      <c r="B144" s="110"/>
      <c r="C144" s="111">
        <f>COUNT(D213:D215)+COUNT(D217:D226)*4</f>
        <v>43</v>
      </c>
      <c r="D144" s="111"/>
      <c r="E144" s="112">
        <f>SUM(D213:D215)+SUM(D217:D226)*4</f>
        <v>17880.392555999999</v>
      </c>
      <c r="F144" s="112"/>
      <c r="G144" s="106">
        <f>SUM(F213:F215)+SUM(F217:F226)*4</f>
        <v>26015</v>
      </c>
      <c r="H144" s="106"/>
    </row>
    <row r="145" spans="1:14" s="1" customFormat="1" hidden="1" x14ac:dyDescent="0.3">
      <c r="A145" s="90" t="s">
        <v>237</v>
      </c>
      <c r="B145" s="91"/>
      <c r="C145" s="91"/>
      <c r="D145" s="91"/>
      <c r="E145" s="91"/>
      <c r="F145" s="91"/>
      <c r="G145" s="91"/>
      <c r="H145" s="92"/>
    </row>
    <row r="146" spans="1:14" s="1" customFormat="1" hidden="1" x14ac:dyDescent="0.3">
      <c r="A146" s="110" t="s">
        <v>204</v>
      </c>
      <c r="B146" s="110"/>
      <c r="C146" s="111">
        <f>COUNT(D230:D233)+COUNT(D235:D242)*4</f>
        <v>36</v>
      </c>
      <c r="D146" s="111"/>
      <c r="E146" s="112">
        <f t="shared" ref="E146" si="0">SUM(D230:D233)+SUM(D235:D242)*4</f>
        <v>12527.057088</v>
      </c>
      <c r="F146" s="112"/>
      <c r="G146" s="106" t="e">
        <f>SUM(F230:F233)+SUM(F235:F242)*4</f>
        <v>#REF!</v>
      </c>
      <c r="H146" s="106"/>
    </row>
    <row r="147" spans="1:14" s="1" customFormat="1" hidden="1" x14ac:dyDescent="0.3">
      <c r="A147" s="110" t="s">
        <v>238</v>
      </c>
      <c r="B147" s="110"/>
      <c r="C147" s="111">
        <f>COUNT(D245:D248)+COUNT(D250:D261)*4</f>
        <v>52</v>
      </c>
      <c r="D147" s="111"/>
      <c r="E147" s="112">
        <f t="shared" ref="E147" si="1">SUM(D245:D248)+SUM(D250:D261)*4</f>
        <v>16489.931327999995</v>
      </c>
      <c r="F147" s="112"/>
      <c r="G147" s="106" t="e">
        <f>SUM(F245:F248)+SUM(F250:F261)*4</f>
        <v>#REF!</v>
      </c>
      <c r="H147" s="106"/>
    </row>
    <row r="148" spans="1:14" s="1" customFormat="1" hidden="1" x14ac:dyDescent="0.3">
      <c r="A148" s="110" t="s">
        <v>240</v>
      </c>
      <c r="B148" s="110"/>
      <c r="C148" s="111">
        <f>COUNT(D265:D279)*4</f>
        <v>60</v>
      </c>
      <c r="D148" s="111"/>
      <c r="E148" s="112">
        <f>SUM(D265:D279)*4</f>
        <v>20802.118895999996</v>
      </c>
      <c r="F148" s="112"/>
      <c r="G148" s="106" t="e">
        <f>SUM(F265:F279)*4</f>
        <v>#REF!</v>
      </c>
      <c r="H148" s="106"/>
    </row>
    <row r="149" spans="1:14" s="1" customFormat="1" hidden="1" x14ac:dyDescent="0.3">
      <c r="A149" s="110" t="s">
        <v>239</v>
      </c>
      <c r="B149" s="110"/>
      <c r="C149" s="111">
        <f>COUNT(D282:D285)+COUNT(D287:D294)*4</f>
        <v>36</v>
      </c>
      <c r="D149" s="111"/>
      <c r="E149" s="112">
        <f>SUM(D282:D285)+SUM(D287:D294)*4</f>
        <v>15448.578911999999</v>
      </c>
      <c r="F149" s="112"/>
      <c r="G149" s="106" t="e">
        <f>SUM(F282:F285)+SUM(F287:F294)*4</f>
        <v>#REF!</v>
      </c>
      <c r="H149" s="106"/>
    </row>
    <row r="150" spans="1:14" s="1" customFormat="1" x14ac:dyDescent="0.3">
      <c r="A150" s="158" t="s">
        <v>64</v>
      </c>
      <c r="B150" s="158"/>
      <c r="C150" s="107">
        <f>SUM(C142:D144)</f>
        <v>199</v>
      </c>
      <c r="D150" s="107"/>
      <c r="E150" s="108">
        <f>SUM(E142:F144)</f>
        <v>68350.07602800001</v>
      </c>
      <c r="F150" s="108"/>
      <c r="G150" s="109">
        <f>SUM(G142:H144)</f>
        <v>98655</v>
      </c>
      <c r="H150" s="109"/>
    </row>
    <row r="151" spans="1:14" s="9" customFormat="1" x14ac:dyDescent="0.3">
      <c r="A151" s="134" t="s">
        <v>65</v>
      </c>
      <c r="B151" s="134"/>
      <c r="C151" s="134"/>
      <c r="D151" s="134"/>
      <c r="E151" s="134"/>
      <c r="F151" s="134"/>
      <c r="G151" s="134"/>
      <c r="H151" s="134"/>
    </row>
    <row r="152" spans="1:14" x14ac:dyDescent="0.3">
      <c r="A152" s="134" t="s">
        <v>66</v>
      </c>
      <c r="B152" s="134"/>
      <c r="C152" s="134"/>
      <c r="D152" s="134"/>
      <c r="E152" s="134"/>
      <c r="F152" s="134"/>
      <c r="G152" s="134"/>
      <c r="H152" s="134"/>
    </row>
    <row r="153" spans="1:14" ht="47.25" hidden="1" customHeight="1" x14ac:dyDescent="0.3">
      <c r="A153" s="182" t="s">
        <v>163</v>
      </c>
      <c r="B153" s="182" t="s">
        <v>162</v>
      </c>
      <c r="C153" s="182" t="s">
        <v>67</v>
      </c>
      <c r="D153" s="182" t="s">
        <v>68</v>
      </c>
      <c r="E153" s="184" t="s">
        <v>69</v>
      </c>
      <c r="F153" s="55" t="s">
        <v>160</v>
      </c>
      <c r="G153" s="127" t="s">
        <v>70</v>
      </c>
      <c r="H153" s="128"/>
    </row>
    <row r="154" spans="1:14" s="2" customFormat="1" hidden="1" x14ac:dyDescent="0.3">
      <c r="A154" s="183"/>
      <c r="B154" s="183"/>
      <c r="C154" s="183"/>
      <c r="D154" s="183"/>
      <c r="E154" s="185"/>
      <c r="F154" s="35">
        <v>0.6</v>
      </c>
      <c r="G154" s="186"/>
      <c r="H154" s="187"/>
    </row>
    <row r="155" spans="1:14" s="2" customFormat="1" hidden="1" x14ac:dyDescent="0.3">
      <c r="A155" s="115" t="s">
        <v>161</v>
      </c>
      <c r="B155" s="116"/>
      <c r="C155" s="116"/>
      <c r="D155" s="116"/>
      <c r="E155" s="116"/>
      <c r="F155" s="116"/>
      <c r="G155" s="116"/>
      <c r="H155" s="117"/>
    </row>
    <row r="156" spans="1:14" s="2" customFormat="1" hidden="1" x14ac:dyDescent="0.3">
      <c r="A156" s="118">
        <v>1</v>
      </c>
      <c r="B156" s="119"/>
      <c r="C156" s="37"/>
      <c r="D156" s="37"/>
      <c r="E156" s="37">
        <v>0</v>
      </c>
      <c r="F156" s="37">
        <f>D156*(($F$154)+1)+E156</f>
        <v>0</v>
      </c>
      <c r="G156" s="118" t="str">
        <f>A155</f>
        <v>Ground Floor</v>
      </c>
      <c r="H156" s="119"/>
      <c r="I156" s="36"/>
      <c r="L156" s="113"/>
      <c r="M156" s="113"/>
      <c r="N156" s="36"/>
    </row>
    <row r="157" spans="1:14" s="2" customFormat="1" hidden="1" x14ac:dyDescent="0.3">
      <c r="A157" s="118">
        <f>A156+1</f>
        <v>2</v>
      </c>
      <c r="B157" s="119"/>
      <c r="C157" s="37"/>
      <c r="D157" s="37"/>
      <c r="E157" s="37">
        <v>0</v>
      </c>
      <c r="F157" s="37">
        <f t="shared" ref="F157:F158" si="2">D157*(($F$154)+1)+E157</f>
        <v>0</v>
      </c>
      <c r="G157" s="118" t="str">
        <f t="shared" ref="G157:G162" si="3">G156</f>
        <v>Ground Floor</v>
      </c>
      <c r="H157" s="119"/>
      <c r="I157" s="36"/>
      <c r="L157" s="113"/>
      <c r="M157" s="113"/>
      <c r="N157" s="36"/>
    </row>
    <row r="158" spans="1:14" s="2" customFormat="1" hidden="1" x14ac:dyDescent="0.3">
      <c r="A158" s="118">
        <f t="shared" ref="A158:A160" si="4">A157+1</f>
        <v>3</v>
      </c>
      <c r="B158" s="119"/>
      <c r="C158" s="37"/>
      <c r="D158" s="37"/>
      <c r="E158" s="37">
        <v>0</v>
      </c>
      <c r="F158" s="37">
        <f t="shared" si="2"/>
        <v>0</v>
      </c>
      <c r="G158" s="118" t="str">
        <f t="shared" si="3"/>
        <v>Ground Floor</v>
      </c>
      <c r="H158" s="119"/>
      <c r="I158" s="36"/>
      <c r="L158" s="113"/>
      <c r="M158" s="113"/>
      <c r="N158" s="36"/>
    </row>
    <row r="159" spans="1:14" s="2" customFormat="1" hidden="1" x14ac:dyDescent="0.3">
      <c r="A159" s="118">
        <f t="shared" si="4"/>
        <v>4</v>
      </c>
      <c r="B159" s="119"/>
      <c r="C159" s="37"/>
      <c r="D159" s="37"/>
      <c r="E159" s="37">
        <v>0</v>
      </c>
      <c r="F159" s="37">
        <f t="shared" ref="F159:F160" si="5">D159*(($F$154)+1)+E159</f>
        <v>0</v>
      </c>
      <c r="G159" s="118" t="str">
        <f t="shared" si="3"/>
        <v>Ground Floor</v>
      </c>
      <c r="H159" s="119"/>
      <c r="I159" s="36"/>
      <c r="L159" s="113"/>
      <c r="M159" s="113"/>
      <c r="N159" s="36"/>
    </row>
    <row r="160" spans="1:14" s="2" customFormat="1" hidden="1" x14ac:dyDescent="0.3">
      <c r="A160" s="118">
        <f t="shared" si="4"/>
        <v>5</v>
      </c>
      <c r="B160" s="119"/>
      <c r="C160" s="37"/>
      <c r="D160" s="37"/>
      <c r="E160" s="37">
        <v>0</v>
      </c>
      <c r="F160" s="37">
        <f t="shared" si="5"/>
        <v>0</v>
      </c>
      <c r="G160" s="118" t="str">
        <f t="shared" si="3"/>
        <v>Ground Floor</v>
      </c>
      <c r="H160" s="119"/>
      <c r="I160" s="36"/>
      <c r="L160" s="113"/>
      <c r="M160" s="113"/>
      <c r="N160" s="36"/>
    </row>
    <row r="161" spans="1:16" s="2" customFormat="1" hidden="1" x14ac:dyDescent="0.3">
      <c r="A161" s="118">
        <f t="shared" ref="A161:A162" si="6">A160+1</f>
        <v>6</v>
      </c>
      <c r="B161" s="119"/>
      <c r="C161" s="37"/>
      <c r="D161" s="37"/>
      <c r="E161" s="37">
        <v>0</v>
      </c>
      <c r="F161" s="37">
        <f t="shared" ref="F161:F162" si="7">D161*(($F$154)+1)+E161</f>
        <v>0</v>
      </c>
      <c r="G161" s="118" t="str">
        <f t="shared" si="3"/>
        <v>Ground Floor</v>
      </c>
      <c r="H161" s="119"/>
      <c r="I161" s="36"/>
      <c r="L161" s="113"/>
      <c r="M161" s="113"/>
      <c r="N161" s="36"/>
    </row>
    <row r="162" spans="1:16" s="2" customFormat="1" hidden="1" x14ac:dyDescent="0.3">
      <c r="A162" s="118">
        <f t="shared" si="6"/>
        <v>7</v>
      </c>
      <c r="B162" s="119"/>
      <c r="C162" s="37"/>
      <c r="D162" s="37"/>
      <c r="E162" s="37">
        <v>0</v>
      </c>
      <c r="F162" s="37">
        <f t="shared" si="7"/>
        <v>0</v>
      </c>
      <c r="G162" s="118" t="str">
        <f t="shared" si="3"/>
        <v>Ground Floor</v>
      </c>
      <c r="H162" s="119"/>
      <c r="I162" s="36"/>
      <c r="L162" s="113"/>
      <c r="M162" s="113"/>
      <c r="N162" s="36"/>
    </row>
    <row r="163" spans="1:16" s="2" customFormat="1" hidden="1" x14ac:dyDescent="0.3">
      <c r="A163" s="118"/>
      <c r="B163" s="160"/>
      <c r="C163" s="160"/>
      <c r="D163" s="160"/>
      <c r="E163" s="160"/>
      <c r="F163" s="160"/>
      <c r="G163" s="160"/>
      <c r="H163" s="119"/>
      <c r="I163" s="36"/>
      <c r="N163" s="36"/>
    </row>
    <row r="164" spans="1:16" ht="47.25" customHeight="1" x14ac:dyDescent="0.3">
      <c r="A164" s="74" t="s">
        <v>164</v>
      </c>
      <c r="B164" s="74" t="s">
        <v>165</v>
      </c>
      <c r="C164" s="55" t="s">
        <v>67</v>
      </c>
      <c r="D164" s="55" t="s">
        <v>68</v>
      </c>
      <c r="E164" s="73" t="s">
        <v>69</v>
      </c>
      <c r="F164" s="55" t="s">
        <v>260</v>
      </c>
      <c r="G164" s="127" t="s">
        <v>70</v>
      </c>
      <c r="H164" s="128"/>
      <c r="I164" s="36"/>
    </row>
    <row r="165" spans="1:16" s="2" customFormat="1" x14ac:dyDescent="0.3">
      <c r="A165" s="114" t="s">
        <v>193</v>
      </c>
      <c r="B165" s="114"/>
      <c r="C165" s="114"/>
      <c r="D165" s="114"/>
      <c r="E165" s="114"/>
      <c r="F165" s="114"/>
      <c r="G165" s="114"/>
      <c r="H165" s="114"/>
      <c r="I165" s="36"/>
      <c r="L165" s="113"/>
      <c r="M165" s="113"/>
    </row>
    <row r="166" spans="1:16" s="2" customFormat="1" x14ac:dyDescent="0.3">
      <c r="A166" s="114" t="s">
        <v>194</v>
      </c>
      <c r="B166" s="114"/>
      <c r="C166" s="114"/>
      <c r="D166" s="114"/>
      <c r="E166" s="114"/>
      <c r="F166" s="114"/>
      <c r="G166" s="114"/>
      <c r="H166" s="114"/>
      <c r="I166" s="36"/>
      <c r="L166" s="113"/>
      <c r="M166" s="113"/>
    </row>
    <row r="167" spans="1:16" s="2" customFormat="1" x14ac:dyDescent="0.3">
      <c r="A167" s="114" t="s">
        <v>195</v>
      </c>
      <c r="B167" s="114"/>
      <c r="C167" s="114"/>
      <c r="D167" s="114"/>
      <c r="E167" s="114"/>
      <c r="F167" s="114"/>
      <c r="G167" s="114"/>
      <c r="H167" s="114"/>
      <c r="I167" s="36"/>
      <c r="L167" s="113"/>
      <c r="M167" s="113"/>
    </row>
    <row r="168" spans="1:16" s="2" customFormat="1" x14ac:dyDescent="0.3">
      <c r="A168" s="115" t="s">
        <v>196</v>
      </c>
      <c r="B168" s="116"/>
      <c r="C168" s="116"/>
      <c r="D168" s="116"/>
      <c r="E168" s="116"/>
      <c r="F168" s="116"/>
      <c r="G168" s="116"/>
      <c r="H168" s="117"/>
      <c r="I168" s="36"/>
    </row>
    <row r="169" spans="1:16" s="2" customFormat="1" ht="15.75" customHeight="1" x14ac:dyDescent="0.3">
      <c r="A169" s="118" t="str">
        <f t="shared" ref="A169:A173" ca="1" si="8">N169</f>
        <v>101 to 401</v>
      </c>
      <c r="B169" s="119"/>
      <c r="C169" s="62" t="s">
        <v>197</v>
      </c>
      <c r="D169" s="63">
        <f>(24.232+2.85+3.731)*10.764</f>
        <v>331.671132</v>
      </c>
      <c r="E169" s="37">
        <v>0</v>
      </c>
      <c r="F169" s="37">
        <v>485</v>
      </c>
      <c r="G169" s="120" t="str">
        <f>A168</f>
        <v>1st to 4th Floor</v>
      </c>
      <c r="H169" s="121"/>
      <c r="I169" s="36"/>
      <c r="N169" s="2" t="str">
        <f t="shared" ref="N169:N174" ca="1" si="9">O169&amp;""&amp;" to "&amp;""&amp;P169</f>
        <v>101 to 401</v>
      </c>
      <c r="O169" s="2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10^ROW(INDIRECT("1:"&amp;LEN((LEFT(A168,SUM(LEN(A168)-LEN(SUBSTITUTE(A168,{"0","1","2"},""))))))))/10))*100+1</f>
        <v>101</v>
      </c>
      <c r="P169" s="2">
        <f ca="1">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",LEN(A168))),LEN(A168)))))))/10))*100+1</f>
        <v>401</v>
      </c>
    </row>
    <row r="170" spans="1:16" s="2" customFormat="1" ht="15.75" customHeight="1" x14ac:dyDescent="0.3">
      <c r="A170" s="118" t="str">
        <f t="shared" ca="1" si="8"/>
        <v>102 to 402</v>
      </c>
      <c r="B170" s="119"/>
      <c r="C170" s="62" t="s">
        <v>197</v>
      </c>
      <c r="D170" s="63">
        <f>(24.232+2.85+3.731)*10.764</f>
        <v>331.671132</v>
      </c>
      <c r="E170" s="37">
        <v>0</v>
      </c>
      <c r="F170" s="37">
        <v>485</v>
      </c>
      <c r="G170" s="122"/>
      <c r="H170" s="123"/>
      <c r="I170" s="36"/>
      <c r="N170" s="2" t="str">
        <f t="shared" ca="1" si="9"/>
        <v>102 to 402</v>
      </c>
      <c r="O170" s="2">
        <f t="shared" ref="O170:P173" ca="1" si="10">O169+1</f>
        <v>102</v>
      </c>
      <c r="P170" s="2">
        <f t="shared" ca="1" si="10"/>
        <v>402</v>
      </c>
    </row>
    <row r="171" spans="1:16" s="2" customFormat="1" ht="15.75" customHeight="1" x14ac:dyDescent="0.3">
      <c r="A171" s="118" t="str">
        <f t="shared" ca="1" si="8"/>
        <v>103 to 403</v>
      </c>
      <c r="B171" s="119"/>
      <c r="C171" s="62" t="s">
        <v>197</v>
      </c>
      <c r="D171" s="63">
        <f>(24.17+2.8+3.731)*10.764</f>
        <v>330.46556399999997</v>
      </c>
      <c r="E171" s="37">
        <v>0</v>
      </c>
      <c r="F171" s="37">
        <v>485</v>
      </c>
      <c r="G171" s="122"/>
      <c r="H171" s="123"/>
      <c r="I171" s="36"/>
      <c r="N171" s="2" t="str">
        <f t="shared" ca="1" si="9"/>
        <v>103 to 403</v>
      </c>
      <c r="O171" s="2">
        <f t="shared" ca="1" si="10"/>
        <v>103</v>
      </c>
      <c r="P171" s="2">
        <f t="shared" ca="1" si="10"/>
        <v>403</v>
      </c>
    </row>
    <row r="172" spans="1:16" s="2" customFormat="1" ht="15.75" customHeight="1" x14ac:dyDescent="0.3">
      <c r="A172" s="118" t="str">
        <f t="shared" ca="1" si="8"/>
        <v>104 to 404</v>
      </c>
      <c r="B172" s="119"/>
      <c r="C172" s="62" t="s">
        <v>197</v>
      </c>
      <c r="D172" s="63">
        <f>(24.17+2.8+3.844)*10.764</f>
        <v>331.68189599999999</v>
      </c>
      <c r="E172" s="37">
        <v>0</v>
      </c>
      <c r="F172" s="37">
        <v>485</v>
      </c>
      <c r="G172" s="122"/>
      <c r="H172" s="123"/>
      <c r="I172" s="36"/>
      <c r="N172" s="2" t="str">
        <f t="shared" ca="1" si="9"/>
        <v>104 to 404</v>
      </c>
      <c r="O172" s="2">
        <f t="shared" ca="1" si="10"/>
        <v>104</v>
      </c>
      <c r="P172" s="2">
        <f t="shared" ca="1" si="10"/>
        <v>404</v>
      </c>
    </row>
    <row r="173" spans="1:16" s="2" customFormat="1" ht="15.75" customHeight="1" x14ac:dyDescent="0.3">
      <c r="A173" s="118" t="str">
        <f t="shared" ca="1" si="8"/>
        <v>105 to 405</v>
      </c>
      <c r="B173" s="119"/>
      <c r="C173" s="62" t="s">
        <v>198</v>
      </c>
      <c r="D173" s="63">
        <f>(16.447+4.8)*10.764</f>
        <v>228.70270799999997</v>
      </c>
      <c r="E173" s="37">
        <v>0</v>
      </c>
      <c r="F173" s="37">
        <v>330</v>
      </c>
      <c r="G173" s="122"/>
      <c r="H173" s="123"/>
      <c r="I173" s="36"/>
      <c r="N173" s="2" t="str">
        <f t="shared" ca="1" si="9"/>
        <v>105 to 405</v>
      </c>
      <c r="O173" s="2">
        <f t="shared" ca="1" si="10"/>
        <v>105</v>
      </c>
      <c r="P173" s="2">
        <f t="shared" ca="1" si="10"/>
        <v>405</v>
      </c>
    </row>
    <row r="174" spans="1:16" s="2" customFormat="1" ht="15.75" customHeight="1" x14ac:dyDescent="0.3">
      <c r="A174" s="118" t="str">
        <f ca="1">N174</f>
        <v>106 to 406</v>
      </c>
      <c r="B174" s="119"/>
      <c r="C174" s="62" t="s">
        <v>197</v>
      </c>
      <c r="D174" s="63">
        <f>(26.198+4.825+2.25)*10.764</f>
        <v>358.15057199999995</v>
      </c>
      <c r="E174" s="37">
        <v>0</v>
      </c>
      <c r="F174" s="37">
        <v>520</v>
      </c>
      <c r="G174" s="122"/>
      <c r="H174" s="123"/>
      <c r="I174" s="36"/>
      <c r="L174" s="2">
        <f>F174/D174</f>
        <v>1.4519033073050629</v>
      </c>
      <c r="N174" s="2" t="str">
        <f t="shared" ca="1" si="9"/>
        <v>106 to 406</v>
      </c>
      <c r="O174" s="2">
        <f ca="1">O173+1</f>
        <v>106</v>
      </c>
      <c r="P174" s="2">
        <f t="shared" ref="P174" ca="1" si="11">P173+1</f>
        <v>406</v>
      </c>
    </row>
    <row r="175" spans="1:16" s="2" customFormat="1" ht="15.75" customHeight="1" x14ac:dyDescent="0.3">
      <c r="A175" s="118" t="str">
        <f ca="1">N175</f>
        <v>107 to 407</v>
      </c>
      <c r="B175" s="119"/>
      <c r="C175" s="62" t="s">
        <v>197</v>
      </c>
      <c r="D175" s="63">
        <f>(26.198+4.825+2.194)*10.764</f>
        <v>357.54778799999997</v>
      </c>
      <c r="E175" s="37">
        <v>0</v>
      </c>
      <c r="F175" s="37">
        <v>520</v>
      </c>
      <c r="G175" s="122"/>
      <c r="H175" s="123"/>
      <c r="I175" s="36"/>
      <c r="N175" s="2" t="str">
        <f ca="1">O175&amp;""&amp;" to "&amp;""&amp;P175</f>
        <v>107 to 407</v>
      </c>
      <c r="O175" s="2">
        <f ca="1">O174+1</f>
        <v>107</v>
      </c>
      <c r="P175" s="2">
        <f ca="1">P174+1</f>
        <v>407</v>
      </c>
    </row>
    <row r="176" spans="1:16" s="2" customFormat="1" ht="15.75" customHeight="1" x14ac:dyDescent="0.3">
      <c r="A176" s="118" t="str">
        <f t="shared" ref="A176" ca="1" si="12">N176</f>
        <v>108 to 408</v>
      </c>
      <c r="B176" s="119"/>
      <c r="C176" s="62" t="s">
        <v>197</v>
      </c>
      <c r="D176" s="63">
        <f>(26.198+4.825+2.194)*10.764</f>
        <v>357.54778799999997</v>
      </c>
      <c r="E176" s="37">
        <v>0</v>
      </c>
      <c r="F176" s="37">
        <v>520</v>
      </c>
      <c r="G176" s="122"/>
      <c r="H176" s="123"/>
      <c r="I176" s="36"/>
      <c r="N176" s="2" t="str">
        <f t="shared" ref="N176:N180" ca="1" si="13">O176&amp;""&amp;" to "&amp;""&amp;P176</f>
        <v>108 to 408</v>
      </c>
      <c r="O176" s="2">
        <f t="shared" ref="O176:P176" ca="1" si="14">O175+1</f>
        <v>108</v>
      </c>
      <c r="P176" s="2">
        <f t="shared" ca="1" si="14"/>
        <v>408</v>
      </c>
    </row>
    <row r="177" spans="1:16" s="2" customFormat="1" x14ac:dyDescent="0.3">
      <c r="A177" s="118" t="str">
        <f t="shared" ref="A177:A181" ca="1" si="15">N177</f>
        <v>109 to 409</v>
      </c>
      <c r="B177" s="119"/>
      <c r="C177" s="62" t="s">
        <v>197</v>
      </c>
      <c r="D177" s="63">
        <f>(26.198+4.825+2.25)*10.764</f>
        <v>358.15057199999995</v>
      </c>
      <c r="E177" s="37">
        <v>0</v>
      </c>
      <c r="F177" s="37">
        <v>520</v>
      </c>
      <c r="G177" s="122"/>
      <c r="H177" s="123"/>
      <c r="I177" s="36"/>
      <c r="N177" s="2" t="str">
        <f t="shared" ca="1" si="13"/>
        <v>109 to 409</v>
      </c>
      <c r="O177" s="2">
        <f t="shared" ref="O177:P177" ca="1" si="16">O176+1</f>
        <v>109</v>
      </c>
      <c r="P177" s="2">
        <f t="shared" ca="1" si="16"/>
        <v>409</v>
      </c>
    </row>
    <row r="178" spans="1:16" s="2" customFormat="1" x14ac:dyDescent="0.3">
      <c r="A178" s="118" t="str">
        <f t="shared" ca="1" si="15"/>
        <v>110 to 410</v>
      </c>
      <c r="B178" s="119"/>
      <c r="C178" s="62" t="s">
        <v>199</v>
      </c>
      <c r="D178" s="63">
        <f>(32.25+7.675+2.287)*10.764</f>
        <v>454.36996799999991</v>
      </c>
      <c r="E178" s="37">
        <v>0</v>
      </c>
      <c r="F178" s="37">
        <v>655</v>
      </c>
      <c r="G178" s="122"/>
      <c r="H178" s="123"/>
      <c r="I178" s="36"/>
      <c r="N178" s="2" t="str">
        <f t="shared" ca="1" si="13"/>
        <v>110 to 410</v>
      </c>
      <c r="O178" s="2">
        <f t="shared" ref="O178:P178" ca="1" si="17">O177+1</f>
        <v>110</v>
      </c>
      <c r="P178" s="2">
        <f t="shared" ca="1" si="17"/>
        <v>410</v>
      </c>
    </row>
    <row r="179" spans="1:16" s="2" customFormat="1" x14ac:dyDescent="0.3">
      <c r="A179" s="118" t="str">
        <f t="shared" ca="1" si="15"/>
        <v>111 to 411</v>
      </c>
      <c r="B179" s="119"/>
      <c r="C179" s="62" t="s">
        <v>199</v>
      </c>
      <c r="D179" s="63">
        <f>(32.25+7.675+2.287)*10.764</f>
        <v>454.36996799999991</v>
      </c>
      <c r="E179" s="37">
        <v>0</v>
      </c>
      <c r="F179" s="37">
        <v>655</v>
      </c>
      <c r="G179" s="122"/>
      <c r="H179" s="123"/>
      <c r="I179" s="36"/>
      <c r="N179" s="2" t="str">
        <f t="shared" ca="1" si="13"/>
        <v>111 to 411</v>
      </c>
      <c r="O179" s="2">
        <f t="shared" ref="O179:P179" ca="1" si="18">O178+1</f>
        <v>111</v>
      </c>
      <c r="P179" s="2">
        <f t="shared" ca="1" si="18"/>
        <v>411</v>
      </c>
    </row>
    <row r="180" spans="1:16" s="2" customFormat="1" x14ac:dyDescent="0.3">
      <c r="A180" s="118" t="str">
        <f t="shared" ca="1" si="15"/>
        <v>112 to 412</v>
      </c>
      <c r="B180" s="119"/>
      <c r="C180" s="62" t="s">
        <v>199</v>
      </c>
      <c r="D180" s="63">
        <f>(32.25+7.675+2.287)*10.764</f>
        <v>454.36996799999991</v>
      </c>
      <c r="E180" s="37">
        <v>0</v>
      </c>
      <c r="F180" s="37">
        <v>655</v>
      </c>
      <c r="G180" s="122"/>
      <c r="H180" s="123"/>
      <c r="I180" s="36"/>
      <c r="N180" s="2" t="str">
        <f t="shared" ca="1" si="13"/>
        <v>112 to 412</v>
      </c>
      <c r="O180" s="2">
        <f t="shared" ref="O180:P180" ca="1" si="19">O179+1</f>
        <v>112</v>
      </c>
      <c r="P180" s="2">
        <f t="shared" ca="1" si="19"/>
        <v>412</v>
      </c>
    </row>
    <row r="181" spans="1:16" s="2" customFormat="1" ht="15.75" customHeight="1" x14ac:dyDescent="0.3">
      <c r="A181" s="118" t="str">
        <f t="shared" ca="1" si="15"/>
        <v>113 to 413</v>
      </c>
      <c r="B181" s="119"/>
      <c r="C181" s="62" t="s">
        <v>197</v>
      </c>
      <c r="D181" s="63">
        <f>(26.198+4.9+2.194)*10.764</f>
        <v>358.35508800000002</v>
      </c>
      <c r="E181" s="37">
        <v>0</v>
      </c>
      <c r="F181" s="37">
        <v>520</v>
      </c>
      <c r="G181" s="122"/>
      <c r="H181" s="123"/>
      <c r="I181" s="36"/>
      <c r="N181" s="2" t="str">
        <f t="shared" ref="N181:N185" ca="1" si="20">O181&amp;""&amp;" to "&amp;""&amp;P181</f>
        <v>113 to 413</v>
      </c>
      <c r="O181" s="2">
        <f t="shared" ref="O181:P181" ca="1" si="21">O180+1</f>
        <v>113</v>
      </c>
      <c r="P181" s="2">
        <f t="shared" ca="1" si="21"/>
        <v>413</v>
      </c>
    </row>
    <row r="182" spans="1:16" s="2" customFormat="1" x14ac:dyDescent="0.3">
      <c r="A182" s="118" t="str">
        <f t="shared" ref="A182:A185" ca="1" si="22">N182</f>
        <v>114 to 414</v>
      </c>
      <c r="B182" s="119"/>
      <c r="C182" s="62" t="s">
        <v>197</v>
      </c>
      <c r="D182" s="63">
        <f>(26.198+4.825+2.194)*10.764</f>
        <v>357.54778799999997</v>
      </c>
      <c r="E182" s="37">
        <v>0</v>
      </c>
      <c r="F182" s="37">
        <v>320</v>
      </c>
      <c r="G182" s="122"/>
      <c r="H182" s="123"/>
      <c r="I182" s="36"/>
      <c r="N182" s="2" t="str">
        <f t="shared" ca="1" si="20"/>
        <v>114 to 414</v>
      </c>
      <c r="O182" s="2">
        <f t="shared" ref="O182:P182" ca="1" si="23">O181+1</f>
        <v>114</v>
      </c>
      <c r="P182" s="2">
        <f t="shared" ca="1" si="23"/>
        <v>414</v>
      </c>
    </row>
    <row r="183" spans="1:16" s="2" customFormat="1" x14ac:dyDescent="0.3">
      <c r="A183" s="118" t="str">
        <f t="shared" ca="1" si="22"/>
        <v>115 to 415</v>
      </c>
      <c r="B183" s="119"/>
      <c r="C183" s="62" t="s">
        <v>197</v>
      </c>
      <c r="D183" s="63">
        <f t="shared" ref="D183:D184" si="24">(26.198+4.825+2.194)*10.764</f>
        <v>357.54778799999997</v>
      </c>
      <c r="E183" s="37">
        <v>0</v>
      </c>
      <c r="F183" s="37">
        <v>520</v>
      </c>
      <c r="G183" s="122"/>
      <c r="H183" s="123"/>
      <c r="I183" s="36"/>
      <c r="N183" s="2" t="str">
        <f t="shared" ca="1" si="20"/>
        <v>115 to 415</v>
      </c>
      <c r="O183" s="2">
        <f t="shared" ref="O183:P183" ca="1" si="25">O182+1</f>
        <v>115</v>
      </c>
      <c r="P183" s="2">
        <f t="shared" ca="1" si="25"/>
        <v>415</v>
      </c>
    </row>
    <row r="184" spans="1:16" s="2" customFormat="1" x14ac:dyDescent="0.3">
      <c r="A184" s="118" t="str">
        <f t="shared" ca="1" si="22"/>
        <v>116 to 416</v>
      </c>
      <c r="B184" s="119"/>
      <c r="C184" s="62" t="s">
        <v>197</v>
      </c>
      <c r="D184" s="63">
        <f t="shared" si="24"/>
        <v>357.54778799999997</v>
      </c>
      <c r="E184" s="37">
        <v>0</v>
      </c>
      <c r="F184" s="37">
        <v>520</v>
      </c>
      <c r="G184" s="122"/>
      <c r="H184" s="123"/>
      <c r="I184" s="36"/>
      <c r="N184" s="2" t="str">
        <f t="shared" ca="1" si="20"/>
        <v>116 to 416</v>
      </c>
      <c r="O184" s="2">
        <f t="shared" ref="O184:P184" ca="1" si="26">O183+1</f>
        <v>116</v>
      </c>
      <c r="P184" s="2">
        <f t="shared" ca="1" si="26"/>
        <v>416</v>
      </c>
    </row>
    <row r="185" spans="1:16" s="2" customFormat="1" x14ac:dyDescent="0.3">
      <c r="A185" s="118" t="str">
        <f t="shared" ca="1" si="22"/>
        <v>117 to 417</v>
      </c>
      <c r="B185" s="119"/>
      <c r="C185" s="62" t="s">
        <v>198</v>
      </c>
      <c r="D185" s="63">
        <f>(16.447+4.8)*10.764</f>
        <v>228.70270799999997</v>
      </c>
      <c r="E185" s="37">
        <v>0</v>
      </c>
      <c r="F185" s="37">
        <v>330</v>
      </c>
      <c r="G185" s="122"/>
      <c r="H185" s="123"/>
      <c r="I185" s="36"/>
      <c r="N185" s="2" t="str">
        <f t="shared" ca="1" si="20"/>
        <v>117 to 417</v>
      </c>
      <c r="O185" s="2">
        <f t="shared" ref="O185:P185" ca="1" si="27">O184+1</f>
        <v>117</v>
      </c>
      <c r="P185" s="2">
        <f t="shared" ca="1" si="27"/>
        <v>417</v>
      </c>
    </row>
    <row r="186" spans="1:16" s="2" customFormat="1" x14ac:dyDescent="0.3">
      <c r="A186" s="118" t="str">
        <f t="shared" ref="A186:A188" ca="1" si="28">N186</f>
        <v>118 to 418</v>
      </c>
      <c r="B186" s="119"/>
      <c r="C186" s="62" t="s">
        <v>197</v>
      </c>
      <c r="D186" s="63">
        <f>(24.232+2.85+3.787)*10.764</f>
        <v>332.27391599999999</v>
      </c>
      <c r="E186" s="37">
        <v>0</v>
      </c>
      <c r="F186" s="37">
        <v>485</v>
      </c>
      <c r="G186" s="122"/>
      <c r="H186" s="123"/>
      <c r="I186" s="36"/>
      <c r="N186" s="2" t="str">
        <f t="shared" ref="N186:N188" ca="1" si="29">O186&amp;""&amp;" to "&amp;""&amp;P186</f>
        <v>118 to 418</v>
      </c>
      <c r="O186" s="2">
        <f t="shared" ref="O186:P186" ca="1" si="30">O185+1</f>
        <v>118</v>
      </c>
      <c r="P186" s="2">
        <f t="shared" ca="1" si="30"/>
        <v>418</v>
      </c>
    </row>
    <row r="187" spans="1:16" s="2" customFormat="1" x14ac:dyDescent="0.3">
      <c r="A187" s="118" t="str">
        <f t="shared" ca="1" si="28"/>
        <v>119 to 419</v>
      </c>
      <c r="B187" s="119"/>
      <c r="C187" s="62" t="s">
        <v>197</v>
      </c>
      <c r="D187" s="63">
        <f>(24.232+2.85+3.731)*10.764</f>
        <v>331.671132</v>
      </c>
      <c r="E187" s="37">
        <v>0</v>
      </c>
      <c r="F187" s="37">
        <v>485</v>
      </c>
      <c r="G187" s="122"/>
      <c r="H187" s="123"/>
      <c r="I187" s="36"/>
      <c r="N187" s="2" t="str">
        <f t="shared" ca="1" si="29"/>
        <v>119 to 419</v>
      </c>
      <c r="O187" s="2">
        <f t="shared" ref="O187:P187" ca="1" si="31">O186+1</f>
        <v>119</v>
      </c>
      <c r="P187" s="2">
        <f t="shared" ca="1" si="31"/>
        <v>419</v>
      </c>
    </row>
    <row r="188" spans="1:16" s="2" customFormat="1" x14ac:dyDescent="0.3">
      <c r="A188" s="118" t="str">
        <f t="shared" ca="1" si="28"/>
        <v>120 to 420</v>
      </c>
      <c r="B188" s="119"/>
      <c r="C188" s="62" t="s">
        <v>197</v>
      </c>
      <c r="D188" s="63">
        <f>(24.232+2.85+3.731)*10.764</f>
        <v>331.671132</v>
      </c>
      <c r="E188" s="37">
        <v>0</v>
      </c>
      <c r="F188" s="37">
        <v>485</v>
      </c>
      <c r="G188" s="124"/>
      <c r="H188" s="125"/>
      <c r="I188" s="36"/>
      <c r="N188" s="2" t="str">
        <f t="shared" ca="1" si="29"/>
        <v>120 to 420</v>
      </c>
      <c r="O188" s="2">
        <f t="shared" ref="O188:P188" ca="1" si="32">O187+1</f>
        <v>120</v>
      </c>
      <c r="P188" s="2">
        <f t="shared" ca="1" si="32"/>
        <v>420</v>
      </c>
    </row>
    <row r="189" spans="1:16" s="2" customFormat="1" x14ac:dyDescent="0.3">
      <c r="A189" s="114" t="s">
        <v>200</v>
      </c>
      <c r="B189" s="114"/>
      <c r="C189" s="114"/>
      <c r="D189" s="114"/>
      <c r="E189" s="114"/>
      <c r="F189" s="114"/>
      <c r="G189" s="114"/>
      <c r="H189" s="114"/>
      <c r="I189" s="36"/>
      <c r="L189" s="113"/>
      <c r="M189" s="113"/>
    </row>
    <row r="190" spans="1:16" s="2" customFormat="1" x14ac:dyDescent="0.3">
      <c r="A190" s="114" t="s">
        <v>195</v>
      </c>
      <c r="B190" s="114"/>
      <c r="C190" s="114"/>
      <c r="D190" s="114"/>
      <c r="E190" s="114"/>
      <c r="F190" s="114"/>
      <c r="G190" s="114"/>
      <c r="H190" s="114"/>
      <c r="I190" s="36"/>
      <c r="L190" s="113"/>
      <c r="M190" s="113"/>
    </row>
    <row r="191" spans="1:16" s="2" customFormat="1" x14ac:dyDescent="0.3">
      <c r="A191" s="115" t="s">
        <v>196</v>
      </c>
      <c r="B191" s="116"/>
      <c r="C191" s="116"/>
      <c r="D191" s="116"/>
      <c r="E191" s="116"/>
      <c r="F191" s="116"/>
      <c r="G191" s="116"/>
      <c r="H191" s="117"/>
      <c r="I191" s="36"/>
    </row>
    <row r="192" spans="1:16" s="2" customFormat="1" ht="15.75" customHeight="1" x14ac:dyDescent="0.3">
      <c r="A192" s="118" t="str">
        <f t="shared" ref="A192:A196" ca="1" si="33">N192</f>
        <v>101 to 401</v>
      </c>
      <c r="B192" s="119"/>
      <c r="C192" s="64" t="s">
        <v>197</v>
      </c>
      <c r="D192" s="65">
        <f>(24.232+2.85+3.731)*10.764</f>
        <v>331.671132</v>
      </c>
      <c r="E192" s="37">
        <v>0</v>
      </c>
      <c r="F192" s="37">
        <v>485</v>
      </c>
      <c r="G192" s="120" t="str">
        <f>A191</f>
        <v>1st to 4th Floor</v>
      </c>
      <c r="H192" s="121"/>
      <c r="I192" s="36"/>
      <c r="N192" s="2" t="str">
        <f t="shared" ref="N192:N197" ca="1" si="34">O192&amp;""&amp;" to "&amp;""&amp;P192</f>
        <v>101 to 401</v>
      </c>
      <c r="O192" s="2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</f>
        <v>101</v>
      </c>
      <c r="P192" s="2">
        <f ca="1">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401</v>
      </c>
    </row>
    <row r="193" spans="1:16" s="2" customFormat="1" ht="15.75" customHeight="1" x14ac:dyDescent="0.3">
      <c r="A193" s="118" t="str">
        <f t="shared" ca="1" si="33"/>
        <v>102 to 402</v>
      </c>
      <c r="B193" s="119"/>
      <c r="C193" s="64" t="s">
        <v>197</v>
      </c>
      <c r="D193" s="65">
        <f>(24.232+2.85+3.731)*10.764</f>
        <v>331.671132</v>
      </c>
      <c r="E193" s="37">
        <v>0</v>
      </c>
      <c r="F193" s="37">
        <v>485</v>
      </c>
      <c r="G193" s="122"/>
      <c r="H193" s="123"/>
      <c r="I193" s="36"/>
      <c r="N193" s="2" t="str">
        <f t="shared" ca="1" si="34"/>
        <v>102 to 402</v>
      </c>
      <c r="O193" s="2">
        <f t="shared" ref="O193:P193" ca="1" si="35">O192+1</f>
        <v>102</v>
      </c>
      <c r="P193" s="2">
        <f t="shared" ca="1" si="35"/>
        <v>402</v>
      </c>
    </row>
    <row r="194" spans="1:16" s="2" customFormat="1" ht="15.75" customHeight="1" x14ac:dyDescent="0.3">
      <c r="A194" s="118" t="str">
        <f t="shared" ca="1" si="33"/>
        <v>103 to 403</v>
      </c>
      <c r="B194" s="119"/>
      <c r="C194" s="64" t="s">
        <v>198</v>
      </c>
      <c r="D194" s="65">
        <f>(18.275+2.7+1.875)*10.764</f>
        <v>245.95739999999995</v>
      </c>
      <c r="E194" s="37">
        <v>0</v>
      </c>
      <c r="F194" s="37">
        <v>360</v>
      </c>
      <c r="G194" s="122"/>
      <c r="H194" s="123"/>
      <c r="I194" s="36"/>
      <c r="N194" s="2" t="str">
        <f t="shared" ca="1" si="34"/>
        <v>103 to 403</v>
      </c>
      <c r="O194" s="2">
        <f t="shared" ref="O194:P194" ca="1" si="36">O193+1</f>
        <v>103</v>
      </c>
      <c r="P194" s="2">
        <f t="shared" ca="1" si="36"/>
        <v>403</v>
      </c>
    </row>
    <row r="195" spans="1:16" s="2" customFormat="1" ht="15.75" customHeight="1" x14ac:dyDescent="0.3">
      <c r="A195" s="118" t="str">
        <f t="shared" ca="1" si="33"/>
        <v>104 to 404</v>
      </c>
      <c r="B195" s="119"/>
      <c r="C195" s="64" t="s">
        <v>198</v>
      </c>
      <c r="D195" s="65">
        <f>(18.275+2.7+1.875)*10.764</f>
        <v>245.95739999999995</v>
      </c>
      <c r="E195" s="37">
        <v>0</v>
      </c>
      <c r="F195" s="37">
        <v>360</v>
      </c>
      <c r="G195" s="122"/>
      <c r="H195" s="123"/>
      <c r="I195" s="36"/>
      <c r="N195" s="2" t="str">
        <f t="shared" ca="1" si="34"/>
        <v>104 to 404</v>
      </c>
      <c r="O195" s="2">
        <f t="shared" ref="O195:P195" ca="1" si="37">O194+1</f>
        <v>104</v>
      </c>
      <c r="P195" s="2">
        <f t="shared" ca="1" si="37"/>
        <v>404</v>
      </c>
    </row>
    <row r="196" spans="1:16" s="2" customFormat="1" ht="15.75" customHeight="1" x14ac:dyDescent="0.3">
      <c r="A196" s="118" t="str">
        <f t="shared" ca="1" si="33"/>
        <v>105 to 405</v>
      </c>
      <c r="B196" s="119"/>
      <c r="C196" s="64" t="s">
        <v>198</v>
      </c>
      <c r="D196" s="65">
        <f>(18.275+2.7+1.875)*10.764</f>
        <v>245.95739999999995</v>
      </c>
      <c r="E196" s="37">
        <v>0</v>
      </c>
      <c r="F196" s="37">
        <v>360</v>
      </c>
      <c r="G196" s="122"/>
      <c r="H196" s="123"/>
      <c r="I196" s="36"/>
      <c r="N196" s="2" t="str">
        <f t="shared" ca="1" si="34"/>
        <v>105 to 405</v>
      </c>
      <c r="O196" s="2">
        <f t="shared" ref="O196:P197" ca="1" si="38">O195+1</f>
        <v>105</v>
      </c>
      <c r="P196" s="2">
        <f t="shared" ca="1" si="38"/>
        <v>405</v>
      </c>
    </row>
    <row r="197" spans="1:16" s="2" customFormat="1" ht="15.75" customHeight="1" x14ac:dyDescent="0.3">
      <c r="A197" s="118" t="str">
        <f ca="1">N197</f>
        <v>106 to 406</v>
      </c>
      <c r="B197" s="119"/>
      <c r="C197" s="64" t="s">
        <v>197</v>
      </c>
      <c r="D197" s="65">
        <f>(26.198+4.9+2.194)*10.764</f>
        <v>358.35508800000002</v>
      </c>
      <c r="E197" s="37">
        <v>0</v>
      </c>
      <c r="F197" s="37">
        <v>520</v>
      </c>
      <c r="G197" s="122"/>
      <c r="H197" s="123"/>
      <c r="I197" s="36"/>
      <c r="N197" s="2" t="str">
        <f t="shared" ca="1" si="34"/>
        <v>106 to 406</v>
      </c>
      <c r="O197" s="2">
        <f ca="1">O196+1</f>
        <v>106</v>
      </c>
      <c r="P197" s="2">
        <f t="shared" ca="1" si="38"/>
        <v>406</v>
      </c>
    </row>
    <row r="198" spans="1:16" s="2" customFormat="1" ht="15.75" customHeight="1" x14ac:dyDescent="0.3">
      <c r="A198" s="118" t="str">
        <f ca="1">N198</f>
        <v>107 to 407</v>
      </c>
      <c r="B198" s="119"/>
      <c r="C198" s="64" t="s">
        <v>197</v>
      </c>
      <c r="D198" s="65">
        <f>(26.198+4.9+2.194)*10.764</f>
        <v>358.35508800000002</v>
      </c>
      <c r="E198" s="37">
        <v>0</v>
      </c>
      <c r="F198" s="37">
        <v>520</v>
      </c>
      <c r="G198" s="122"/>
      <c r="H198" s="123"/>
      <c r="I198" s="36"/>
      <c r="N198" s="2" t="str">
        <f ca="1">O198&amp;""&amp;" to "&amp;""&amp;P198</f>
        <v>107 to 407</v>
      </c>
      <c r="O198" s="2">
        <f ca="1">O197+1</f>
        <v>107</v>
      </c>
      <c r="P198" s="2">
        <f ca="1">P197+1</f>
        <v>407</v>
      </c>
    </row>
    <row r="199" spans="1:16" s="2" customFormat="1" ht="15.75" customHeight="1" x14ac:dyDescent="0.3">
      <c r="A199" s="118" t="str">
        <f t="shared" ref="A199:A210" ca="1" si="39">N199</f>
        <v>108 to 408</v>
      </c>
      <c r="B199" s="119"/>
      <c r="C199" s="64" t="s">
        <v>198</v>
      </c>
      <c r="D199" s="65">
        <f>(16.447+4.95)*10.764</f>
        <v>230.31730799999997</v>
      </c>
      <c r="E199" s="37">
        <v>0</v>
      </c>
      <c r="F199" s="37">
        <v>330</v>
      </c>
      <c r="G199" s="122"/>
      <c r="H199" s="123"/>
      <c r="I199" s="36"/>
      <c r="N199" s="2" t="str">
        <f t="shared" ref="N199:N210" ca="1" si="40">O199&amp;""&amp;" to "&amp;""&amp;P199</f>
        <v>108 to 408</v>
      </c>
      <c r="O199" s="2">
        <f t="shared" ref="O199:P199" ca="1" si="41">O198+1</f>
        <v>108</v>
      </c>
      <c r="P199" s="2">
        <f t="shared" ca="1" si="41"/>
        <v>408</v>
      </c>
    </row>
    <row r="200" spans="1:16" s="2" customFormat="1" x14ac:dyDescent="0.3">
      <c r="A200" s="118" t="str">
        <f t="shared" ca="1" si="39"/>
        <v>109 to 409</v>
      </c>
      <c r="B200" s="119"/>
      <c r="C200" s="64" t="s">
        <v>198</v>
      </c>
      <c r="D200" s="65">
        <f>(16.447+4.95)*10.764</f>
        <v>230.31730799999997</v>
      </c>
      <c r="E200" s="37">
        <v>0</v>
      </c>
      <c r="F200" s="37">
        <v>335</v>
      </c>
      <c r="G200" s="122"/>
      <c r="H200" s="123"/>
      <c r="I200" s="36"/>
      <c r="N200" s="2" t="str">
        <f t="shared" ca="1" si="40"/>
        <v>109 to 409</v>
      </c>
      <c r="O200" s="2">
        <f t="shared" ref="O200:P200" ca="1" si="42">O199+1</f>
        <v>109</v>
      </c>
      <c r="P200" s="2">
        <f t="shared" ca="1" si="42"/>
        <v>409</v>
      </c>
    </row>
    <row r="201" spans="1:16" s="2" customFormat="1" x14ac:dyDescent="0.3">
      <c r="A201" s="118" t="str">
        <f t="shared" ca="1" si="39"/>
        <v>110 to 410</v>
      </c>
      <c r="B201" s="119"/>
      <c r="C201" s="64" t="s">
        <v>197</v>
      </c>
      <c r="D201" s="65">
        <f>(24.232+2.85+3.675)*10.764</f>
        <v>331.06834800000001</v>
      </c>
      <c r="E201" s="37">
        <v>0</v>
      </c>
      <c r="F201" s="37">
        <v>485</v>
      </c>
      <c r="G201" s="122"/>
      <c r="H201" s="123"/>
      <c r="I201" s="36"/>
      <c r="N201" s="2" t="str">
        <f t="shared" ca="1" si="40"/>
        <v>110 to 410</v>
      </c>
      <c r="O201" s="2">
        <f t="shared" ref="O201:P201" ca="1" si="43">O200+1</f>
        <v>110</v>
      </c>
      <c r="P201" s="2">
        <f t="shared" ca="1" si="43"/>
        <v>410</v>
      </c>
    </row>
    <row r="202" spans="1:16" s="2" customFormat="1" x14ac:dyDescent="0.3">
      <c r="A202" s="118" t="str">
        <f t="shared" ca="1" si="39"/>
        <v>111 to 411</v>
      </c>
      <c r="B202" s="119"/>
      <c r="C202" s="64" t="s">
        <v>197</v>
      </c>
      <c r="D202" s="65">
        <f>(24.232+2.85+3.675)*10.764</f>
        <v>331.06834800000001</v>
      </c>
      <c r="E202" s="37">
        <v>0</v>
      </c>
      <c r="F202" s="37">
        <v>485</v>
      </c>
      <c r="G202" s="122"/>
      <c r="H202" s="123"/>
      <c r="I202" s="36"/>
      <c r="N202" s="2" t="str">
        <f t="shared" ca="1" si="40"/>
        <v>111 to 411</v>
      </c>
      <c r="O202" s="2">
        <f t="shared" ref="O202:P202" ca="1" si="44">O201+1</f>
        <v>111</v>
      </c>
      <c r="P202" s="2">
        <f t="shared" ca="1" si="44"/>
        <v>411</v>
      </c>
    </row>
    <row r="203" spans="1:16" s="2" customFormat="1" x14ac:dyDescent="0.3">
      <c r="A203" s="118" t="str">
        <f t="shared" ca="1" si="39"/>
        <v>112 to 412</v>
      </c>
      <c r="B203" s="119"/>
      <c r="C203" s="64" t="s">
        <v>197</v>
      </c>
      <c r="D203" s="65">
        <f>(24.232+2.85+3.619)*10.764</f>
        <v>330.46556399999997</v>
      </c>
      <c r="E203" s="37">
        <v>0</v>
      </c>
      <c r="F203" s="37">
        <v>485</v>
      </c>
      <c r="G203" s="122"/>
      <c r="H203" s="123"/>
      <c r="I203" s="36"/>
      <c r="N203" s="2" t="str">
        <f t="shared" ca="1" si="40"/>
        <v>112 to 412</v>
      </c>
      <c r="O203" s="2">
        <f t="shared" ref="O203:P203" ca="1" si="45">O202+1</f>
        <v>112</v>
      </c>
      <c r="P203" s="2">
        <f t="shared" ca="1" si="45"/>
        <v>412</v>
      </c>
    </row>
    <row r="204" spans="1:16" s="2" customFormat="1" ht="15.75" customHeight="1" x14ac:dyDescent="0.3">
      <c r="A204" s="118" t="str">
        <f t="shared" ca="1" si="39"/>
        <v>113 to 413</v>
      </c>
      <c r="B204" s="119"/>
      <c r="C204" s="64" t="s">
        <v>198</v>
      </c>
      <c r="D204" s="65">
        <f>(16.447+4.95)*10.764</f>
        <v>230.31730799999997</v>
      </c>
      <c r="E204" s="37">
        <v>0</v>
      </c>
      <c r="F204" s="37">
        <v>330</v>
      </c>
      <c r="G204" s="122"/>
      <c r="H204" s="123"/>
      <c r="I204" s="36"/>
      <c r="N204" s="2" t="str">
        <f t="shared" ca="1" si="40"/>
        <v>113 to 413</v>
      </c>
      <c r="O204" s="2">
        <f t="shared" ref="O204:P204" ca="1" si="46">O203+1</f>
        <v>113</v>
      </c>
      <c r="P204" s="2">
        <f t="shared" ca="1" si="46"/>
        <v>413</v>
      </c>
    </row>
    <row r="205" spans="1:16" s="2" customFormat="1" x14ac:dyDescent="0.3">
      <c r="A205" s="118" t="str">
        <f t="shared" ca="1" si="39"/>
        <v>114 to 414</v>
      </c>
      <c r="B205" s="119"/>
      <c r="C205" s="64" t="s">
        <v>197</v>
      </c>
      <c r="D205" s="65">
        <f>(26.198+4.9+2.194)*10.764</f>
        <v>358.35508800000002</v>
      </c>
      <c r="E205" s="37">
        <v>0</v>
      </c>
      <c r="F205" s="37">
        <v>520</v>
      </c>
      <c r="G205" s="122"/>
      <c r="H205" s="123"/>
      <c r="I205" s="36"/>
      <c r="N205" s="2" t="str">
        <f t="shared" ca="1" si="40"/>
        <v>114 to 414</v>
      </c>
      <c r="O205" s="2">
        <f t="shared" ref="O205:P205" ca="1" si="47">O204+1</f>
        <v>114</v>
      </c>
      <c r="P205" s="2">
        <f t="shared" ca="1" si="47"/>
        <v>414</v>
      </c>
    </row>
    <row r="206" spans="1:16" s="2" customFormat="1" x14ac:dyDescent="0.3">
      <c r="A206" s="118" t="str">
        <f t="shared" ca="1" si="39"/>
        <v>115 to 415</v>
      </c>
      <c r="B206" s="119"/>
      <c r="C206" s="64" t="s">
        <v>197</v>
      </c>
      <c r="D206" s="65">
        <f>(26.198+4.825+2.194)*10.764</f>
        <v>357.54778799999997</v>
      </c>
      <c r="E206" s="37">
        <v>0</v>
      </c>
      <c r="F206" s="37">
        <v>520</v>
      </c>
      <c r="G206" s="122"/>
      <c r="H206" s="123"/>
      <c r="I206" s="36"/>
      <c r="N206" s="2" t="str">
        <f t="shared" ca="1" si="40"/>
        <v>115 to 415</v>
      </c>
      <c r="O206" s="2">
        <f t="shared" ref="O206:P206" ca="1" si="48">O205+1</f>
        <v>115</v>
      </c>
      <c r="P206" s="2">
        <f t="shared" ca="1" si="48"/>
        <v>415</v>
      </c>
    </row>
    <row r="207" spans="1:16" s="2" customFormat="1" x14ac:dyDescent="0.3">
      <c r="A207" s="118" t="str">
        <f t="shared" ca="1" si="39"/>
        <v>116 to 416</v>
      </c>
      <c r="B207" s="119"/>
      <c r="C207" s="64" t="s">
        <v>197</v>
      </c>
      <c r="D207" s="65">
        <f>(26.198+4.825+2.25)*10.764</f>
        <v>358.15057199999995</v>
      </c>
      <c r="E207" s="37">
        <v>0</v>
      </c>
      <c r="F207" s="37">
        <v>520</v>
      </c>
      <c r="G207" s="122"/>
      <c r="H207" s="123"/>
      <c r="I207" s="36"/>
      <c r="N207" s="2" t="str">
        <f t="shared" ca="1" si="40"/>
        <v>116 to 416</v>
      </c>
      <c r="O207" s="2">
        <f t="shared" ref="O207:P207" ca="1" si="49">O206+1</f>
        <v>116</v>
      </c>
      <c r="P207" s="2">
        <f t="shared" ca="1" si="49"/>
        <v>416</v>
      </c>
    </row>
    <row r="208" spans="1:16" s="2" customFormat="1" x14ac:dyDescent="0.3">
      <c r="A208" s="118" t="str">
        <f t="shared" ca="1" si="39"/>
        <v>117 to 417</v>
      </c>
      <c r="B208" s="119"/>
      <c r="C208" s="64" t="s">
        <v>198</v>
      </c>
      <c r="D208" s="65">
        <f>(18.275+2.7+1.875)*10.764</f>
        <v>245.95739999999995</v>
      </c>
      <c r="E208" s="37">
        <v>0</v>
      </c>
      <c r="F208" s="37">
        <v>360</v>
      </c>
      <c r="G208" s="122"/>
      <c r="H208" s="123"/>
      <c r="I208" s="36"/>
      <c r="N208" s="2" t="str">
        <f t="shared" ca="1" si="40"/>
        <v>117 to 417</v>
      </c>
      <c r="O208" s="2">
        <f t="shared" ref="O208:P208" ca="1" si="50">O207+1</f>
        <v>117</v>
      </c>
      <c r="P208" s="2">
        <f t="shared" ca="1" si="50"/>
        <v>417</v>
      </c>
    </row>
    <row r="209" spans="1:16" s="2" customFormat="1" x14ac:dyDescent="0.3">
      <c r="A209" s="118" t="str">
        <f t="shared" ca="1" si="39"/>
        <v>118 to 418</v>
      </c>
      <c r="B209" s="119"/>
      <c r="C209" s="64" t="s">
        <v>198</v>
      </c>
      <c r="D209" s="65">
        <f>(18.275+2.7+1.875)*10.764</f>
        <v>245.95739999999995</v>
      </c>
      <c r="E209" s="37">
        <v>0</v>
      </c>
      <c r="F209" s="37">
        <v>360</v>
      </c>
      <c r="G209" s="122"/>
      <c r="H209" s="123"/>
      <c r="I209" s="36"/>
      <c r="N209" s="2" t="str">
        <f t="shared" ca="1" si="40"/>
        <v>118 to 418</v>
      </c>
      <c r="O209" s="2">
        <f t="shared" ref="O209:P209" ca="1" si="51">O208+1</f>
        <v>118</v>
      </c>
      <c r="P209" s="2">
        <f t="shared" ca="1" si="51"/>
        <v>418</v>
      </c>
    </row>
    <row r="210" spans="1:16" s="2" customFormat="1" x14ac:dyDescent="0.3">
      <c r="A210" s="118" t="str">
        <f t="shared" ca="1" si="39"/>
        <v>119 to 419</v>
      </c>
      <c r="B210" s="119"/>
      <c r="C210" s="64" t="s">
        <v>198</v>
      </c>
      <c r="D210" s="65">
        <f>(18.275+2.7+1.875)*10.764</f>
        <v>245.95739999999995</v>
      </c>
      <c r="E210" s="37">
        <v>0</v>
      </c>
      <c r="F210" s="37">
        <v>360</v>
      </c>
      <c r="G210" s="124"/>
      <c r="H210" s="125"/>
      <c r="I210" s="36"/>
      <c r="N210" s="2" t="str">
        <f t="shared" ca="1" si="40"/>
        <v>119 to 419</v>
      </c>
      <c r="O210" s="2">
        <f t="shared" ref="O210:P210" ca="1" si="52">O209+1</f>
        <v>119</v>
      </c>
      <c r="P210" s="2">
        <f t="shared" ca="1" si="52"/>
        <v>419</v>
      </c>
    </row>
    <row r="211" spans="1:16" s="2" customFormat="1" x14ac:dyDescent="0.3">
      <c r="A211" s="114" t="s">
        <v>201</v>
      </c>
      <c r="B211" s="114"/>
      <c r="C211" s="114"/>
      <c r="D211" s="114"/>
      <c r="E211" s="114"/>
      <c r="F211" s="114"/>
      <c r="G211" s="114"/>
      <c r="H211" s="114"/>
      <c r="I211" s="36"/>
      <c r="L211" s="113"/>
      <c r="M211" s="113"/>
    </row>
    <row r="212" spans="1:16" s="2" customFormat="1" x14ac:dyDescent="0.3">
      <c r="A212" s="114" t="s">
        <v>202</v>
      </c>
      <c r="B212" s="114"/>
      <c r="C212" s="114"/>
      <c r="D212" s="114"/>
      <c r="E212" s="114"/>
      <c r="F212" s="114"/>
      <c r="G212" s="114"/>
      <c r="H212" s="114"/>
      <c r="I212" s="36"/>
      <c r="L212" s="113"/>
      <c r="M212" s="113"/>
    </row>
    <row r="213" spans="1:16" s="2" customFormat="1" ht="15.75" customHeight="1" x14ac:dyDescent="0.3">
      <c r="A213" s="118">
        <v>1</v>
      </c>
      <c r="B213" s="119"/>
      <c r="C213" s="37" t="s">
        <v>199</v>
      </c>
      <c r="D213" s="63">
        <f>(36.255*10.764)</f>
        <v>390.24882000000002</v>
      </c>
      <c r="E213" s="37">
        <v>0</v>
      </c>
      <c r="F213" s="37">
        <v>585</v>
      </c>
      <c r="G213" s="120" t="str">
        <f>A212</f>
        <v>Ground Floor for Residential + Parking</v>
      </c>
      <c r="H213" s="121"/>
      <c r="I213" s="36"/>
      <c r="L213" s="113"/>
      <c r="M213" s="113"/>
      <c r="N213" s="36"/>
    </row>
    <row r="214" spans="1:16" s="2" customFormat="1" ht="15.75" customHeight="1" x14ac:dyDescent="0.3">
      <c r="A214" s="118">
        <f>A213+1</f>
        <v>2</v>
      </c>
      <c r="B214" s="119"/>
      <c r="C214" s="37" t="s">
        <v>199</v>
      </c>
      <c r="D214" s="63">
        <f>(36.255*10.764)</f>
        <v>390.24882000000002</v>
      </c>
      <c r="E214" s="37">
        <v>0</v>
      </c>
      <c r="F214" s="37">
        <v>585</v>
      </c>
      <c r="G214" s="122"/>
      <c r="H214" s="123"/>
      <c r="I214" s="36"/>
      <c r="L214" s="113"/>
      <c r="M214" s="113"/>
      <c r="N214" s="36"/>
    </row>
    <row r="215" spans="1:16" s="2" customFormat="1" ht="15.75" customHeight="1" x14ac:dyDescent="0.3">
      <c r="A215" s="118">
        <f t="shared" ref="A215" si="53">A214+1</f>
        <v>3</v>
      </c>
      <c r="B215" s="119"/>
      <c r="C215" s="37" t="s">
        <v>199</v>
      </c>
      <c r="D215" s="63">
        <f>38.627*10.764</f>
        <v>415.78102799999999</v>
      </c>
      <c r="E215" s="37">
        <v>0</v>
      </c>
      <c r="F215" s="37">
        <v>625</v>
      </c>
      <c r="G215" s="124"/>
      <c r="H215" s="125"/>
      <c r="I215" s="36"/>
      <c r="L215" s="113"/>
      <c r="M215" s="113"/>
      <c r="N215" s="36"/>
    </row>
    <row r="216" spans="1:16" s="2" customFormat="1" x14ac:dyDescent="0.3">
      <c r="A216" s="115" t="s">
        <v>196</v>
      </c>
      <c r="B216" s="116"/>
      <c r="C216" s="116"/>
      <c r="D216" s="116"/>
      <c r="E216" s="116"/>
      <c r="F216" s="116"/>
      <c r="G216" s="116"/>
      <c r="H216" s="117"/>
      <c r="I216" s="36"/>
    </row>
    <row r="217" spans="1:16" s="2" customFormat="1" ht="15.75" customHeight="1" x14ac:dyDescent="0.3">
      <c r="A217" s="118" t="str">
        <f t="shared" ref="A217:A221" ca="1" si="54">N217</f>
        <v>101 to 401</v>
      </c>
      <c r="B217" s="119"/>
      <c r="C217" s="62" t="s">
        <v>197</v>
      </c>
      <c r="D217" s="63">
        <f>(26.198+4.9+2.194)*10.764</f>
        <v>358.35508800000002</v>
      </c>
      <c r="E217" s="37">
        <v>0</v>
      </c>
      <c r="F217" s="37">
        <v>520</v>
      </c>
      <c r="G217" s="120" t="str">
        <f>A216</f>
        <v>1st to 4th Floor</v>
      </c>
      <c r="H217" s="121"/>
      <c r="I217" s="36"/>
      <c r="N217" s="2" t="str">
        <f t="shared" ref="N217:N222" ca="1" si="55">O217&amp;""&amp;" to "&amp;""&amp;P217</f>
        <v>101 to 401</v>
      </c>
      <c r="O217" s="2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</f>
        <v>101</v>
      </c>
      <c r="P217" s="2">
        <f ca="1">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401</v>
      </c>
    </row>
    <row r="218" spans="1:16" s="2" customFormat="1" ht="15.75" customHeight="1" x14ac:dyDescent="0.3">
      <c r="A218" s="118" t="str">
        <f t="shared" ca="1" si="54"/>
        <v>102 to 402</v>
      </c>
      <c r="B218" s="119"/>
      <c r="C218" s="62" t="s">
        <v>197</v>
      </c>
      <c r="D218" s="63">
        <f>(26.198+4.825+2.194)*10.764</f>
        <v>357.54778799999997</v>
      </c>
      <c r="E218" s="37">
        <v>0</v>
      </c>
      <c r="F218" s="37">
        <v>520</v>
      </c>
      <c r="G218" s="122"/>
      <c r="H218" s="123"/>
      <c r="I218" s="36"/>
      <c r="N218" s="2" t="str">
        <f t="shared" ca="1" si="55"/>
        <v>102 to 402</v>
      </c>
      <c r="O218" s="2">
        <f t="shared" ref="O218:P218" ca="1" si="56">O217+1</f>
        <v>102</v>
      </c>
      <c r="P218" s="2">
        <f t="shared" ca="1" si="56"/>
        <v>402</v>
      </c>
    </row>
    <row r="219" spans="1:16" s="2" customFormat="1" ht="15.75" customHeight="1" x14ac:dyDescent="0.3">
      <c r="A219" s="118" t="str">
        <f t="shared" ca="1" si="54"/>
        <v>103 to 403</v>
      </c>
      <c r="B219" s="119"/>
      <c r="C219" s="62" t="s">
        <v>197</v>
      </c>
      <c r="D219" s="63">
        <f>(26.198+4.825+2.194)*10.764</f>
        <v>357.54778799999997</v>
      </c>
      <c r="E219" s="37">
        <v>0</v>
      </c>
      <c r="F219" s="37">
        <v>520</v>
      </c>
      <c r="G219" s="122"/>
      <c r="H219" s="123"/>
      <c r="I219" s="36"/>
      <c r="N219" s="2" t="str">
        <f t="shared" ca="1" si="55"/>
        <v>103 to 403</v>
      </c>
      <c r="O219" s="2">
        <f t="shared" ref="O219:P219" ca="1" si="57">O218+1</f>
        <v>103</v>
      </c>
      <c r="P219" s="2">
        <f t="shared" ca="1" si="57"/>
        <v>403</v>
      </c>
    </row>
    <row r="220" spans="1:16" s="2" customFormat="1" ht="15.75" customHeight="1" x14ac:dyDescent="0.3">
      <c r="A220" s="118" t="str">
        <f t="shared" ca="1" si="54"/>
        <v>104 to 404</v>
      </c>
      <c r="B220" s="119"/>
      <c r="C220" s="62" t="s">
        <v>197</v>
      </c>
      <c r="D220" s="63">
        <f>(26.198+4.75+2.25)*10.764</f>
        <v>357.34327199999996</v>
      </c>
      <c r="E220" s="37">
        <v>0</v>
      </c>
      <c r="F220" s="37">
        <v>520</v>
      </c>
      <c r="G220" s="122"/>
      <c r="H220" s="123"/>
      <c r="I220" s="36"/>
      <c r="N220" s="2" t="str">
        <f t="shared" ca="1" si="55"/>
        <v>104 to 404</v>
      </c>
      <c r="O220" s="2">
        <f t="shared" ref="O220:P220" ca="1" si="58">O219+1</f>
        <v>104</v>
      </c>
      <c r="P220" s="2">
        <f t="shared" ca="1" si="58"/>
        <v>404</v>
      </c>
    </row>
    <row r="221" spans="1:16" s="2" customFormat="1" ht="15.75" customHeight="1" x14ac:dyDescent="0.3">
      <c r="A221" s="118" t="str">
        <f t="shared" ca="1" si="54"/>
        <v>105 to 405</v>
      </c>
      <c r="B221" s="119"/>
      <c r="C221" s="62" t="s">
        <v>199</v>
      </c>
      <c r="D221" s="63">
        <f>(33.785+2.75+5.644)*10.764</f>
        <v>454.01475599999992</v>
      </c>
      <c r="E221" s="37">
        <v>0</v>
      </c>
      <c r="F221" s="37">
        <v>670</v>
      </c>
      <c r="G221" s="122"/>
      <c r="H221" s="123"/>
      <c r="I221" s="36"/>
      <c r="N221" s="2" t="str">
        <f t="shared" ca="1" si="55"/>
        <v>105 to 405</v>
      </c>
      <c r="O221" s="2">
        <f t="shared" ref="O221:P221" ca="1" si="59">O220+1</f>
        <v>105</v>
      </c>
      <c r="P221" s="2">
        <f t="shared" ca="1" si="59"/>
        <v>405</v>
      </c>
    </row>
    <row r="222" spans="1:16" s="2" customFormat="1" ht="15.75" customHeight="1" x14ac:dyDescent="0.3">
      <c r="A222" s="118" t="str">
        <f ca="1">N222</f>
        <v>106 to 406</v>
      </c>
      <c r="B222" s="119"/>
      <c r="C222" s="62" t="s">
        <v>199</v>
      </c>
      <c r="D222" s="63">
        <f>(33.785+2.75+5.644)*10.764</f>
        <v>454.01475599999992</v>
      </c>
      <c r="E222" s="37">
        <v>0</v>
      </c>
      <c r="F222" s="37">
        <v>670</v>
      </c>
      <c r="G222" s="122"/>
      <c r="H222" s="123"/>
      <c r="I222" s="36"/>
      <c r="N222" s="2" t="str">
        <f t="shared" ca="1" si="55"/>
        <v>106 to 406</v>
      </c>
      <c r="O222" s="2">
        <f ca="1">O221+1</f>
        <v>106</v>
      </c>
      <c r="P222" s="2">
        <f t="shared" ref="P222" ca="1" si="60">P221+1</f>
        <v>406</v>
      </c>
    </row>
    <row r="223" spans="1:16" s="2" customFormat="1" ht="15.75" customHeight="1" x14ac:dyDescent="0.3">
      <c r="A223" s="118" t="str">
        <f ca="1">N223</f>
        <v>107 to 407</v>
      </c>
      <c r="B223" s="119"/>
      <c r="C223" s="62" t="s">
        <v>199</v>
      </c>
      <c r="D223" s="63">
        <f>(32.633+7.675+2.287)*10.764</f>
        <v>458.49257999999998</v>
      </c>
      <c r="E223" s="37">
        <v>0</v>
      </c>
      <c r="F223" s="37">
        <v>655</v>
      </c>
      <c r="G223" s="122"/>
      <c r="H223" s="123"/>
      <c r="I223" s="36"/>
      <c r="N223" s="2" t="str">
        <f ca="1">O223&amp;""&amp;" to "&amp;""&amp;P223</f>
        <v>107 to 407</v>
      </c>
      <c r="O223" s="2">
        <f ca="1">O222+1</f>
        <v>107</v>
      </c>
      <c r="P223" s="2">
        <f ca="1">P222+1</f>
        <v>407</v>
      </c>
    </row>
    <row r="224" spans="1:16" s="2" customFormat="1" ht="15.75" customHeight="1" x14ac:dyDescent="0.3">
      <c r="A224" s="118" t="str">
        <f t="shared" ref="A224:A279" ca="1" si="61">N224</f>
        <v>108 to 408</v>
      </c>
      <c r="B224" s="119"/>
      <c r="C224" s="62" t="s">
        <v>199</v>
      </c>
      <c r="D224" s="63">
        <f>(32.633+7.675+2.287)*10.764</f>
        <v>458.49257999999998</v>
      </c>
      <c r="E224" s="37">
        <v>0</v>
      </c>
      <c r="F224" s="37">
        <v>655</v>
      </c>
      <c r="G224" s="122"/>
      <c r="H224" s="123"/>
      <c r="I224" s="36"/>
      <c r="N224" s="2" t="str">
        <f t="shared" ref="N224:N279" ca="1" si="62">O224&amp;""&amp;" to "&amp;""&amp;P224</f>
        <v>108 to 408</v>
      </c>
      <c r="O224" s="2">
        <f t="shared" ref="O224:P224" ca="1" si="63">O223+1</f>
        <v>108</v>
      </c>
      <c r="P224" s="2">
        <f t="shared" ca="1" si="63"/>
        <v>408</v>
      </c>
    </row>
    <row r="225" spans="1:16" s="2" customFormat="1" x14ac:dyDescent="0.3">
      <c r="A225" s="118" t="str">
        <f t="shared" ca="1" si="61"/>
        <v>109 to 409</v>
      </c>
      <c r="B225" s="119"/>
      <c r="C225" s="62" t="s">
        <v>199</v>
      </c>
      <c r="D225" s="63">
        <f>(32.61+7.75+2.231)*10.764</f>
        <v>458.449524</v>
      </c>
      <c r="E225" s="37">
        <v>0</v>
      </c>
      <c r="F225" s="37">
        <v>655</v>
      </c>
      <c r="G225" s="122"/>
      <c r="H225" s="123"/>
      <c r="I225" s="36"/>
      <c r="N225" s="2" t="str">
        <f t="shared" ca="1" si="62"/>
        <v>109 to 409</v>
      </c>
      <c r="O225" s="2">
        <f t="shared" ref="O225:P225" ca="1" si="64">O224+1</f>
        <v>109</v>
      </c>
      <c r="P225" s="2">
        <f t="shared" ca="1" si="64"/>
        <v>409</v>
      </c>
    </row>
    <row r="226" spans="1:16" s="2" customFormat="1" x14ac:dyDescent="0.3">
      <c r="A226" s="118" t="str">
        <f t="shared" ca="1" si="61"/>
        <v>110 to 410</v>
      </c>
      <c r="B226" s="119"/>
      <c r="C226" s="62" t="s">
        <v>199</v>
      </c>
      <c r="D226" s="63">
        <f>(33.785+2.95+5.7)*10.764</f>
        <v>456.77033999999998</v>
      </c>
      <c r="E226" s="37">
        <v>0</v>
      </c>
      <c r="F226" s="37">
        <v>670</v>
      </c>
      <c r="G226" s="124"/>
      <c r="H226" s="125"/>
      <c r="I226" s="36"/>
      <c r="N226" s="2" t="str">
        <f t="shared" ca="1" si="62"/>
        <v>110 to 410</v>
      </c>
      <c r="O226" s="2">
        <f t="shared" ref="O226:P226" ca="1" si="65">O225+1</f>
        <v>110</v>
      </c>
      <c r="P226" s="2">
        <f t="shared" ca="1" si="65"/>
        <v>410</v>
      </c>
    </row>
    <row r="227" spans="1:16" s="2" customFormat="1" hidden="1" x14ac:dyDescent="0.3">
      <c r="A227" s="114" t="s">
        <v>203</v>
      </c>
      <c r="B227" s="114"/>
      <c r="C227" s="114"/>
      <c r="D227" s="114"/>
      <c r="E227" s="114"/>
      <c r="F227" s="114"/>
      <c r="G227" s="114"/>
      <c r="H227" s="114"/>
      <c r="I227" s="36"/>
      <c r="L227" s="113"/>
      <c r="M227" s="113"/>
    </row>
    <row r="228" spans="1:16" s="2" customFormat="1" hidden="1" x14ac:dyDescent="0.3">
      <c r="A228" s="114" t="s">
        <v>204</v>
      </c>
      <c r="B228" s="114"/>
      <c r="C228" s="114"/>
      <c r="D228" s="114"/>
      <c r="E228" s="114"/>
      <c r="F228" s="114"/>
      <c r="G228" s="114"/>
      <c r="H228" s="114"/>
      <c r="I228" s="36"/>
      <c r="L228" s="113"/>
      <c r="M228" s="113"/>
    </row>
    <row r="229" spans="1:16" s="2" customFormat="1" hidden="1" x14ac:dyDescent="0.3">
      <c r="A229" s="114" t="s">
        <v>202</v>
      </c>
      <c r="B229" s="114"/>
      <c r="C229" s="114"/>
      <c r="D229" s="114"/>
      <c r="E229" s="114"/>
      <c r="F229" s="114"/>
      <c r="G229" s="114"/>
      <c r="H229" s="114"/>
      <c r="I229" s="36"/>
      <c r="L229" s="113"/>
      <c r="M229" s="113"/>
    </row>
    <row r="230" spans="1:16" s="2" customFormat="1" ht="15.75" hidden="1" customHeight="1" x14ac:dyDescent="0.3">
      <c r="A230" s="118">
        <v>1</v>
      </c>
      <c r="B230" s="119"/>
      <c r="C230" s="62" t="s">
        <v>197</v>
      </c>
      <c r="D230" s="65">
        <f>(30.123*10.764)</f>
        <v>324.24397199999999</v>
      </c>
      <c r="E230" s="37">
        <v>0</v>
      </c>
      <c r="F230" s="37">
        <f>D230*(($F$154)+1)+E230</f>
        <v>518.79035520000002</v>
      </c>
      <c r="G230" s="120" t="str">
        <f>A229</f>
        <v>Ground Floor for Residential + Parking</v>
      </c>
      <c r="H230" s="121"/>
      <c r="I230" s="36"/>
      <c r="L230" s="113"/>
      <c r="M230" s="113"/>
      <c r="N230" s="36"/>
    </row>
    <row r="231" spans="1:16" s="2" customFormat="1" ht="15.75" hidden="1" customHeight="1" x14ac:dyDescent="0.3">
      <c r="A231" s="118">
        <f>A230+1</f>
        <v>2</v>
      </c>
      <c r="B231" s="119"/>
      <c r="C231" s="62" t="s">
        <v>197</v>
      </c>
      <c r="D231" s="65">
        <f>38.805*10.764</f>
        <v>417.69701999999995</v>
      </c>
      <c r="E231" s="37">
        <v>0</v>
      </c>
      <c r="F231" s="37">
        <f t="shared" ref="F231:F232" si="66">D231*(($F$154)+1)+E231</f>
        <v>668.31523199999992</v>
      </c>
      <c r="G231" s="122"/>
      <c r="H231" s="123"/>
      <c r="I231" s="36"/>
      <c r="L231" s="113"/>
      <c r="M231" s="113"/>
      <c r="N231" s="36"/>
    </row>
    <row r="232" spans="1:16" s="2" customFormat="1" ht="15.75" hidden="1" customHeight="1" x14ac:dyDescent="0.3">
      <c r="A232" s="118">
        <f t="shared" ref="A232:A233" si="67">A231+1</f>
        <v>3</v>
      </c>
      <c r="B232" s="119"/>
      <c r="C232" s="62" t="s">
        <v>197</v>
      </c>
      <c r="D232" s="65">
        <f>38.805*10.764</f>
        <v>417.69701999999995</v>
      </c>
      <c r="E232" s="37">
        <v>0</v>
      </c>
      <c r="F232" s="37">
        <f t="shared" si="66"/>
        <v>668.31523199999992</v>
      </c>
      <c r="G232" s="122"/>
      <c r="H232" s="123"/>
      <c r="I232" s="36"/>
      <c r="L232" s="113"/>
      <c r="M232" s="113"/>
      <c r="N232" s="36"/>
    </row>
    <row r="233" spans="1:16" s="2" customFormat="1" ht="15.75" hidden="1" customHeight="1" x14ac:dyDescent="0.3">
      <c r="A233" s="118">
        <f t="shared" si="67"/>
        <v>4</v>
      </c>
      <c r="B233" s="119"/>
      <c r="C233" s="62" t="s">
        <v>197</v>
      </c>
      <c r="D233" s="65">
        <f>(30.123*10.764)</f>
        <v>324.24397199999999</v>
      </c>
      <c r="E233" s="37">
        <v>0</v>
      </c>
      <c r="F233" s="37">
        <f t="shared" ref="F233" si="68">D233*(($F$154)+1)+E233</f>
        <v>518.79035520000002</v>
      </c>
      <c r="G233" s="124"/>
      <c r="H233" s="125"/>
      <c r="I233" s="36"/>
      <c r="L233" s="113"/>
      <c r="M233" s="113"/>
      <c r="N233" s="36"/>
    </row>
    <row r="234" spans="1:16" s="2" customFormat="1" hidden="1" x14ac:dyDescent="0.3">
      <c r="A234" s="115" t="s">
        <v>196</v>
      </c>
      <c r="B234" s="116"/>
      <c r="C234" s="116"/>
      <c r="D234" s="116"/>
      <c r="E234" s="116"/>
      <c r="F234" s="116"/>
      <c r="G234" s="116"/>
      <c r="H234" s="117"/>
      <c r="I234" s="36"/>
    </row>
    <row r="235" spans="1:16" s="2" customFormat="1" ht="15.75" hidden="1" customHeight="1" x14ac:dyDescent="0.3">
      <c r="A235" s="118" t="str">
        <f t="shared" ref="A235:A239" ca="1" si="69">N235</f>
        <v>101 to 401</v>
      </c>
      <c r="B235" s="119"/>
      <c r="C235" s="64" t="s">
        <v>197</v>
      </c>
      <c r="D235" s="65">
        <f>(24.232+2.85+2.731)*10.764</f>
        <v>320.90713199999999</v>
      </c>
      <c r="E235" s="37">
        <v>0</v>
      </c>
      <c r="F235" s="37" t="e">
        <f>D235*((#REF!)+1)+E235</f>
        <v>#REF!</v>
      </c>
      <c r="G235" s="120" t="str">
        <f>A234</f>
        <v>1st to 4th Floor</v>
      </c>
      <c r="H235" s="121"/>
      <c r="I235" s="36"/>
      <c r="N235" s="2" t="str">
        <f t="shared" ref="N235:N240" ca="1" si="70">O235&amp;""&amp;" to "&amp;""&amp;P235</f>
        <v>101 to 401</v>
      </c>
      <c r="O235" s="2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10^ROW(INDIRECT("1:"&amp;LEN((LEFT(A234,SUM(LEN(A234)-LEN(SUBSTITUTE(A234,{"0","1","2"},""))))))))/10))*100+1</f>
        <v>101</v>
      </c>
      <c r="P235" s="2">
        <f ca="1">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",LEN(A234))),LEN(A234)))))))/10))*100+1</f>
        <v>401</v>
      </c>
    </row>
    <row r="236" spans="1:16" s="2" customFormat="1" ht="15.75" hidden="1" customHeight="1" x14ac:dyDescent="0.3">
      <c r="A236" s="118" t="str">
        <f t="shared" ca="1" si="69"/>
        <v>102 to 402</v>
      </c>
      <c r="B236" s="119"/>
      <c r="C236" s="64" t="s">
        <v>197</v>
      </c>
      <c r="D236" s="65">
        <f>(24.232+2.85+2.731)*10.764</f>
        <v>320.90713199999999</v>
      </c>
      <c r="E236" s="37">
        <v>0</v>
      </c>
      <c r="F236" s="37" t="e">
        <f>D236*((#REF!)+1)+E236</f>
        <v>#REF!</v>
      </c>
      <c r="G236" s="122"/>
      <c r="H236" s="123"/>
      <c r="I236" s="36"/>
      <c r="N236" s="2" t="str">
        <f t="shared" ca="1" si="70"/>
        <v>102 to 402</v>
      </c>
      <c r="O236" s="2">
        <f t="shared" ref="O236:P236" ca="1" si="71">O235+1</f>
        <v>102</v>
      </c>
      <c r="P236" s="2">
        <f t="shared" ca="1" si="71"/>
        <v>402</v>
      </c>
    </row>
    <row r="237" spans="1:16" s="2" customFormat="1" ht="15.75" hidden="1" customHeight="1" x14ac:dyDescent="0.3">
      <c r="A237" s="118" t="str">
        <f t="shared" ca="1" si="69"/>
        <v>103 to 403</v>
      </c>
      <c r="B237" s="119"/>
      <c r="C237" s="64" t="s">
        <v>197</v>
      </c>
      <c r="D237" s="65">
        <f>(18.275+2.7+2.025)*10.764</f>
        <v>247.57199999999995</v>
      </c>
      <c r="E237" s="37">
        <v>0</v>
      </c>
      <c r="F237" s="37" t="e">
        <f>D237*((#REF!)+1)+E237</f>
        <v>#REF!</v>
      </c>
      <c r="G237" s="122"/>
      <c r="H237" s="123"/>
      <c r="I237" s="36"/>
      <c r="N237" s="2" t="str">
        <f t="shared" ca="1" si="70"/>
        <v>103 to 403</v>
      </c>
      <c r="O237" s="2">
        <f t="shared" ref="O237:P237" ca="1" si="72">O236+1</f>
        <v>103</v>
      </c>
      <c r="P237" s="2">
        <f t="shared" ca="1" si="72"/>
        <v>403</v>
      </c>
    </row>
    <row r="238" spans="1:16" s="2" customFormat="1" ht="15.75" hidden="1" customHeight="1" x14ac:dyDescent="0.3">
      <c r="A238" s="118" t="str">
        <f t="shared" ca="1" si="69"/>
        <v>104 to 404</v>
      </c>
      <c r="B238" s="119"/>
      <c r="C238" s="64" t="s">
        <v>198</v>
      </c>
      <c r="D238" s="65">
        <f>(26.198+4.825+2.25)*10.764</f>
        <v>358.15057199999995</v>
      </c>
      <c r="E238" s="37">
        <v>0</v>
      </c>
      <c r="F238" s="37" t="e">
        <f>D238*((#REF!)+1)+E238</f>
        <v>#REF!</v>
      </c>
      <c r="G238" s="122"/>
      <c r="H238" s="123"/>
      <c r="I238" s="36"/>
      <c r="N238" s="2" t="str">
        <f t="shared" ca="1" si="70"/>
        <v>104 to 404</v>
      </c>
      <c r="O238" s="2">
        <f t="shared" ref="O238:P238" ca="1" si="73">O237+1</f>
        <v>104</v>
      </c>
      <c r="P238" s="2">
        <f t="shared" ca="1" si="73"/>
        <v>404</v>
      </c>
    </row>
    <row r="239" spans="1:16" s="2" customFormat="1" ht="15.75" hidden="1" customHeight="1" x14ac:dyDescent="0.3">
      <c r="A239" s="118" t="str">
        <f t="shared" ca="1" si="69"/>
        <v>105 to 405</v>
      </c>
      <c r="B239" s="119"/>
      <c r="C239" s="64" t="s">
        <v>197</v>
      </c>
      <c r="D239" s="65">
        <f>(32.25+7.675+2.231)*10.764</f>
        <v>453.76718399999999</v>
      </c>
      <c r="E239" s="37">
        <v>0</v>
      </c>
      <c r="F239" s="37" t="e">
        <f>D239*((#REF!)+1)+E239</f>
        <v>#REF!</v>
      </c>
      <c r="G239" s="122"/>
      <c r="H239" s="123"/>
      <c r="I239" s="36"/>
      <c r="N239" s="2" t="str">
        <f t="shared" ca="1" si="70"/>
        <v>105 to 405</v>
      </c>
      <c r="O239" s="2">
        <f t="shared" ref="O239:P239" ca="1" si="74">O238+1</f>
        <v>105</v>
      </c>
      <c r="P239" s="2">
        <f t="shared" ca="1" si="74"/>
        <v>405</v>
      </c>
    </row>
    <row r="240" spans="1:16" s="2" customFormat="1" ht="15.75" hidden="1" customHeight="1" x14ac:dyDescent="0.3">
      <c r="A240" s="118" t="str">
        <f ca="1">N240</f>
        <v>106 to 406</v>
      </c>
      <c r="B240" s="119"/>
      <c r="C240" s="64" t="s">
        <v>197</v>
      </c>
      <c r="D240" s="65">
        <f>(32.25+7.675+2.231)*10.764</f>
        <v>453.76718399999999</v>
      </c>
      <c r="E240" s="37">
        <v>0</v>
      </c>
      <c r="F240" s="37" t="e">
        <f>D240*((#REF!)+1)+E240</f>
        <v>#REF!</v>
      </c>
      <c r="G240" s="122"/>
      <c r="H240" s="123"/>
      <c r="I240" s="36"/>
      <c r="N240" s="2" t="str">
        <f t="shared" ca="1" si="70"/>
        <v>106 to 406</v>
      </c>
      <c r="O240" s="2">
        <f ca="1">O239+1</f>
        <v>106</v>
      </c>
      <c r="P240" s="2">
        <f t="shared" ref="P240" ca="1" si="75">P239+1</f>
        <v>406</v>
      </c>
    </row>
    <row r="241" spans="1:16" s="2" customFormat="1" ht="15.75" hidden="1" customHeight="1" x14ac:dyDescent="0.3">
      <c r="A241" s="118" t="str">
        <f ca="1">N241</f>
        <v>107 to 407</v>
      </c>
      <c r="B241" s="119"/>
      <c r="C241" s="64" t="s">
        <v>197</v>
      </c>
      <c r="D241" s="65">
        <f>(26.198+4.825+2.25)*10.764</f>
        <v>358.15057199999995</v>
      </c>
      <c r="E241" s="37">
        <v>0</v>
      </c>
      <c r="F241" s="37" t="e">
        <f>D241*((#REF!)+1)+E241</f>
        <v>#REF!</v>
      </c>
      <c r="G241" s="122"/>
      <c r="H241" s="123"/>
      <c r="I241" s="36"/>
      <c r="N241" s="2" t="str">
        <f ca="1">O241&amp;""&amp;" to "&amp;""&amp;P241</f>
        <v>107 to 407</v>
      </c>
      <c r="O241" s="2">
        <f ca="1">O240+1</f>
        <v>107</v>
      </c>
      <c r="P241" s="2">
        <f ca="1">P240+1</f>
        <v>407</v>
      </c>
    </row>
    <row r="242" spans="1:16" s="2" customFormat="1" ht="15.75" hidden="1" customHeight="1" x14ac:dyDescent="0.3">
      <c r="A242" s="118" t="str">
        <f t="shared" ref="A242:A259" ca="1" si="76">N242</f>
        <v>108 to 408</v>
      </c>
      <c r="B242" s="119"/>
      <c r="C242" s="64" t="s">
        <v>198</v>
      </c>
      <c r="D242" s="65">
        <f>(18.275+2.7+2.025)*10.764</f>
        <v>247.57199999999995</v>
      </c>
      <c r="E242" s="37">
        <v>0</v>
      </c>
      <c r="F242" s="37" t="e">
        <f>D242*((#REF!)+1)+E242</f>
        <v>#REF!</v>
      </c>
      <c r="G242" s="124"/>
      <c r="H242" s="125"/>
      <c r="I242" s="36"/>
      <c r="N242" s="2" t="str">
        <f t="shared" ref="N242:N259" ca="1" si="77">O242&amp;""&amp;" to "&amp;""&amp;P242</f>
        <v>108 to 408</v>
      </c>
      <c r="O242" s="2">
        <f t="shared" ref="O242:P242" ca="1" si="78">O241+1</f>
        <v>108</v>
      </c>
      <c r="P242" s="2">
        <f t="shared" ca="1" si="78"/>
        <v>408</v>
      </c>
    </row>
    <row r="243" spans="1:16" s="2" customFormat="1" hidden="1" x14ac:dyDescent="0.3">
      <c r="A243" s="114" t="s">
        <v>205</v>
      </c>
      <c r="B243" s="114"/>
      <c r="C243" s="114"/>
      <c r="D243" s="114"/>
      <c r="E243" s="114"/>
      <c r="F243" s="114"/>
      <c r="G243" s="114"/>
      <c r="H243" s="114"/>
      <c r="I243" s="36"/>
      <c r="L243" s="113"/>
      <c r="M243" s="113"/>
    </row>
    <row r="244" spans="1:16" s="2" customFormat="1" hidden="1" x14ac:dyDescent="0.3">
      <c r="A244" s="114" t="s">
        <v>202</v>
      </c>
      <c r="B244" s="114"/>
      <c r="C244" s="114"/>
      <c r="D244" s="114"/>
      <c r="E244" s="114"/>
      <c r="F244" s="114"/>
      <c r="G244" s="114"/>
      <c r="H244" s="114"/>
      <c r="I244" s="36"/>
      <c r="L244" s="113"/>
      <c r="M244" s="113"/>
    </row>
    <row r="245" spans="1:16" s="2" customFormat="1" ht="15.75" hidden="1" customHeight="1" x14ac:dyDescent="0.3">
      <c r="A245" s="118">
        <v>1</v>
      </c>
      <c r="B245" s="119"/>
      <c r="C245" s="62" t="s">
        <v>197</v>
      </c>
      <c r="D245" s="65">
        <f>(30.123*10.764)</f>
        <v>324.24397199999999</v>
      </c>
      <c r="E245" s="37">
        <v>0</v>
      </c>
      <c r="F245" s="37">
        <f>D245*(($F$154)+1)+E245</f>
        <v>518.79035520000002</v>
      </c>
      <c r="G245" s="120" t="str">
        <f>A244</f>
        <v>Ground Floor for Residential + Parking</v>
      </c>
      <c r="H245" s="121"/>
      <c r="I245" s="36"/>
      <c r="L245" s="113"/>
      <c r="M245" s="113"/>
      <c r="N245" s="36"/>
    </row>
    <row r="246" spans="1:16" s="2" customFormat="1" ht="15.75" hidden="1" customHeight="1" x14ac:dyDescent="0.3">
      <c r="A246" s="118">
        <f>A245+1</f>
        <v>2</v>
      </c>
      <c r="B246" s="119"/>
      <c r="C246" s="62" t="s">
        <v>197</v>
      </c>
      <c r="D246" s="65">
        <f t="shared" ref="D246:D247" si="79">(30.123*10.764)</f>
        <v>324.24397199999999</v>
      </c>
      <c r="E246" s="37">
        <v>0</v>
      </c>
      <c r="F246" s="37">
        <f t="shared" ref="F246:F248" si="80">D246*(($F$154)+1)+E246</f>
        <v>518.79035520000002</v>
      </c>
      <c r="G246" s="122"/>
      <c r="H246" s="123"/>
      <c r="I246" s="36"/>
      <c r="L246" s="113"/>
      <c r="M246" s="113"/>
      <c r="N246" s="36"/>
    </row>
    <row r="247" spans="1:16" s="2" customFormat="1" ht="15.75" hidden="1" customHeight="1" x14ac:dyDescent="0.3">
      <c r="A247" s="118">
        <f t="shared" ref="A247:A248" si="81">A246+1</f>
        <v>3</v>
      </c>
      <c r="B247" s="119"/>
      <c r="C247" s="62" t="s">
        <v>197</v>
      </c>
      <c r="D247" s="65">
        <f t="shared" si="79"/>
        <v>324.24397199999999</v>
      </c>
      <c r="E247" s="37">
        <v>0</v>
      </c>
      <c r="F247" s="37">
        <f t="shared" si="80"/>
        <v>518.79035520000002</v>
      </c>
      <c r="G247" s="122"/>
      <c r="H247" s="123"/>
      <c r="I247" s="36"/>
      <c r="L247" s="113"/>
      <c r="M247" s="113"/>
      <c r="N247" s="36"/>
    </row>
    <row r="248" spans="1:16" s="2" customFormat="1" ht="15.75" hidden="1" customHeight="1" x14ac:dyDescent="0.3">
      <c r="A248" s="118">
        <f t="shared" si="81"/>
        <v>4</v>
      </c>
      <c r="B248" s="119"/>
      <c r="C248" s="62" t="s">
        <v>197</v>
      </c>
      <c r="D248" s="65">
        <f>(30.123*10.764)</f>
        <v>324.24397199999999</v>
      </c>
      <c r="E248" s="37">
        <v>0</v>
      </c>
      <c r="F248" s="37">
        <f t="shared" si="80"/>
        <v>518.79035520000002</v>
      </c>
      <c r="G248" s="124"/>
      <c r="H248" s="125"/>
      <c r="I248" s="36"/>
      <c r="L248" s="113"/>
      <c r="M248" s="113"/>
      <c r="N248" s="36"/>
    </row>
    <row r="249" spans="1:16" s="2" customFormat="1" hidden="1" x14ac:dyDescent="0.3">
      <c r="A249" s="115" t="s">
        <v>196</v>
      </c>
      <c r="B249" s="116"/>
      <c r="C249" s="116"/>
      <c r="D249" s="116"/>
      <c r="E249" s="116"/>
      <c r="F249" s="116"/>
      <c r="G249" s="116"/>
      <c r="H249" s="117"/>
      <c r="I249" s="36"/>
    </row>
    <row r="250" spans="1:16" s="2" customFormat="1" ht="15.75" hidden="1" customHeight="1" x14ac:dyDescent="0.3">
      <c r="A250" s="118" t="str">
        <f t="shared" ref="A250:A254" ca="1" si="82">N250</f>
        <v>101 to 401</v>
      </c>
      <c r="B250" s="119"/>
      <c r="C250" s="64" t="s">
        <v>197</v>
      </c>
      <c r="D250" s="65">
        <f>(24.232+2.85+3.747)*10.764</f>
        <v>331.84335599999997</v>
      </c>
      <c r="E250" s="37">
        <v>0</v>
      </c>
      <c r="F250" s="37" t="e">
        <f>D250*((#REF!)+1)+E250</f>
        <v>#REF!</v>
      </c>
      <c r="G250" s="120" t="str">
        <f>A249</f>
        <v>1st to 4th Floor</v>
      </c>
      <c r="H250" s="121"/>
      <c r="I250" s="36"/>
      <c r="N250" s="2" t="str">
        <f t="shared" ref="N250:N255" ca="1" si="83">O250&amp;""&amp;" to "&amp;""&amp;P250</f>
        <v>101 to 401</v>
      </c>
      <c r="O250" s="2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10^ROW(INDIRECT("1:"&amp;LEN((LEFT(A249,SUM(LEN(A249)-LEN(SUBSTITUTE(A249,{"0","1","2"},""))))))))/10))*100+1</f>
        <v>101</v>
      </c>
      <c r="P250" s="2">
        <f ca="1">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",LEN(A249))),LEN(A249)))))))/10))*100+1</f>
        <v>401</v>
      </c>
    </row>
    <row r="251" spans="1:16" s="2" customFormat="1" ht="15.75" hidden="1" customHeight="1" x14ac:dyDescent="0.3">
      <c r="A251" s="118" t="str">
        <f t="shared" ca="1" si="82"/>
        <v>102 to 402</v>
      </c>
      <c r="B251" s="119"/>
      <c r="C251" s="64" t="s">
        <v>197</v>
      </c>
      <c r="D251" s="65">
        <f>(24.232+2.85+3.747)*10.764</f>
        <v>331.84335599999997</v>
      </c>
      <c r="E251" s="37">
        <v>0</v>
      </c>
      <c r="F251" s="37" t="e">
        <f>D251*((#REF!)+1)+E251</f>
        <v>#REF!</v>
      </c>
      <c r="G251" s="122"/>
      <c r="H251" s="123"/>
      <c r="I251" s="36"/>
      <c r="N251" s="2" t="str">
        <f t="shared" ca="1" si="83"/>
        <v>102 to 402</v>
      </c>
      <c r="O251" s="2">
        <f t="shared" ref="O251:P251" ca="1" si="84">O250+1</f>
        <v>102</v>
      </c>
      <c r="P251" s="2">
        <f t="shared" ca="1" si="84"/>
        <v>402</v>
      </c>
    </row>
    <row r="252" spans="1:16" s="2" customFormat="1" ht="15.75" hidden="1" customHeight="1" x14ac:dyDescent="0.3">
      <c r="A252" s="118" t="str">
        <f t="shared" ca="1" si="82"/>
        <v>103 to 403</v>
      </c>
      <c r="B252" s="119"/>
      <c r="C252" s="64" t="s">
        <v>198</v>
      </c>
      <c r="D252" s="65">
        <f>(18.275+2.7+2.025)*10.764</f>
        <v>247.57199999999995</v>
      </c>
      <c r="E252" s="37">
        <v>0</v>
      </c>
      <c r="F252" s="37" t="e">
        <f>D252*((#REF!)+1)+E252</f>
        <v>#REF!</v>
      </c>
      <c r="G252" s="122"/>
      <c r="H252" s="123"/>
      <c r="I252" s="36"/>
      <c r="N252" s="2" t="str">
        <f t="shared" ca="1" si="83"/>
        <v>103 to 403</v>
      </c>
      <c r="O252" s="2">
        <f t="shared" ref="O252:P252" ca="1" si="85">O251+1</f>
        <v>103</v>
      </c>
      <c r="P252" s="2">
        <f t="shared" ca="1" si="85"/>
        <v>403</v>
      </c>
    </row>
    <row r="253" spans="1:16" s="2" customFormat="1" ht="15.75" hidden="1" customHeight="1" x14ac:dyDescent="0.3">
      <c r="A253" s="118" t="str">
        <f t="shared" ca="1" si="82"/>
        <v>104 to 404</v>
      </c>
      <c r="B253" s="119"/>
      <c r="C253" s="64" t="s">
        <v>197</v>
      </c>
      <c r="D253" s="65">
        <f>(26.198+4.825+2.25)*10.764</f>
        <v>358.15057199999995</v>
      </c>
      <c r="E253" s="37">
        <v>0</v>
      </c>
      <c r="F253" s="37" t="e">
        <f>D253*((#REF!)+1)+E253</f>
        <v>#REF!</v>
      </c>
      <c r="G253" s="122"/>
      <c r="H253" s="123"/>
      <c r="I253" s="36"/>
      <c r="N253" s="2" t="str">
        <f t="shared" ca="1" si="83"/>
        <v>104 to 404</v>
      </c>
      <c r="O253" s="2">
        <f t="shared" ref="O253:P253" ca="1" si="86">O252+1</f>
        <v>104</v>
      </c>
      <c r="P253" s="2">
        <f t="shared" ca="1" si="86"/>
        <v>404</v>
      </c>
    </row>
    <row r="254" spans="1:16" s="2" customFormat="1" ht="15.75" hidden="1" customHeight="1" x14ac:dyDescent="0.3">
      <c r="A254" s="118" t="str">
        <f t="shared" ca="1" si="82"/>
        <v>105 to 405</v>
      </c>
      <c r="B254" s="119"/>
      <c r="C254" s="64" t="s">
        <v>197</v>
      </c>
      <c r="D254" s="65">
        <f>(26.198+4.825+2.194)*10.764</f>
        <v>357.54778799999997</v>
      </c>
      <c r="E254" s="37">
        <v>0</v>
      </c>
      <c r="F254" s="37" t="e">
        <f>D254*((#REF!)+1)+E254</f>
        <v>#REF!</v>
      </c>
      <c r="G254" s="122"/>
      <c r="H254" s="123"/>
      <c r="I254" s="36"/>
      <c r="N254" s="2" t="str">
        <f t="shared" ca="1" si="83"/>
        <v>105 to 405</v>
      </c>
      <c r="O254" s="2">
        <f t="shared" ref="O254:P254" ca="1" si="87">O253+1</f>
        <v>105</v>
      </c>
      <c r="P254" s="2">
        <f t="shared" ca="1" si="87"/>
        <v>405</v>
      </c>
    </row>
    <row r="255" spans="1:16" s="2" customFormat="1" ht="15.75" hidden="1" customHeight="1" x14ac:dyDescent="0.3">
      <c r="A255" s="118" t="str">
        <f ca="1">N255</f>
        <v>106 to 406</v>
      </c>
      <c r="B255" s="119"/>
      <c r="C255" s="64" t="s">
        <v>197</v>
      </c>
      <c r="D255" s="65">
        <f>(26.198+4.825+2.194)*10.764</f>
        <v>357.54778799999997</v>
      </c>
      <c r="E255" s="37">
        <v>0</v>
      </c>
      <c r="F255" s="37" t="e">
        <f>D255*((#REF!)+1)+E255</f>
        <v>#REF!</v>
      </c>
      <c r="G255" s="122"/>
      <c r="H255" s="123"/>
      <c r="I255" s="36"/>
      <c r="N255" s="2" t="str">
        <f t="shared" ca="1" si="83"/>
        <v>106 to 406</v>
      </c>
      <c r="O255" s="2">
        <f ca="1">O254+1</f>
        <v>106</v>
      </c>
      <c r="P255" s="2">
        <f t="shared" ref="P255" ca="1" si="88">P254+1</f>
        <v>406</v>
      </c>
    </row>
    <row r="256" spans="1:16" s="2" customFormat="1" ht="15.75" hidden="1" customHeight="1" x14ac:dyDescent="0.3">
      <c r="A256" s="118" t="str">
        <f ca="1">N256</f>
        <v>107 to 407</v>
      </c>
      <c r="B256" s="119"/>
      <c r="C256" s="64" t="s">
        <v>197</v>
      </c>
      <c r="D256" s="65">
        <f>(26.198+4.825+2.194)*10.764</f>
        <v>357.54778799999997</v>
      </c>
      <c r="E256" s="37">
        <v>0</v>
      </c>
      <c r="F256" s="37" t="e">
        <f>D256*((#REF!)+1)+E256</f>
        <v>#REF!</v>
      </c>
      <c r="G256" s="122"/>
      <c r="H256" s="123"/>
      <c r="I256" s="36"/>
      <c r="N256" s="2" t="str">
        <f ca="1">O256&amp;""&amp;" to "&amp;""&amp;P256</f>
        <v>107 to 407</v>
      </c>
      <c r="O256" s="2">
        <f ca="1">O255+1</f>
        <v>107</v>
      </c>
      <c r="P256" s="2">
        <f ca="1">P255+1</f>
        <v>407</v>
      </c>
    </row>
    <row r="257" spans="1:16" s="2" customFormat="1" ht="15.75" hidden="1" customHeight="1" x14ac:dyDescent="0.3">
      <c r="A257" s="118" t="str">
        <f t="shared" ref="A257" ca="1" si="89">N257</f>
        <v>108 to 408</v>
      </c>
      <c r="B257" s="119"/>
      <c r="C257" s="64" t="s">
        <v>198</v>
      </c>
      <c r="D257" s="65">
        <f>(16.448+4.95)*10.764</f>
        <v>230.32807199999999</v>
      </c>
      <c r="E257" s="37">
        <v>0</v>
      </c>
      <c r="F257" s="37" t="e">
        <f>D257*((#REF!)+1)+E257</f>
        <v>#REF!</v>
      </c>
      <c r="G257" s="122"/>
      <c r="H257" s="123"/>
      <c r="I257" s="36"/>
      <c r="N257" s="2" t="str">
        <f t="shared" ref="N257" ca="1" si="90">O257&amp;""&amp;" to "&amp;""&amp;P257</f>
        <v>108 to 408</v>
      </c>
      <c r="O257" s="2">
        <f t="shared" ref="O257:P257" ca="1" si="91">O256+1</f>
        <v>108</v>
      </c>
      <c r="P257" s="2">
        <f t="shared" ca="1" si="91"/>
        <v>408</v>
      </c>
    </row>
    <row r="258" spans="1:16" s="2" customFormat="1" hidden="1" x14ac:dyDescent="0.3">
      <c r="A258" s="118" t="str">
        <f t="shared" ca="1" si="76"/>
        <v>109 to 409</v>
      </c>
      <c r="B258" s="119"/>
      <c r="C258" s="64" t="s">
        <v>198</v>
      </c>
      <c r="D258" s="65">
        <f>(16.448+4.95)*10.764</f>
        <v>230.32807199999999</v>
      </c>
      <c r="E258" s="37">
        <v>0</v>
      </c>
      <c r="F258" s="37" t="e">
        <f>D258*((#REF!)+1)+E258</f>
        <v>#REF!</v>
      </c>
      <c r="G258" s="122"/>
      <c r="H258" s="123"/>
      <c r="I258" s="36"/>
      <c r="N258" s="2" t="str">
        <f t="shared" ca="1" si="77"/>
        <v>109 to 409</v>
      </c>
      <c r="O258" s="2">
        <f t="shared" ref="O258:P258" ca="1" si="92">O242+1</f>
        <v>109</v>
      </c>
      <c r="P258" s="2">
        <f t="shared" ca="1" si="92"/>
        <v>409</v>
      </c>
    </row>
    <row r="259" spans="1:16" s="2" customFormat="1" hidden="1" x14ac:dyDescent="0.3">
      <c r="A259" s="118" t="str">
        <f t="shared" ca="1" si="76"/>
        <v>110 to 410</v>
      </c>
      <c r="B259" s="119"/>
      <c r="C259" s="64" t="s">
        <v>197</v>
      </c>
      <c r="D259" s="65">
        <f t="shared" ref="D259:D261" si="93">(24.232+2.85+3.747)*10.764</f>
        <v>331.84335599999997</v>
      </c>
      <c r="E259" s="37">
        <v>0</v>
      </c>
      <c r="F259" s="37" t="e">
        <f>D259*((#REF!)+1)+E259</f>
        <v>#REF!</v>
      </c>
      <c r="G259" s="122"/>
      <c r="H259" s="123"/>
      <c r="I259" s="36"/>
      <c r="N259" s="2" t="str">
        <f t="shared" ca="1" si="77"/>
        <v>110 to 410</v>
      </c>
      <c r="O259" s="2">
        <f t="shared" ref="O259:P259" ca="1" si="94">O258+1</f>
        <v>110</v>
      </c>
      <c r="P259" s="2">
        <f t="shared" ca="1" si="94"/>
        <v>410</v>
      </c>
    </row>
    <row r="260" spans="1:16" s="2" customFormat="1" hidden="1" x14ac:dyDescent="0.3">
      <c r="A260" s="118" t="str">
        <f t="shared" ca="1" si="61"/>
        <v>111 to 411</v>
      </c>
      <c r="B260" s="119"/>
      <c r="C260" s="64" t="s">
        <v>197</v>
      </c>
      <c r="D260" s="65">
        <f t="shared" si="93"/>
        <v>331.84335599999997</v>
      </c>
      <c r="E260" s="37">
        <v>0</v>
      </c>
      <c r="F260" s="37" t="e">
        <f>D260*((#REF!)+1)+E260</f>
        <v>#REF!</v>
      </c>
      <c r="G260" s="122"/>
      <c r="H260" s="123"/>
      <c r="I260" s="36"/>
      <c r="N260" s="2" t="str">
        <f t="shared" ca="1" si="62"/>
        <v>111 to 411</v>
      </c>
      <c r="O260" s="2">
        <f t="shared" ref="O260:P260" ca="1" si="95">O226+1</f>
        <v>111</v>
      </c>
      <c r="P260" s="2">
        <f t="shared" ca="1" si="95"/>
        <v>411</v>
      </c>
    </row>
    <row r="261" spans="1:16" s="2" customFormat="1" hidden="1" x14ac:dyDescent="0.3">
      <c r="A261" s="118" t="str">
        <f t="shared" ca="1" si="61"/>
        <v>112 to 412</v>
      </c>
      <c r="B261" s="119"/>
      <c r="C261" s="64" t="s">
        <v>197</v>
      </c>
      <c r="D261" s="65">
        <f t="shared" si="93"/>
        <v>331.84335599999997</v>
      </c>
      <c r="E261" s="37">
        <v>0</v>
      </c>
      <c r="F261" s="37" t="e">
        <f>D261*((#REF!)+1)+E261</f>
        <v>#REF!</v>
      </c>
      <c r="G261" s="124"/>
      <c r="H261" s="125"/>
      <c r="I261" s="36"/>
      <c r="N261" s="2" t="str">
        <f t="shared" ca="1" si="62"/>
        <v>112 to 412</v>
      </c>
      <c r="O261" s="2">
        <f t="shared" ref="O261:P261" ca="1" si="96">O260+1</f>
        <v>112</v>
      </c>
      <c r="P261" s="2">
        <f t="shared" ca="1" si="96"/>
        <v>412</v>
      </c>
    </row>
    <row r="262" spans="1:16" s="2" customFormat="1" hidden="1" x14ac:dyDescent="0.3">
      <c r="A262" s="114" t="s">
        <v>206</v>
      </c>
      <c r="B262" s="114"/>
      <c r="C262" s="114"/>
      <c r="D262" s="114"/>
      <c r="E262" s="114"/>
      <c r="F262" s="114"/>
      <c r="G262" s="114"/>
      <c r="H262" s="114"/>
      <c r="I262" s="36"/>
      <c r="L262" s="113"/>
      <c r="M262" s="113"/>
    </row>
    <row r="263" spans="1:16" s="2" customFormat="1" hidden="1" x14ac:dyDescent="0.3">
      <c r="A263" s="114" t="s">
        <v>195</v>
      </c>
      <c r="B263" s="114"/>
      <c r="C263" s="114"/>
      <c r="D263" s="114"/>
      <c r="E263" s="114"/>
      <c r="F263" s="114"/>
      <c r="G263" s="114"/>
      <c r="H263" s="114"/>
      <c r="I263" s="36"/>
      <c r="L263" s="113"/>
      <c r="M263" s="113"/>
    </row>
    <row r="264" spans="1:16" s="2" customFormat="1" hidden="1" x14ac:dyDescent="0.3">
      <c r="A264" s="115" t="s">
        <v>196</v>
      </c>
      <c r="B264" s="116"/>
      <c r="C264" s="116"/>
      <c r="D264" s="116"/>
      <c r="E264" s="116"/>
      <c r="F264" s="116"/>
      <c r="G264" s="116"/>
      <c r="H264" s="117"/>
      <c r="I264" s="36"/>
    </row>
    <row r="265" spans="1:16" s="2" customFormat="1" ht="15.75" hidden="1" customHeight="1" x14ac:dyDescent="0.3">
      <c r="A265" s="118" t="str">
        <f t="shared" ref="A265:A269" ca="1" si="97">N265</f>
        <v>101 to 401</v>
      </c>
      <c r="B265" s="119"/>
      <c r="C265" s="64" t="s">
        <v>199</v>
      </c>
      <c r="D265" s="65">
        <f>(33.747+2.95+5.7)*10.764</f>
        <v>456.36130800000001</v>
      </c>
      <c r="E265" s="37">
        <v>0</v>
      </c>
      <c r="F265" s="37" t="e">
        <f>D265*((#REF!)+1)+E265</f>
        <v>#REF!</v>
      </c>
      <c r="G265" s="120" t="str">
        <f>A264</f>
        <v>1st to 4th Floor</v>
      </c>
      <c r="H265" s="121"/>
      <c r="I265" s="36"/>
      <c r="N265" s="2" t="str">
        <f t="shared" ref="N265:N270" ca="1" si="98">O265&amp;""&amp;" to "&amp;""&amp;P265</f>
        <v>101 to 401</v>
      </c>
      <c r="O265" s="2">
        <f ca="1">(SUMPRODUCT(MID(0&amp;(LEFT(A264,SUM(LEN(A264)-LEN(SUBSTITUTE(A264,{"0","1","2"},""))))), LARGE(INDEX(ISNUMBER(--MID((LEFT(A264,SUM(LEN(A264)-LEN(SUBSTITUTE(A264,{"0","1","2"},""))))), ROW(INDIRECT("1:"&amp;LEN((LEFT(A264,SUM(LEN(A264)-LEN(SUBSTITUTE(A264,{"0","1","2"},"")))))))), 1)) * ROW(INDIRECT("1:"&amp;LEN((LEFT(A264,SUM(LEN(A264)-LEN(SUBSTITUTE(A264,{"0","1","2"},"")))))))), 0), ROW(INDIRECT("1:"&amp;LEN((LEFT(A264,SUM(LEN(A264)-LEN(SUBSTITUTE(A264,{"0","1","2"},"")))))))))+1, 1) * 10^ROW(INDIRECT("1:"&amp;LEN((LEFT(A264,SUM(LEN(A264)-LEN(SUBSTITUTE(A264,{"0","1","2"},""))))))))/10))*100+1</f>
        <v>101</v>
      </c>
      <c r="P265" s="2">
        <f ca="1">(SUMPRODUCT(MID(0&amp;(--TRIM(RIGHT(SUBSTITUTE(LEFT(A264,_xlfn.AGGREGATE(16,6,FIND({0,1,2,3,4,5,6,7,8,9},A264,ROW(INDIRECT("1:"&amp;LEN(A264)))),1))," ",REPT(" ",LEN(A264))),LEN(A264)))), LARGE(INDEX(ISNUMBER(--MID((--TRIM(RIGHT(SUBSTITUTE(LEFT(A264,_xlfn.AGGREGATE(16,6,FIND({0,1,2,3,4,5,6,7,8,9},A264,ROW(INDIRECT("1:"&amp;LEN(A264)))),1))," ",REPT(" ",LEN(A264))),LEN(A264)))), ROW(INDIRECT("1:"&amp;LEN((--TRIM(RIGHT(SUBSTITUTE(LEFT(A264,_xlfn.AGGREGATE(16,6,FIND({0,1,2,3,4,5,6,7,8,9},A264,ROW(INDIRECT("1:"&amp;LEN(A264)))),1))," ",REPT(" ",LEN(A264))),LEN(A264))))))), 1)) * ROW(INDIRECT("1:"&amp;LEN((--TRIM(RIGHT(SUBSTITUTE(LEFT(A264,_xlfn.AGGREGATE(16,6,FIND({0,1,2,3,4,5,6,7,8,9},A264,ROW(INDIRECT("1:"&amp;LEN(A264)))),1))," ",REPT(" ",LEN(A264))),LEN(A264))))))), 0), ROW(INDIRECT("1:"&amp;LEN((--TRIM(RIGHT(SUBSTITUTE(LEFT(A264,_xlfn.AGGREGATE(16,6,FIND({0,1,2,3,4,5,6,7,8,9},A264,ROW(INDIRECT("1:"&amp;LEN(A264)))),1))," ",REPT(" ",LEN(A264))),LEN(A264))))))))+1, 1) * 10^ROW(INDIRECT("1:"&amp;LEN((--TRIM(RIGHT(SUBSTITUTE(LEFT(A264,_xlfn.AGGREGATE(16,6,FIND({0,1,2,3,4,5,6,7,8,9},A264,ROW(INDIRECT("1:"&amp;LEN(A264)))),1))," ",REPT(" ",LEN(A264))),LEN(A264)))))))/10))*100+1</f>
        <v>401</v>
      </c>
    </row>
    <row r="266" spans="1:16" s="2" customFormat="1" ht="15.75" hidden="1" customHeight="1" x14ac:dyDescent="0.3">
      <c r="A266" s="118" t="str">
        <f t="shared" ca="1" si="97"/>
        <v>102 to 402</v>
      </c>
      <c r="B266" s="119"/>
      <c r="C266" s="64" t="s">
        <v>197</v>
      </c>
      <c r="D266" s="65">
        <f>(26.198+4.9+2.194)*10.764</f>
        <v>358.35508800000002</v>
      </c>
      <c r="E266" s="37">
        <v>0</v>
      </c>
      <c r="F266" s="37" t="e">
        <f>D266*((#REF!)+1)+E266</f>
        <v>#REF!</v>
      </c>
      <c r="G266" s="122"/>
      <c r="H266" s="123"/>
      <c r="I266" s="36"/>
      <c r="N266" s="2" t="str">
        <f t="shared" ca="1" si="98"/>
        <v>102 to 402</v>
      </c>
      <c r="O266" s="2">
        <f t="shared" ref="O266:P266" ca="1" si="99">O265+1</f>
        <v>102</v>
      </c>
      <c r="P266" s="2">
        <f t="shared" ca="1" si="99"/>
        <v>402</v>
      </c>
    </row>
    <row r="267" spans="1:16" s="2" customFormat="1" ht="15.75" hidden="1" customHeight="1" x14ac:dyDescent="0.3">
      <c r="A267" s="118" t="str">
        <f t="shared" ca="1" si="97"/>
        <v>103 to 403</v>
      </c>
      <c r="B267" s="119"/>
      <c r="C267" s="64" t="s">
        <v>197</v>
      </c>
      <c r="D267" s="65">
        <f>(26.198+4.9+2.194)*10.764</f>
        <v>358.35508800000002</v>
      </c>
      <c r="E267" s="37">
        <v>0</v>
      </c>
      <c r="F267" s="37" t="e">
        <f>D267*((#REF!)+1)+E267</f>
        <v>#REF!</v>
      </c>
      <c r="G267" s="122"/>
      <c r="H267" s="123"/>
      <c r="I267" s="36"/>
      <c r="N267" s="2" t="str">
        <f t="shared" ca="1" si="98"/>
        <v>103 to 403</v>
      </c>
      <c r="O267" s="2">
        <f t="shared" ref="O267:P267" ca="1" si="100">O266+1</f>
        <v>103</v>
      </c>
      <c r="P267" s="2">
        <f t="shared" ca="1" si="100"/>
        <v>403</v>
      </c>
    </row>
    <row r="268" spans="1:16" s="2" customFormat="1" ht="15.75" hidden="1" customHeight="1" x14ac:dyDescent="0.3">
      <c r="A268" s="118" t="str">
        <f t="shared" ca="1" si="97"/>
        <v>104 to 404</v>
      </c>
      <c r="B268" s="119"/>
      <c r="C268" s="64" t="s">
        <v>199</v>
      </c>
      <c r="D268" s="65">
        <f>(33.747+2.95+5.7)*10.764</f>
        <v>456.36130800000001</v>
      </c>
      <c r="E268" s="37">
        <v>0</v>
      </c>
      <c r="F268" s="37" t="e">
        <f>D268*((#REF!)+1)+E268</f>
        <v>#REF!</v>
      </c>
      <c r="G268" s="122"/>
      <c r="H268" s="123"/>
      <c r="I268" s="36"/>
      <c r="N268" s="2" t="str">
        <f t="shared" ca="1" si="98"/>
        <v>104 to 404</v>
      </c>
      <c r="O268" s="2">
        <f t="shared" ref="O268:P268" ca="1" si="101">O267+1</f>
        <v>104</v>
      </c>
      <c r="P268" s="2">
        <f t="shared" ca="1" si="101"/>
        <v>404</v>
      </c>
    </row>
    <row r="269" spans="1:16" s="2" customFormat="1" ht="15.75" hidden="1" customHeight="1" x14ac:dyDescent="0.3">
      <c r="A269" s="118" t="str">
        <f t="shared" ca="1" si="97"/>
        <v>105 to 405</v>
      </c>
      <c r="B269" s="119"/>
      <c r="C269" s="64" t="s">
        <v>197</v>
      </c>
      <c r="D269" s="65">
        <f>(32.25+7.675+2.287)*10.764</f>
        <v>454.36996799999991</v>
      </c>
      <c r="E269" s="37">
        <v>0</v>
      </c>
      <c r="F269" s="37" t="e">
        <f>D269*((#REF!)+1)+E269</f>
        <v>#REF!</v>
      </c>
      <c r="G269" s="122"/>
      <c r="H269" s="123"/>
      <c r="I269" s="36"/>
      <c r="N269" s="2" t="str">
        <f t="shared" ca="1" si="98"/>
        <v>105 to 405</v>
      </c>
      <c r="O269" s="2">
        <f t="shared" ref="O269:P269" ca="1" si="102">O268+1</f>
        <v>105</v>
      </c>
      <c r="P269" s="2">
        <f t="shared" ca="1" si="102"/>
        <v>405</v>
      </c>
    </row>
    <row r="270" spans="1:16" s="2" customFormat="1" ht="15.75" hidden="1" customHeight="1" x14ac:dyDescent="0.3">
      <c r="A270" s="118" t="str">
        <f ca="1">N270</f>
        <v>106 to 406</v>
      </c>
      <c r="B270" s="119"/>
      <c r="C270" s="64" t="s">
        <v>197</v>
      </c>
      <c r="D270" s="65">
        <f>(32.25+7.675+2.121)*10.764</f>
        <v>452.58314399999995</v>
      </c>
      <c r="E270" s="37">
        <v>0</v>
      </c>
      <c r="F270" s="37" t="e">
        <f>D270*((#REF!)+1)+E270</f>
        <v>#REF!</v>
      </c>
      <c r="G270" s="122"/>
      <c r="H270" s="123"/>
      <c r="I270" s="36"/>
      <c r="N270" s="2" t="str">
        <f t="shared" ca="1" si="98"/>
        <v>106 to 406</v>
      </c>
      <c r="O270" s="2">
        <f ca="1">O269+1</f>
        <v>106</v>
      </c>
      <c r="P270" s="2">
        <f t="shared" ref="P270" ca="1" si="103">P269+1</f>
        <v>406</v>
      </c>
    </row>
    <row r="271" spans="1:16" s="2" customFormat="1" ht="15.75" hidden="1" customHeight="1" x14ac:dyDescent="0.3">
      <c r="A271" s="118" t="str">
        <f ca="1">N271</f>
        <v>107 to 407</v>
      </c>
      <c r="B271" s="119"/>
      <c r="C271" s="64" t="s">
        <v>197</v>
      </c>
      <c r="D271" s="65">
        <f>(26.145+4.9+2.212)*10.764</f>
        <v>357.97834800000004</v>
      </c>
      <c r="E271" s="37">
        <v>0</v>
      </c>
      <c r="F271" s="37" t="e">
        <f>D271*((#REF!)+1)+E271</f>
        <v>#REF!</v>
      </c>
      <c r="G271" s="122"/>
      <c r="H271" s="123"/>
      <c r="I271" s="36"/>
      <c r="N271" s="2" t="str">
        <f ca="1">O271&amp;""&amp;" to "&amp;""&amp;P271</f>
        <v>107 to 407</v>
      </c>
      <c r="O271" s="2">
        <f ca="1">O270+1</f>
        <v>107</v>
      </c>
      <c r="P271" s="2">
        <f ca="1">P270+1</f>
        <v>407</v>
      </c>
    </row>
    <row r="272" spans="1:16" s="2" customFormat="1" ht="15.75" hidden="1" customHeight="1" x14ac:dyDescent="0.3">
      <c r="A272" s="118" t="str">
        <f t="shared" ref="A272:A276" ca="1" si="104">N272</f>
        <v>108 to 408</v>
      </c>
      <c r="B272" s="119"/>
      <c r="C272" s="64" t="s">
        <v>197</v>
      </c>
      <c r="D272" s="65">
        <f>(26.198+4.9+2.194)*10.764</f>
        <v>358.35508800000002</v>
      </c>
      <c r="E272" s="37">
        <v>0</v>
      </c>
      <c r="F272" s="37" t="e">
        <f>D272*((#REF!)+1)+E272</f>
        <v>#REF!</v>
      </c>
      <c r="G272" s="122"/>
      <c r="H272" s="123"/>
      <c r="I272" s="36"/>
      <c r="N272" s="2" t="str">
        <f t="shared" ref="N272:N276" ca="1" si="105">O272&amp;""&amp;" to "&amp;""&amp;P272</f>
        <v>108 to 408</v>
      </c>
      <c r="O272" s="2">
        <f t="shared" ref="O272:P272" ca="1" si="106">O271+1</f>
        <v>108</v>
      </c>
      <c r="P272" s="2">
        <f t="shared" ca="1" si="106"/>
        <v>408</v>
      </c>
    </row>
    <row r="273" spans="1:16" s="2" customFormat="1" hidden="1" x14ac:dyDescent="0.3">
      <c r="A273" s="118" t="str">
        <f t="shared" ca="1" si="104"/>
        <v>109 to 409</v>
      </c>
      <c r="B273" s="119"/>
      <c r="C273" s="64" t="s">
        <v>197</v>
      </c>
      <c r="D273" s="65">
        <f>(26.198+4.825+2.194)*10.764</f>
        <v>357.54778799999997</v>
      </c>
      <c r="E273" s="37">
        <v>0</v>
      </c>
      <c r="F273" s="37" t="e">
        <f>D273*((#REF!)+1)+E273</f>
        <v>#REF!</v>
      </c>
      <c r="G273" s="122"/>
      <c r="H273" s="123"/>
      <c r="I273" s="36"/>
      <c r="N273" s="2" t="str">
        <f t="shared" ca="1" si="105"/>
        <v>109 to 409</v>
      </c>
      <c r="O273" s="2">
        <f t="shared" ref="O273:P273" ca="1" si="107">O257+1</f>
        <v>109</v>
      </c>
      <c r="P273" s="2">
        <f t="shared" ca="1" si="107"/>
        <v>409</v>
      </c>
    </row>
    <row r="274" spans="1:16" s="2" customFormat="1" hidden="1" x14ac:dyDescent="0.3">
      <c r="A274" s="118" t="str">
        <f t="shared" ca="1" si="104"/>
        <v>110 to 410</v>
      </c>
      <c r="B274" s="119"/>
      <c r="C274" s="64" t="s">
        <v>197</v>
      </c>
      <c r="D274" s="65">
        <f>(26.198+4.825+2.25)*10.764</f>
        <v>358.15057199999995</v>
      </c>
      <c r="E274" s="37">
        <v>0</v>
      </c>
      <c r="F274" s="37" t="e">
        <f>D274*((#REF!)+1)+E274</f>
        <v>#REF!</v>
      </c>
      <c r="G274" s="122"/>
      <c r="H274" s="123"/>
      <c r="I274" s="36"/>
      <c r="N274" s="2" t="str">
        <f t="shared" ca="1" si="105"/>
        <v>110 to 410</v>
      </c>
      <c r="O274" s="2">
        <f t="shared" ref="O274:P274" ca="1" si="108">O273+1</f>
        <v>110</v>
      </c>
      <c r="P274" s="2">
        <f t="shared" ca="1" si="108"/>
        <v>410</v>
      </c>
    </row>
    <row r="275" spans="1:16" s="2" customFormat="1" hidden="1" x14ac:dyDescent="0.3">
      <c r="A275" s="118" t="str">
        <f t="shared" ca="1" si="104"/>
        <v>108 to 408</v>
      </c>
      <c r="B275" s="119"/>
      <c r="C275" s="64" t="s">
        <v>198</v>
      </c>
      <c r="D275" s="65">
        <f>(18.274+2.775+1.874)*10.764</f>
        <v>246.74317199999996</v>
      </c>
      <c r="E275" s="37">
        <v>0</v>
      </c>
      <c r="F275" s="37" t="e">
        <f>D275*((#REF!)+1)+E275</f>
        <v>#REF!</v>
      </c>
      <c r="G275" s="122"/>
      <c r="H275" s="123"/>
      <c r="I275" s="36"/>
      <c r="N275" s="2" t="str">
        <f t="shared" ca="1" si="105"/>
        <v>108 to 408</v>
      </c>
      <c r="O275" s="2">
        <f t="shared" ref="O275:P275" ca="1" si="109">O241+1</f>
        <v>108</v>
      </c>
      <c r="P275" s="2">
        <f t="shared" ca="1" si="109"/>
        <v>408</v>
      </c>
    </row>
    <row r="276" spans="1:16" s="2" customFormat="1" hidden="1" x14ac:dyDescent="0.3">
      <c r="A276" s="118" t="str">
        <f t="shared" ca="1" si="104"/>
        <v>109 to 409</v>
      </c>
      <c r="B276" s="119"/>
      <c r="C276" s="64" t="s">
        <v>198</v>
      </c>
      <c r="D276" s="65">
        <f>(18.274+2.775+1.818)*10.764</f>
        <v>246.140388</v>
      </c>
      <c r="E276" s="37">
        <v>0</v>
      </c>
      <c r="F276" s="37" t="e">
        <f>D276*((#REF!)+1)+E276</f>
        <v>#REF!</v>
      </c>
      <c r="G276" s="122"/>
      <c r="H276" s="123"/>
      <c r="I276" s="36"/>
      <c r="N276" s="2" t="str">
        <f t="shared" ca="1" si="105"/>
        <v>109 to 409</v>
      </c>
      <c r="O276" s="2">
        <f t="shared" ref="O276:P276" ca="1" si="110">O275+1</f>
        <v>109</v>
      </c>
      <c r="P276" s="2">
        <f t="shared" ca="1" si="110"/>
        <v>409</v>
      </c>
    </row>
    <row r="277" spans="1:16" s="2" customFormat="1" ht="15.75" hidden="1" customHeight="1" x14ac:dyDescent="0.3">
      <c r="A277" s="118" t="str">
        <f t="shared" ca="1" si="61"/>
        <v>113 to 413</v>
      </c>
      <c r="B277" s="119"/>
      <c r="C277" s="64" t="s">
        <v>198</v>
      </c>
      <c r="D277" s="65">
        <f t="shared" ref="D277:D278" si="111">(18.274+2.775+1.818)*10.764</f>
        <v>246.140388</v>
      </c>
      <c r="E277" s="37">
        <v>0</v>
      </c>
      <c r="F277" s="37" t="e">
        <f>D277*((#REF!)+1)+E277</f>
        <v>#REF!</v>
      </c>
      <c r="G277" s="122"/>
      <c r="H277" s="123"/>
      <c r="I277" s="36"/>
      <c r="N277" s="2" t="str">
        <f t="shared" ca="1" si="62"/>
        <v>113 to 413</v>
      </c>
      <c r="O277" s="2">
        <f t="shared" ref="O277:P277" ca="1" si="112">O261+1</f>
        <v>113</v>
      </c>
      <c r="P277" s="2">
        <f t="shared" ca="1" si="112"/>
        <v>413</v>
      </c>
    </row>
    <row r="278" spans="1:16" s="2" customFormat="1" hidden="1" x14ac:dyDescent="0.3">
      <c r="A278" s="118" t="str">
        <f t="shared" ca="1" si="61"/>
        <v>114 to 414</v>
      </c>
      <c r="B278" s="119"/>
      <c r="C278" s="64" t="s">
        <v>198</v>
      </c>
      <c r="D278" s="65">
        <f t="shared" si="111"/>
        <v>246.140388</v>
      </c>
      <c r="E278" s="37">
        <v>0</v>
      </c>
      <c r="F278" s="37" t="e">
        <f>D278*((#REF!)+1)+E278</f>
        <v>#REF!</v>
      </c>
      <c r="G278" s="122"/>
      <c r="H278" s="123"/>
      <c r="I278" s="36"/>
      <c r="N278" s="2" t="str">
        <f t="shared" ca="1" si="62"/>
        <v>114 to 414</v>
      </c>
      <c r="O278" s="2">
        <f t="shared" ref="O278:P278" ca="1" si="113">O277+1</f>
        <v>114</v>
      </c>
      <c r="P278" s="2">
        <f t="shared" ca="1" si="113"/>
        <v>414</v>
      </c>
    </row>
    <row r="279" spans="1:16" s="2" customFormat="1" hidden="1" x14ac:dyDescent="0.3">
      <c r="A279" s="118" t="str">
        <f t="shared" ca="1" si="61"/>
        <v>115 to 415</v>
      </c>
      <c r="B279" s="119"/>
      <c r="C279" s="64" t="s">
        <v>198</v>
      </c>
      <c r="D279" s="65">
        <f>(18.274+2.85+1.818)*10.764</f>
        <v>246.94768800000003</v>
      </c>
      <c r="E279" s="37">
        <v>0</v>
      </c>
      <c r="F279" s="37" t="e">
        <f>D279*((#REF!)+1)+E279</f>
        <v>#REF!</v>
      </c>
      <c r="G279" s="124"/>
      <c r="H279" s="125"/>
      <c r="I279" s="36"/>
      <c r="N279" s="2" t="str">
        <f t="shared" ca="1" si="62"/>
        <v>115 to 415</v>
      </c>
      <c r="O279" s="2">
        <f t="shared" ref="O279:P279" ca="1" si="114">O278+1</f>
        <v>115</v>
      </c>
      <c r="P279" s="2">
        <f t="shared" ca="1" si="114"/>
        <v>415</v>
      </c>
    </row>
    <row r="280" spans="1:16" s="2" customFormat="1" hidden="1" x14ac:dyDescent="0.3">
      <c r="A280" s="114" t="s">
        <v>207</v>
      </c>
      <c r="B280" s="114"/>
      <c r="C280" s="114"/>
      <c r="D280" s="114"/>
      <c r="E280" s="114"/>
      <c r="F280" s="114"/>
      <c r="G280" s="114"/>
      <c r="H280" s="114"/>
      <c r="I280" s="36"/>
      <c r="L280" s="113"/>
      <c r="M280" s="113"/>
    </row>
    <row r="281" spans="1:16" s="2" customFormat="1" hidden="1" x14ac:dyDescent="0.3">
      <c r="A281" s="114" t="s">
        <v>202</v>
      </c>
      <c r="B281" s="114"/>
      <c r="C281" s="114"/>
      <c r="D281" s="114"/>
      <c r="E281" s="114"/>
      <c r="F281" s="114"/>
      <c r="G281" s="114"/>
      <c r="H281" s="114"/>
      <c r="I281" s="36"/>
      <c r="L281" s="113"/>
      <c r="M281" s="113"/>
    </row>
    <row r="282" spans="1:16" s="2" customFormat="1" ht="15.75" hidden="1" customHeight="1" x14ac:dyDescent="0.3">
      <c r="A282" s="118">
        <v>1</v>
      </c>
      <c r="B282" s="119"/>
      <c r="C282" s="62" t="s">
        <v>197</v>
      </c>
      <c r="D282" s="63">
        <f>32.508*10.764</f>
        <v>349.916112</v>
      </c>
      <c r="E282" s="37">
        <v>0</v>
      </c>
      <c r="F282" s="37">
        <f>D282*(($F$154)+1)+E282</f>
        <v>559.86577920000002</v>
      </c>
      <c r="G282" s="120" t="str">
        <f>A281</f>
        <v>Ground Floor for Residential + Parking</v>
      </c>
      <c r="H282" s="121"/>
      <c r="I282" s="36"/>
      <c r="L282" s="113"/>
      <c r="M282" s="113"/>
      <c r="N282" s="36"/>
    </row>
    <row r="283" spans="1:16" s="2" customFormat="1" ht="15.75" hidden="1" customHeight="1" x14ac:dyDescent="0.3">
      <c r="A283" s="118">
        <f>A282+1</f>
        <v>2</v>
      </c>
      <c r="B283" s="119"/>
      <c r="C283" s="62" t="s">
        <v>197</v>
      </c>
      <c r="D283" s="63">
        <f t="shared" ref="D283:D285" si="115">32.508*10.764</f>
        <v>349.916112</v>
      </c>
      <c r="E283" s="37">
        <v>0</v>
      </c>
      <c r="F283" s="37">
        <f t="shared" ref="F283:F285" si="116">D283*(($F$154)+1)+E283</f>
        <v>559.86577920000002</v>
      </c>
      <c r="G283" s="122"/>
      <c r="H283" s="123"/>
      <c r="I283" s="36"/>
      <c r="L283" s="113"/>
      <c r="M283" s="113"/>
      <c r="N283" s="36"/>
    </row>
    <row r="284" spans="1:16" s="2" customFormat="1" ht="15.75" hidden="1" customHeight="1" x14ac:dyDescent="0.3">
      <c r="A284" s="118">
        <f t="shared" ref="A284:A285" si="117">A283+1</f>
        <v>3</v>
      </c>
      <c r="B284" s="119"/>
      <c r="C284" s="62" t="s">
        <v>197</v>
      </c>
      <c r="D284" s="63">
        <f t="shared" si="115"/>
        <v>349.916112</v>
      </c>
      <c r="E284" s="37">
        <v>0</v>
      </c>
      <c r="F284" s="37">
        <f t="shared" si="116"/>
        <v>559.86577920000002</v>
      </c>
      <c r="G284" s="122"/>
      <c r="H284" s="123"/>
      <c r="I284" s="36"/>
      <c r="L284" s="113"/>
      <c r="M284" s="113"/>
      <c r="N284" s="36"/>
    </row>
    <row r="285" spans="1:16" s="2" customFormat="1" ht="15.75" hidden="1" customHeight="1" x14ac:dyDescent="0.3">
      <c r="A285" s="118">
        <f t="shared" si="117"/>
        <v>4</v>
      </c>
      <c r="B285" s="119"/>
      <c r="C285" s="62" t="s">
        <v>197</v>
      </c>
      <c r="D285" s="63">
        <f t="shared" si="115"/>
        <v>349.916112</v>
      </c>
      <c r="E285" s="37">
        <v>0</v>
      </c>
      <c r="F285" s="37">
        <f t="shared" si="116"/>
        <v>559.86577920000002</v>
      </c>
      <c r="G285" s="124"/>
      <c r="H285" s="125"/>
      <c r="I285" s="36"/>
      <c r="L285" s="113"/>
      <c r="M285" s="113"/>
      <c r="N285" s="36"/>
    </row>
    <row r="286" spans="1:16" s="2" customFormat="1" hidden="1" x14ac:dyDescent="0.3">
      <c r="A286" s="115" t="s">
        <v>196</v>
      </c>
      <c r="B286" s="116"/>
      <c r="C286" s="116"/>
      <c r="D286" s="116"/>
      <c r="E286" s="116"/>
      <c r="F286" s="116"/>
      <c r="G286" s="116"/>
      <c r="H286" s="117"/>
      <c r="I286" s="36"/>
    </row>
    <row r="287" spans="1:16" s="2" customFormat="1" ht="15.75" hidden="1" customHeight="1" x14ac:dyDescent="0.3">
      <c r="A287" s="118" t="str">
        <f t="shared" ref="A287:A291" ca="1" si="118">N287</f>
        <v>101 to 401</v>
      </c>
      <c r="B287" s="119"/>
      <c r="C287" s="62" t="s">
        <v>197</v>
      </c>
      <c r="D287" s="63">
        <f>(27.563+5.98+2.194)*10.764</f>
        <v>384.673068</v>
      </c>
      <c r="E287" s="37">
        <v>0</v>
      </c>
      <c r="F287" s="37" t="e">
        <f>D287*((#REF!)+1)+E287</f>
        <v>#REF!</v>
      </c>
      <c r="G287" s="120" t="str">
        <f>A286</f>
        <v>1st to 4th Floor</v>
      </c>
      <c r="H287" s="121"/>
      <c r="I287" s="36"/>
      <c r="N287" s="2" t="str">
        <f t="shared" ref="N287:N292" ca="1" si="119">O287&amp;""&amp;" to "&amp;""&amp;P287</f>
        <v>101 to 401</v>
      </c>
      <c r="O287" s="2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10^ROW(INDIRECT("1:"&amp;LEN((LEFT(A286,SUM(LEN(A286)-LEN(SUBSTITUTE(A286,{"0","1","2"},""))))))))/10))*100+1</f>
        <v>101</v>
      </c>
      <c r="P287" s="2">
        <f ca="1">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",LEN(A286))),LEN(A286)))))))/10))*100+1</f>
        <v>401</v>
      </c>
    </row>
    <row r="288" spans="1:16" s="2" customFormat="1" ht="15.75" hidden="1" customHeight="1" x14ac:dyDescent="0.3">
      <c r="A288" s="118" t="str">
        <f t="shared" ca="1" si="118"/>
        <v>102 to 402</v>
      </c>
      <c r="B288" s="119"/>
      <c r="C288" s="62" t="s">
        <v>197</v>
      </c>
      <c r="D288" s="63">
        <f>(27.563+5.98+2.194)*10.764</f>
        <v>384.673068</v>
      </c>
      <c r="E288" s="37">
        <v>0</v>
      </c>
      <c r="F288" s="37" t="e">
        <f>D288*((#REF!)+1)+E288</f>
        <v>#REF!</v>
      </c>
      <c r="G288" s="122"/>
      <c r="H288" s="123"/>
      <c r="I288" s="36"/>
      <c r="N288" s="2" t="str">
        <f t="shared" ca="1" si="119"/>
        <v>102 to 402</v>
      </c>
      <c r="O288" s="2">
        <f t="shared" ref="O288:P288" ca="1" si="120">O287+1</f>
        <v>102</v>
      </c>
      <c r="P288" s="2">
        <f t="shared" ca="1" si="120"/>
        <v>402</v>
      </c>
    </row>
    <row r="289" spans="1:16" s="2" customFormat="1" ht="15.75" hidden="1" customHeight="1" x14ac:dyDescent="0.3">
      <c r="A289" s="118" t="str">
        <f t="shared" ca="1" si="118"/>
        <v>103 to 403</v>
      </c>
      <c r="B289" s="119"/>
      <c r="C289" s="62" t="s">
        <v>197</v>
      </c>
      <c r="D289" s="63">
        <f>(27.563+5.98+2.194)*10.764</f>
        <v>384.673068</v>
      </c>
      <c r="E289" s="37">
        <v>0</v>
      </c>
      <c r="F289" s="37" t="e">
        <f>D289*((#REF!)+1)+E289</f>
        <v>#REF!</v>
      </c>
      <c r="G289" s="122"/>
      <c r="H289" s="123"/>
      <c r="I289" s="36"/>
      <c r="N289" s="2" t="str">
        <f t="shared" ca="1" si="119"/>
        <v>103 to 403</v>
      </c>
      <c r="O289" s="2">
        <f t="shared" ref="O289:P289" ca="1" si="121">O288+1</f>
        <v>103</v>
      </c>
      <c r="P289" s="2">
        <f t="shared" ca="1" si="121"/>
        <v>403</v>
      </c>
    </row>
    <row r="290" spans="1:16" s="2" customFormat="1" ht="15.75" hidden="1" customHeight="1" x14ac:dyDescent="0.3">
      <c r="A290" s="118" t="str">
        <f t="shared" ca="1" si="118"/>
        <v>104 to 404</v>
      </c>
      <c r="B290" s="119"/>
      <c r="C290" s="62" t="s">
        <v>199</v>
      </c>
      <c r="D290" s="63">
        <f>(36.077+5.972+4.331)*10.764</f>
        <v>499.23432000000003</v>
      </c>
      <c r="E290" s="37">
        <v>0</v>
      </c>
      <c r="F290" s="37" t="e">
        <f>D290*((#REF!)+1)+E290</f>
        <v>#REF!</v>
      </c>
      <c r="G290" s="122"/>
      <c r="H290" s="123"/>
      <c r="I290" s="36"/>
      <c r="N290" s="2" t="str">
        <f t="shared" ca="1" si="119"/>
        <v>104 to 404</v>
      </c>
      <c r="O290" s="2">
        <f t="shared" ref="O290:P290" ca="1" si="122">O289+1</f>
        <v>104</v>
      </c>
      <c r="P290" s="2">
        <f t="shared" ca="1" si="122"/>
        <v>404</v>
      </c>
    </row>
    <row r="291" spans="1:16" s="2" customFormat="1" ht="15.75" hidden="1" customHeight="1" x14ac:dyDescent="0.3">
      <c r="A291" s="118" t="str">
        <f t="shared" ca="1" si="118"/>
        <v>105 to 405</v>
      </c>
      <c r="B291" s="119"/>
      <c r="C291" s="62" t="s">
        <v>199</v>
      </c>
      <c r="D291" s="63">
        <f>(36.077+5.972+2.222)*10.764</f>
        <v>476.53304399999996</v>
      </c>
      <c r="E291" s="37">
        <v>0</v>
      </c>
      <c r="F291" s="37" t="e">
        <f>D291*((#REF!)+1)+E291</f>
        <v>#REF!</v>
      </c>
      <c r="G291" s="122"/>
      <c r="H291" s="123"/>
      <c r="I291" s="36"/>
      <c r="N291" s="2" t="str">
        <f t="shared" ca="1" si="119"/>
        <v>105 to 405</v>
      </c>
      <c r="O291" s="2">
        <f t="shared" ref="O291:P291" ca="1" si="123">O290+1</f>
        <v>105</v>
      </c>
      <c r="P291" s="2">
        <f t="shared" ca="1" si="123"/>
        <v>405</v>
      </c>
    </row>
    <row r="292" spans="1:16" s="2" customFormat="1" ht="15.75" hidden="1" customHeight="1" x14ac:dyDescent="0.3">
      <c r="A292" s="118" t="str">
        <f ca="1">N292</f>
        <v>106 to 406</v>
      </c>
      <c r="B292" s="119"/>
      <c r="C292" s="62" t="s">
        <v>199</v>
      </c>
      <c r="D292" s="63">
        <f>(36.077+5.972+4.266)*10.764</f>
        <v>498.53465999999992</v>
      </c>
      <c r="E292" s="37">
        <v>0</v>
      </c>
      <c r="F292" s="37" t="e">
        <f>D292*((#REF!)+1)+E292</f>
        <v>#REF!</v>
      </c>
      <c r="G292" s="122"/>
      <c r="H292" s="123"/>
      <c r="I292" s="36"/>
      <c r="N292" s="2" t="str">
        <f t="shared" ca="1" si="119"/>
        <v>106 to 406</v>
      </c>
      <c r="O292" s="2">
        <f ca="1">O291+1</f>
        <v>106</v>
      </c>
      <c r="P292" s="2">
        <f t="shared" ref="P292" ca="1" si="124">P291+1</f>
        <v>406</v>
      </c>
    </row>
    <row r="293" spans="1:16" s="2" customFormat="1" ht="15.75" hidden="1" customHeight="1" x14ac:dyDescent="0.3">
      <c r="A293" s="118" t="str">
        <f ca="1">N293</f>
        <v>107 to 407</v>
      </c>
      <c r="B293" s="119"/>
      <c r="C293" s="62" t="s">
        <v>199</v>
      </c>
      <c r="D293" s="63">
        <f>(36.077+5.972+4.331)*10.764</f>
        <v>499.23432000000003</v>
      </c>
      <c r="E293" s="37">
        <v>0</v>
      </c>
      <c r="F293" s="37" t="e">
        <f>D293*((#REF!)+1)+E293</f>
        <v>#REF!</v>
      </c>
      <c r="G293" s="122"/>
      <c r="H293" s="123"/>
      <c r="I293" s="36"/>
      <c r="N293" s="2" t="str">
        <f ca="1">O293&amp;""&amp;" to "&amp;""&amp;P293</f>
        <v>107 to 407</v>
      </c>
      <c r="O293" s="2">
        <f ca="1">O292+1</f>
        <v>107</v>
      </c>
      <c r="P293" s="2">
        <f ca="1">P292+1</f>
        <v>407</v>
      </c>
    </row>
    <row r="294" spans="1:16" s="2" customFormat="1" ht="15.75" hidden="1" customHeight="1" x14ac:dyDescent="0.3">
      <c r="A294" s="118" t="str">
        <f t="shared" ref="A294" ca="1" si="125">N294</f>
        <v>108 to 408</v>
      </c>
      <c r="B294" s="119"/>
      <c r="C294" s="62" t="s">
        <v>197</v>
      </c>
      <c r="D294" s="63">
        <f>(27.563+5.98+2.194)*10.764</f>
        <v>384.673068</v>
      </c>
      <c r="E294" s="37">
        <v>0</v>
      </c>
      <c r="F294" s="37" t="e">
        <f>D294*((#REF!)+1)+E294</f>
        <v>#REF!</v>
      </c>
      <c r="G294" s="124"/>
      <c r="H294" s="125"/>
      <c r="I294" s="36"/>
      <c r="N294" s="2" t="str">
        <f t="shared" ref="N294" ca="1" si="126">O294&amp;""&amp;" to "&amp;""&amp;P294</f>
        <v>108 to 408</v>
      </c>
      <c r="O294" s="2">
        <f t="shared" ref="O294:P294" ca="1" si="127">O293+1</f>
        <v>108</v>
      </c>
      <c r="P294" s="2">
        <f t="shared" ca="1" si="127"/>
        <v>408</v>
      </c>
    </row>
    <row r="295" spans="1:16" s="1" customFormat="1" x14ac:dyDescent="0.3">
      <c r="A295" s="159" t="s">
        <v>78</v>
      </c>
      <c r="B295" s="159"/>
      <c r="C295" s="159"/>
      <c r="D295" s="159"/>
      <c r="E295" s="159"/>
      <c r="F295" s="159"/>
      <c r="G295" s="159"/>
      <c r="H295" s="159"/>
    </row>
    <row r="296" spans="1:16" s="1" customFormat="1" ht="65.25" customHeight="1" x14ac:dyDescent="0.3">
      <c r="A296" s="60">
        <v>1</v>
      </c>
      <c r="B296" s="188" t="s">
        <v>285</v>
      </c>
      <c r="C296" s="189"/>
      <c r="D296" s="189"/>
      <c r="E296" s="189"/>
      <c r="F296" s="189"/>
      <c r="G296" s="189"/>
      <c r="H296" s="190"/>
      <c r="I296" s="1" t="s">
        <v>279</v>
      </c>
      <c r="J296" s="1" t="s">
        <v>282</v>
      </c>
    </row>
    <row r="297" spans="1:16" s="1" customFormat="1" x14ac:dyDescent="0.3">
      <c r="A297" s="60">
        <f>A296+1</f>
        <v>2</v>
      </c>
      <c r="B297" s="188" t="s">
        <v>259</v>
      </c>
      <c r="C297" s="189"/>
      <c r="D297" s="189"/>
      <c r="E297" s="189"/>
      <c r="F297" s="189"/>
      <c r="G297" s="189"/>
      <c r="H297" s="190"/>
    </row>
    <row r="298" spans="1:16" s="1" customFormat="1" x14ac:dyDescent="0.3">
      <c r="A298" s="60">
        <f t="shared" ref="A298:A302" si="128">A297+1</f>
        <v>3</v>
      </c>
      <c r="B298" s="188" t="s">
        <v>168</v>
      </c>
      <c r="C298" s="189"/>
      <c r="D298" s="189"/>
      <c r="E298" s="189"/>
      <c r="F298" s="189"/>
      <c r="G298" s="189"/>
      <c r="H298" s="190"/>
    </row>
    <row r="299" spans="1:16" s="1" customFormat="1" x14ac:dyDescent="0.3">
      <c r="A299" s="60">
        <f t="shared" si="128"/>
        <v>4</v>
      </c>
      <c r="B299" s="188" t="s">
        <v>251</v>
      </c>
      <c r="C299" s="189"/>
      <c r="D299" s="189"/>
      <c r="E299" s="189"/>
      <c r="F299" s="189"/>
      <c r="G299" s="189"/>
      <c r="H299" s="190"/>
    </row>
    <row r="300" spans="1:16" s="1" customFormat="1" x14ac:dyDescent="0.3">
      <c r="A300" s="60">
        <f t="shared" si="128"/>
        <v>5</v>
      </c>
      <c r="B300" s="188" t="s">
        <v>169</v>
      </c>
      <c r="C300" s="189"/>
      <c r="D300" s="189"/>
      <c r="E300" s="189"/>
      <c r="F300" s="189"/>
      <c r="G300" s="189"/>
      <c r="H300" s="190"/>
    </row>
    <row r="301" spans="1:16" s="1" customFormat="1" x14ac:dyDescent="0.3">
      <c r="A301" s="60">
        <f t="shared" si="128"/>
        <v>6</v>
      </c>
      <c r="B301" s="188" t="s">
        <v>170</v>
      </c>
      <c r="C301" s="189"/>
      <c r="D301" s="189"/>
      <c r="E301" s="189"/>
      <c r="F301" s="189"/>
      <c r="G301" s="189"/>
      <c r="H301" s="190"/>
    </row>
    <row r="302" spans="1:16" s="1" customFormat="1" x14ac:dyDescent="0.3">
      <c r="A302" s="60">
        <f t="shared" si="128"/>
        <v>7</v>
      </c>
      <c r="B302" s="188" t="s">
        <v>284</v>
      </c>
      <c r="C302" s="189"/>
      <c r="D302" s="189"/>
      <c r="E302" s="189"/>
      <c r="F302" s="189"/>
      <c r="G302" s="189"/>
      <c r="H302" s="190"/>
    </row>
    <row r="303" spans="1:16" x14ac:dyDescent="0.3">
      <c r="A303" s="141" t="s">
        <v>71</v>
      </c>
      <c r="B303" s="141"/>
      <c r="C303" s="141"/>
      <c r="D303" s="141"/>
      <c r="E303" s="141"/>
      <c r="F303" s="141"/>
      <c r="G303" s="141"/>
      <c r="H303" s="141"/>
    </row>
    <row r="304" spans="1:16" x14ac:dyDescent="0.3">
      <c r="A304" s="79" t="s">
        <v>72</v>
      </c>
      <c r="B304" s="79"/>
      <c r="C304" s="79"/>
      <c r="D304" s="79"/>
      <c r="E304" s="79"/>
      <c r="F304" s="79"/>
      <c r="G304" s="79"/>
      <c r="H304" s="79"/>
    </row>
    <row r="305" spans="1:8" ht="15.75" customHeight="1" x14ac:dyDescent="0.3">
      <c r="A305" s="126" t="s">
        <v>73</v>
      </c>
      <c r="B305" s="126"/>
      <c r="C305" s="126"/>
      <c r="D305" s="126"/>
      <c r="E305" s="126"/>
      <c r="F305" s="126"/>
      <c r="G305" s="126"/>
      <c r="H305" s="126"/>
    </row>
    <row r="306" spans="1:8" x14ac:dyDescent="0.3">
      <c r="A306" s="79" t="s">
        <v>74</v>
      </c>
      <c r="B306" s="79"/>
      <c r="C306" s="79"/>
      <c r="D306" s="79"/>
      <c r="E306" s="79"/>
      <c r="F306" s="79"/>
      <c r="G306" s="79"/>
      <c r="H306" s="79"/>
    </row>
    <row r="307" spans="1:8" x14ac:dyDescent="0.3">
      <c r="A307" s="79" t="s">
        <v>75</v>
      </c>
      <c r="B307" s="79"/>
      <c r="C307" s="79"/>
      <c r="D307" s="79"/>
      <c r="E307" s="79"/>
      <c r="F307" s="79"/>
      <c r="G307" s="79"/>
      <c r="H307" s="79"/>
    </row>
    <row r="308" spans="1:8" x14ac:dyDescent="0.3">
      <c r="A308" s="79" t="s">
        <v>171</v>
      </c>
      <c r="B308" s="79"/>
      <c r="C308" s="79"/>
      <c r="D308" s="79"/>
      <c r="E308" s="79"/>
      <c r="F308" s="79"/>
      <c r="G308" s="79"/>
      <c r="H308" s="79"/>
    </row>
    <row r="309" spans="1:8" ht="31.5" customHeight="1" x14ac:dyDescent="0.3">
      <c r="A309" s="88" t="s">
        <v>172</v>
      </c>
      <c r="B309" s="88"/>
      <c r="C309" s="88"/>
      <c r="D309" s="88"/>
      <c r="E309" s="88"/>
      <c r="F309" s="88"/>
      <c r="G309" s="88"/>
      <c r="H309" s="88"/>
    </row>
    <row r="310" spans="1:8" x14ac:dyDescent="0.3">
      <c r="A310" s="157" t="s">
        <v>110</v>
      </c>
      <c r="B310" s="157"/>
      <c r="C310" s="157" t="s">
        <v>277</v>
      </c>
      <c r="D310" s="157"/>
      <c r="E310" s="157" t="s">
        <v>148</v>
      </c>
      <c r="F310" s="157"/>
      <c r="G310" s="157" t="s">
        <v>286</v>
      </c>
      <c r="H310" s="157"/>
    </row>
    <row r="311" spans="1:8" x14ac:dyDescent="0.3">
      <c r="A311" s="156" t="s">
        <v>113</v>
      </c>
      <c r="B311" s="156"/>
      <c r="C311" s="156"/>
      <c r="D311" s="156"/>
      <c r="E311" s="156"/>
      <c r="F311" s="156"/>
      <c r="G311" s="156"/>
      <c r="H311" s="156"/>
    </row>
    <row r="312" spans="1:8" x14ac:dyDescent="0.3">
      <c r="A312" s="156"/>
      <c r="B312" s="156"/>
      <c r="C312" s="156"/>
      <c r="D312" s="156"/>
      <c r="E312" s="156"/>
      <c r="F312" s="156"/>
      <c r="G312" s="156"/>
      <c r="H312" s="156"/>
    </row>
    <row r="313" spans="1:8" x14ac:dyDescent="0.3">
      <c r="A313" s="156"/>
      <c r="B313" s="156"/>
      <c r="C313" s="156"/>
      <c r="D313" s="156"/>
      <c r="E313" s="156"/>
      <c r="F313" s="156"/>
      <c r="G313" s="156"/>
      <c r="H313" s="156"/>
    </row>
    <row r="314" spans="1:8" x14ac:dyDescent="0.3">
      <c r="A314" s="14" t="s">
        <v>76</v>
      </c>
      <c r="B314" s="15"/>
      <c r="C314" s="15"/>
      <c r="D314" s="14" t="str">
        <f>E8</f>
        <v>SPM Lake City Phase II</v>
      </c>
      <c r="F314" s="15"/>
      <c r="G314" s="15"/>
      <c r="H314" s="15"/>
    </row>
    <row r="315" spans="1:8" x14ac:dyDescent="0.3">
      <c r="A315" s="15"/>
      <c r="B315" s="15"/>
      <c r="C315" s="15"/>
      <c r="D315" s="15"/>
      <c r="E315" s="15"/>
      <c r="F315" s="15"/>
      <c r="G315" s="15"/>
      <c r="H315" s="15"/>
    </row>
    <row r="316" spans="1:8" x14ac:dyDescent="0.3">
      <c r="A316" s="15"/>
      <c r="B316" s="15"/>
      <c r="C316" s="15"/>
      <c r="D316" s="15"/>
      <c r="E316" s="15"/>
      <c r="F316" s="15"/>
      <c r="G316" s="15"/>
      <c r="H316" s="15"/>
    </row>
    <row r="317" spans="1:8" ht="15" customHeight="1" x14ac:dyDescent="0.3"/>
    <row r="355" spans="1:1" x14ac:dyDescent="0.3">
      <c r="A355" s="17" t="s">
        <v>77</v>
      </c>
    </row>
  </sheetData>
  <mergeCells count="513">
    <mergeCell ref="M10:P10"/>
    <mergeCell ref="B302:H302"/>
    <mergeCell ref="I10:L10"/>
    <mergeCell ref="I123:N130"/>
    <mergeCell ref="B301:H301"/>
    <mergeCell ref="B296:H296"/>
    <mergeCell ref="B297:H297"/>
    <mergeCell ref="B298:H298"/>
    <mergeCell ref="B299:H299"/>
    <mergeCell ref="B300:H300"/>
    <mergeCell ref="A79:B79"/>
    <mergeCell ref="C79:H79"/>
    <mergeCell ref="A80:B80"/>
    <mergeCell ref="E80:F80"/>
    <mergeCell ref="G80:H80"/>
    <mergeCell ref="A88:B88"/>
    <mergeCell ref="A89:B89"/>
    <mergeCell ref="A90:B90"/>
    <mergeCell ref="A93:B93"/>
    <mergeCell ref="C93:H93"/>
    <mergeCell ref="A94:B94"/>
    <mergeCell ref="E94:F94"/>
    <mergeCell ref="G94:H94"/>
    <mergeCell ref="A95:B95"/>
    <mergeCell ref="A105:B105"/>
    <mergeCell ref="L162:M162"/>
    <mergeCell ref="L161:M161"/>
    <mergeCell ref="G158:H158"/>
    <mergeCell ref="G156:H156"/>
    <mergeCell ref="G162:H162"/>
    <mergeCell ref="G161:H161"/>
    <mergeCell ref="G157:H157"/>
    <mergeCell ref="G160:H160"/>
    <mergeCell ref="G159:H159"/>
    <mergeCell ref="L160:M160"/>
    <mergeCell ref="L159:M159"/>
    <mergeCell ref="L158:M158"/>
    <mergeCell ref="L157:M157"/>
    <mergeCell ref="L156:M156"/>
    <mergeCell ref="G153:H154"/>
    <mergeCell ref="C121:H121"/>
    <mergeCell ref="F124:H124"/>
    <mergeCell ref="A124:E124"/>
    <mergeCell ref="A133:E133"/>
    <mergeCell ref="A125:E125"/>
    <mergeCell ref="A126:E126"/>
    <mergeCell ref="F126:H126"/>
    <mergeCell ref="A127:E127"/>
    <mergeCell ref="F127:H127"/>
    <mergeCell ref="F129:H129"/>
    <mergeCell ref="E142:F142"/>
    <mergeCell ref="G142:H142"/>
    <mergeCell ref="A143:B143"/>
    <mergeCell ref="C143:D143"/>
    <mergeCell ref="E143:F143"/>
    <mergeCell ref="G143:H143"/>
    <mergeCell ref="A145:H145"/>
    <mergeCell ref="C153:C154"/>
    <mergeCell ref="A144:B144"/>
    <mergeCell ref="C144:D144"/>
    <mergeCell ref="E144:F144"/>
    <mergeCell ref="D153:D154"/>
    <mergeCell ref="A150:B150"/>
    <mergeCell ref="A162:B162"/>
    <mergeCell ref="A156:B156"/>
    <mergeCell ref="A157:B157"/>
    <mergeCell ref="A158:B158"/>
    <mergeCell ref="A159:B159"/>
    <mergeCell ref="A160:B160"/>
    <mergeCell ref="F130:H130"/>
    <mergeCell ref="F133:H133"/>
    <mergeCell ref="F131:H131"/>
    <mergeCell ref="A152:H152"/>
    <mergeCell ref="G137:H137"/>
    <mergeCell ref="A132:E132"/>
    <mergeCell ref="C138:D138"/>
    <mergeCell ref="E138:F138"/>
    <mergeCell ref="B153:B154"/>
    <mergeCell ref="A153:A154"/>
    <mergeCell ref="A146:B146"/>
    <mergeCell ref="C146:D146"/>
    <mergeCell ref="E146:F146"/>
    <mergeCell ref="G146:H146"/>
    <mergeCell ref="A142:B142"/>
    <mergeCell ref="C142:D142"/>
    <mergeCell ref="A155:H155"/>
    <mergeCell ref="E153:E154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6:H36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1:H11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1:C61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E66:F66"/>
    <mergeCell ref="A62:C62"/>
    <mergeCell ref="D62:H62"/>
    <mergeCell ref="A67:B67"/>
    <mergeCell ref="G66:H66"/>
    <mergeCell ref="A65:B65"/>
    <mergeCell ref="A63:B63"/>
    <mergeCell ref="C63:H63"/>
    <mergeCell ref="A71:B71"/>
    <mergeCell ref="A70:B70"/>
    <mergeCell ref="A311:H313"/>
    <mergeCell ref="A310:B310"/>
    <mergeCell ref="E310:F310"/>
    <mergeCell ref="C310:D310"/>
    <mergeCell ref="G310:H310"/>
    <mergeCell ref="A136:H136"/>
    <mergeCell ref="A134:E134"/>
    <mergeCell ref="F134:H134"/>
    <mergeCell ref="A135:E135"/>
    <mergeCell ref="F135:H135"/>
    <mergeCell ref="A166:H166"/>
    <mergeCell ref="A138:B138"/>
    <mergeCell ref="A306:H306"/>
    <mergeCell ref="A139:H139"/>
    <mergeCell ref="A309:H309"/>
    <mergeCell ref="A307:H307"/>
    <mergeCell ref="A295:H295"/>
    <mergeCell ref="A303:H303"/>
    <mergeCell ref="A304:H304"/>
    <mergeCell ref="C140:D140"/>
    <mergeCell ref="E140:F140"/>
    <mergeCell ref="G140:H140"/>
    <mergeCell ref="A163:H163"/>
    <mergeCell ref="A161:B161"/>
    <mergeCell ref="A308:H308"/>
    <mergeCell ref="G46:H46"/>
    <mergeCell ref="G48:H48"/>
    <mergeCell ref="D52:H52"/>
    <mergeCell ref="C48:E48"/>
    <mergeCell ref="D55:H55"/>
    <mergeCell ref="D56:H56"/>
    <mergeCell ref="C49:H49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D54:H54"/>
    <mergeCell ref="A54:C54"/>
    <mergeCell ref="G47:H47"/>
    <mergeCell ref="A48:B49"/>
    <mergeCell ref="A55:C58"/>
    <mergeCell ref="D58:H58"/>
    <mergeCell ref="D57:H57"/>
    <mergeCell ref="A305:H305"/>
    <mergeCell ref="A140:B140"/>
    <mergeCell ref="G164:H164"/>
    <mergeCell ref="A85:B85"/>
    <mergeCell ref="A86:B86"/>
    <mergeCell ref="A87:B87"/>
    <mergeCell ref="A101:B101"/>
    <mergeCell ref="F123:H123"/>
    <mergeCell ref="A120:H120"/>
    <mergeCell ref="A121:B121"/>
    <mergeCell ref="A165:H165"/>
    <mergeCell ref="A177:B177"/>
    <mergeCell ref="A122:H122"/>
    <mergeCell ref="G138:H138"/>
    <mergeCell ref="A104:B104"/>
    <mergeCell ref="C137:D137"/>
    <mergeCell ref="E137:F137"/>
    <mergeCell ref="A119:E119"/>
    <mergeCell ref="F119:H119"/>
    <mergeCell ref="A151:H151"/>
    <mergeCell ref="A137:B137"/>
    <mergeCell ref="G169:H188"/>
    <mergeCell ref="A183:B183"/>
    <mergeCell ref="A184:B184"/>
    <mergeCell ref="L165:M165"/>
    <mergeCell ref="A167:H167"/>
    <mergeCell ref="L167:M167"/>
    <mergeCell ref="A175:B175"/>
    <mergeCell ref="A176:B176"/>
    <mergeCell ref="A193:B193"/>
    <mergeCell ref="A194:B194"/>
    <mergeCell ref="A195:B195"/>
    <mergeCell ref="A196:B196"/>
    <mergeCell ref="A168:H168"/>
    <mergeCell ref="L166:M166"/>
    <mergeCell ref="A174:B174"/>
    <mergeCell ref="A169:B169"/>
    <mergeCell ref="A170:B170"/>
    <mergeCell ref="A171:B171"/>
    <mergeCell ref="A172:B172"/>
    <mergeCell ref="A173:B173"/>
    <mergeCell ref="A188:B188"/>
    <mergeCell ref="A189:H189"/>
    <mergeCell ref="L189:M189"/>
    <mergeCell ref="A190:H190"/>
    <mergeCell ref="L190:M190"/>
    <mergeCell ref="A191:H191"/>
    <mergeCell ref="A192:B192"/>
    <mergeCell ref="L213:M213"/>
    <mergeCell ref="A185:B185"/>
    <mergeCell ref="A186:B186"/>
    <mergeCell ref="A187:B187"/>
    <mergeCell ref="A178:B178"/>
    <mergeCell ref="A179:B179"/>
    <mergeCell ref="A180:B180"/>
    <mergeCell ref="A181:B181"/>
    <mergeCell ref="A182:B182"/>
    <mergeCell ref="A211:H211"/>
    <mergeCell ref="A233:B233"/>
    <mergeCell ref="L211:M211"/>
    <mergeCell ref="A212:H212"/>
    <mergeCell ref="L212:M212"/>
    <mergeCell ref="A216:H216"/>
    <mergeCell ref="A217:B217"/>
    <mergeCell ref="A218:B218"/>
    <mergeCell ref="G213:H215"/>
    <mergeCell ref="A208:B208"/>
    <mergeCell ref="A209:B209"/>
    <mergeCell ref="A210:B210"/>
    <mergeCell ref="G192:H210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13:B213"/>
    <mergeCell ref="A214:B214"/>
    <mergeCell ref="L214:M214"/>
    <mergeCell ref="A215:B215"/>
    <mergeCell ref="L215:M215"/>
    <mergeCell ref="A228:H228"/>
    <mergeCell ref="L228:M228"/>
    <mergeCell ref="A229:H229"/>
    <mergeCell ref="L229:M229"/>
    <mergeCell ref="A224:B224"/>
    <mergeCell ref="A225:B225"/>
    <mergeCell ref="A226:B226"/>
    <mergeCell ref="A227:H227"/>
    <mergeCell ref="L227:M227"/>
    <mergeCell ref="A219:B219"/>
    <mergeCell ref="A220:B220"/>
    <mergeCell ref="A221:B221"/>
    <mergeCell ref="A222:B222"/>
    <mergeCell ref="A223:B223"/>
    <mergeCell ref="G217:H226"/>
    <mergeCell ref="L233:M233"/>
    <mergeCell ref="A243:H243"/>
    <mergeCell ref="L243:M243"/>
    <mergeCell ref="A244:H244"/>
    <mergeCell ref="L244:M244"/>
    <mergeCell ref="A245:B245"/>
    <mergeCell ref="L245:M245"/>
    <mergeCell ref="L230:M230"/>
    <mergeCell ref="A231:B231"/>
    <mergeCell ref="L231:M231"/>
    <mergeCell ref="A232:B232"/>
    <mergeCell ref="L232:M232"/>
    <mergeCell ref="A234:H234"/>
    <mergeCell ref="A235:B235"/>
    <mergeCell ref="G230:H233"/>
    <mergeCell ref="G235:H242"/>
    <mergeCell ref="A230:B230"/>
    <mergeCell ref="A236:B236"/>
    <mergeCell ref="A237:B237"/>
    <mergeCell ref="A238:B238"/>
    <mergeCell ref="A239:B239"/>
    <mergeCell ref="A240:B240"/>
    <mergeCell ref="A241:B241"/>
    <mergeCell ref="A242:B242"/>
    <mergeCell ref="A253:B253"/>
    <mergeCell ref="A254:B254"/>
    <mergeCell ref="A255:B255"/>
    <mergeCell ref="A256:B256"/>
    <mergeCell ref="A257:B257"/>
    <mergeCell ref="G250:H261"/>
    <mergeCell ref="L248:M248"/>
    <mergeCell ref="A249:H249"/>
    <mergeCell ref="A250:B250"/>
    <mergeCell ref="A251:B251"/>
    <mergeCell ref="A252:B252"/>
    <mergeCell ref="G245:H248"/>
    <mergeCell ref="A258:B258"/>
    <mergeCell ref="A259:B259"/>
    <mergeCell ref="A246:B246"/>
    <mergeCell ref="L246:M246"/>
    <mergeCell ref="A247:B247"/>
    <mergeCell ref="L247:M247"/>
    <mergeCell ref="A248:B248"/>
    <mergeCell ref="A260:B260"/>
    <mergeCell ref="A261:B261"/>
    <mergeCell ref="A268:B268"/>
    <mergeCell ref="A269:B269"/>
    <mergeCell ref="A270:B270"/>
    <mergeCell ref="A271:B271"/>
    <mergeCell ref="A262:H262"/>
    <mergeCell ref="L262:M262"/>
    <mergeCell ref="A263:H263"/>
    <mergeCell ref="L263:M263"/>
    <mergeCell ref="A264:H264"/>
    <mergeCell ref="A265:B265"/>
    <mergeCell ref="A266:B266"/>
    <mergeCell ref="G265:H279"/>
    <mergeCell ref="A272:B272"/>
    <mergeCell ref="A273:B273"/>
    <mergeCell ref="A274:B274"/>
    <mergeCell ref="A275:B275"/>
    <mergeCell ref="A276:B276"/>
    <mergeCell ref="A267:B267"/>
    <mergeCell ref="A277:B277"/>
    <mergeCell ref="A278:B278"/>
    <mergeCell ref="A279:B279"/>
    <mergeCell ref="L280:M280"/>
    <mergeCell ref="A281:H281"/>
    <mergeCell ref="L281:M281"/>
    <mergeCell ref="A286:H286"/>
    <mergeCell ref="A287:B287"/>
    <mergeCell ref="A288:B288"/>
    <mergeCell ref="A289:B289"/>
    <mergeCell ref="A282:B282"/>
    <mergeCell ref="L282:M282"/>
    <mergeCell ref="A283:B283"/>
    <mergeCell ref="L283:M283"/>
    <mergeCell ref="A284:B284"/>
    <mergeCell ref="L284:M284"/>
    <mergeCell ref="A285:B285"/>
    <mergeCell ref="L285:M285"/>
    <mergeCell ref="G282:H285"/>
    <mergeCell ref="G287:H294"/>
    <mergeCell ref="A280:H280"/>
    <mergeCell ref="A290:B290"/>
    <mergeCell ref="A291:B291"/>
    <mergeCell ref="A292:B292"/>
    <mergeCell ref="A293:B293"/>
    <mergeCell ref="A294:B294"/>
    <mergeCell ref="C150:D150"/>
    <mergeCell ref="E150:F150"/>
    <mergeCell ref="G150:H150"/>
    <mergeCell ref="A147:B147"/>
    <mergeCell ref="C147:D147"/>
    <mergeCell ref="E147:F147"/>
    <mergeCell ref="G147:H147"/>
    <mergeCell ref="A148:B148"/>
    <mergeCell ref="C148:D148"/>
    <mergeCell ref="E148:F148"/>
    <mergeCell ref="G148:H148"/>
    <mergeCell ref="A149:B149"/>
    <mergeCell ref="C149:D149"/>
    <mergeCell ref="E149:F149"/>
    <mergeCell ref="G149:H149"/>
    <mergeCell ref="G144:H144"/>
    <mergeCell ref="E109:F118"/>
    <mergeCell ref="G109:H118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F132:H132"/>
    <mergeCell ref="A128:E128"/>
    <mergeCell ref="F128:H128"/>
    <mergeCell ref="A129:E129"/>
    <mergeCell ref="A131:E131"/>
    <mergeCell ref="F125:H125"/>
    <mergeCell ref="A130:E130"/>
    <mergeCell ref="A123:E123"/>
    <mergeCell ref="C105:H105"/>
    <mergeCell ref="A107:B107"/>
    <mergeCell ref="C107:H107"/>
    <mergeCell ref="A108:B108"/>
    <mergeCell ref="E108:F108"/>
    <mergeCell ref="G108:H108"/>
    <mergeCell ref="A109:B109"/>
    <mergeCell ref="A81:B81"/>
    <mergeCell ref="E81:F90"/>
    <mergeCell ref="G81:H90"/>
    <mergeCell ref="A82:B82"/>
    <mergeCell ref="A83:B83"/>
    <mergeCell ref="A84:B84"/>
    <mergeCell ref="E95:F104"/>
    <mergeCell ref="G95:H104"/>
    <mergeCell ref="A96:B96"/>
    <mergeCell ref="A97:B97"/>
    <mergeCell ref="A98:B98"/>
    <mergeCell ref="A99:B99"/>
    <mergeCell ref="A100:B100"/>
    <mergeCell ref="A102:B102"/>
    <mergeCell ref="A103:B103"/>
    <mergeCell ref="A91:B91"/>
    <mergeCell ref="C91:H91"/>
    <mergeCell ref="L9:O9"/>
    <mergeCell ref="E40:H40"/>
    <mergeCell ref="A40:D40"/>
    <mergeCell ref="A77:B77"/>
    <mergeCell ref="C77:H77"/>
    <mergeCell ref="A72:B72"/>
    <mergeCell ref="A46:B46"/>
    <mergeCell ref="C46:E46"/>
    <mergeCell ref="A141:H141"/>
    <mergeCell ref="D61:H61"/>
    <mergeCell ref="C65:H65"/>
    <mergeCell ref="A59:C59"/>
    <mergeCell ref="A60:C60"/>
    <mergeCell ref="D59:H59"/>
    <mergeCell ref="E67:F76"/>
    <mergeCell ref="G67:H76"/>
    <mergeCell ref="A75:B75"/>
    <mergeCell ref="A76:B76"/>
    <mergeCell ref="D60:H60"/>
    <mergeCell ref="A74:B74"/>
    <mergeCell ref="A73:B73"/>
    <mergeCell ref="A66:B66"/>
    <mergeCell ref="A69:B69"/>
    <mergeCell ref="A68:B68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59055118110236227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2" manualBreakCount="2">
    <brk id="313" max="16383" man="1"/>
    <brk id="35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5"/>
  <sheetViews>
    <sheetView topLeftCell="A225" workbookViewId="0">
      <selection activeCell="I1" sqref="I1"/>
    </sheetView>
  </sheetViews>
  <sheetFormatPr defaultRowHeight="14.4" x14ac:dyDescent="0.3"/>
  <sheetData>
    <row r="1" spans="1:8" s="8" customFormat="1" ht="46.5" customHeight="1" x14ac:dyDescent="0.3">
      <c r="A1" s="162" t="s">
        <v>112</v>
      </c>
      <c r="B1" s="162"/>
      <c r="C1" s="162"/>
      <c r="D1" s="162"/>
      <c r="E1" s="162"/>
      <c r="F1" s="162"/>
      <c r="G1" s="162"/>
      <c r="H1" s="162"/>
    </row>
    <row r="2" spans="1:8" s="8" customFormat="1" ht="16.5" customHeight="1" x14ac:dyDescent="0.3">
      <c r="A2" s="134" t="s">
        <v>0</v>
      </c>
      <c r="B2" s="134"/>
      <c r="C2" s="134"/>
      <c r="D2" s="134"/>
      <c r="E2" s="134"/>
      <c r="F2" s="134"/>
      <c r="G2" s="134"/>
      <c r="H2" s="134"/>
    </row>
    <row r="3" spans="1:8" s="8" customFormat="1" ht="15.6" x14ac:dyDescent="0.3">
      <c r="A3" s="79" t="s">
        <v>1</v>
      </c>
      <c r="B3" s="79"/>
      <c r="C3" s="79"/>
      <c r="D3" s="79"/>
      <c r="E3" s="163" t="str">
        <f ca="1">TEXT(TODAY(),"DD/MM/YYYY")</f>
        <v>14/07/2025</v>
      </c>
      <c r="F3" s="163"/>
      <c r="G3" s="163"/>
      <c r="H3" s="163"/>
    </row>
    <row r="4" spans="1:8" s="8" customFormat="1" ht="15" customHeight="1" x14ac:dyDescent="0.3">
      <c r="A4" s="79" t="s">
        <v>2</v>
      </c>
      <c r="B4" s="79"/>
      <c r="C4" s="79"/>
      <c r="D4" s="79"/>
      <c r="E4" s="164" t="s">
        <v>191</v>
      </c>
      <c r="F4" s="164"/>
      <c r="G4" s="164"/>
      <c r="H4" s="164"/>
    </row>
    <row r="5" spans="1:8" s="8" customFormat="1" ht="15.6" x14ac:dyDescent="0.3">
      <c r="A5" s="79" t="s">
        <v>3</v>
      </c>
      <c r="B5" s="79"/>
      <c r="C5" s="79"/>
      <c r="D5" s="79"/>
      <c r="E5" s="163" t="s">
        <v>192</v>
      </c>
      <c r="F5" s="163"/>
      <c r="G5" s="163"/>
      <c r="H5" s="163"/>
    </row>
    <row r="6" spans="1:8" s="8" customFormat="1" ht="16.5" customHeight="1" x14ac:dyDescent="0.3">
      <c r="A6" s="79" t="s">
        <v>4</v>
      </c>
      <c r="B6" s="79"/>
      <c r="C6" s="79"/>
      <c r="D6" s="79"/>
      <c r="E6" s="88" t="s">
        <v>208</v>
      </c>
      <c r="F6" s="88"/>
      <c r="G6" s="88"/>
      <c r="H6" s="88"/>
    </row>
    <row r="7" spans="1:8" s="8" customFormat="1" ht="15" customHeight="1" x14ac:dyDescent="0.3">
      <c r="A7" s="79" t="s">
        <v>5</v>
      </c>
      <c r="B7" s="79"/>
      <c r="C7" s="79"/>
      <c r="D7" s="79"/>
      <c r="E7" s="88" t="str">
        <f>E6</f>
        <v>M/s.Kothari &amp; Deshmukh Landmark LLP</v>
      </c>
      <c r="F7" s="88"/>
      <c r="G7" s="88"/>
      <c r="H7" s="88"/>
    </row>
    <row r="8" spans="1:8" s="8" customFormat="1" ht="15.6" x14ac:dyDescent="0.3">
      <c r="A8" s="79" t="s">
        <v>6</v>
      </c>
      <c r="B8" s="79"/>
      <c r="C8" s="79"/>
      <c r="D8" s="79"/>
      <c r="E8" s="79" t="s">
        <v>209</v>
      </c>
      <c r="F8" s="79"/>
      <c r="G8" s="79"/>
      <c r="H8" s="79"/>
    </row>
    <row r="9" spans="1:8" s="8" customFormat="1" ht="15.6" x14ac:dyDescent="0.3">
      <c r="A9" s="79" t="s">
        <v>166</v>
      </c>
      <c r="B9" s="79"/>
      <c r="C9" s="79"/>
      <c r="D9" s="79"/>
      <c r="E9" s="79" t="s">
        <v>210</v>
      </c>
      <c r="F9" s="79"/>
      <c r="G9" s="79"/>
      <c r="H9" s="79"/>
    </row>
    <row r="10" spans="1:8" s="8" customFormat="1" ht="114.75" customHeight="1" x14ac:dyDescent="0.3">
      <c r="A10" s="136" t="s">
        <v>7</v>
      </c>
      <c r="B10" s="136"/>
      <c r="C10" s="136"/>
      <c r="D10" s="136"/>
      <c r="E10" s="166" t="s">
        <v>227</v>
      </c>
      <c r="F10" s="168"/>
      <c r="G10" s="166" t="s">
        <v>226</v>
      </c>
      <c r="H10" s="193"/>
    </row>
    <row r="11" spans="1:8" s="8" customFormat="1" ht="15.6" x14ac:dyDescent="0.3">
      <c r="A11" s="79" t="s">
        <v>8</v>
      </c>
      <c r="B11" s="79"/>
      <c r="C11" s="79"/>
      <c r="D11" s="79"/>
      <c r="E11" s="89" t="s">
        <v>254</v>
      </c>
      <c r="F11" s="89"/>
      <c r="G11" s="89"/>
      <c r="H11" s="89"/>
    </row>
    <row r="12" spans="1:8" s="8" customFormat="1" ht="35.25" customHeight="1" x14ac:dyDescent="0.3">
      <c r="A12" s="79" t="s">
        <v>9</v>
      </c>
      <c r="B12" s="79"/>
      <c r="C12" s="79"/>
      <c r="D12" s="79"/>
      <c r="E12" s="89" t="s">
        <v>211</v>
      </c>
      <c r="F12" s="136"/>
      <c r="G12" s="136"/>
      <c r="H12" s="136"/>
    </row>
    <row r="13" spans="1:8" s="8" customFormat="1" ht="33.75" customHeight="1" x14ac:dyDescent="0.3">
      <c r="A13" s="88" t="s">
        <v>10</v>
      </c>
      <c r="B13" s="88"/>
      <c r="C13" s="8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SPM Lake City Phase II, Gut No.56/2, near Appanchiwadi, Deshmukh Udya Farm Road, Karav, Vangani , Ambernath, Thane.</v>
      </c>
      <c r="D13" s="88"/>
      <c r="E13" s="88"/>
      <c r="F13" s="88"/>
      <c r="G13" s="88"/>
      <c r="H13" s="88"/>
    </row>
    <row r="14" spans="1:8" s="8" customFormat="1" ht="15.6" x14ac:dyDescent="0.3">
      <c r="A14" s="89" t="s">
        <v>223</v>
      </c>
      <c r="B14" s="89"/>
      <c r="C14" s="89" t="s">
        <v>222</v>
      </c>
      <c r="D14" s="89"/>
      <c r="E14" s="89"/>
      <c r="F14" s="89"/>
      <c r="G14" s="89"/>
      <c r="H14" s="89"/>
    </row>
    <row r="15" spans="1:8" s="8" customFormat="1" ht="15.75" customHeight="1" x14ac:dyDescent="0.3">
      <c r="A15" s="88" t="s">
        <v>11</v>
      </c>
      <c r="B15" s="88"/>
      <c r="C15" s="136" t="s">
        <v>217</v>
      </c>
      <c r="D15" s="136"/>
      <c r="E15" s="88" t="s">
        <v>221</v>
      </c>
      <c r="F15" s="88"/>
      <c r="G15" s="89" t="s">
        <v>220</v>
      </c>
      <c r="H15" s="89"/>
    </row>
    <row r="16" spans="1:8" s="8" customFormat="1" ht="15.6" x14ac:dyDescent="0.3">
      <c r="A16" s="79" t="s">
        <v>13</v>
      </c>
      <c r="B16" s="79"/>
      <c r="C16" s="89" t="s">
        <v>230</v>
      </c>
      <c r="D16" s="89"/>
      <c r="E16" s="88" t="s">
        <v>12</v>
      </c>
      <c r="F16" s="88"/>
      <c r="G16" s="169" t="s">
        <v>225</v>
      </c>
      <c r="H16" s="169"/>
    </row>
    <row r="17" spans="1:8" s="8" customFormat="1" ht="15.6" x14ac:dyDescent="0.3">
      <c r="A17" s="79" t="s">
        <v>104</v>
      </c>
      <c r="B17" s="79"/>
      <c r="C17" s="89" t="s">
        <v>224</v>
      </c>
      <c r="D17" s="89"/>
      <c r="E17" s="88" t="s">
        <v>14</v>
      </c>
      <c r="F17" s="88"/>
      <c r="G17" s="89">
        <v>421503</v>
      </c>
      <c r="H17" s="89"/>
    </row>
    <row r="18" spans="1:8" s="8" customFormat="1" ht="32.25" customHeight="1" x14ac:dyDescent="0.3">
      <c r="A18" s="79" t="s">
        <v>167</v>
      </c>
      <c r="B18" s="79"/>
      <c r="C18" s="194" t="s">
        <v>219</v>
      </c>
      <c r="D18" s="194"/>
      <c r="E18" s="88" t="s">
        <v>15</v>
      </c>
      <c r="F18" s="88"/>
      <c r="G18" s="89" t="s">
        <v>229</v>
      </c>
      <c r="H18" s="89"/>
    </row>
    <row r="19" spans="1:8" s="8" customFormat="1" ht="15" customHeight="1" x14ac:dyDescent="0.3">
      <c r="A19" s="88" t="s">
        <v>109</v>
      </c>
      <c r="B19" s="88"/>
      <c r="C19" s="88"/>
      <c r="D19" s="88"/>
      <c r="E19" s="136" t="s">
        <v>16</v>
      </c>
      <c r="F19" s="136"/>
      <c r="G19" s="136"/>
      <c r="H19" s="136"/>
    </row>
    <row r="20" spans="1:8" s="8" customFormat="1" ht="18.75" customHeight="1" x14ac:dyDescent="0.3">
      <c r="A20" s="88"/>
      <c r="B20" s="88"/>
      <c r="C20" s="88"/>
      <c r="D20" s="88"/>
      <c r="E20" s="136"/>
      <c r="F20" s="136"/>
      <c r="G20" s="136"/>
      <c r="H20" s="136"/>
    </row>
    <row r="21" spans="1:8" s="8" customFormat="1" ht="15" customHeight="1" x14ac:dyDescent="0.3">
      <c r="A21" s="88" t="s">
        <v>17</v>
      </c>
      <c r="B21" s="88"/>
      <c r="C21" s="88"/>
      <c r="D21" s="88"/>
      <c r="E21" s="89" t="s">
        <v>18</v>
      </c>
      <c r="F21" s="89"/>
      <c r="G21" s="89"/>
      <c r="H21" s="89"/>
    </row>
    <row r="22" spans="1:8" s="8" customFormat="1" ht="15" customHeight="1" x14ac:dyDescent="0.3">
      <c r="A22" s="79" t="s">
        <v>19</v>
      </c>
      <c r="B22" s="79"/>
      <c r="C22" s="79"/>
      <c r="D22" s="79"/>
      <c r="E22" s="89" t="str">
        <f>IF(AND(G16="Mumbai"),"Upper Class","Middle Class")</f>
        <v>Middle Class</v>
      </c>
      <c r="F22" s="89"/>
      <c r="G22" s="89"/>
      <c r="H22" s="89"/>
    </row>
    <row r="23" spans="1:8" s="8" customFormat="1" ht="15.6" x14ac:dyDescent="0.3">
      <c r="A23" s="79" t="s">
        <v>20</v>
      </c>
      <c r="B23" s="79"/>
      <c r="C23" s="79"/>
      <c r="D23" s="79"/>
      <c r="E23" s="89" t="s">
        <v>21</v>
      </c>
      <c r="F23" s="89"/>
      <c r="G23" s="89"/>
      <c r="H23" s="89"/>
    </row>
    <row r="24" spans="1:8" s="8" customFormat="1" ht="15.75" customHeight="1" x14ac:dyDescent="0.3">
      <c r="A24" s="79" t="s">
        <v>22</v>
      </c>
      <c r="B24" s="79"/>
      <c r="C24" s="79"/>
      <c r="D24" s="79"/>
      <c r="E24" s="89" t="str">
        <f>IF(AND(G16="Mumbai"),"Developed","Developing")</f>
        <v>Developing</v>
      </c>
      <c r="F24" s="89"/>
      <c r="G24" s="89"/>
      <c r="H24" s="89"/>
    </row>
    <row r="25" spans="1:8" s="8" customFormat="1" ht="15.6" x14ac:dyDescent="0.3">
      <c r="A25" s="79" t="s">
        <v>23</v>
      </c>
      <c r="B25" s="79"/>
      <c r="C25" s="79"/>
      <c r="D25" s="79"/>
      <c r="E25" s="89" t="s">
        <v>24</v>
      </c>
      <c r="F25" s="89"/>
      <c r="G25" s="89"/>
      <c r="H25" s="89"/>
    </row>
    <row r="26" spans="1:8" s="8" customFormat="1" ht="15.6" x14ac:dyDescent="0.3">
      <c r="A26" s="79" t="s">
        <v>118</v>
      </c>
      <c r="B26" s="79"/>
      <c r="C26" s="79"/>
      <c r="D26" s="79"/>
      <c r="E26" s="89" t="s">
        <v>119</v>
      </c>
      <c r="F26" s="89"/>
      <c r="G26" s="89"/>
      <c r="H26" s="89"/>
    </row>
    <row r="27" spans="1:8" s="8" customFormat="1" ht="15" customHeight="1" x14ac:dyDescent="0.3">
      <c r="A27" s="88" t="s">
        <v>35</v>
      </c>
      <c r="B27" s="88"/>
      <c r="C27" s="88"/>
      <c r="D27" s="88"/>
      <c r="E27" s="164" t="s">
        <v>231</v>
      </c>
      <c r="F27" s="164"/>
      <c r="G27" s="164"/>
      <c r="H27" s="164"/>
    </row>
    <row r="28" spans="1:8" s="8" customFormat="1" ht="15.6" x14ac:dyDescent="0.3">
      <c r="A28" s="88" t="s">
        <v>130</v>
      </c>
      <c r="B28" s="88"/>
      <c r="C28" s="88"/>
      <c r="D28" s="88"/>
      <c r="E28" s="88" t="s">
        <v>36</v>
      </c>
      <c r="F28" s="88"/>
      <c r="G28" s="88"/>
      <c r="H28" s="88"/>
    </row>
    <row r="29" spans="1:8" s="11" customFormat="1" ht="15.6" x14ac:dyDescent="0.3">
      <c r="A29" s="174" t="s">
        <v>131</v>
      </c>
      <c r="B29" s="174"/>
      <c r="C29" s="173" t="s">
        <v>29</v>
      </c>
      <c r="D29" s="173"/>
      <c r="E29" s="173"/>
      <c r="F29" s="173" t="s">
        <v>31</v>
      </c>
      <c r="G29" s="173"/>
      <c r="H29" s="173"/>
    </row>
    <row r="30" spans="1:8" s="11" customFormat="1" ht="15.6" x14ac:dyDescent="0.3">
      <c r="A30" s="170" t="s">
        <v>25</v>
      </c>
      <c r="B30" s="170" t="s">
        <v>30</v>
      </c>
      <c r="C30" s="171" t="s">
        <v>30</v>
      </c>
      <c r="D30" s="171"/>
      <c r="E30" s="171"/>
      <c r="F30" s="171" t="s">
        <v>218</v>
      </c>
      <c r="G30" s="171"/>
      <c r="H30" s="171"/>
    </row>
    <row r="31" spans="1:8" s="8" customFormat="1" ht="15.6" x14ac:dyDescent="0.3">
      <c r="A31" s="170" t="s">
        <v>26</v>
      </c>
      <c r="B31" s="170" t="s">
        <v>30</v>
      </c>
      <c r="C31" s="171" t="s">
        <v>30</v>
      </c>
      <c r="D31" s="171"/>
      <c r="E31" s="171"/>
      <c r="F31" s="171" t="s">
        <v>217</v>
      </c>
      <c r="G31" s="171"/>
      <c r="H31" s="171"/>
    </row>
    <row r="32" spans="1:8" s="11" customFormat="1" ht="15.6" x14ac:dyDescent="0.3">
      <c r="A32" s="170" t="s">
        <v>28</v>
      </c>
      <c r="B32" s="170" t="s">
        <v>30</v>
      </c>
      <c r="C32" s="171" t="s">
        <v>30</v>
      </c>
      <c r="D32" s="171"/>
      <c r="E32" s="171"/>
      <c r="F32" s="171" t="s">
        <v>217</v>
      </c>
      <c r="G32" s="171"/>
      <c r="H32" s="171"/>
    </row>
    <row r="33" spans="1:8" s="8" customFormat="1" ht="15.6" x14ac:dyDescent="0.3">
      <c r="A33" s="170" t="s">
        <v>27</v>
      </c>
      <c r="B33" s="170" t="s">
        <v>30</v>
      </c>
      <c r="C33" s="171" t="s">
        <v>30</v>
      </c>
      <c r="D33" s="171"/>
      <c r="E33" s="171"/>
      <c r="F33" s="171" t="s">
        <v>218</v>
      </c>
      <c r="G33" s="171"/>
      <c r="H33" s="171"/>
    </row>
    <row r="34" spans="1:8" s="8" customFormat="1" ht="15.6" x14ac:dyDescent="0.3">
      <c r="A34" s="79" t="s">
        <v>32</v>
      </c>
      <c r="B34" s="79"/>
      <c r="C34" s="79"/>
      <c r="D34" s="79"/>
      <c r="E34" s="79"/>
      <c r="F34" s="79"/>
      <c r="G34" s="79"/>
      <c r="H34" s="79"/>
    </row>
    <row r="35" spans="1:8" s="8" customFormat="1" ht="15.75" customHeight="1" x14ac:dyDescent="0.3">
      <c r="A35" s="134" t="s">
        <v>33</v>
      </c>
      <c r="B35" s="134"/>
      <c r="C35" s="195">
        <v>19.1138552</v>
      </c>
      <c r="D35" s="195"/>
      <c r="E35" s="134" t="s">
        <v>34</v>
      </c>
      <c r="F35" s="134"/>
      <c r="G35" s="196">
        <v>73.309992300000005</v>
      </c>
      <c r="H35" s="196"/>
    </row>
    <row r="36" spans="1:8" s="8" customFormat="1" ht="15.6" x14ac:dyDescent="0.3">
      <c r="A36" s="129" t="s">
        <v>37</v>
      </c>
      <c r="B36" s="129"/>
      <c r="C36" s="129"/>
      <c r="D36" s="129"/>
      <c r="E36" s="129"/>
      <c r="F36" s="129"/>
      <c r="G36" s="129"/>
      <c r="H36" s="129"/>
    </row>
    <row r="37" spans="1:8" s="8" customFormat="1" ht="15.6" x14ac:dyDescent="0.3">
      <c r="A37" s="79" t="s">
        <v>38</v>
      </c>
      <c r="B37" s="79"/>
      <c r="C37" s="79"/>
      <c r="D37" s="79"/>
      <c r="E37" s="172">
        <v>17522</v>
      </c>
      <c r="F37" s="172"/>
      <c r="G37" s="172"/>
      <c r="H37" s="172"/>
    </row>
    <row r="38" spans="1:8" s="8" customFormat="1" ht="15.6" x14ac:dyDescent="0.3">
      <c r="A38" s="79" t="s">
        <v>39</v>
      </c>
      <c r="B38" s="79"/>
      <c r="C38" s="79"/>
      <c r="D38" s="79"/>
      <c r="E38" s="80">
        <v>1</v>
      </c>
      <c r="F38" s="80"/>
      <c r="G38" s="80"/>
      <c r="H38" s="80"/>
    </row>
    <row r="39" spans="1:8" s="8" customFormat="1" ht="15.6" x14ac:dyDescent="0.3">
      <c r="A39" s="79" t="s">
        <v>40</v>
      </c>
      <c r="B39" s="79"/>
      <c r="C39" s="79"/>
      <c r="D39" s="79"/>
      <c r="E39" s="80">
        <f>E41/E37-E38</f>
        <v>0</v>
      </c>
      <c r="F39" s="80"/>
      <c r="G39" s="80"/>
      <c r="H39" s="80"/>
    </row>
    <row r="40" spans="1:8" s="8" customFormat="1" ht="15.6" x14ac:dyDescent="0.3">
      <c r="A40" s="79" t="s">
        <v>41</v>
      </c>
      <c r="B40" s="79"/>
      <c r="C40" s="79"/>
      <c r="D40" s="79"/>
      <c r="E40" s="80">
        <f>E38+E39</f>
        <v>1</v>
      </c>
      <c r="F40" s="80"/>
      <c r="G40" s="80"/>
      <c r="H40" s="80"/>
    </row>
    <row r="41" spans="1:8" s="8" customFormat="1" ht="15.6" x14ac:dyDescent="0.3">
      <c r="A41" s="79" t="s">
        <v>129</v>
      </c>
      <c r="B41" s="79"/>
      <c r="C41" s="79"/>
      <c r="D41" s="79"/>
      <c r="E41" s="161">
        <v>17522</v>
      </c>
      <c r="F41" s="161"/>
      <c r="G41" s="161"/>
      <c r="H41" s="161"/>
    </row>
    <row r="42" spans="1:8" s="8" customFormat="1" ht="15.6" x14ac:dyDescent="0.3">
      <c r="A42" s="136" t="s">
        <v>42</v>
      </c>
      <c r="B42" s="136"/>
      <c r="C42" s="136"/>
      <c r="D42" s="136"/>
      <c r="E42" s="136" t="s">
        <v>242</v>
      </c>
      <c r="F42" s="136"/>
      <c r="G42" s="136"/>
      <c r="H42" s="136"/>
    </row>
    <row r="43" spans="1:8" s="8" customFormat="1" ht="15.6" x14ac:dyDescent="0.3">
      <c r="A43" s="129" t="s">
        <v>43</v>
      </c>
      <c r="B43" s="129"/>
      <c r="C43" s="129"/>
      <c r="D43" s="129"/>
      <c r="E43" s="129"/>
      <c r="F43" s="129"/>
      <c r="G43" s="129"/>
      <c r="H43" s="129"/>
    </row>
    <row r="44" spans="1:8" s="8" customFormat="1" ht="33.75" customHeight="1" x14ac:dyDescent="0.3">
      <c r="A44" s="88" t="s">
        <v>44</v>
      </c>
      <c r="B44" s="88"/>
      <c r="C44" s="197" t="s">
        <v>213</v>
      </c>
      <c r="D44" s="197"/>
      <c r="E44" s="197"/>
      <c r="F44" s="56" t="s">
        <v>45</v>
      </c>
      <c r="G44" s="135" t="s">
        <v>214</v>
      </c>
      <c r="H44" s="135"/>
    </row>
    <row r="45" spans="1:8" s="8" customFormat="1" ht="32.25" customHeight="1" x14ac:dyDescent="0.3">
      <c r="A45" s="79" t="s">
        <v>46</v>
      </c>
      <c r="B45" s="79"/>
      <c r="C45" s="197" t="str">
        <f>C44</f>
        <v>BISHE/REKHANKAN/BP/MAU.KARAV/TAL.AMERNATH/SSTHANE/2239</v>
      </c>
      <c r="D45" s="197"/>
      <c r="E45" s="197"/>
      <c r="F45" s="56" t="s">
        <v>45</v>
      </c>
      <c r="G45" s="135" t="s">
        <v>214</v>
      </c>
      <c r="H45" s="135"/>
    </row>
    <row r="46" spans="1:8" s="10" customFormat="1" ht="33.75" customHeight="1" x14ac:dyDescent="0.3">
      <c r="A46" s="89" t="s">
        <v>47</v>
      </c>
      <c r="B46" s="89"/>
      <c r="C46" s="197" t="s">
        <v>215</v>
      </c>
      <c r="D46" s="198"/>
      <c r="E46" s="198"/>
      <c r="F46" s="13" t="s">
        <v>45</v>
      </c>
      <c r="G46" s="135" t="s">
        <v>216</v>
      </c>
      <c r="H46" s="135"/>
    </row>
    <row r="47" spans="1:8" s="10" customFormat="1" ht="15.6" x14ac:dyDescent="0.3">
      <c r="A47" s="89"/>
      <c r="B47" s="89"/>
      <c r="C47" s="199" t="s">
        <v>255</v>
      </c>
      <c r="D47" s="200"/>
      <c r="E47" s="200"/>
      <c r="F47" s="200"/>
      <c r="G47" s="200"/>
      <c r="H47" s="201"/>
    </row>
    <row r="48" spans="1:8" s="8" customFormat="1" ht="15.6" x14ac:dyDescent="0.3">
      <c r="A48" s="140" t="s">
        <v>48</v>
      </c>
      <c r="B48" s="140"/>
      <c r="C48" s="202" t="s">
        <v>147</v>
      </c>
      <c r="D48" s="203"/>
      <c r="E48" s="203" t="s">
        <v>49</v>
      </c>
      <c r="F48" s="66" t="s">
        <v>45</v>
      </c>
      <c r="G48" s="142" t="s">
        <v>30</v>
      </c>
      <c r="H48" s="142"/>
    </row>
    <row r="49" spans="1:14" s="8" customFormat="1" ht="15.6" x14ac:dyDescent="0.3">
      <c r="A49" s="141" t="s">
        <v>51</v>
      </c>
      <c r="B49" s="141"/>
      <c r="C49" s="141"/>
      <c r="D49" s="141"/>
      <c r="E49" s="141"/>
      <c r="F49" s="141"/>
      <c r="G49" s="141"/>
      <c r="H49" s="141"/>
    </row>
    <row r="50" spans="1:14" s="8" customFormat="1" ht="15.6" x14ac:dyDescent="0.3">
      <c r="A50" s="88" t="s">
        <v>128</v>
      </c>
      <c r="B50" s="88"/>
      <c r="C50" s="88"/>
      <c r="D50" s="79">
        <f>E41</f>
        <v>17522</v>
      </c>
      <c r="E50" s="79"/>
      <c r="F50" s="79"/>
      <c r="G50" s="79"/>
      <c r="H50" s="79"/>
    </row>
    <row r="51" spans="1:14" s="8" customFormat="1" ht="15.6" x14ac:dyDescent="0.3">
      <c r="A51" s="89" t="s">
        <v>52</v>
      </c>
      <c r="B51" s="136"/>
      <c r="C51" s="136"/>
      <c r="D51" s="136" t="s">
        <v>241</v>
      </c>
      <c r="E51" s="136"/>
      <c r="F51" s="136"/>
      <c r="G51" s="136"/>
      <c r="H51" s="136"/>
      <c r="I51" s="40"/>
    </row>
    <row r="52" spans="1:14" s="8" customFormat="1" ht="15.75" customHeight="1" x14ac:dyDescent="0.3">
      <c r="A52" s="144" t="s">
        <v>53</v>
      </c>
      <c r="B52" s="145"/>
      <c r="C52" s="146"/>
      <c r="D52" s="143" t="s">
        <v>232</v>
      </c>
      <c r="E52" s="143"/>
      <c r="F52" s="143"/>
      <c r="G52" s="143"/>
      <c r="H52" s="143"/>
    </row>
    <row r="53" spans="1:14" s="8" customFormat="1" ht="15.75" customHeight="1" x14ac:dyDescent="0.3">
      <c r="A53" s="144" t="s">
        <v>126</v>
      </c>
      <c r="B53" s="145"/>
      <c r="C53" s="146"/>
      <c r="D53" s="204" t="s">
        <v>243</v>
      </c>
      <c r="E53" s="205"/>
      <c r="F53" s="205"/>
      <c r="G53" s="205"/>
      <c r="H53" s="206"/>
    </row>
    <row r="54" spans="1:14" s="8" customFormat="1" ht="15.75" customHeight="1" x14ac:dyDescent="0.3">
      <c r="A54" s="147"/>
      <c r="B54" s="148"/>
      <c r="C54" s="149"/>
      <c r="D54" s="207" t="s">
        <v>244</v>
      </c>
      <c r="E54" s="208"/>
      <c r="F54" s="208"/>
      <c r="G54" s="208"/>
      <c r="H54" s="209"/>
    </row>
    <row r="55" spans="1:14" s="8" customFormat="1" ht="15.75" customHeight="1" x14ac:dyDescent="0.3">
      <c r="A55" s="147"/>
      <c r="B55" s="148"/>
      <c r="C55" s="149"/>
      <c r="D55" s="153" t="s">
        <v>245</v>
      </c>
      <c r="E55" s="154"/>
      <c r="F55" s="154"/>
      <c r="G55" s="154"/>
      <c r="H55" s="155"/>
    </row>
    <row r="56" spans="1:14" s="8" customFormat="1" ht="15.75" customHeight="1" x14ac:dyDescent="0.3">
      <c r="A56" s="150"/>
      <c r="B56" s="151"/>
      <c r="C56" s="152"/>
      <c r="D56" s="153" t="s">
        <v>246</v>
      </c>
      <c r="E56" s="154"/>
      <c r="F56" s="154"/>
      <c r="G56" s="154"/>
      <c r="H56" s="155"/>
    </row>
    <row r="57" spans="1:14" s="8" customFormat="1" ht="15.75" customHeight="1" x14ac:dyDescent="0.3">
      <c r="A57" s="79" t="s">
        <v>50</v>
      </c>
      <c r="B57" s="79"/>
      <c r="C57" s="79"/>
      <c r="D57" s="95" t="s">
        <v>212</v>
      </c>
      <c r="E57" s="95"/>
      <c r="F57" s="95"/>
      <c r="G57" s="95"/>
      <c r="H57" s="95"/>
      <c r="J57" s="39"/>
      <c r="K57" s="40"/>
      <c r="N57" s="40"/>
    </row>
    <row r="58" spans="1:14" s="8" customFormat="1" ht="15.75" customHeight="1" x14ac:dyDescent="0.3">
      <c r="A58" s="79" t="s">
        <v>124</v>
      </c>
      <c r="B58" s="79"/>
      <c r="C58" s="79"/>
      <c r="D58" s="102" t="str">
        <f>(IF(G48="NA","60 Years After Completion",IF(G48&lt;&gt;"NA",""&amp;ROUNDDOWN((E3-G48)/360,0)&amp;" Years"," ")))</f>
        <v>60 Years After Completion</v>
      </c>
      <c r="E58" s="102"/>
      <c r="F58" s="102"/>
      <c r="G58" s="102"/>
      <c r="H58" s="102"/>
      <c r="N58" s="40"/>
    </row>
    <row r="59" spans="1:14" s="8" customFormat="1" ht="15.75" customHeight="1" x14ac:dyDescent="0.3">
      <c r="A59" s="79" t="s">
        <v>125</v>
      </c>
      <c r="B59" s="79"/>
      <c r="C59" s="79"/>
      <c r="D59" s="88" t="s">
        <v>24</v>
      </c>
      <c r="E59" s="88"/>
      <c r="F59" s="88"/>
      <c r="G59" s="88"/>
      <c r="H59" s="88"/>
      <c r="J59" s="18"/>
      <c r="K59" s="18"/>
    </row>
    <row r="60" spans="1:14" s="8" customFormat="1" ht="15.75" customHeight="1" thickBot="1" x14ac:dyDescent="0.35">
      <c r="A60" s="136" t="s">
        <v>123</v>
      </c>
      <c r="B60" s="136"/>
      <c r="C60" s="136"/>
      <c r="D60" s="89" t="str">
        <f ca="1">(IF(G65&gt;95%,"Nothing",IF(G65&gt;0%,"Cement, Aggregate, Steel, etc",IF(G65=0%,"Work not yet Started"))))</f>
        <v>Cement, Aggregate, Steel, etc</v>
      </c>
      <c r="E60" s="89"/>
      <c r="F60" s="89"/>
      <c r="G60" s="89"/>
      <c r="H60" s="89"/>
      <c r="J60" s="18"/>
      <c r="K60" s="18"/>
    </row>
    <row r="61" spans="1:14" s="8" customFormat="1" ht="15.75" customHeight="1" x14ac:dyDescent="0.3">
      <c r="A61" s="156" t="s">
        <v>184</v>
      </c>
      <c r="B61" s="156"/>
      <c r="C61" s="93" t="str">
        <f>D53</f>
        <v>Wing D  = G + 1st to 4th Floor</v>
      </c>
      <c r="D61" s="93"/>
      <c r="E61" s="93"/>
      <c r="F61" s="93"/>
      <c r="G61" s="93"/>
      <c r="H61" s="93"/>
      <c r="I61" s="19" t="str">
        <f ca="1">(IF(C65=0,"Work not yet Started.",IF(D65=25%,"Piling work in process",IF(D65=50%,"Excavation work in process",IF(D65=100%,"Excavation work completed, ","0")))&amp;(IF(C66=0%,"",IF(C66=K67,"Footing work is process",IF(C66=K68,"Footing work Completed",IF(C66=K69,"1st Basement Completed",IF(C66=K70,"1st &amp; 2nd Basement Completed",IF(C66=K71,"1st to 3rd Basement Completed",IF(C66=K72,"1st to 4th Basement Completed",IF(C66=K73,"Plinth work is process",IF(C66=K74,"Plinth work completed","0")))))))))))&amp;(IF(C67&gt;0,", RCC upto "&amp;C67&amp;" Slab completed",""))&amp;(IF(C68&gt;0,", Brickwork upto "&amp;C68&amp;" Floor completed"," "))&amp;(IF(C69&gt;0,", Internal Plaster upto "&amp;C69&amp;" Floor completed"," "))&amp;(IF(C70&gt;0,", External Plaster upto "&amp;C70&amp;" Floor completed"," "))&amp;(IF(C71&gt;0,", Flooring upto "&amp;C71&amp;" Floor completed"," "))&amp;(IF(C72&gt;0,", Painting upto "&amp;C72&amp;" Floor completed"," "))&amp;(IF(C73&gt;0,", Finishing upto "&amp;C73&amp;" Floor completed"," ")))</f>
        <v xml:space="preserve">Excavation work completed, Plinth work is process      </v>
      </c>
      <c r="J61" s="19"/>
      <c r="K61" s="20"/>
    </row>
    <row r="62" spans="1:14" s="8" customFormat="1" ht="15.6" x14ac:dyDescent="0.3">
      <c r="A62" s="48" t="s">
        <v>186</v>
      </c>
      <c r="B62" s="57">
        <v>0</v>
      </c>
      <c r="C62" s="57" t="s">
        <v>103</v>
      </c>
      <c r="D62" s="57">
        <v>1</v>
      </c>
      <c r="E62" s="57" t="s">
        <v>102</v>
      </c>
      <c r="F62" s="57">
        <v>0</v>
      </c>
      <c r="G62" s="57" t="s">
        <v>117</v>
      </c>
      <c r="H62" s="61">
        <f ca="1">--TRIM(RIGHT(SUBSTITUTE(LEFT(C61,_xlfn.AGGREGATE(16,6,FIND({0,1,2,3,4,5,6,7,8,9},C61,ROW(INDIRECT("1:"&amp;LEN(C61)))),1))," ",REPT(" ",LEN(C61))),LEN(C61)))</f>
        <v>4</v>
      </c>
      <c r="I62" s="18" t="s">
        <v>158</v>
      </c>
      <c r="J62" s="18"/>
      <c r="K62" s="21"/>
    </row>
    <row r="63" spans="1:14" s="8" customFormat="1" ht="15.75" customHeight="1" x14ac:dyDescent="0.3">
      <c r="A63" s="103" t="s">
        <v>127</v>
      </c>
      <c r="B63" s="104"/>
      <c r="C63" s="93" t="str">
        <f ca="1">I61</f>
        <v xml:space="preserve">Excavation work completed, Plinth work is process      </v>
      </c>
      <c r="D63" s="93"/>
      <c r="E63" s="93"/>
      <c r="F63" s="93"/>
      <c r="G63" s="93"/>
      <c r="H63" s="94"/>
      <c r="I63" s="18" t="s">
        <v>146</v>
      </c>
      <c r="J63" s="18"/>
      <c r="K63" s="21"/>
    </row>
    <row r="64" spans="1:14" s="8" customFormat="1" ht="31.2" x14ac:dyDescent="0.3">
      <c r="A64" s="86" t="s">
        <v>54</v>
      </c>
      <c r="B64" s="87"/>
      <c r="C64" s="51" t="s">
        <v>183</v>
      </c>
      <c r="D64" s="51" t="s">
        <v>120</v>
      </c>
      <c r="E64" s="87" t="s">
        <v>122</v>
      </c>
      <c r="F64" s="87"/>
      <c r="G64" s="87" t="s">
        <v>121</v>
      </c>
      <c r="H64" s="105"/>
      <c r="I64" s="38" t="s">
        <v>185</v>
      </c>
      <c r="K64" s="22">
        <f ca="1">H62*25%</f>
        <v>1</v>
      </c>
    </row>
    <row r="65" spans="1:11" s="8" customFormat="1" ht="15.6" x14ac:dyDescent="0.3">
      <c r="A65" s="86" t="s">
        <v>173</v>
      </c>
      <c r="B65" s="87"/>
      <c r="C65" s="52">
        <f ca="1">K66</f>
        <v>4</v>
      </c>
      <c r="D65" s="58">
        <f ca="1">((100/H62)*C65)/100</f>
        <v>1</v>
      </c>
      <c r="E65" s="210">
        <f ca="1">(IF(C63=I62,"100%",IF(C63=I63,"100%",(((C66/H62*10)+(40/(D62+F62+H62)*C67)+(7.5/(H62)*C68)+(7.5/(H62)*C69)+(10/H62*C70)+(10/H62*C71)+(5/H62*C72)+(5/H62*C73)+(5/H62*C74))/100))))</f>
        <v>7.4999999999999997E-2</v>
      </c>
      <c r="F65" s="210"/>
      <c r="G65" s="210">
        <f ca="1">((((C65/H62)*20)+((C66/H62)*25)+(30/(H62+F62+D62)*C67)+(5/H62*C68)+(5/H62*C69)+(5/H62*C70)+(5/H62*C71)+(0/H62*C72)+(0/H62*C73)+(5/H62*C74))/100)</f>
        <v>0.38750000000000001</v>
      </c>
      <c r="H65" s="212"/>
      <c r="I65" s="38" t="s">
        <v>140</v>
      </c>
      <c r="J65" s="23"/>
      <c r="K65" s="41">
        <f ca="1">H62*50%</f>
        <v>2</v>
      </c>
    </row>
    <row r="66" spans="1:11" s="8" customFormat="1" ht="15.6" x14ac:dyDescent="0.3">
      <c r="A66" s="86" t="s">
        <v>55</v>
      </c>
      <c r="B66" s="87"/>
      <c r="C66" s="53">
        <v>3</v>
      </c>
      <c r="D66" s="58">
        <f ca="1">((100/H62)*C66)/100</f>
        <v>0.75</v>
      </c>
      <c r="E66" s="210"/>
      <c r="F66" s="210"/>
      <c r="G66" s="210"/>
      <c r="H66" s="212"/>
      <c r="I66" s="38" t="s">
        <v>141</v>
      </c>
      <c r="J66" s="23"/>
      <c r="K66" s="41">
        <f ca="1">H62</f>
        <v>4</v>
      </c>
    </row>
    <row r="67" spans="1:11" s="8" customFormat="1" ht="15.75" customHeight="1" x14ac:dyDescent="0.3">
      <c r="A67" s="86" t="s">
        <v>247</v>
      </c>
      <c r="B67" s="87"/>
      <c r="C67" s="53">
        <v>0</v>
      </c>
      <c r="D67" s="58">
        <f ca="1">((100/(D62+F62+H62))*C67)/100</f>
        <v>0</v>
      </c>
      <c r="E67" s="210"/>
      <c r="F67" s="210"/>
      <c r="G67" s="210"/>
      <c r="H67" s="212"/>
      <c r="I67" s="38" t="s">
        <v>142</v>
      </c>
      <c r="J67" s="23"/>
      <c r="K67" s="45">
        <f ca="1">(IF(B62=0,H62/4,(H62/(B62+4))))</f>
        <v>1</v>
      </c>
    </row>
    <row r="68" spans="1:11" s="8" customFormat="1" ht="15.75" customHeight="1" x14ac:dyDescent="0.3">
      <c r="A68" s="86" t="s">
        <v>180</v>
      </c>
      <c r="B68" s="87" t="s">
        <v>174</v>
      </c>
      <c r="C68" s="52">
        <v>0</v>
      </c>
      <c r="D68" s="58">
        <f ca="1">((100/H62)*C68)/100</f>
        <v>0</v>
      </c>
      <c r="E68" s="210"/>
      <c r="F68" s="210"/>
      <c r="G68" s="210"/>
      <c r="H68" s="212"/>
      <c r="I68" s="38" t="s">
        <v>143</v>
      </c>
      <c r="J68" s="23"/>
      <c r="K68" s="45">
        <f ca="1">(IF(B62=0,H62/4+K67,(H62/(B62+4)+K67)))</f>
        <v>2</v>
      </c>
    </row>
    <row r="69" spans="1:11" s="8" customFormat="1" ht="15.75" customHeight="1" x14ac:dyDescent="0.3">
      <c r="A69" s="86" t="s">
        <v>181</v>
      </c>
      <c r="B69" s="87" t="s">
        <v>174</v>
      </c>
      <c r="C69" s="52">
        <v>0</v>
      </c>
      <c r="D69" s="58">
        <f ca="1">((100/H62)*C69)/100</f>
        <v>0</v>
      </c>
      <c r="E69" s="210"/>
      <c r="F69" s="210"/>
      <c r="G69" s="210"/>
      <c r="H69" s="212"/>
      <c r="I69" s="38" t="s">
        <v>187</v>
      </c>
      <c r="J69" s="50"/>
      <c r="K69" s="45">
        <f>(IF(B62=0,0,(H62/(B62+4)+K68)))</f>
        <v>0</v>
      </c>
    </row>
    <row r="70" spans="1:11" s="8" customFormat="1" ht="15" customHeight="1" x14ac:dyDescent="0.3">
      <c r="A70" s="86" t="s">
        <v>179</v>
      </c>
      <c r="B70" s="87" t="s">
        <v>176</v>
      </c>
      <c r="C70" s="52">
        <v>0</v>
      </c>
      <c r="D70" s="58">
        <f ca="1">((100/(H62))*C70)/100</f>
        <v>0</v>
      </c>
      <c r="E70" s="210"/>
      <c r="F70" s="210"/>
      <c r="G70" s="210"/>
      <c r="H70" s="212"/>
      <c r="I70" s="38" t="s">
        <v>188</v>
      </c>
      <c r="J70" s="50"/>
      <c r="K70" s="45">
        <f>(IF(B62&gt;1,(H62/(B62+4)+K69),0))</f>
        <v>0</v>
      </c>
    </row>
    <row r="71" spans="1:11" s="8" customFormat="1" ht="15.75" customHeight="1" x14ac:dyDescent="0.3">
      <c r="A71" s="86" t="s">
        <v>175</v>
      </c>
      <c r="B71" s="87" t="s">
        <v>175</v>
      </c>
      <c r="C71" s="52">
        <v>0</v>
      </c>
      <c r="D71" s="58">
        <f ca="1">((100/H62)*C71)/100</f>
        <v>0</v>
      </c>
      <c r="E71" s="210"/>
      <c r="F71" s="210"/>
      <c r="G71" s="210"/>
      <c r="H71" s="212"/>
      <c r="I71" s="38" t="s">
        <v>189</v>
      </c>
      <c r="J71" s="44"/>
      <c r="K71" s="46">
        <f>(IF(B62&gt;2,(H62/(B62+4)+K70),0))</f>
        <v>0</v>
      </c>
    </row>
    <row r="72" spans="1:11" s="8" customFormat="1" ht="15.75" customHeight="1" x14ac:dyDescent="0.3">
      <c r="A72" s="86" t="s">
        <v>182</v>
      </c>
      <c r="B72" s="87"/>
      <c r="C72" s="52">
        <v>0</v>
      </c>
      <c r="D72" s="58">
        <f ca="1">((100/H62)*C72)/100</f>
        <v>0</v>
      </c>
      <c r="E72" s="210"/>
      <c r="F72" s="210"/>
      <c r="G72" s="210"/>
      <c r="H72" s="212"/>
      <c r="I72" s="38" t="s">
        <v>190</v>
      </c>
      <c r="J72"/>
      <c r="K72" s="49">
        <f>(IF(B62&gt;3,(H62/(B62+4)+K71),0))</f>
        <v>0</v>
      </c>
    </row>
    <row r="73" spans="1:11" s="8" customFormat="1" ht="15.75" customHeight="1" x14ac:dyDescent="0.3">
      <c r="A73" s="86" t="s">
        <v>177</v>
      </c>
      <c r="B73" s="87" t="s">
        <v>177</v>
      </c>
      <c r="C73" s="52">
        <v>0</v>
      </c>
      <c r="D73" s="58">
        <f ca="1">((100/(H62))*C73)/100</f>
        <v>0</v>
      </c>
      <c r="E73" s="210"/>
      <c r="F73" s="210"/>
      <c r="G73" s="210"/>
      <c r="H73" s="212"/>
      <c r="I73" s="38" t="s">
        <v>144</v>
      </c>
      <c r="J73" s="23"/>
      <c r="K73" s="45">
        <f ca="1">(IF(B62=0,H62/4+K68,(H62/(B62+4)+K68+MAX(0,K69-K68)+MAX(0,K70-K69)+MAX(0,K71-K70)+MAX(0,K72-K71))))</f>
        <v>3</v>
      </c>
    </row>
    <row r="74" spans="1:11" s="8" customFormat="1" ht="16.2" thickBot="1" x14ac:dyDescent="0.35">
      <c r="A74" s="100" t="s">
        <v>178</v>
      </c>
      <c r="B74" s="101"/>
      <c r="C74" s="54">
        <v>0</v>
      </c>
      <c r="D74" s="59">
        <f ca="1">((100/(H62))*C74)/100</f>
        <v>0</v>
      </c>
      <c r="E74" s="211"/>
      <c r="F74" s="211"/>
      <c r="G74" s="211"/>
      <c r="H74" s="213"/>
      <c r="I74" s="42" t="s">
        <v>145</v>
      </c>
      <c r="J74" s="43"/>
      <c r="K74" s="47">
        <f ca="1">(IF(B62=0,H62/4+K73,(H62/(B62+4)+K73)))</f>
        <v>4</v>
      </c>
    </row>
    <row r="75" spans="1:11" s="8" customFormat="1" ht="15.75" customHeight="1" x14ac:dyDescent="0.3">
      <c r="A75" s="81" t="s">
        <v>184</v>
      </c>
      <c r="B75" s="82"/>
      <c r="C75" s="83" t="str">
        <f>D54</f>
        <v>Wing E  = G + 1st to 4th Floor</v>
      </c>
      <c r="D75" s="84"/>
      <c r="E75" s="84"/>
      <c r="F75" s="84"/>
      <c r="G75" s="84"/>
      <c r="H75" s="85"/>
      <c r="I75" s="19" t="str">
        <f ca="1">(IF(C79=0,"Work not yet Started.",IF(D79=25%,"Piling work in process",IF(D79=50%,"Excavation work in process",IF(D79=100%,"Excavation work completed, ","0")))&amp;(IF(C80=0%,"",IF(C80=K81,"Footing work is process",IF(C80=K82,"Footing work Completed",IF(C80=K83,"1st Basement Completed",IF(C80=K84,"1st &amp; 2nd Basement Completed",IF(C80=K85,"1st to 3rd Basement Completed",IF(C80=K86,"1st to 4th Basement Completed",IF(C80=K87,"Plinth work is process",IF(C80=K88,"Plinth work completed","0")))))))))))&amp;(IF(C81&gt;0,", RCC upto "&amp;C81&amp;" Slab completed",""))&amp;(IF(C82&gt;0,", Brickwork upto "&amp;C82&amp;" Floor completed"," "))&amp;(IF(C83&gt;0,", Internal Plaster upto "&amp;C83&amp;" Floor completed"," "))&amp;(IF(C84&gt;0,", External Plaster upto "&amp;C84&amp;" Floor completed"," "))&amp;(IF(C85&gt;0,", Flooring upto "&amp;C85&amp;" Floor completed"," "))&amp;(IF(C86&gt;0,", Painting upto "&amp;C86&amp;" Floor completed"," "))&amp;(IF(C87&gt;0,", Finishing upto "&amp;C87&amp;" Floor completed"," ")))</f>
        <v xml:space="preserve">Excavation work completed, Plinth work completed      </v>
      </c>
      <c r="J75" s="19"/>
      <c r="K75" s="20"/>
    </row>
    <row r="76" spans="1:11" s="8" customFormat="1" ht="15.6" x14ac:dyDescent="0.3">
      <c r="A76" s="48" t="s">
        <v>186</v>
      </c>
      <c r="B76" s="57">
        <v>0</v>
      </c>
      <c r="C76" s="57" t="s">
        <v>103</v>
      </c>
      <c r="D76" s="57">
        <v>1</v>
      </c>
      <c r="E76" s="57" t="s">
        <v>102</v>
      </c>
      <c r="F76" s="57">
        <v>0</v>
      </c>
      <c r="G76" s="57" t="s">
        <v>117</v>
      </c>
      <c r="H76" s="61">
        <f ca="1">--TRIM(RIGHT(SUBSTITUTE(LEFT(C75,_xlfn.AGGREGATE(16,6,FIND({0,1,2,3,4,5,6,7,8,9},C75,ROW(INDIRECT("1:"&amp;LEN(C75)))),1))," ",REPT(" ",LEN(C75))),LEN(C75)))</f>
        <v>4</v>
      </c>
      <c r="I76" s="18" t="s">
        <v>158</v>
      </c>
      <c r="J76" s="18"/>
      <c r="K76" s="21"/>
    </row>
    <row r="77" spans="1:11" s="8" customFormat="1" ht="15.75" customHeight="1" x14ac:dyDescent="0.3">
      <c r="A77" s="103" t="s">
        <v>127</v>
      </c>
      <c r="B77" s="104"/>
      <c r="C77" s="93" t="str">
        <f ca="1">I75</f>
        <v xml:space="preserve">Excavation work completed, Plinth work completed      </v>
      </c>
      <c r="D77" s="93"/>
      <c r="E77" s="93"/>
      <c r="F77" s="93"/>
      <c r="G77" s="93"/>
      <c r="H77" s="94"/>
      <c r="I77" s="18" t="s">
        <v>146</v>
      </c>
      <c r="J77" s="18"/>
      <c r="K77" s="21"/>
    </row>
    <row r="78" spans="1:11" s="8" customFormat="1" ht="31.2" x14ac:dyDescent="0.3">
      <c r="A78" s="86" t="s">
        <v>54</v>
      </c>
      <c r="B78" s="87"/>
      <c r="C78" s="51" t="s">
        <v>183</v>
      </c>
      <c r="D78" s="51" t="s">
        <v>120</v>
      </c>
      <c r="E78" s="87" t="s">
        <v>122</v>
      </c>
      <c r="F78" s="87"/>
      <c r="G78" s="87" t="s">
        <v>121</v>
      </c>
      <c r="H78" s="105"/>
      <c r="I78" s="38" t="s">
        <v>185</v>
      </c>
      <c r="K78" s="22">
        <f ca="1">H76*25%</f>
        <v>1</v>
      </c>
    </row>
    <row r="79" spans="1:11" s="8" customFormat="1" ht="15.6" x14ac:dyDescent="0.3">
      <c r="A79" s="86" t="s">
        <v>173</v>
      </c>
      <c r="B79" s="87"/>
      <c r="C79" s="52">
        <f ca="1">K80</f>
        <v>4</v>
      </c>
      <c r="D79" s="58">
        <f ca="1">((100/H76)*C79)/100</f>
        <v>1</v>
      </c>
      <c r="E79" s="210">
        <f ca="1">(IF(C77=I76,"100%",IF(C77=I77,"100%",(((C80/H76*10)+(40/(D76+F76+H76)*C81)+(7.5/(H76)*C82)+(7.5/(H76)*C83)+(10/H76*C84)+(10/H76*C85)+(5/H76*C86)+(5/H76*C87)+(5/H76*C88))/100))))</f>
        <v>0.1</v>
      </c>
      <c r="F79" s="210"/>
      <c r="G79" s="210">
        <f ca="1">((((C79/H76)*20)+((C80/H76)*25)+(30/(H76+F76+D76)*C81)+(5/H76*C82)+(5/H76*C83)+(5/H76*C84)+(5/H76*C85)+(0/H76*C86)+(0/H76*C87)+(5/H76*C88))/100)</f>
        <v>0.45</v>
      </c>
      <c r="H79" s="212"/>
      <c r="I79" s="38" t="s">
        <v>140</v>
      </c>
      <c r="J79" s="23"/>
      <c r="K79" s="41">
        <f ca="1">H76*50%</f>
        <v>2</v>
      </c>
    </row>
    <row r="80" spans="1:11" s="8" customFormat="1" ht="15.6" x14ac:dyDescent="0.3">
      <c r="A80" s="86" t="s">
        <v>55</v>
      </c>
      <c r="B80" s="87"/>
      <c r="C80" s="53">
        <f ca="1">K88</f>
        <v>4</v>
      </c>
      <c r="D80" s="58">
        <f ca="1">((100/H76)*C80)/100</f>
        <v>1</v>
      </c>
      <c r="E80" s="210"/>
      <c r="F80" s="210"/>
      <c r="G80" s="210"/>
      <c r="H80" s="212"/>
      <c r="I80" s="38" t="s">
        <v>141</v>
      </c>
      <c r="J80" s="23"/>
      <c r="K80" s="41">
        <f ca="1">H76</f>
        <v>4</v>
      </c>
    </row>
    <row r="81" spans="1:11" s="8" customFormat="1" ht="15.75" customHeight="1" x14ac:dyDescent="0.3">
      <c r="A81" s="86" t="s">
        <v>247</v>
      </c>
      <c r="B81" s="87"/>
      <c r="C81" s="53">
        <v>0</v>
      </c>
      <c r="D81" s="58">
        <f ca="1">((100/(D76+F76+H76))*C81)/100</f>
        <v>0</v>
      </c>
      <c r="E81" s="210"/>
      <c r="F81" s="210"/>
      <c r="G81" s="210"/>
      <c r="H81" s="212"/>
      <c r="I81" s="38" t="s">
        <v>142</v>
      </c>
      <c r="J81" s="23"/>
      <c r="K81" s="45">
        <f ca="1">(IF(B76=0,H76/4,(H76/(B76+4))))</f>
        <v>1</v>
      </c>
    </row>
    <row r="82" spans="1:11" s="8" customFormat="1" ht="15.75" customHeight="1" x14ac:dyDescent="0.3">
      <c r="A82" s="86" t="s">
        <v>180</v>
      </c>
      <c r="B82" s="87" t="s">
        <v>174</v>
      </c>
      <c r="C82" s="52">
        <v>0</v>
      </c>
      <c r="D82" s="58">
        <f ca="1">((100/H76)*C82)/100</f>
        <v>0</v>
      </c>
      <c r="E82" s="210"/>
      <c r="F82" s="210"/>
      <c r="G82" s="210"/>
      <c r="H82" s="212"/>
      <c r="I82" s="38" t="s">
        <v>143</v>
      </c>
      <c r="J82" s="23"/>
      <c r="K82" s="45">
        <f ca="1">(IF(B76=0,H76/4+K81,(H76/(B76+4)+K81)))</f>
        <v>2</v>
      </c>
    </row>
    <row r="83" spans="1:11" s="8" customFormat="1" ht="15.75" customHeight="1" x14ac:dyDescent="0.3">
      <c r="A83" s="86" t="s">
        <v>181</v>
      </c>
      <c r="B83" s="87" t="s">
        <v>174</v>
      </c>
      <c r="C83" s="52">
        <v>0</v>
      </c>
      <c r="D83" s="58">
        <f ca="1">((100/H76)*C83)/100</f>
        <v>0</v>
      </c>
      <c r="E83" s="210"/>
      <c r="F83" s="210"/>
      <c r="G83" s="210"/>
      <c r="H83" s="212"/>
      <c r="I83" s="38" t="s">
        <v>187</v>
      </c>
      <c r="J83" s="50"/>
      <c r="K83" s="45">
        <f>(IF(B76=0,0,(H76/(B76+4)+K82)))</f>
        <v>0</v>
      </c>
    </row>
    <row r="84" spans="1:11" s="8" customFormat="1" ht="15" customHeight="1" x14ac:dyDescent="0.3">
      <c r="A84" s="86" t="s">
        <v>179</v>
      </c>
      <c r="B84" s="87" t="s">
        <v>176</v>
      </c>
      <c r="C84" s="52">
        <v>0</v>
      </c>
      <c r="D84" s="58">
        <f ca="1">((100/(H76))*C84)/100</f>
        <v>0</v>
      </c>
      <c r="E84" s="210"/>
      <c r="F84" s="210"/>
      <c r="G84" s="210"/>
      <c r="H84" s="212"/>
      <c r="I84" s="38" t="s">
        <v>188</v>
      </c>
      <c r="J84" s="50"/>
      <c r="K84" s="45">
        <f>(IF(B76&gt;1,(H76/(B76+4)+K83),0))</f>
        <v>0</v>
      </c>
    </row>
    <row r="85" spans="1:11" s="8" customFormat="1" ht="15.75" customHeight="1" x14ac:dyDescent="0.3">
      <c r="A85" s="86" t="s">
        <v>175</v>
      </c>
      <c r="B85" s="87" t="s">
        <v>175</v>
      </c>
      <c r="C85" s="52">
        <v>0</v>
      </c>
      <c r="D85" s="58">
        <f ca="1">((100/H76)*C85)/100</f>
        <v>0</v>
      </c>
      <c r="E85" s="210"/>
      <c r="F85" s="210"/>
      <c r="G85" s="210"/>
      <c r="H85" s="212"/>
      <c r="I85" s="38" t="s">
        <v>189</v>
      </c>
      <c r="J85" s="44"/>
      <c r="K85" s="46">
        <f>(IF(B76&gt;2,(H76/(B76+4)+K84),0))</f>
        <v>0</v>
      </c>
    </row>
    <row r="86" spans="1:11" s="8" customFormat="1" ht="15.75" customHeight="1" x14ac:dyDescent="0.3">
      <c r="A86" s="86" t="s">
        <v>182</v>
      </c>
      <c r="B86" s="87"/>
      <c r="C86" s="52">
        <v>0</v>
      </c>
      <c r="D86" s="58">
        <f ca="1">((100/H76)*C86)/100</f>
        <v>0</v>
      </c>
      <c r="E86" s="210"/>
      <c r="F86" s="210"/>
      <c r="G86" s="210"/>
      <c r="H86" s="212"/>
      <c r="I86" s="38" t="s">
        <v>190</v>
      </c>
      <c r="J86"/>
      <c r="K86" s="49">
        <f>(IF(B76&gt;3,(H76/(B76+4)+K85),0))</f>
        <v>0</v>
      </c>
    </row>
    <row r="87" spans="1:11" s="8" customFormat="1" ht="15.75" customHeight="1" x14ac:dyDescent="0.3">
      <c r="A87" s="86" t="s">
        <v>177</v>
      </c>
      <c r="B87" s="87" t="s">
        <v>177</v>
      </c>
      <c r="C87" s="52">
        <v>0</v>
      </c>
      <c r="D87" s="58">
        <f ca="1">((100/(H76))*C87)/100</f>
        <v>0</v>
      </c>
      <c r="E87" s="210"/>
      <c r="F87" s="210"/>
      <c r="G87" s="210"/>
      <c r="H87" s="212"/>
      <c r="I87" s="38" t="s">
        <v>144</v>
      </c>
      <c r="J87" s="23"/>
      <c r="K87" s="45">
        <f ca="1">(IF(B76=0,H76/4+K82,(H76/(B76+4)+K82+MAX(0,K83-K82)+MAX(0,K84-K83)+MAX(0,K85-K84)+MAX(0,K86-K85))))</f>
        <v>3</v>
      </c>
    </row>
    <row r="88" spans="1:11" s="8" customFormat="1" ht="16.2" thickBot="1" x14ac:dyDescent="0.35">
      <c r="A88" s="100" t="s">
        <v>178</v>
      </c>
      <c r="B88" s="101"/>
      <c r="C88" s="54">
        <v>0</v>
      </c>
      <c r="D88" s="59">
        <f ca="1">((100/(H76))*C88)/100</f>
        <v>0</v>
      </c>
      <c r="E88" s="211"/>
      <c r="F88" s="211"/>
      <c r="G88" s="211"/>
      <c r="H88" s="213"/>
      <c r="I88" s="42" t="s">
        <v>145</v>
      </c>
      <c r="J88" s="43"/>
      <c r="K88" s="47">
        <f ca="1">(IF(B76=0,H76/4+K87,(H76/(B76+4)+K87)))</f>
        <v>4</v>
      </c>
    </row>
    <row r="89" spans="1:11" s="8" customFormat="1" ht="15.75" customHeight="1" x14ac:dyDescent="0.3">
      <c r="A89" s="81" t="s">
        <v>184</v>
      </c>
      <c r="B89" s="82"/>
      <c r="C89" s="83" t="str">
        <f>D55</f>
        <v>Wing L  = G + 1st to 4th Floor</v>
      </c>
      <c r="D89" s="84"/>
      <c r="E89" s="84"/>
      <c r="F89" s="84"/>
      <c r="G89" s="84"/>
      <c r="H89" s="85"/>
      <c r="I89" s="19" t="str">
        <f ca="1">(IF(C93=0,"Work not yet Started.",IF(D93=25%,"Piling work in process",IF(D93=50%,"Excavation work in process",IF(D93=100%,"Excavation work completed, ","0")))&amp;(IF(C94=0%,"",IF(C94=K95,"Footing work is process",IF(C94=K96,"Footing work Completed",IF(C94=K97,"1st Basement Completed",IF(C94=K98,"1st &amp; 2nd Basement Completed",IF(C94=K99,"1st to 3rd Basement Completed",IF(C94=K100,"1st to 4th Basement Completed",IF(C94=K101,"Plinth work is process",IF(C94=K102,"Plinth work completed","0")))))))))))&amp;(IF(C95&gt;0,", RCC upto "&amp;C95&amp;" Slab completed",""))&amp;(IF(C96&gt;0,", Brickwork upto "&amp;C96&amp;" Floor completed"," "))&amp;(IF(C97&gt;0,", Internal Plaster upto "&amp;C97&amp;" Floor completed"," "))&amp;(IF(C98&gt;0,", External Plaster upto "&amp;C98&amp;" Floor completed"," "))&amp;(IF(C99&gt;0,", Flooring upto "&amp;C99&amp;" Floor completed"," "))&amp;(IF(C100&gt;0,", Painting upto "&amp;C100&amp;" Floor completed"," "))&amp;(IF(C101&gt;0,", Finishing upto "&amp;C101&amp;" Floor completed"," ")))</f>
        <v xml:space="preserve">Excavation work completed, Plinth work completed, RCC upto 0.5 Slab completed      </v>
      </c>
      <c r="J89" s="19"/>
      <c r="K89" s="20"/>
    </row>
    <row r="90" spans="1:11" s="8" customFormat="1" ht="15.6" x14ac:dyDescent="0.3">
      <c r="A90" s="48" t="s">
        <v>186</v>
      </c>
      <c r="B90" s="57">
        <v>0</v>
      </c>
      <c r="C90" s="57" t="s">
        <v>103</v>
      </c>
      <c r="D90" s="57">
        <v>1</v>
      </c>
      <c r="E90" s="57" t="s">
        <v>102</v>
      </c>
      <c r="F90" s="57">
        <v>0</v>
      </c>
      <c r="G90" s="57" t="s">
        <v>117</v>
      </c>
      <c r="H90" s="61">
        <f ca="1">--TRIM(RIGHT(SUBSTITUTE(LEFT(C89,_xlfn.AGGREGATE(16,6,FIND({0,1,2,3,4,5,6,7,8,9},C89,ROW(INDIRECT("1:"&amp;LEN(C89)))),1))," ",REPT(" ",LEN(C89))),LEN(C89)))</f>
        <v>4</v>
      </c>
      <c r="I90" s="18" t="s">
        <v>158</v>
      </c>
      <c r="J90" s="18"/>
      <c r="K90" s="21"/>
    </row>
    <row r="91" spans="1:11" s="8" customFormat="1" ht="40.5" customHeight="1" x14ac:dyDescent="0.3">
      <c r="A91" s="103" t="s">
        <v>127</v>
      </c>
      <c r="B91" s="104"/>
      <c r="C91" s="93" t="str">
        <f ca="1">I89</f>
        <v xml:space="preserve">Excavation work completed, Plinth work completed, RCC upto 0.5 Slab completed      </v>
      </c>
      <c r="D91" s="93"/>
      <c r="E91" s="93"/>
      <c r="F91" s="93"/>
      <c r="G91" s="93"/>
      <c r="H91" s="94"/>
      <c r="I91" s="18" t="s">
        <v>146</v>
      </c>
      <c r="J91" s="18"/>
      <c r="K91" s="21"/>
    </row>
    <row r="92" spans="1:11" s="8" customFormat="1" ht="31.2" x14ac:dyDescent="0.3">
      <c r="A92" s="86" t="s">
        <v>54</v>
      </c>
      <c r="B92" s="87"/>
      <c r="C92" s="51" t="s">
        <v>183</v>
      </c>
      <c r="D92" s="51" t="s">
        <v>120</v>
      </c>
      <c r="E92" s="87" t="s">
        <v>122</v>
      </c>
      <c r="F92" s="87"/>
      <c r="G92" s="87" t="s">
        <v>121</v>
      </c>
      <c r="H92" s="105"/>
      <c r="I92" s="38" t="s">
        <v>185</v>
      </c>
      <c r="K92" s="22">
        <f ca="1">H90*25%</f>
        <v>1</v>
      </c>
    </row>
    <row r="93" spans="1:11" s="8" customFormat="1" ht="15.6" x14ac:dyDescent="0.3">
      <c r="A93" s="86" t="s">
        <v>173</v>
      </c>
      <c r="B93" s="87"/>
      <c r="C93" s="52">
        <f ca="1">K94</f>
        <v>4</v>
      </c>
      <c r="D93" s="58">
        <f ca="1">((100/H90)*C93)/100</f>
        <v>1</v>
      </c>
      <c r="E93" s="210">
        <f ca="1">(IF(C91=I90,"100%",IF(C91=I91,"100%",(((C94/H90*10)+(40/(D90+F90+H90)*C95)+(7.5/(H90)*C96)+(7.5/(H90)*C97)+(10/H90*C98)+(10/H90*C99)+(5/H90*C100)+(5/H90*C101)+(5/H90*C102))/100))))</f>
        <v>0.14000000000000001</v>
      </c>
      <c r="F93" s="210"/>
      <c r="G93" s="210">
        <f ca="1">((((C93/H90)*20)+((C94/H90)*25)+(30/(H90+F90+D90)*C95)+(5/H90*C96)+(5/H90*C97)+(5/H90*C98)+(5/H90*C99)+(0/H90*C100)+(0/H90*C101)+(5/H90*C102))/100)</f>
        <v>0.48</v>
      </c>
      <c r="H93" s="212"/>
      <c r="I93" s="38" t="s">
        <v>140</v>
      </c>
      <c r="J93" s="23"/>
      <c r="K93" s="41">
        <f ca="1">H90*50%</f>
        <v>2</v>
      </c>
    </row>
    <row r="94" spans="1:11" s="8" customFormat="1" ht="15.6" x14ac:dyDescent="0.3">
      <c r="A94" s="86" t="s">
        <v>55</v>
      </c>
      <c r="B94" s="87"/>
      <c r="C94" s="53">
        <f ca="1">K102</f>
        <v>4</v>
      </c>
      <c r="D94" s="58">
        <f ca="1">((100/H90)*C94)/100</f>
        <v>1</v>
      </c>
      <c r="E94" s="210"/>
      <c r="F94" s="210"/>
      <c r="G94" s="210"/>
      <c r="H94" s="212"/>
      <c r="I94" s="38" t="s">
        <v>141</v>
      </c>
      <c r="J94" s="23"/>
      <c r="K94" s="41">
        <f ca="1">H90</f>
        <v>4</v>
      </c>
    </row>
    <row r="95" spans="1:11" s="8" customFormat="1" ht="15.75" customHeight="1" x14ac:dyDescent="0.3">
      <c r="A95" s="86" t="s">
        <v>247</v>
      </c>
      <c r="B95" s="87"/>
      <c r="C95" s="69">
        <v>0.5</v>
      </c>
      <c r="D95" s="58">
        <f ca="1">((100/(D90+F90+H90))*C95)/100</f>
        <v>0.1</v>
      </c>
      <c r="E95" s="210"/>
      <c r="F95" s="210"/>
      <c r="G95" s="210"/>
      <c r="H95" s="212"/>
      <c r="I95" s="38" t="s">
        <v>142</v>
      </c>
      <c r="J95" s="23"/>
      <c r="K95" s="45">
        <f ca="1">(IF(B90=0,H90/4,(H90/(B90+4))))</f>
        <v>1</v>
      </c>
    </row>
    <row r="96" spans="1:11" s="8" customFormat="1" ht="15.75" customHeight="1" x14ac:dyDescent="0.3">
      <c r="A96" s="86" t="s">
        <v>180</v>
      </c>
      <c r="B96" s="87" t="s">
        <v>174</v>
      </c>
      <c r="C96" s="52">
        <v>0</v>
      </c>
      <c r="D96" s="58">
        <f ca="1">((100/H90)*C96)/100</f>
        <v>0</v>
      </c>
      <c r="E96" s="210"/>
      <c r="F96" s="210"/>
      <c r="G96" s="210"/>
      <c r="H96" s="212"/>
      <c r="I96" s="38" t="s">
        <v>143</v>
      </c>
      <c r="J96" s="23"/>
      <c r="K96" s="45">
        <f ca="1">(IF(B90=0,H90/4+K95,(H90/(B90+4)+K95)))</f>
        <v>2</v>
      </c>
    </row>
    <row r="97" spans="1:11" s="8" customFormat="1" ht="15.75" customHeight="1" x14ac:dyDescent="0.3">
      <c r="A97" s="86" t="s">
        <v>181</v>
      </c>
      <c r="B97" s="87" t="s">
        <v>174</v>
      </c>
      <c r="C97" s="52">
        <v>0</v>
      </c>
      <c r="D97" s="58">
        <f ca="1">((100/H90)*C97)/100</f>
        <v>0</v>
      </c>
      <c r="E97" s="210"/>
      <c r="F97" s="210"/>
      <c r="G97" s="210"/>
      <c r="H97" s="212"/>
      <c r="I97" s="38" t="s">
        <v>187</v>
      </c>
      <c r="J97" s="50"/>
      <c r="K97" s="45">
        <f>(IF(B90=0,0,(H90/(B90+4)+K96)))</f>
        <v>0</v>
      </c>
    </row>
    <row r="98" spans="1:11" s="8" customFormat="1" ht="15" customHeight="1" x14ac:dyDescent="0.3">
      <c r="A98" s="86" t="s">
        <v>179</v>
      </c>
      <c r="B98" s="87" t="s">
        <v>176</v>
      </c>
      <c r="C98" s="52">
        <v>0</v>
      </c>
      <c r="D98" s="58">
        <f ca="1">((100/(H90))*C98)/100</f>
        <v>0</v>
      </c>
      <c r="E98" s="210"/>
      <c r="F98" s="210"/>
      <c r="G98" s="210"/>
      <c r="H98" s="212"/>
      <c r="I98" s="38" t="s">
        <v>188</v>
      </c>
      <c r="J98" s="50"/>
      <c r="K98" s="45">
        <f>(IF(B90&gt;1,(H90/(B90+4)+K97),0))</f>
        <v>0</v>
      </c>
    </row>
    <row r="99" spans="1:11" s="8" customFormat="1" ht="15.75" customHeight="1" x14ac:dyDescent="0.3">
      <c r="A99" s="86" t="s">
        <v>175</v>
      </c>
      <c r="B99" s="87" t="s">
        <v>175</v>
      </c>
      <c r="C99" s="52">
        <v>0</v>
      </c>
      <c r="D99" s="58">
        <f ca="1">((100/H90)*C99)/100</f>
        <v>0</v>
      </c>
      <c r="E99" s="210"/>
      <c r="F99" s="210"/>
      <c r="G99" s="210"/>
      <c r="H99" s="212"/>
      <c r="I99" s="38" t="s">
        <v>189</v>
      </c>
      <c r="J99" s="44"/>
      <c r="K99" s="46">
        <f>(IF(B90&gt;2,(H90/(B90+4)+K98),0))</f>
        <v>0</v>
      </c>
    </row>
    <row r="100" spans="1:11" s="8" customFormat="1" ht="15.75" customHeight="1" x14ac:dyDescent="0.3">
      <c r="A100" s="86" t="s">
        <v>182</v>
      </c>
      <c r="B100" s="87"/>
      <c r="C100" s="52">
        <v>0</v>
      </c>
      <c r="D100" s="58">
        <f ca="1">((100/H90)*C100)/100</f>
        <v>0</v>
      </c>
      <c r="E100" s="210"/>
      <c r="F100" s="210"/>
      <c r="G100" s="210"/>
      <c r="H100" s="212"/>
      <c r="I100" s="38" t="s">
        <v>190</v>
      </c>
      <c r="J100"/>
      <c r="K100" s="49">
        <f>(IF(B90&gt;3,(H90/(B90+4)+K99),0))</f>
        <v>0</v>
      </c>
    </row>
    <row r="101" spans="1:11" s="8" customFormat="1" ht="15.75" customHeight="1" x14ac:dyDescent="0.3">
      <c r="A101" s="86" t="s">
        <v>177</v>
      </c>
      <c r="B101" s="87" t="s">
        <v>177</v>
      </c>
      <c r="C101" s="52">
        <v>0</v>
      </c>
      <c r="D101" s="58">
        <f ca="1">((100/(H90))*C101)/100</f>
        <v>0</v>
      </c>
      <c r="E101" s="210"/>
      <c r="F101" s="210"/>
      <c r="G101" s="210"/>
      <c r="H101" s="212"/>
      <c r="I101" s="38" t="s">
        <v>144</v>
      </c>
      <c r="J101" s="23"/>
      <c r="K101" s="45">
        <f ca="1">(IF(B90=0,H90/4+K96,(H90/(B90+4)+K96+MAX(0,K97-K96)+MAX(0,K98-K97)+MAX(0,K99-K98)+MAX(0,K100-K99))))</f>
        <v>3</v>
      </c>
    </row>
    <row r="102" spans="1:11" s="8" customFormat="1" ht="16.2" thickBot="1" x14ac:dyDescent="0.35">
      <c r="A102" s="100" t="s">
        <v>178</v>
      </c>
      <c r="B102" s="101"/>
      <c r="C102" s="54">
        <v>0</v>
      </c>
      <c r="D102" s="59">
        <f ca="1">((100/(H90))*C102)/100</f>
        <v>0</v>
      </c>
      <c r="E102" s="211"/>
      <c r="F102" s="211"/>
      <c r="G102" s="211"/>
      <c r="H102" s="213"/>
      <c r="I102" s="42" t="s">
        <v>145</v>
      </c>
      <c r="J102" s="43"/>
      <c r="K102" s="47">
        <f ca="1">(IF(B90=0,H90/4+K101,(H90/(B90+4)+K101)))</f>
        <v>4</v>
      </c>
    </row>
    <row r="103" spans="1:11" s="8" customFormat="1" ht="15.75" customHeight="1" x14ac:dyDescent="0.3">
      <c r="A103" s="81" t="s">
        <v>184</v>
      </c>
      <c r="B103" s="82"/>
      <c r="C103" s="83" t="str">
        <f>D56</f>
        <v>Wing H, I, J &amp; K  = G + 1st to 4th Floor</v>
      </c>
      <c r="D103" s="84"/>
      <c r="E103" s="84"/>
      <c r="F103" s="84"/>
      <c r="G103" s="84"/>
      <c r="H103" s="85"/>
      <c r="I103" s="19" t="str">
        <f>(IF(C107=0,"Work not yet Started.",IF(D107=25%,"Piling work in process",IF(D107=50%,"Excavation work in process",IF(D107=100%,"Excavation work completed, ","0")))&amp;(IF(C108=0%,"",IF(C108=K109,"Footing work is process",IF(C108=K110,"Footing work Completed",IF(C108=K111,"1st Basement Completed",IF(C108=K112,"1st &amp; 2nd Basement Completed",IF(C108=K113,"1st to 3rd Basement Completed",IF(C108=K114,"1st to 4th Basement Completed",IF(C108=K115,"Plinth work is process",IF(C108=K116,"Plinth work completed","0")))))))))))&amp;(IF(C109&gt;0,", RCC upto "&amp;C109&amp;" Slab completed",""))&amp;(IF(C110&gt;0,", Brickwork upto "&amp;C110&amp;" Floor completed"," "))&amp;(IF(C111&gt;0,", Internal Plaster upto "&amp;C111&amp;" Floor completed"," "))&amp;(IF(C112&gt;0,", External Plaster upto "&amp;C112&amp;" Floor completed"," "))&amp;(IF(C113&gt;0,", Flooring upto "&amp;C113&amp;" Floor completed"," "))&amp;(IF(C114&gt;0,", Painting upto "&amp;C114&amp;" Floor completed"," "))&amp;(IF(C115&gt;0,", Finishing upto "&amp;C115&amp;" Floor completed"," ")))</f>
        <v xml:space="preserve">Work not yet Started.      </v>
      </c>
      <c r="J103" s="19"/>
      <c r="K103" s="20"/>
    </row>
    <row r="104" spans="1:11" s="8" customFormat="1" ht="15.6" x14ac:dyDescent="0.3">
      <c r="A104" s="48" t="s">
        <v>186</v>
      </c>
      <c r="B104" s="57">
        <v>0</v>
      </c>
      <c r="C104" s="57" t="s">
        <v>103</v>
      </c>
      <c r="D104" s="57">
        <v>1</v>
      </c>
      <c r="E104" s="57" t="s">
        <v>102</v>
      </c>
      <c r="F104" s="57">
        <v>0</v>
      </c>
      <c r="G104" s="57" t="s">
        <v>117</v>
      </c>
      <c r="H104" s="61">
        <f ca="1">--TRIM(RIGHT(SUBSTITUTE(LEFT(C103,_xlfn.AGGREGATE(16,6,FIND({0,1,2,3,4,5,6,7,8,9},C103,ROW(INDIRECT("1:"&amp;LEN(C103)))),1))," ",REPT(" ",LEN(C103))),LEN(C103)))</f>
        <v>4</v>
      </c>
      <c r="I104" s="18" t="s">
        <v>158</v>
      </c>
      <c r="J104" s="18"/>
      <c r="K104" s="21"/>
    </row>
    <row r="105" spans="1:11" s="8" customFormat="1" ht="15.75" customHeight="1" x14ac:dyDescent="0.3">
      <c r="A105" s="103" t="s">
        <v>127</v>
      </c>
      <c r="B105" s="104"/>
      <c r="C105" s="93" t="str">
        <f>I103</f>
        <v xml:space="preserve">Work not yet Started.      </v>
      </c>
      <c r="D105" s="93"/>
      <c r="E105" s="93"/>
      <c r="F105" s="93"/>
      <c r="G105" s="93"/>
      <c r="H105" s="94"/>
      <c r="I105" s="18" t="s">
        <v>146</v>
      </c>
      <c r="J105" s="18"/>
      <c r="K105" s="21"/>
    </row>
    <row r="106" spans="1:11" s="8" customFormat="1" ht="31.2" x14ac:dyDescent="0.3">
      <c r="A106" s="86" t="s">
        <v>54</v>
      </c>
      <c r="B106" s="87"/>
      <c r="C106" s="51" t="s">
        <v>183</v>
      </c>
      <c r="D106" s="51" t="s">
        <v>120</v>
      </c>
      <c r="E106" s="87" t="s">
        <v>122</v>
      </c>
      <c r="F106" s="87"/>
      <c r="G106" s="87" t="s">
        <v>121</v>
      </c>
      <c r="H106" s="105"/>
      <c r="I106" s="38" t="s">
        <v>185</v>
      </c>
      <c r="K106" s="22">
        <f ca="1">H104*25%</f>
        <v>1</v>
      </c>
    </row>
    <row r="107" spans="1:11" s="8" customFormat="1" ht="15.6" x14ac:dyDescent="0.3">
      <c r="A107" s="86" t="s">
        <v>173</v>
      </c>
      <c r="B107" s="87"/>
      <c r="C107" s="52">
        <v>0</v>
      </c>
      <c r="D107" s="58">
        <f ca="1">((100/H104)*C107)/100</f>
        <v>0</v>
      </c>
      <c r="E107" s="210">
        <f ca="1">(IF(C105=I104,"100%",IF(C105=I105,"100%",(((C108/H104*10)+(40/(D104+F104+H104)*C109)+(7.5/(H104)*C110)+(7.5/(H104)*C111)+(10/H104*C112)+(10/H104*C113)+(5/H104*C114)+(5/H104*C115)+(5/H104*C116))/100))))</f>
        <v>0</v>
      </c>
      <c r="F107" s="210"/>
      <c r="G107" s="210">
        <f ca="1">((((C107/H104)*20)+((C108/H104)*25)+(30/(H104+F104+D104)*C109)+(5/H104*C110)+(5/H104*C111)+(5/H104*C112)+(5/H104*C113)+(0/H104*C114)+(0/H104*C115)+(5/H104*C116))/100)</f>
        <v>0</v>
      </c>
      <c r="H107" s="212"/>
      <c r="I107" s="38" t="s">
        <v>140</v>
      </c>
      <c r="J107" s="23"/>
      <c r="K107" s="41">
        <f ca="1">H104*50%</f>
        <v>2</v>
      </c>
    </row>
    <row r="108" spans="1:11" s="8" customFormat="1" ht="15.6" x14ac:dyDescent="0.3">
      <c r="A108" s="86" t="s">
        <v>55</v>
      </c>
      <c r="B108" s="87"/>
      <c r="C108" s="53">
        <v>0</v>
      </c>
      <c r="D108" s="58">
        <f ca="1">((100/H104)*C108)/100</f>
        <v>0</v>
      </c>
      <c r="E108" s="210"/>
      <c r="F108" s="210"/>
      <c r="G108" s="210"/>
      <c r="H108" s="212"/>
      <c r="I108" s="38" t="s">
        <v>141</v>
      </c>
      <c r="J108" s="23"/>
      <c r="K108" s="41">
        <f ca="1">H104</f>
        <v>4</v>
      </c>
    </row>
    <row r="109" spans="1:11" s="8" customFormat="1" ht="15.75" customHeight="1" x14ac:dyDescent="0.3">
      <c r="A109" s="86" t="s">
        <v>247</v>
      </c>
      <c r="B109" s="87"/>
      <c r="C109" s="53">
        <v>0</v>
      </c>
      <c r="D109" s="58">
        <f ca="1">((100/(D104+F104+H104))*C109)/100</f>
        <v>0</v>
      </c>
      <c r="E109" s="210"/>
      <c r="F109" s="210"/>
      <c r="G109" s="210"/>
      <c r="H109" s="212"/>
      <c r="I109" s="38" t="s">
        <v>142</v>
      </c>
      <c r="J109" s="23"/>
      <c r="K109" s="45">
        <f ca="1">(IF(B104=0,H104/4,(H104/(B104+4))))</f>
        <v>1</v>
      </c>
    </row>
    <row r="110" spans="1:11" s="8" customFormat="1" ht="15.75" customHeight="1" x14ac:dyDescent="0.3">
      <c r="A110" s="86" t="s">
        <v>180</v>
      </c>
      <c r="B110" s="87" t="s">
        <v>174</v>
      </c>
      <c r="C110" s="52">
        <v>0</v>
      </c>
      <c r="D110" s="58">
        <f ca="1">((100/H104)*C110)/100</f>
        <v>0</v>
      </c>
      <c r="E110" s="210"/>
      <c r="F110" s="210"/>
      <c r="G110" s="210"/>
      <c r="H110" s="212"/>
      <c r="I110" s="38" t="s">
        <v>143</v>
      </c>
      <c r="J110" s="23"/>
      <c r="K110" s="45">
        <f ca="1">(IF(B104=0,H104/4+K109,(H104/(B104+4)+K109)))</f>
        <v>2</v>
      </c>
    </row>
    <row r="111" spans="1:11" s="8" customFormat="1" ht="15.75" customHeight="1" x14ac:dyDescent="0.3">
      <c r="A111" s="86" t="s">
        <v>181</v>
      </c>
      <c r="B111" s="87" t="s">
        <v>174</v>
      </c>
      <c r="C111" s="52">
        <v>0</v>
      </c>
      <c r="D111" s="58">
        <f ca="1">((100/H104)*C111)/100</f>
        <v>0</v>
      </c>
      <c r="E111" s="210"/>
      <c r="F111" s="210"/>
      <c r="G111" s="210"/>
      <c r="H111" s="212"/>
      <c r="I111" s="38" t="s">
        <v>187</v>
      </c>
      <c r="J111" s="50"/>
      <c r="K111" s="45">
        <f>(IF(B104=0,0,(H104/(B104+4)+K110)))</f>
        <v>0</v>
      </c>
    </row>
    <row r="112" spans="1:11" s="8" customFormat="1" ht="15" customHeight="1" x14ac:dyDescent="0.3">
      <c r="A112" s="86" t="s">
        <v>179</v>
      </c>
      <c r="B112" s="87" t="s">
        <v>176</v>
      </c>
      <c r="C112" s="52">
        <v>0</v>
      </c>
      <c r="D112" s="58">
        <f ca="1">((100/(H104))*C112)/100</f>
        <v>0</v>
      </c>
      <c r="E112" s="210"/>
      <c r="F112" s="210"/>
      <c r="G112" s="210"/>
      <c r="H112" s="212"/>
      <c r="I112" s="38" t="s">
        <v>188</v>
      </c>
      <c r="J112" s="50"/>
      <c r="K112" s="45">
        <f>(IF(B104&gt;1,(H104/(B104+4)+K111),0))</f>
        <v>0</v>
      </c>
    </row>
    <row r="113" spans="1:11" s="8" customFormat="1" ht="15.75" customHeight="1" x14ac:dyDescent="0.3">
      <c r="A113" s="86" t="s">
        <v>175</v>
      </c>
      <c r="B113" s="87" t="s">
        <v>175</v>
      </c>
      <c r="C113" s="52">
        <v>0</v>
      </c>
      <c r="D113" s="58">
        <f ca="1">((100/H104)*C113)/100</f>
        <v>0</v>
      </c>
      <c r="E113" s="210"/>
      <c r="F113" s="210"/>
      <c r="G113" s="210"/>
      <c r="H113" s="212"/>
      <c r="I113" s="38" t="s">
        <v>189</v>
      </c>
      <c r="J113" s="44"/>
      <c r="K113" s="46">
        <f>(IF(B104&gt;2,(H104/(B104+4)+K112),0))</f>
        <v>0</v>
      </c>
    </row>
    <row r="114" spans="1:11" s="8" customFormat="1" ht="15.75" customHeight="1" x14ac:dyDescent="0.3">
      <c r="A114" s="86" t="s">
        <v>182</v>
      </c>
      <c r="B114" s="87"/>
      <c r="C114" s="52">
        <v>0</v>
      </c>
      <c r="D114" s="58">
        <f ca="1">((100/H104)*C114)/100</f>
        <v>0</v>
      </c>
      <c r="E114" s="210"/>
      <c r="F114" s="210"/>
      <c r="G114" s="210"/>
      <c r="H114" s="212"/>
      <c r="I114" s="38" t="s">
        <v>190</v>
      </c>
      <c r="J114"/>
      <c r="K114" s="49">
        <f>(IF(B104&gt;3,(H104/(B104+4)+K113),0))</f>
        <v>0</v>
      </c>
    </row>
    <row r="115" spans="1:11" s="8" customFormat="1" ht="15.75" customHeight="1" x14ac:dyDescent="0.3">
      <c r="A115" s="86" t="s">
        <v>177</v>
      </c>
      <c r="B115" s="87" t="s">
        <v>177</v>
      </c>
      <c r="C115" s="52">
        <v>0</v>
      </c>
      <c r="D115" s="58">
        <f ca="1">((100/(H104))*C115)/100</f>
        <v>0</v>
      </c>
      <c r="E115" s="210"/>
      <c r="F115" s="210"/>
      <c r="G115" s="210"/>
      <c r="H115" s="212"/>
      <c r="I115" s="38" t="s">
        <v>144</v>
      </c>
      <c r="J115" s="23"/>
      <c r="K115" s="45">
        <f ca="1">(IF(B104=0,H104/4+K110,(H104/(B104+4)+K110+MAX(0,K111-K110)+MAX(0,K112-K111)+MAX(0,K113-K112)+MAX(0,K114-K113))))</f>
        <v>3</v>
      </c>
    </row>
    <row r="116" spans="1:11" s="8" customFormat="1" ht="16.2" thickBot="1" x14ac:dyDescent="0.35">
      <c r="A116" s="100" t="s">
        <v>178</v>
      </c>
      <c r="B116" s="101"/>
      <c r="C116" s="54">
        <v>0</v>
      </c>
      <c r="D116" s="59">
        <f ca="1">((100/(H104))*C116)/100</f>
        <v>0</v>
      </c>
      <c r="E116" s="211"/>
      <c r="F116" s="211"/>
      <c r="G116" s="211"/>
      <c r="H116" s="213"/>
      <c r="I116" s="42" t="s">
        <v>145</v>
      </c>
      <c r="J116" s="43"/>
      <c r="K116" s="47">
        <f ca="1">(IF(B104=0,H104/4+K115,(H104/(B104+4)+K115)))</f>
        <v>4</v>
      </c>
    </row>
    <row r="117" spans="1:11" s="8" customFormat="1" ht="15.6" x14ac:dyDescent="0.3">
      <c r="A117" s="131" t="s">
        <v>159</v>
      </c>
      <c r="B117" s="132"/>
      <c r="C117" s="132"/>
      <c r="D117" s="132"/>
      <c r="E117" s="133"/>
      <c r="F117" s="131" t="str">
        <f ca="1">(IF(G65="100%","Yes",IF(G65&gt;0%,"Under Construction",IF(G65=0%,"Work not yet Started"))))</f>
        <v>Under Construction</v>
      </c>
      <c r="G117" s="132"/>
      <c r="H117" s="133"/>
    </row>
    <row r="118" spans="1:11" s="8" customFormat="1" ht="15.6" x14ac:dyDescent="0.3">
      <c r="A118" s="79" t="s">
        <v>56</v>
      </c>
      <c r="B118" s="79"/>
      <c r="C118" s="79"/>
      <c r="D118" s="79"/>
      <c r="E118" s="79"/>
      <c r="F118" s="79"/>
      <c r="G118" s="79"/>
      <c r="H118" s="79"/>
    </row>
    <row r="119" spans="1:11" s="8" customFormat="1" ht="15" customHeight="1" x14ac:dyDescent="0.3">
      <c r="A119" s="104" t="s">
        <v>105</v>
      </c>
      <c r="B119" s="104"/>
      <c r="C119" s="93" t="s">
        <v>106</v>
      </c>
      <c r="D119" s="93"/>
      <c r="E119" s="93"/>
      <c r="F119" s="93"/>
      <c r="G119" s="93"/>
      <c r="H119" s="93"/>
    </row>
    <row r="120" spans="1:11" s="8" customFormat="1" ht="15.6" x14ac:dyDescent="0.3">
      <c r="A120" s="129" t="s">
        <v>57</v>
      </c>
      <c r="B120" s="129"/>
      <c r="C120" s="129"/>
      <c r="D120" s="129"/>
      <c r="E120" s="129"/>
      <c r="F120" s="129"/>
      <c r="G120" s="129"/>
      <c r="H120" s="129"/>
    </row>
    <row r="121" spans="1:11" s="8" customFormat="1" ht="15.6" x14ac:dyDescent="0.3">
      <c r="A121" s="79" t="s">
        <v>107</v>
      </c>
      <c r="B121" s="79"/>
      <c r="C121" s="79"/>
      <c r="D121" s="79"/>
      <c r="E121" s="79"/>
      <c r="F121" s="198">
        <v>3200</v>
      </c>
      <c r="G121" s="198"/>
      <c r="H121" s="198"/>
    </row>
    <row r="122" spans="1:11" s="8" customFormat="1" ht="15.6" hidden="1" x14ac:dyDescent="0.3">
      <c r="A122" s="79" t="s">
        <v>114</v>
      </c>
      <c r="B122" s="79"/>
      <c r="C122" s="79"/>
      <c r="D122" s="79"/>
      <c r="E122" s="79"/>
      <c r="F122" s="198"/>
      <c r="G122" s="198"/>
      <c r="H122" s="198"/>
    </row>
    <row r="123" spans="1:11" s="8" customFormat="1" ht="15.6" hidden="1" x14ac:dyDescent="0.3">
      <c r="A123" s="79" t="s">
        <v>116</v>
      </c>
      <c r="B123" s="79"/>
      <c r="C123" s="79"/>
      <c r="D123" s="79"/>
      <c r="E123" s="79"/>
      <c r="F123" s="198"/>
      <c r="G123" s="198"/>
      <c r="H123" s="198"/>
    </row>
    <row r="124" spans="1:11" s="12" customFormat="1" ht="15.6" hidden="1" x14ac:dyDescent="0.25">
      <c r="A124" s="79" t="s">
        <v>132</v>
      </c>
      <c r="B124" s="79"/>
      <c r="C124" s="79"/>
      <c r="D124" s="79"/>
      <c r="E124" s="79"/>
      <c r="F124" s="198" t="s">
        <v>30</v>
      </c>
      <c r="G124" s="198"/>
      <c r="H124" s="198"/>
    </row>
    <row r="125" spans="1:11" s="12" customFormat="1" ht="15.6" hidden="1" x14ac:dyDescent="0.25">
      <c r="A125" s="79" t="s">
        <v>133</v>
      </c>
      <c r="B125" s="79"/>
      <c r="C125" s="79"/>
      <c r="D125" s="79"/>
      <c r="E125" s="79"/>
      <c r="F125" s="198" t="s">
        <v>30</v>
      </c>
      <c r="G125" s="198"/>
      <c r="H125" s="198"/>
    </row>
    <row r="126" spans="1:11" s="12" customFormat="1" ht="15.6" hidden="1" x14ac:dyDescent="0.25">
      <c r="A126" s="79" t="s">
        <v>134</v>
      </c>
      <c r="B126" s="79"/>
      <c r="C126" s="79"/>
      <c r="D126" s="79"/>
      <c r="E126" s="79"/>
      <c r="F126" s="198" t="s">
        <v>30</v>
      </c>
      <c r="G126" s="198"/>
      <c r="H126" s="198"/>
    </row>
    <row r="127" spans="1:11" s="12" customFormat="1" ht="15.6" hidden="1" x14ac:dyDescent="0.25">
      <c r="A127" s="79" t="s">
        <v>135</v>
      </c>
      <c r="B127" s="79"/>
      <c r="C127" s="79"/>
      <c r="D127" s="79"/>
      <c r="E127" s="79"/>
      <c r="F127" s="198" t="s">
        <v>30</v>
      </c>
      <c r="G127" s="198"/>
      <c r="H127" s="198"/>
    </row>
    <row r="128" spans="1:11" s="12" customFormat="1" ht="15.6" hidden="1" x14ac:dyDescent="0.25">
      <c r="A128" s="79" t="s">
        <v>136</v>
      </c>
      <c r="B128" s="79"/>
      <c r="C128" s="79"/>
      <c r="D128" s="79"/>
      <c r="E128" s="79"/>
      <c r="F128" s="198" t="s">
        <v>30</v>
      </c>
      <c r="G128" s="198"/>
      <c r="H128" s="198"/>
    </row>
    <row r="129" spans="1:8" s="12" customFormat="1" ht="15.6" hidden="1" x14ac:dyDescent="0.25">
      <c r="A129" s="79" t="s">
        <v>137</v>
      </c>
      <c r="B129" s="79"/>
      <c r="C129" s="79"/>
      <c r="D129" s="79"/>
      <c r="E129" s="79"/>
      <c r="F129" s="198" t="s">
        <v>30</v>
      </c>
      <c r="G129" s="198"/>
      <c r="H129" s="198"/>
    </row>
    <row r="130" spans="1:8" s="12" customFormat="1" ht="15.6" hidden="1" x14ac:dyDescent="0.25">
      <c r="A130" s="79" t="s">
        <v>138</v>
      </c>
      <c r="B130" s="79"/>
      <c r="C130" s="79"/>
      <c r="D130" s="79"/>
      <c r="E130" s="79"/>
      <c r="F130" s="198" t="s">
        <v>30</v>
      </c>
      <c r="G130" s="198"/>
      <c r="H130" s="198"/>
    </row>
    <row r="131" spans="1:8" s="12" customFormat="1" ht="15.6" hidden="1" x14ac:dyDescent="0.25">
      <c r="A131" s="79" t="s">
        <v>139</v>
      </c>
      <c r="B131" s="79"/>
      <c r="C131" s="79"/>
      <c r="D131" s="79"/>
      <c r="E131" s="79"/>
      <c r="F131" s="198" t="s">
        <v>30</v>
      </c>
      <c r="G131" s="198"/>
      <c r="H131" s="198"/>
    </row>
    <row r="132" spans="1:8" s="8" customFormat="1" ht="15.6" x14ac:dyDescent="0.3">
      <c r="A132" s="79" t="s">
        <v>58</v>
      </c>
      <c r="B132" s="79"/>
      <c r="C132" s="79"/>
      <c r="D132" s="79"/>
      <c r="E132" s="79"/>
      <c r="F132" s="197" t="s">
        <v>248</v>
      </c>
      <c r="G132" s="197"/>
      <c r="H132" s="197"/>
    </row>
    <row r="133" spans="1:8" s="9" customFormat="1" ht="15.6" x14ac:dyDescent="0.3">
      <c r="A133" s="129" t="s">
        <v>59</v>
      </c>
      <c r="B133" s="129"/>
      <c r="C133" s="129"/>
      <c r="D133" s="129"/>
      <c r="E133" s="129"/>
      <c r="F133" s="198">
        <f>F121*0.8</f>
        <v>2560</v>
      </c>
      <c r="G133" s="198"/>
      <c r="H133" s="198"/>
    </row>
    <row r="134" spans="1:8" s="1" customFormat="1" ht="15.75" hidden="1" customHeight="1" x14ac:dyDescent="0.3">
      <c r="A134" s="158" t="s">
        <v>108</v>
      </c>
      <c r="B134" s="158"/>
      <c r="C134" s="158"/>
      <c r="D134" s="158"/>
      <c r="E134" s="158"/>
      <c r="F134" s="158"/>
      <c r="G134" s="158"/>
      <c r="H134" s="158"/>
    </row>
    <row r="135" spans="1:8" s="1" customFormat="1" ht="15.75" hidden="1" customHeight="1" x14ac:dyDescent="0.3">
      <c r="A135" s="109" t="s">
        <v>60</v>
      </c>
      <c r="B135" s="109"/>
      <c r="C135" s="107" t="s">
        <v>111</v>
      </c>
      <c r="D135" s="107"/>
      <c r="E135" s="130" t="s">
        <v>61</v>
      </c>
      <c r="F135" s="130"/>
      <c r="G135" s="109" t="s">
        <v>62</v>
      </c>
      <c r="H135" s="109"/>
    </row>
    <row r="136" spans="1:8" s="1" customFormat="1" ht="15.6" hidden="1" x14ac:dyDescent="0.3">
      <c r="A136" s="110"/>
      <c r="B136" s="110"/>
      <c r="C136" s="111"/>
      <c r="D136" s="111"/>
      <c r="E136" s="181"/>
      <c r="F136" s="181"/>
      <c r="G136" s="106"/>
      <c r="H136" s="106"/>
    </row>
    <row r="137" spans="1:8" s="1" customFormat="1" ht="15.6" x14ac:dyDescent="0.3">
      <c r="A137" s="158" t="s">
        <v>101</v>
      </c>
      <c r="B137" s="158"/>
      <c r="C137" s="158"/>
      <c r="D137" s="158"/>
      <c r="E137" s="158"/>
      <c r="F137" s="158"/>
      <c r="G137" s="158"/>
      <c r="H137" s="158"/>
    </row>
    <row r="138" spans="1:8" s="1" customFormat="1" ht="15.75" customHeight="1" x14ac:dyDescent="0.3">
      <c r="A138" s="109" t="s">
        <v>60</v>
      </c>
      <c r="B138" s="109"/>
      <c r="C138" s="107" t="s">
        <v>111</v>
      </c>
      <c r="D138" s="107"/>
      <c r="E138" s="130" t="s">
        <v>61</v>
      </c>
      <c r="F138" s="130"/>
      <c r="G138" s="109" t="s">
        <v>62</v>
      </c>
      <c r="H138" s="109"/>
    </row>
    <row r="139" spans="1:8" s="1" customFormat="1" ht="15.6" x14ac:dyDescent="0.3">
      <c r="A139" s="90" t="s">
        <v>233</v>
      </c>
      <c r="B139" s="91"/>
      <c r="C139" s="91"/>
      <c r="D139" s="91"/>
      <c r="E139" s="91"/>
      <c r="F139" s="91"/>
      <c r="G139" s="91"/>
      <c r="H139" s="92"/>
    </row>
    <row r="140" spans="1:8" s="1" customFormat="1" ht="15.6" x14ac:dyDescent="0.3">
      <c r="A140" s="110" t="s">
        <v>234</v>
      </c>
      <c r="B140" s="110"/>
      <c r="C140" s="111">
        <f>COUNT(D168:D187)*4</f>
        <v>80</v>
      </c>
      <c r="D140" s="111"/>
      <c r="E140" s="112">
        <f>SUM(D168:D187)*4</f>
        <v>28016.065584</v>
      </c>
      <c r="F140" s="112"/>
      <c r="G140" s="106">
        <f>SUM(F168:F187)*4</f>
        <v>40623.295096800008</v>
      </c>
      <c r="H140" s="106"/>
    </row>
    <row r="141" spans="1:8" s="1" customFormat="1" ht="15.6" x14ac:dyDescent="0.3">
      <c r="A141" s="110" t="s">
        <v>235</v>
      </c>
      <c r="B141" s="110"/>
      <c r="C141" s="111">
        <f>COUNT(D191:D209)*4</f>
        <v>76</v>
      </c>
      <c r="D141" s="111"/>
      <c r="E141" s="112">
        <f>SUM(D191:D209)*4</f>
        <v>22453.617888000001</v>
      </c>
      <c r="F141" s="112"/>
      <c r="G141" s="106">
        <f>SUM(F191:F209)*4</f>
        <v>32557.74593759999</v>
      </c>
      <c r="H141" s="106"/>
    </row>
    <row r="142" spans="1:8" s="1" customFormat="1" ht="15.6" x14ac:dyDescent="0.3">
      <c r="A142" s="110" t="s">
        <v>236</v>
      </c>
      <c r="B142" s="110"/>
      <c r="C142" s="111">
        <f>COUNT(D212:D214)+COUNT(D216:D225)*4</f>
        <v>43</v>
      </c>
      <c r="D142" s="111"/>
      <c r="E142" s="112">
        <f>SUM(D212:D214)+SUM(D216:D225)*4</f>
        <v>17880.392555999999</v>
      </c>
      <c r="F142" s="112"/>
      <c r="G142" s="106">
        <f>SUM(F212:F214)+SUM(F216:F225)*4</f>
        <v>26106.011006399996</v>
      </c>
      <c r="H142" s="106"/>
    </row>
    <row r="143" spans="1:8" s="1" customFormat="1" ht="15.6" x14ac:dyDescent="0.3">
      <c r="A143" s="90" t="s">
        <v>237</v>
      </c>
      <c r="B143" s="91"/>
      <c r="C143" s="91"/>
      <c r="D143" s="91"/>
      <c r="E143" s="91"/>
      <c r="F143" s="91"/>
      <c r="G143" s="91"/>
      <c r="H143" s="92"/>
    </row>
    <row r="144" spans="1:8" s="1" customFormat="1" ht="15.6" x14ac:dyDescent="0.3">
      <c r="A144" s="110" t="s">
        <v>204</v>
      </c>
      <c r="B144" s="110"/>
      <c r="C144" s="111">
        <f>COUNT(D229:D232)+COUNT(D234:D241)*4</f>
        <v>36</v>
      </c>
      <c r="D144" s="111"/>
      <c r="E144" s="112">
        <f t="shared" ref="E144" si="0">SUM(D229:D232)+SUM(D234:D241)*4</f>
        <v>12527.057088</v>
      </c>
      <c r="F144" s="112"/>
      <c r="G144" s="106">
        <f>SUM(F229:F232)+SUM(F234:F241)*4</f>
        <v>18386.8150752</v>
      </c>
      <c r="H144" s="106"/>
    </row>
    <row r="145" spans="1:14" s="1" customFormat="1" ht="15.6" x14ac:dyDescent="0.3">
      <c r="A145" s="110" t="s">
        <v>238</v>
      </c>
      <c r="B145" s="110"/>
      <c r="C145" s="111">
        <f>COUNT(D244:D247)+COUNT(D249:D260)*4</f>
        <v>52</v>
      </c>
      <c r="D145" s="111"/>
      <c r="E145" s="112">
        <f t="shared" ref="E145" si="1">SUM(D244:D247)+SUM(D249:D260)*4</f>
        <v>16489.931327999995</v>
      </c>
      <c r="F145" s="112"/>
      <c r="G145" s="106">
        <f>SUM(F244:F247)+SUM(F249:F260)*4</f>
        <v>24104.946808799992</v>
      </c>
      <c r="H145" s="106"/>
    </row>
    <row r="146" spans="1:14" s="1" customFormat="1" ht="15.6" x14ac:dyDescent="0.3">
      <c r="A146" s="110" t="s">
        <v>240</v>
      </c>
      <c r="B146" s="110"/>
      <c r="C146" s="111">
        <f>COUNT(D264:D278)*4</f>
        <v>60</v>
      </c>
      <c r="D146" s="111"/>
      <c r="E146" s="112">
        <f>SUM(D264:D278)*4</f>
        <v>20802.118895999996</v>
      </c>
      <c r="F146" s="112"/>
      <c r="G146" s="106">
        <f>SUM(F264:F278)*4</f>
        <v>30163.072399200006</v>
      </c>
      <c r="H146" s="106"/>
    </row>
    <row r="147" spans="1:14" s="1" customFormat="1" ht="15.6" x14ac:dyDescent="0.3">
      <c r="A147" s="110" t="s">
        <v>239</v>
      </c>
      <c r="B147" s="110"/>
      <c r="C147" s="111">
        <f>COUNT(D281:D284)+COUNT(D286:D293)*4</f>
        <v>36</v>
      </c>
      <c r="D147" s="111"/>
      <c r="E147" s="112">
        <f>SUM(D281:D284)+SUM(D286:D293)*4</f>
        <v>15448.578911999999</v>
      </c>
      <c r="F147" s="112"/>
      <c r="G147" s="106">
        <f>SUM(F281:F284)+SUM(F286:F293)*4</f>
        <v>22610.389089599998</v>
      </c>
      <c r="H147" s="106"/>
    </row>
    <row r="148" spans="1:14" s="1" customFormat="1" ht="15.6" x14ac:dyDescent="0.3">
      <c r="A148" s="158" t="s">
        <v>64</v>
      </c>
      <c r="B148" s="158"/>
      <c r="C148" s="107">
        <f>SUM(C140:D142)+SUM(C144:D147)</f>
        <v>383</v>
      </c>
      <c r="D148" s="107"/>
      <c r="E148" s="108">
        <f>SUM(E140:F142)+SUM(E144:F147)</f>
        <v>133617.76225199999</v>
      </c>
      <c r="F148" s="108"/>
      <c r="G148" s="109">
        <f>SUM(G140:H142)+SUM(G144:H147)</f>
        <v>194552.27541359997</v>
      </c>
      <c r="H148" s="109"/>
    </row>
    <row r="149" spans="1:14" s="9" customFormat="1" ht="15.6" x14ac:dyDescent="0.3">
      <c r="A149" s="134" t="s">
        <v>65</v>
      </c>
      <c r="B149" s="134"/>
      <c r="C149" s="134"/>
      <c r="D149" s="134"/>
      <c r="E149" s="134"/>
      <c r="F149" s="134"/>
      <c r="G149" s="134"/>
      <c r="H149" s="134"/>
    </row>
    <row r="150" spans="1:14" s="8" customFormat="1" ht="15.6" x14ac:dyDescent="0.3">
      <c r="A150" s="134" t="s">
        <v>66</v>
      </c>
      <c r="B150" s="134"/>
      <c r="C150" s="134"/>
      <c r="D150" s="134"/>
      <c r="E150" s="134"/>
      <c r="F150" s="134"/>
      <c r="G150" s="134"/>
      <c r="H150" s="134"/>
    </row>
    <row r="151" spans="1:14" s="8" customFormat="1" ht="47.25" hidden="1" customHeight="1" x14ac:dyDescent="0.3">
      <c r="A151" s="182" t="s">
        <v>163</v>
      </c>
      <c r="B151" s="182" t="s">
        <v>162</v>
      </c>
      <c r="C151" s="182" t="s">
        <v>67</v>
      </c>
      <c r="D151" s="182" t="s">
        <v>68</v>
      </c>
      <c r="E151" s="184" t="s">
        <v>69</v>
      </c>
      <c r="F151" s="55" t="s">
        <v>160</v>
      </c>
      <c r="G151" s="127" t="s">
        <v>70</v>
      </c>
      <c r="H151" s="128"/>
    </row>
    <row r="152" spans="1:14" s="2" customFormat="1" ht="15.6" hidden="1" x14ac:dyDescent="0.3">
      <c r="A152" s="183"/>
      <c r="B152" s="183"/>
      <c r="C152" s="183"/>
      <c r="D152" s="183"/>
      <c r="E152" s="185"/>
      <c r="F152" s="35">
        <v>0.6</v>
      </c>
      <c r="G152" s="186"/>
      <c r="H152" s="187"/>
    </row>
    <row r="153" spans="1:14" s="2" customFormat="1" ht="15.6" hidden="1" x14ac:dyDescent="0.3">
      <c r="A153" s="115" t="s">
        <v>161</v>
      </c>
      <c r="B153" s="116"/>
      <c r="C153" s="116"/>
      <c r="D153" s="116"/>
      <c r="E153" s="116"/>
      <c r="F153" s="116"/>
      <c r="G153" s="116"/>
      <c r="H153" s="117"/>
    </row>
    <row r="154" spans="1:14" s="2" customFormat="1" ht="15.6" hidden="1" x14ac:dyDescent="0.3">
      <c r="A154" s="118">
        <v>1</v>
      </c>
      <c r="B154" s="119"/>
      <c r="C154" s="37"/>
      <c r="D154" s="37"/>
      <c r="E154" s="37">
        <v>0</v>
      </c>
      <c r="F154" s="37">
        <f>D154*(($F$152)+1)+E154</f>
        <v>0</v>
      </c>
      <c r="G154" s="118" t="str">
        <f>A153</f>
        <v>Ground Floor</v>
      </c>
      <c r="H154" s="119"/>
      <c r="I154" s="36"/>
      <c r="L154" s="113"/>
      <c r="M154" s="113"/>
      <c r="N154" s="36"/>
    </row>
    <row r="155" spans="1:14" s="2" customFormat="1" ht="15.6" hidden="1" x14ac:dyDescent="0.3">
      <c r="A155" s="118">
        <f>A154+1</f>
        <v>2</v>
      </c>
      <c r="B155" s="119"/>
      <c r="C155" s="37"/>
      <c r="D155" s="37"/>
      <c r="E155" s="37">
        <v>0</v>
      </c>
      <c r="F155" s="37">
        <f t="shared" ref="F155:F160" si="2">D155*(($F$152)+1)+E155</f>
        <v>0</v>
      </c>
      <c r="G155" s="118" t="str">
        <f t="shared" ref="G155:G160" si="3">G154</f>
        <v>Ground Floor</v>
      </c>
      <c r="H155" s="119"/>
      <c r="I155" s="36"/>
      <c r="L155" s="113"/>
      <c r="M155" s="113"/>
      <c r="N155" s="36"/>
    </row>
    <row r="156" spans="1:14" s="2" customFormat="1" ht="15.6" hidden="1" x14ac:dyDescent="0.3">
      <c r="A156" s="118">
        <f t="shared" ref="A156:A160" si="4">A155+1</f>
        <v>3</v>
      </c>
      <c r="B156" s="119"/>
      <c r="C156" s="37"/>
      <c r="D156" s="37"/>
      <c r="E156" s="37">
        <v>0</v>
      </c>
      <c r="F156" s="37">
        <f t="shared" si="2"/>
        <v>0</v>
      </c>
      <c r="G156" s="118" t="str">
        <f t="shared" si="3"/>
        <v>Ground Floor</v>
      </c>
      <c r="H156" s="119"/>
      <c r="I156" s="36"/>
      <c r="L156" s="113"/>
      <c r="M156" s="113"/>
      <c r="N156" s="36"/>
    </row>
    <row r="157" spans="1:14" s="2" customFormat="1" ht="15.6" hidden="1" x14ac:dyDescent="0.3">
      <c r="A157" s="118">
        <f t="shared" si="4"/>
        <v>4</v>
      </c>
      <c r="B157" s="119"/>
      <c r="C157" s="37"/>
      <c r="D157" s="37"/>
      <c r="E157" s="37">
        <v>0</v>
      </c>
      <c r="F157" s="37">
        <f t="shared" si="2"/>
        <v>0</v>
      </c>
      <c r="G157" s="118" t="str">
        <f t="shared" si="3"/>
        <v>Ground Floor</v>
      </c>
      <c r="H157" s="119"/>
      <c r="I157" s="36"/>
      <c r="L157" s="113"/>
      <c r="M157" s="113"/>
      <c r="N157" s="36"/>
    </row>
    <row r="158" spans="1:14" s="2" customFormat="1" ht="15.6" hidden="1" x14ac:dyDescent="0.3">
      <c r="A158" s="118">
        <f t="shared" si="4"/>
        <v>5</v>
      </c>
      <c r="B158" s="119"/>
      <c r="C158" s="37"/>
      <c r="D158" s="37"/>
      <c r="E158" s="37">
        <v>0</v>
      </c>
      <c r="F158" s="37">
        <f t="shared" si="2"/>
        <v>0</v>
      </c>
      <c r="G158" s="118" t="str">
        <f t="shared" si="3"/>
        <v>Ground Floor</v>
      </c>
      <c r="H158" s="119"/>
      <c r="I158" s="36"/>
      <c r="L158" s="113"/>
      <c r="M158" s="113"/>
      <c r="N158" s="36"/>
    </row>
    <row r="159" spans="1:14" s="2" customFormat="1" ht="15.6" hidden="1" x14ac:dyDescent="0.3">
      <c r="A159" s="118">
        <f t="shared" si="4"/>
        <v>6</v>
      </c>
      <c r="B159" s="119"/>
      <c r="C159" s="37"/>
      <c r="D159" s="37"/>
      <c r="E159" s="37">
        <v>0</v>
      </c>
      <c r="F159" s="37">
        <f t="shared" si="2"/>
        <v>0</v>
      </c>
      <c r="G159" s="118" t="str">
        <f t="shared" si="3"/>
        <v>Ground Floor</v>
      </c>
      <c r="H159" s="119"/>
      <c r="I159" s="36"/>
      <c r="L159" s="113"/>
      <c r="M159" s="113"/>
      <c r="N159" s="36"/>
    </row>
    <row r="160" spans="1:14" s="2" customFormat="1" ht="15.6" hidden="1" x14ac:dyDescent="0.3">
      <c r="A160" s="118">
        <f t="shared" si="4"/>
        <v>7</v>
      </c>
      <c r="B160" s="119"/>
      <c r="C160" s="37"/>
      <c r="D160" s="37"/>
      <c r="E160" s="37">
        <v>0</v>
      </c>
      <c r="F160" s="37">
        <f t="shared" si="2"/>
        <v>0</v>
      </c>
      <c r="G160" s="118" t="str">
        <f t="shared" si="3"/>
        <v>Ground Floor</v>
      </c>
      <c r="H160" s="119"/>
      <c r="I160" s="36"/>
      <c r="L160" s="113"/>
      <c r="M160" s="113"/>
      <c r="N160" s="36"/>
    </row>
    <row r="161" spans="1:16" s="2" customFormat="1" ht="15.6" hidden="1" x14ac:dyDescent="0.3">
      <c r="A161" s="118"/>
      <c r="B161" s="160"/>
      <c r="C161" s="160"/>
      <c r="D161" s="160"/>
      <c r="E161" s="160"/>
      <c r="F161" s="160"/>
      <c r="G161" s="160"/>
      <c r="H161" s="119"/>
      <c r="I161" s="36"/>
      <c r="N161" s="36"/>
    </row>
    <row r="162" spans="1:16" s="8" customFormat="1" ht="47.25" customHeight="1" x14ac:dyDescent="0.3">
      <c r="A162" s="127" t="s">
        <v>164</v>
      </c>
      <c r="B162" s="127" t="s">
        <v>165</v>
      </c>
      <c r="C162" s="182" t="s">
        <v>67</v>
      </c>
      <c r="D162" s="182" t="s">
        <v>68</v>
      </c>
      <c r="E162" s="184" t="s">
        <v>69</v>
      </c>
      <c r="F162" s="55" t="s">
        <v>160</v>
      </c>
      <c r="G162" s="127" t="s">
        <v>70</v>
      </c>
      <c r="H162" s="128"/>
      <c r="I162" s="36"/>
    </row>
    <row r="163" spans="1:16" s="2" customFormat="1" ht="15.6" x14ac:dyDescent="0.3">
      <c r="A163" s="186"/>
      <c r="B163" s="186"/>
      <c r="C163" s="183"/>
      <c r="D163" s="183"/>
      <c r="E163" s="185"/>
      <c r="F163" s="35">
        <v>0.45</v>
      </c>
      <c r="G163" s="186"/>
      <c r="H163" s="187"/>
      <c r="I163" s="36"/>
    </row>
    <row r="164" spans="1:16" s="2" customFormat="1" ht="15.6" x14ac:dyDescent="0.3">
      <c r="A164" s="114" t="s">
        <v>193</v>
      </c>
      <c r="B164" s="114"/>
      <c r="C164" s="114"/>
      <c r="D164" s="114"/>
      <c r="E164" s="114"/>
      <c r="F164" s="114"/>
      <c r="G164" s="114"/>
      <c r="H164" s="114"/>
      <c r="I164" s="36"/>
      <c r="L164" s="113"/>
      <c r="M164" s="113"/>
    </row>
    <row r="165" spans="1:16" s="2" customFormat="1" ht="15.6" x14ac:dyDescent="0.3">
      <c r="A165" s="114" t="s">
        <v>194</v>
      </c>
      <c r="B165" s="114"/>
      <c r="C165" s="114"/>
      <c r="D165" s="114"/>
      <c r="E165" s="114"/>
      <c r="F165" s="114"/>
      <c r="G165" s="114"/>
      <c r="H165" s="114"/>
      <c r="I165" s="36"/>
      <c r="L165" s="113"/>
      <c r="M165" s="113"/>
    </row>
    <row r="166" spans="1:16" s="2" customFormat="1" ht="15.6" x14ac:dyDescent="0.3">
      <c r="A166" s="114" t="s">
        <v>195</v>
      </c>
      <c r="B166" s="114"/>
      <c r="C166" s="114"/>
      <c r="D166" s="114"/>
      <c r="E166" s="114"/>
      <c r="F166" s="114"/>
      <c r="G166" s="114"/>
      <c r="H166" s="114"/>
      <c r="I166" s="36"/>
      <c r="L166" s="113"/>
      <c r="M166" s="113"/>
    </row>
    <row r="167" spans="1:16" s="2" customFormat="1" ht="15.6" x14ac:dyDescent="0.3">
      <c r="A167" s="115" t="s">
        <v>196</v>
      </c>
      <c r="B167" s="116"/>
      <c r="C167" s="116"/>
      <c r="D167" s="116"/>
      <c r="E167" s="116"/>
      <c r="F167" s="116"/>
      <c r="G167" s="116"/>
      <c r="H167" s="117"/>
      <c r="I167" s="36"/>
    </row>
    <row r="168" spans="1:16" s="2" customFormat="1" ht="15.75" customHeight="1" x14ac:dyDescent="0.3">
      <c r="A168" s="118" t="str">
        <f t="shared" ref="A168:A172" ca="1" si="5">N168</f>
        <v>101 to 401</v>
      </c>
      <c r="B168" s="119"/>
      <c r="C168" s="62" t="s">
        <v>197</v>
      </c>
      <c r="D168" s="63">
        <f>(24.232+2.85+3.731)*10.764</f>
        <v>331.671132</v>
      </c>
      <c r="E168" s="37">
        <v>0</v>
      </c>
      <c r="F168" s="37">
        <f t="shared" ref="F168:F176" si="6">D168*(($F$163)+1)+E168</f>
        <v>480.92314139999996</v>
      </c>
      <c r="G168" s="120" t="str">
        <f>A167</f>
        <v>1st to 4th Floor</v>
      </c>
      <c r="H168" s="121"/>
      <c r="I168" s="36"/>
      <c r="N168" s="2" t="str">
        <f t="shared" ref="N168:N173" ca="1" si="7">O168&amp;""&amp;" to "&amp;""&amp;P168</f>
        <v>101 to 401</v>
      </c>
      <c r="O168" s="2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</f>
        <v>101</v>
      </c>
      <c r="P168" s="2">
        <f ca="1">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401</v>
      </c>
    </row>
    <row r="169" spans="1:16" s="2" customFormat="1" ht="15.75" customHeight="1" x14ac:dyDescent="0.3">
      <c r="A169" s="118" t="str">
        <f t="shared" ca="1" si="5"/>
        <v>102 to 402</v>
      </c>
      <c r="B169" s="119"/>
      <c r="C169" s="62" t="s">
        <v>197</v>
      </c>
      <c r="D169" s="63">
        <f>(24.232+2.85+3.731)*10.764</f>
        <v>331.671132</v>
      </c>
      <c r="E169" s="37">
        <v>0</v>
      </c>
      <c r="F169" s="37">
        <f t="shared" si="6"/>
        <v>480.92314139999996</v>
      </c>
      <c r="G169" s="122"/>
      <c r="H169" s="123"/>
      <c r="I169" s="36"/>
      <c r="N169" s="2" t="str">
        <f t="shared" ca="1" si="7"/>
        <v>102 to 402</v>
      </c>
      <c r="O169" s="2">
        <f t="shared" ref="O169:P173" ca="1" si="8">O168+1</f>
        <v>102</v>
      </c>
      <c r="P169" s="2">
        <f t="shared" ca="1" si="8"/>
        <v>402</v>
      </c>
    </row>
    <row r="170" spans="1:16" s="2" customFormat="1" ht="15.75" customHeight="1" x14ac:dyDescent="0.3">
      <c r="A170" s="118" t="str">
        <f t="shared" ca="1" si="5"/>
        <v>103 to 403</v>
      </c>
      <c r="B170" s="119"/>
      <c r="C170" s="62" t="s">
        <v>197</v>
      </c>
      <c r="D170" s="63">
        <f>(24.17+2.8+3.731)*10.764</f>
        <v>330.46556399999997</v>
      </c>
      <c r="E170" s="37">
        <v>0</v>
      </c>
      <c r="F170" s="37">
        <f t="shared" si="6"/>
        <v>479.17506779999997</v>
      </c>
      <c r="G170" s="122"/>
      <c r="H170" s="123"/>
      <c r="I170" s="36"/>
      <c r="N170" s="2" t="str">
        <f t="shared" ca="1" si="7"/>
        <v>103 to 403</v>
      </c>
      <c r="O170" s="2">
        <f t="shared" ca="1" si="8"/>
        <v>103</v>
      </c>
      <c r="P170" s="2">
        <f t="shared" ca="1" si="8"/>
        <v>403</v>
      </c>
    </row>
    <row r="171" spans="1:16" s="2" customFormat="1" ht="15.75" customHeight="1" x14ac:dyDescent="0.3">
      <c r="A171" s="118" t="str">
        <f t="shared" ca="1" si="5"/>
        <v>104 to 404</v>
      </c>
      <c r="B171" s="119"/>
      <c r="C171" s="62" t="s">
        <v>197</v>
      </c>
      <c r="D171" s="63">
        <f>(24.17+2.8+3.844)*10.764</f>
        <v>331.68189599999999</v>
      </c>
      <c r="E171" s="37">
        <v>0</v>
      </c>
      <c r="F171" s="37">
        <f>D171*(($F$163)+1)+E171</f>
        <v>480.93874919999996</v>
      </c>
      <c r="G171" s="122"/>
      <c r="H171" s="123"/>
      <c r="I171" s="36"/>
      <c r="N171" s="2" t="str">
        <f t="shared" ca="1" si="7"/>
        <v>104 to 404</v>
      </c>
      <c r="O171" s="2">
        <f t="shared" ca="1" si="8"/>
        <v>104</v>
      </c>
      <c r="P171" s="2">
        <f t="shared" ca="1" si="8"/>
        <v>404</v>
      </c>
    </row>
    <row r="172" spans="1:16" s="2" customFormat="1" ht="15.75" customHeight="1" x14ac:dyDescent="0.3">
      <c r="A172" s="118" t="str">
        <f t="shared" ca="1" si="5"/>
        <v>105 to 405</v>
      </c>
      <c r="B172" s="119"/>
      <c r="C172" s="62" t="s">
        <v>198</v>
      </c>
      <c r="D172" s="63">
        <f>(16.447+4.8)*10.764</f>
        <v>228.70270799999997</v>
      </c>
      <c r="E172" s="37">
        <v>0</v>
      </c>
      <c r="F172" s="37">
        <f t="shared" si="6"/>
        <v>331.61892659999995</v>
      </c>
      <c r="G172" s="122"/>
      <c r="H172" s="123"/>
      <c r="I172" s="36"/>
      <c r="N172" s="2" t="str">
        <f t="shared" ca="1" si="7"/>
        <v>105 to 405</v>
      </c>
      <c r="O172" s="2">
        <f t="shared" ca="1" si="8"/>
        <v>105</v>
      </c>
      <c r="P172" s="2">
        <f t="shared" ca="1" si="8"/>
        <v>405</v>
      </c>
    </row>
    <row r="173" spans="1:16" s="2" customFormat="1" ht="15.75" customHeight="1" x14ac:dyDescent="0.3">
      <c r="A173" s="118" t="str">
        <f ca="1">N173</f>
        <v>106 to 406</v>
      </c>
      <c r="B173" s="119"/>
      <c r="C173" s="62" t="s">
        <v>197</v>
      </c>
      <c r="D173" s="63">
        <f>(26.198+4.825+2.25)*10.764</f>
        <v>358.15057199999995</v>
      </c>
      <c r="E173" s="37">
        <v>0</v>
      </c>
      <c r="F173" s="37">
        <f t="shared" si="6"/>
        <v>519.31832939999993</v>
      </c>
      <c r="G173" s="122"/>
      <c r="H173" s="123"/>
      <c r="I173" s="36"/>
      <c r="N173" s="2" t="str">
        <f t="shared" ca="1" si="7"/>
        <v>106 to 406</v>
      </c>
      <c r="O173" s="2">
        <f ca="1">O172+1</f>
        <v>106</v>
      </c>
      <c r="P173" s="2">
        <f t="shared" ca="1" si="8"/>
        <v>406</v>
      </c>
    </row>
    <row r="174" spans="1:16" s="2" customFormat="1" ht="15.75" customHeight="1" x14ac:dyDescent="0.3">
      <c r="A174" s="118" t="str">
        <f ca="1">N174</f>
        <v>107 to 407</v>
      </c>
      <c r="B174" s="119"/>
      <c r="C174" s="62" t="s">
        <v>197</v>
      </c>
      <c r="D174" s="63">
        <f>(26.198+4.825+2.194)*10.764</f>
        <v>357.54778799999997</v>
      </c>
      <c r="E174" s="37">
        <v>0</v>
      </c>
      <c r="F174" s="37">
        <f t="shared" si="6"/>
        <v>518.44429259999993</v>
      </c>
      <c r="G174" s="122"/>
      <c r="H174" s="123"/>
      <c r="I174" s="36"/>
      <c r="N174" s="2" t="str">
        <f ca="1">O174&amp;""&amp;" to "&amp;""&amp;P174</f>
        <v>107 to 407</v>
      </c>
      <c r="O174" s="2">
        <f ca="1">O173+1</f>
        <v>107</v>
      </c>
      <c r="P174" s="2">
        <f ca="1">P173+1</f>
        <v>407</v>
      </c>
    </row>
    <row r="175" spans="1:16" s="2" customFormat="1" ht="15.75" customHeight="1" x14ac:dyDescent="0.3">
      <c r="A175" s="118" t="str">
        <f t="shared" ref="A175:A187" ca="1" si="9">N175</f>
        <v>108 to 408</v>
      </c>
      <c r="B175" s="119"/>
      <c r="C175" s="62" t="s">
        <v>197</v>
      </c>
      <c r="D175" s="63">
        <f>(26.198+4.825+2.194)*10.764</f>
        <v>357.54778799999997</v>
      </c>
      <c r="E175" s="37">
        <v>0</v>
      </c>
      <c r="F175" s="37">
        <f t="shared" si="6"/>
        <v>518.44429259999993</v>
      </c>
      <c r="G175" s="122"/>
      <c r="H175" s="123"/>
      <c r="I175" s="36"/>
      <c r="N175" s="2" t="str">
        <f t="shared" ref="N175:N187" ca="1" si="10">O175&amp;""&amp;" to "&amp;""&amp;P175</f>
        <v>108 to 408</v>
      </c>
      <c r="O175" s="2">
        <f t="shared" ref="O175:P187" ca="1" si="11">O174+1</f>
        <v>108</v>
      </c>
      <c r="P175" s="2">
        <f t="shared" ca="1" si="11"/>
        <v>408</v>
      </c>
    </row>
    <row r="176" spans="1:16" s="2" customFormat="1" ht="15.6" x14ac:dyDescent="0.3">
      <c r="A176" s="118" t="str">
        <f t="shared" ca="1" si="9"/>
        <v>109 to 409</v>
      </c>
      <c r="B176" s="119"/>
      <c r="C176" s="62" t="s">
        <v>197</v>
      </c>
      <c r="D176" s="63">
        <f>(26.198+4.825+2.25)*10.764</f>
        <v>358.15057199999995</v>
      </c>
      <c r="E176" s="37">
        <v>0</v>
      </c>
      <c r="F176" s="37">
        <f t="shared" si="6"/>
        <v>519.31832939999993</v>
      </c>
      <c r="G176" s="122"/>
      <c r="H176" s="123"/>
      <c r="I176" s="36"/>
      <c r="N176" s="2" t="str">
        <f t="shared" ca="1" si="10"/>
        <v>109 to 409</v>
      </c>
      <c r="O176" s="2">
        <f t="shared" ca="1" si="11"/>
        <v>109</v>
      </c>
      <c r="P176" s="2">
        <f t="shared" ca="1" si="11"/>
        <v>409</v>
      </c>
    </row>
    <row r="177" spans="1:16" s="2" customFormat="1" ht="15.6" x14ac:dyDescent="0.3">
      <c r="A177" s="118" t="str">
        <f t="shared" ca="1" si="9"/>
        <v>110 to 410</v>
      </c>
      <c r="B177" s="119"/>
      <c r="C177" s="62" t="s">
        <v>199</v>
      </c>
      <c r="D177" s="63">
        <f>(32.25+7.675+2.287)*10.764</f>
        <v>454.36996799999991</v>
      </c>
      <c r="E177" s="37">
        <v>0</v>
      </c>
      <c r="F177" s="37">
        <f>D177*(($F$163)+1)+E177</f>
        <v>658.8364535999998</v>
      </c>
      <c r="G177" s="122"/>
      <c r="H177" s="123"/>
      <c r="I177" s="36"/>
      <c r="N177" s="2" t="str">
        <f t="shared" ca="1" si="10"/>
        <v>110 to 410</v>
      </c>
      <c r="O177" s="2">
        <f t="shared" ca="1" si="11"/>
        <v>110</v>
      </c>
      <c r="P177" s="2">
        <f t="shared" ca="1" si="11"/>
        <v>410</v>
      </c>
    </row>
    <row r="178" spans="1:16" s="2" customFormat="1" ht="15.6" x14ac:dyDescent="0.3">
      <c r="A178" s="118" t="str">
        <f t="shared" ca="1" si="9"/>
        <v>111 to 411</v>
      </c>
      <c r="B178" s="119"/>
      <c r="C178" s="62" t="s">
        <v>199</v>
      </c>
      <c r="D178" s="63">
        <f>(32.25+7.675+2.287)*10.764</f>
        <v>454.36996799999991</v>
      </c>
      <c r="E178" s="37">
        <v>0</v>
      </c>
      <c r="F178" s="37">
        <f t="shared" ref="F178:F181" si="12">D178*(($F$163)+1)+E178</f>
        <v>658.8364535999998</v>
      </c>
      <c r="G178" s="122"/>
      <c r="H178" s="123"/>
      <c r="I178" s="36"/>
      <c r="N178" s="2" t="str">
        <f t="shared" ca="1" si="10"/>
        <v>111 to 411</v>
      </c>
      <c r="O178" s="2">
        <f t="shared" ca="1" si="11"/>
        <v>111</v>
      </c>
      <c r="P178" s="2">
        <f t="shared" ca="1" si="11"/>
        <v>411</v>
      </c>
    </row>
    <row r="179" spans="1:16" s="2" customFormat="1" ht="15.6" x14ac:dyDescent="0.3">
      <c r="A179" s="118" t="str">
        <f t="shared" ca="1" si="9"/>
        <v>112 to 412</v>
      </c>
      <c r="B179" s="119"/>
      <c r="C179" s="62" t="s">
        <v>199</v>
      </c>
      <c r="D179" s="63">
        <f>(32.25+7.675+2.287)*10.764</f>
        <v>454.36996799999991</v>
      </c>
      <c r="E179" s="37">
        <v>0</v>
      </c>
      <c r="F179" s="37">
        <f t="shared" si="12"/>
        <v>658.8364535999998</v>
      </c>
      <c r="G179" s="122"/>
      <c r="H179" s="123"/>
      <c r="I179" s="36"/>
      <c r="N179" s="2" t="str">
        <f t="shared" ca="1" si="10"/>
        <v>112 to 412</v>
      </c>
      <c r="O179" s="2">
        <f t="shared" ca="1" si="11"/>
        <v>112</v>
      </c>
      <c r="P179" s="2">
        <f t="shared" ca="1" si="11"/>
        <v>412</v>
      </c>
    </row>
    <row r="180" spans="1:16" s="2" customFormat="1" ht="15.75" customHeight="1" x14ac:dyDescent="0.3">
      <c r="A180" s="118" t="str">
        <f t="shared" ca="1" si="9"/>
        <v>113 to 413</v>
      </c>
      <c r="B180" s="119"/>
      <c r="C180" s="62" t="s">
        <v>197</v>
      </c>
      <c r="D180" s="63">
        <f>(26.198+4.9+2.194)*10.764</f>
        <v>358.35508800000002</v>
      </c>
      <c r="E180" s="37">
        <v>0</v>
      </c>
      <c r="F180" s="37">
        <f t="shared" si="12"/>
        <v>519.6148776</v>
      </c>
      <c r="G180" s="122"/>
      <c r="H180" s="123"/>
      <c r="I180" s="36"/>
      <c r="N180" s="2" t="str">
        <f t="shared" ca="1" si="10"/>
        <v>113 to 413</v>
      </c>
      <c r="O180" s="2">
        <f t="shared" ca="1" si="11"/>
        <v>113</v>
      </c>
      <c r="P180" s="2">
        <f t="shared" ca="1" si="11"/>
        <v>413</v>
      </c>
    </row>
    <row r="181" spans="1:16" s="2" customFormat="1" ht="15.6" x14ac:dyDescent="0.3">
      <c r="A181" s="118" t="str">
        <f t="shared" ca="1" si="9"/>
        <v>114 to 414</v>
      </c>
      <c r="B181" s="119"/>
      <c r="C181" s="62" t="s">
        <v>197</v>
      </c>
      <c r="D181" s="63">
        <f>(26.198+4.825+2.194)*10.764</f>
        <v>357.54778799999997</v>
      </c>
      <c r="E181" s="37">
        <v>0</v>
      </c>
      <c r="F181" s="37">
        <f t="shared" si="12"/>
        <v>518.44429259999993</v>
      </c>
      <c r="G181" s="122"/>
      <c r="H181" s="123"/>
      <c r="I181" s="36"/>
      <c r="N181" s="2" t="str">
        <f t="shared" ca="1" si="10"/>
        <v>114 to 414</v>
      </c>
      <c r="O181" s="2">
        <f t="shared" ca="1" si="11"/>
        <v>114</v>
      </c>
      <c r="P181" s="2">
        <f t="shared" ca="1" si="11"/>
        <v>414</v>
      </c>
    </row>
    <row r="182" spans="1:16" s="2" customFormat="1" ht="15.6" x14ac:dyDescent="0.3">
      <c r="A182" s="118" t="str">
        <f t="shared" ca="1" si="9"/>
        <v>115 to 415</v>
      </c>
      <c r="B182" s="119"/>
      <c r="C182" s="62" t="s">
        <v>197</v>
      </c>
      <c r="D182" s="63">
        <f t="shared" ref="D182:D183" si="13">(26.198+4.825+2.194)*10.764</f>
        <v>357.54778799999997</v>
      </c>
      <c r="E182" s="37">
        <v>0</v>
      </c>
      <c r="F182" s="37">
        <f>D182*(($F$163)+1)+E182</f>
        <v>518.44429259999993</v>
      </c>
      <c r="G182" s="122"/>
      <c r="H182" s="123"/>
      <c r="I182" s="36"/>
      <c r="N182" s="2" t="str">
        <f t="shared" ca="1" si="10"/>
        <v>115 to 415</v>
      </c>
      <c r="O182" s="2">
        <f t="shared" ca="1" si="11"/>
        <v>115</v>
      </c>
      <c r="P182" s="2">
        <f t="shared" ca="1" si="11"/>
        <v>415</v>
      </c>
    </row>
    <row r="183" spans="1:16" s="2" customFormat="1" ht="15.6" x14ac:dyDescent="0.3">
      <c r="A183" s="118" t="str">
        <f t="shared" ca="1" si="9"/>
        <v>116 to 416</v>
      </c>
      <c r="B183" s="119"/>
      <c r="C183" s="62" t="s">
        <v>197</v>
      </c>
      <c r="D183" s="63">
        <f t="shared" si="13"/>
        <v>357.54778799999997</v>
      </c>
      <c r="E183" s="37">
        <v>0</v>
      </c>
      <c r="F183" s="37">
        <f t="shared" ref="F183:F184" si="14">D183*(($F$163)+1)+E183</f>
        <v>518.44429259999993</v>
      </c>
      <c r="G183" s="122"/>
      <c r="H183" s="123"/>
      <c r="I183" s="36"/>
      <c r="N183" s="2" t="str">
        <f t="shared" ca="1" si="10"/>
        <v>116 to 416</v>
      </c>
      <c r="O183" s="2">
        <f t="shared" ca="1" si="11"/>
        <v>116</v>
      </c>
      <c r="P183" s="2">
        <f t="shared" ca="1" si="11"/>
        <v>416</v>
      </c>
    </row>
    <row r="184" spans="1:16" s="2" customFormat="1" ht="15.6" x14ac:dyDescent="0.3">
      <c r="A184" s="118" t="str">
        <f t="shared" ca="1" si="9"/>
        <v>117 to 417</v>
      </c>
      <c r="B184" s="119"/>
      <c r="C184" s="62" t="s">
        <v>198</v>
      </c>
      <c r="D184" s="63">
        <f>(16.447+4.8)*10.764</f>
        <v>228.70270799999997</v>
      </c>
      <c r="E184" s="37">
        <v>0</v>
      </c>
      <c r="F184" s="37">
        <f t="shared" si="14"/>
        <v>331.61892659999995</v>
      </c>
      <c r="G184" s="122"/>
      <c r="H184" s="123"/>
      <c r="I184" s="36"/>
      <c r="N184" s="2" t="str">
        <f t="shared" ca="1" si="10"/>
        <v>117 to 417</v>
      </c>
      <c r="O184" s="2">
        <f t="shared" ca="1" si="11"/>
        <v>117</v>
      </c>
      <c r="P184" s="2">
        <f t="shared" ca="1" si="11"/>
        <v>417</v>
      </c>
    </row>
    <row r="185" spans="1:16" s="2" customFormat="1" ht="15.6" x14ac:dyDescent="0.3">
      <c r="A185" s="118" t="str">
        <f t="shared" ca="1" si="9"/>
        <v>118 to 418</v>
      </c>
      <c r="B185" s="119"/>
      <c r="C185" s="62" t="s">
        <v>197</v>
      </c>
      <c r="D185" s="63">
        <f>(24.232+2.85+3.787)*10.764</f>
        <v>332.27391599999999</v>
      </c>
      <c r="E185" s="37">
        <v>0</v>
      </c>
      <c r="F185" s="37">
        <f>D185*(($F$163)+1)+E185</f>
        <v>481.79717819999996</v>
      </c>
      <c r="G185" s="122"/>
      <c r="H185" s="123"/>
      <c r="I185" s="36"/>
      <c r="N185" s="2" t="str">
        <f t="shared" ca="1" si="10"/>
        <v>118 to 418</v>
      </c>
      <c r="O185" s="2">
        <f t="shared" ca="1" si="11"/>
        <v>118</v>
      </c>
      <c r="P185" s="2">
        <f t="shared" ca="1" si="11"/>
        <v>418</v>
      </c>
    </row>
    <row r="186" spans="1:16" s="2" customFormat="1" ht="15.6" x14ac:dyDescent="0.3">
      <c r="A186" s="118" t="str">
        <f t="shared" ca="1" si="9"/>
        <v>119 to 419</v>
      </c>
      <c r="B186" s="119"/>
      <c r="C186" s="62" t="s">
        <v>197</v>
      </c>
      <c r="D186" s="63">
        <f>(24.232+2.85+3.731)*10.764</f>
        <v>331.671132</v>
      </c>
      <c r="E186" s="37">
        <v>0</v>
      </c>
      <c r="F186" s="37">
        <f t="shared" ref="F186:F187" si="15">D186*(($F$163)+1)+E186</f>
        <v>480.92314139999996</v>
      </c>
      <c r="G186" s="122"/>
      <c r="H186" s="123"/>
      <c r="I186" s="36"/>
      <c r="N186" s="2" t="str">
        <f t="shared" ca="1" si="10"/>
        <v>119 to 419</v>
      </c>
      <c r="O186" s="2">
        <f t="shared" ca="1" si="11"/>
        <v>119</v>
      </c>
      <c r="P186" s="2">
        <f t="shared" ca="1" si="11"/>
        <v>419</v>
      </c>
    </row>
    <row r="187" spans="1:16" s="2" customFormat="1" ht="15.6" x14ac:dyDescent="0.3">
      <c r="A187" s="118" t="str">
        <f t="shared" ca="1" si="9"/>
        <v>120 to 420</v>
      </c>
      <c r="B187" s="119"/>
      <c r="C187" s="62" t="s">
        <v>197</v>
      </c>
      <c r="D187" s="63">
        <f>(24.232+2.85+3.731)*10.764</f>
        <v>331.671132</v>
      </c>
      <c r="E187" s="37">
        <v>0</v>
      </c>
      <c r="F187" s="37">
        <f t="shared" si="15"/>
        <v>480.92314139999996</v>
      </c>
      <c r="G187" s="124"/>
      <c r="H187" s="125"/>
      <c r="I187" s="36"/>
      <c r="N187" s="2" t="str">
        <f t="shared" ca="1" si="10"/>
        <v>120 to 420</v>
      </c>
      <c r="O187" s="2">
        <f t="shared" ca="1" si="11"/>
        <v>120</v>
      </c>
      <c r="P187" s="2">
        <f t="shared" ca="1" si="11"/>
        <v>420</v>
      </c>
    </row>
    <row r="188" spans="1:16" s="2" customFormat="1" ht="15.6" x14ac:dyDescent="0.3">
      <c r="A188" s="114" t="s">
        <v>200</v>
      </c>
      <c r="B188" s="114"/>
      <c r="C188" s="114"/>
      <c r="D188" s="114"/>
      <c r="E188" s="114"/>
      <c r="F188" s="114"/>
      <c r="G188" s="114"/>
      <c r="H188" s="114"/>
      <c r="I188" s="36"/>
      <c r="L188" s="113"/>
      <c r="M188" s="113"/>
    </row>
    <row r="189" spans="1:16" s="2" customFormat="1" ht="15.6" x14ac:dyDescent="0.3">
      <c r="A189" s="114" t="s">
        <v>195</v>
      </c>
      <c r="B189" s="114"/>
      <c r="C189" s="114"/>
      <c r="D189" s="114"/>
      <c r="E189" s="114"/>
      <c r="F189" s="114"/>
      <c r="G189" s="114"/>
      <c r="H189" s="114"/>
      <c r="I189" s="36"/>
      <c r="L189" s="113"/>
      <c r="M189" s="113"/>
    </row>
    <row r="190" spans="1:16" s="2" customFormat="1" ht="15.6" x14ac:dyDescent="0.3">
      <c r="A190" s="115" t="s">
        <v>196</v>
      </c>
      <c r="B190" s="116"/>
      <c r="C190" s="116"/>
      <c r="D190" s="116"/>
      <c r="E190" s="116"/>
      <c r="F190" s="116"/>
      <c r="G190" s="116"/>
      <c r="H190" s="117"/>
      <c r="I190" s="36"/>
    </row>
    <row r="191" spans="1:16" s="2" customFormat="1" ht="15.75" customHeight="1" x14ac:dyDescent="0.3">
      <c r="A191" s="118" t="str">
        <f t="shared" ref="A191:A195" ca="1" si="16">N191</f>
        <v>101 to 401</v>
      </c>
      <c r="B191" s="119"/>
      <c r="C191" s="64" t="s">
        <v>197</v>
      </c>
      <c r="D191" s="65">
        <f>(24.232+2.85+3.731)*10.764</f>
        <v>331.671132</v>
      </c>
      <c r="E191" s="37">
        <v>0</v>
      </c>
      <c r="F191" s="37">
        <f t="shared" ref="F191:F193" si="17">D191*(($F$163)+1)+E191</f>
        <v>480.92314139999996</v>
      </c>
      <c r="G191" s="120" t="str">
        <f>A190</f>
        <v>1st to 4th Floor</v>
      </c>
      <c r="H191" s="121"/>
      <c r="I191" s="36"/>
      <c r="N191" s="2" t="str">
        <f t="shared" ref="N191:N196" ca="1" si="18">O191&amp;""&amp;" to "&amp;""&amp;P191</f>
        <v>101 to 401</v>
      </c>
      <c r="O191" s="2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10^ROW(INDIRECT("1:"&amp;LEN((LEFT(A190,SUM(LEN(A190)-LEN(SUBSTITUTE(A190,{"0","1","2"},""))))))))/10))*100+1</f>
        <v>101</v>
      </c>
      <c r="P191" s="2">
        <f ca="1">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",LEN(A190))),LEN(A190)))))))/10))*100+1</f>
        <v>401</v>
      </c>
    </row>
    <row r="192" spans="1:16" s="2" customFormat="1" ht="15.75" customHeight="1" x14ac:dyDescent="0.3">
      <c r="A192" s="118" t="str">
        <f t="shared" ca="1" si="16"/>
        <v>102 to 402</v>
      </c>
      <c r="B192" s="119"/>
      <c r="C192" s="64" t="s">
        <v>197</v>
      </c>
      <c r="D192" s="65">
        <f>(24.232+2.85+3.731)*10.764</f>
        <v>331.671132</v>
      </c>
      <c r="E192" s="37">
        <v>0</v>
      </c>
      <c r="F192" s="37">
        <f t="shared" si="17"/>
        <v>480.92314139999996</v>
      </c>
      <c r="G192" s="122"/>
      <c r="H192" s="123"/>
      <c r="I192" s="36"/>
      <c r="N192" s="2" t="str">
        <f t="shared" ca="1" si="18"/>
        <v>102 to 402</v>
      </c>
      <c r="O192" s="2">
        <f t="shared" ref="O192:P196" ca="1" si="19">O191+1</f>
        <v>102</v>
      </c>
      <c r="P192" s="2">
        <f t="shared" ca="1" si="19"/>
        <v>402</v>
      </c>
    </row>
    <row r="193" spans="1:16" s="2" customFormat="1" ht="15.75" customHeight="1" x14ac:dyDescent="0.3">
      <c r="A193" s="118" t="str">
        <f t="shared" ca="1" si="16"/>
        <v>103 to 403</v>
      </c>
      <c r="B193" s="119"/>
      <c r="C193" s="64" t="s">
        <v>198</v>
      </c>
      <c r="D193" s="65">
        <f>(18.275+2.7+1.875)*10.764</f>
        <v>245.95739999999995</v>
      </c>
      <c r="E193" s="37">
        <v>0</v>
      </c>
      <c r="F193" s="37">
        <f t="shared" si="17"/>
        <v>356.63822999999991</v>
      </c>
      <c r="G193" s="122"/>
      <c r="H193" s="123"/>
      <c r="I193" s="36"/>
      <c r="N193" s="2" t="str">
        <f t="shared" ca="1" si="18"/>
        <v>103 to 403</v>
      </c>
      <c r="O193" s="2">
        <f t="shared" ca="1" si="19"/>
        <v>103</v>
      </c>
      <c r="P193" s="2">
        <f t="shared" ca="1" si="19"/>
        <v>403</v>
      </c>
    </row>
    <row r="194" spans="1:16" s="2" customFormat="1" ht="15.75" customHeight="1" x14ac:dyDescent="0.3">
      <c r="A194" s="118" t="str">
        <f t="shared" ca="1" si="16"/>
        <v>104 to 404</v>
      </c>
      <c r="B194" s="119"/>
      <c r="C194" s="64" t="s">
        <v>198</v>
      </c>
      <c r="D194" s="65">
        <f>(18.275+2.7+1.875)*10.764</f>
        <v>245.95739999999995</v>
      </c>
      <c r="E194" s="37">
        <v>0</v>
      </c>
      <c r="F194" s="37">
        <f>D194*(($F$163)+1)+E194</f>
        <v>356.63822999999991</v>
      </c>
      <c r="G194" s="122"/>
      <c r="H194" s="123"/>
      <c r="I194" s="36"/>
      <c r="N194" s="2" t="str">
        <f t="shared" ca="1" si="18"/>
        <v>104 to 404</v>
      </c>
      <c r="O194" s="2">
        <f t="shared" ca="1" si="19"/>
        <v>104</v>
      </c>
      <c r="P194" s="2">
        <f t="shared" ca="1" si="19"/>
        <v>404</v>
      </c>
    </row>
    <row r="195" spans="1:16" s="2" customFormat="1" ht="15.75" customHeight="1" x14ac:dyDescent="0.3">
      <c r="A195" s="118" t="str">
        <f t="shared" ca="1" si="16"/>
        <v>105 to 405</v>
      </c>
      <c r="B195" s="119"/>
      <c r="C195" s="64" t="s">
        <v>198</v>
      </c>
      <c r="D195" s="65">
        <f>(18.275+2.7+1.875)*10.764</f>
        <v>245.95739999999995</v>
      </c>
      <c r="E195" s="37">
        <v>0</v>
      </c>
      <c r="F195" s="37">
        <f t="shared" ref="F195:F199" si="20">D195*(($F$163)+1)+E195</f>
        <v>356.63822999999991</v>
      </c>
      <c r="G195" s="122"/>
      <c r="H195" s="123"/>
      <c r="I195" s="36"/>
      <c r="N195" s="2" t="str">
        <f t="shared" ca="1" si="18"/>
        <v>105 to 405</v>
      </c>
      <c r="O195" s="2">
        <f t="shared" ca="1" si="19"/>
        <v>105</v>
      </c>
      <c r="P195" s="2">
        <f t="shared" ca="1" si="19"/>
        <v>405</v>
      </c>
    </row>
    <row r="196" spans="1:16" s="2" customFormat="1" ht="15.75" customHeight="1" x14ac:dyDescent="0.3">
      <c r="A196" s="118" t="str">
        <f ca="1">N196</f>
        <v>106 to 406</v>
      </c>
      <c r="B196" s="119"/>
      <c r="C196" s="64" t="s">
        <v>197</v>
      </c>
      <c r="D196" s="65">
        <f>(26.198+4.9+2.194)*10.764</f>
        <v>358.35508800000002</v>
      </c>
      <c r="E196" s="37">
        <v>0</v>
      </c>
      <c r="F196" s="37">
        <f t="shared" si="20"/>
        <v>519.6148776</v>
      </c>
      <c r="G196" s="122"/>
      <c r="H196" s="123"/>
      <c r="I196" s="36"/>
      <c r="N196" s="2" t="str">
        <f t="shared" ca="1" si="18"/>
        <v>106 to 406</v>
      </c>
      <c r="O196" s="2">
        <f ca="1">O195+1</f>
        <v>106</v>
      </c>
      <c r="P196" s="2">
        <f t="shared" ca="1" si="19"/>
        <v>406</v>
      </c>
    </row>
    <row r="197" spans="1:16" s="2" customFormat="1" ht="15.75" customHeight="1" x14ac:dyDescent="0.3">
      <c r="A197" s="118" t="str">
        <f ca="1">N197</f>
        <v>107 to 407</v>
      </c>
      <c r="B197" s="119"/>
      <c r="C197" s="64" t="s">
        <v>197</v>
      </c>
      <c r="D197" s="65">
        <f>(26.198+4.9+2.194)*10.764</f>
        <v>358.35508800000002</v>
      </c>
      <c r="E197" s="37">
        <v>0</v>
      </c>
      <c r="F197" s="37">
        <f t="shared" si="20"/>
        <v>519.6148776</v>
      </c>
      <c r="G197" s="122"/>
      <c r="H197" s="123"/>
      <c r="I197" s="36"/>
      <c r="N197" s="2" t="str">
        <f ca="1">O197&amp;""&amp;" to "&amp;""&amp;P197</f>
        <v>107 to 407</v>
      </c>
      <c r="O197" s="2">
        <f ca="1">O196+1</f>
        <v>107</v>
      </c>
      <c r="P197" s="2">
        <f ca="1">P196+1</f>
        <v>407</v>
      </c>
    </row>
    <row r="198" spans="1:16" s="2" customFormat="1" ht="15.75" customHeight="1" x14ac:dyDescent="0.3">
      <c r="A198" s="118" t="str">
        <f t="shared" ref="A198:A209" ca="1" si="21">N198</f>
        <v>108 to 408</v>
      </c>
      <c r="B198" s="119"/>
      <c r="C198" s="64" t="s">
        <v>198</v>
      </c>
      <c r="D198" s="65">
        <f>(16.447+4.95)*10.764</f>
        <v>230.31730799999997</v>
      </c>
      <c r="E198" s="37">
        <v>0</v>
      </c>
      <c r="F198" s="37">
        <f t="shared" si="20"/>
        <v>333.96009659999993</v>
      </c>
      <c r="G198" s="122"/>
      <c r="H198" s="123"/>
      <c r="I198" s="36"/>
      <c r="N198" s="2" t="str">
        <f t="shared" ref="N198:N209" ca="1" si="22">O198&amp;""&amp;" to "&amp;""&amp;P198</f>
        <v>108 to 408</v>
      </c>
      <c r="O198" s="2">
        <f t="shared" ref="O198:P209" ca="1" si="23">O197+1</f>
        <v>108</v>
      </c>
      <c r="P198" s="2">
        <f t="shared" ca="1" si="23"/>
        <v>408</v>
      </c>
    </row>
    <row r="199" spans="1:16" s="2" customFormat="1" ht="15.6" x14ac:dyDescent="0.3">
      <c r="A199" s="118" t="str">
        <f t="shared" ca="1" si="21"/>
        <v>109 to 409</v>
      </c>
      <c r="B199" s="119"/>
      <c r="C199" s="64" t="s">
        <v>198</v>
      </c>
      <c r="D199" s="65">
        <f>(16.447+4.95)*10.764</f>
        <v>230.31730799999997</v>
      </c>
      <c r="E199" s="37">
        <v>0</v>
      </c>
      <c r="F199" s="37">
        <f t="shared" si="20"/>
        <v>333.96009659999993</v>
      </c>
      <c r="G199" s="122"/>
      <c r="H199" s="123"/>
      <c r="I199" s="36"/>
      <c r="N199" s="2" t="str">
        <f t="shared" ca="1" si="22"/>
        <v>109 to 409</v>
      </c>
      <c r="O199" s="2">
        <f t="shared" ca="1" si="23"/>
        <v>109</v>
      </c>
      <c r="P199" s="2">
        <f t="shared" ca="1" si="23"/>
        <v>409</v>
      </c>
    </row>
    <row r="200" spans="1:16" s="2" customFormat="1" ht="15.6" x14ac:dyDescent="0.3">
      <c r="A200" s="118" t="str">
        <f t="shared" ca="1" si="21"/>
        <v>110 to 410</v>
      </c>
      <c r="B200" s="119"/>
      <c r="C200" s="64" t="s">
        <v>197</v>
      </c>
      <c r="D200" s="65">
        <f>(24.232+2.85+3.675)*10.764</f>
        <v>331.06834800000001</v>
      </c>
      <c r="E200" s="37">
        <v>0</v>
      </c>
      <c r="F200" s="37">
        <f>D200*(($F$163)+1)+E200</f>
        <v>480.04910460000002</v>
      </c>
      <c r="G200" s="122"/>
      <c r="H200" s="123"/>
      <c r="I200" s="36"/>
      <c r="N200" s="2" t="str">
        <f t="shared" ca="1" si="22"/>
        <v>110 to 410</v>
      </c>
      <c r="O200" s="2">
        <f t="shared" ca="1" si="23"/>
        <v>110</v>
      </c>
      <c r="P200" s="2">
        <f t="shared" ca="1" si="23"/>
        <v>410</v>
      </c>
    </row>
    <row r="201" spans="1:16" s="2" customFormat="1" ht="15.6" x14ac:dyDescent="0.3">
      <c r="A201" s="118" t="str">
        <f t="shared" ca="1" si="21"/>
        <v>111 to 411</v>
      </c>
      <c r="B201" s="119"/>
      <c r="C201" s="64" t="s">
        <v>197</v>
      </c>
      <c r="D201" s="65">
        <f>(24.232+2.85+3.675)*10.764</f>
        <v>331.06834800000001</v>
      </c>
      <c r="E201" s="37">
        <v>0</v>
      </c>
      <c r="F201" s="37">
        <f t="shared" ref="F201:F204" si="24">D201*(($F$163)+1)+E201</f>
        <v>480.04910460000002</v>
      </c>
      <c r="G201" s="122"/>
      <c r="H201" s="123"/>
      <c r="I201" s="36"/>
      <c r="N201" s="2" t="str">
        <f t="shared" ca="1" si="22"/>
        <v>111 to 411</v>
      </c>
      <c r="O201" s="2">
        <f t="shared" ca="1" si="23"/>
        <v>111</v>
      </c>
      <c r="P201" s="2">
        <f t="shared" ca="1" si="23"/>
        <v>411</v>
      </c>
    </row>
    <row r="202" spans="1:16" s="2" customFormat="1" ht="15.6" x14ac:dyDescent="0.3">
      <c r="A202" s="118" t="str">
        <f t="shared" ca="1" si="21"/>
        <v>112 to 412</v>
      </c>
      <c r="B202" s="119"/>
      <c r="C202" s="64" t="s">
        <v>197</v>
      </c>
      <c r="D202" s="65">
        <f>(24.232+2.85+3.619)*10.764</f>
        <v>330.46556399999997</v>
      </c>
      <c r="E202" s="37">
        <v>0</v>
      </c>
      <c r="F202" s="37">
        <f t="shared" si="24"/>
        <v>479.17506779999997</v>
      </c>
      <c r="G202" s="122"/>
      <c r="H202" s="123"/>
      <c r="I202" s="36"/>
      <c r="N202" s="2" t="str">
        <f t="shared" ca="1" si="22"/>
        <v>112 to 412</v>
      </c>
      <c r="O202" s="2">
        <f t="shared" ca="1" si="23"/>
        <v>112</v>
      </c>
      <c r="P202" s="2">
        <f t="shared" ca="1" si="23"/>
        <v>412</v>
      </c>
    </row>
    <row r="203" spans="1:16" s="2" customFormat="1" ht="15.75" customHeight="1" x14ac:dyDescent="0.3">
      <c r="A203" s="118" t="str">
        <f t="shared" ca="1" si="21"/>
        <v>113 to 413</v>
      </c>
      <c r="B203" s="119"/>
      <c r="C203" s="64" t="s">
        <v>198</v>
      </c>
      <c r="D203" s="65">
        <f>(16.447+4.95)*10.764</f>
        <v>230.31730799999997</v>
      </c>
      <c r="E203" s="37">
        <v>0</v>
      </c>
      <c r="F203" s="37">
        <f t="shared" si="24"/>
        <v>333.96009659999993</v>
      </c>
      <c r="G203" s="122"/>
      <c r="H203" s="123"/>
      <c r="I203" s="36"/>
      <c r="N203" s="2" t="str">
        <f t="shared" ca="1" si="22"/>
        <v>113 to 413</v>
      </c>
      <c r="O203" s="2">
        <f t="shared" ca="1" si="23"/>
        <v>113</v>
      </c>
      <c r="P203" s="2">
        <f t="shared" ca="1" si="23"/>
        <v>413</v>
      </c>
    </row>
    <row r="204" spans="1:16" s="2" customFormat="1" ht="15.6" x14ac:dyDescent="0.3">
      <c r="A204" s="118" t="str">
        <f t="shared" ca="1" si="21"/>
        <v>114 to 414</v>
      </c>
      <c r="B204" s="119"/>
      <c r="C204" s="64" t="s">
        <v>197</v>
      </c>
      <c r="D204" s="65">
        <f>(26.198+4.9+2.194)*10.764</f>
        <v>358.35508800000002</v>
      </c>
      <c r="E204" s="37">
        <v>0</v>
      </c>
      <c r="F204" s="37">
        <f t="shared" si="24"/>
        <v>519.6148776</v>
      </c>
      <c r="G204" s="122"/>
      <c r="H204" s="123"/>
      <c r="I204" s="36"/>
      <c r="N204" s="2" t="str">
        <f t="shared" ca="1" si="22"/>
        <v>114 to 414</v>
      </c>
      <c r="O204" s="2">
        <f t="shared" ca="1" si="23"/>
        <v>114</v>
      </c>
      <c r="P204" s="2">
        <f t="shared" ca="1" si="23"/>
        <v>414</v>
      </c>
    </row>
    <row r="205" spans="1:16" s="2" customFormat="1" ht="15.6" x14ac:dyDescent="0.3">
      <c r="A205" s="118" t="str">
        <f t="shared" ca="1" si="21"/>
        <v>115 to 415</v>
      </c>
      <c r="B205" s="119"/>
      <c r="C205" s="64" t="s">
        <v>197</v>
      </c>
      <c r="D205" s="65">
        <f>(26.198+4.825+2.194)*10.764</f>
        <v>357.54778799999997</v>
      </c>
      <c r="E205" s="37">
        <v>0</v>
      </c>
      <c r="F205" s="37">
        <f>D205*(($F$163)+1)+E205</f>
        <v>518.44429259999993</v>
      </c>
      <c r="G205" s="122"/>
      <c r="H205" s="123"/>
      <c r="I205" s="36"/>
      <c r="N205" s="2" t="str">
        <f t="shared" ca="1" si="22"/>
        <v>115 to 415</v>
      </c>
      <c r="O205" s="2">
        <f t="shared" ca="1" si="23"/>
        <v>115</v>
      </c>
      <c r="P205" s="2">
        <f t="shared" ca="1" si="23"/>
        <v>415</v>
      </c>
    </row>
    <row r="206" spans="1:16" s="2" customFormat="1" ht="15.6" x14ac:dyDescent="0.3">
      <c r="A206" s="118" t="str">
        <f t="shared" ca="1" si="21"/>
        <v>116 to 416</v>
      </c>
      <c r="B206" s="119"/>
      <c r="C206" s="64" t="s">
        <v>197</v>
      </c>
      <c r="D206" s="65">
        <f>(26.198+4.825+2.25)*10.764</f>
        <v>358.15057199999995</v>
      </c>
      <c r="E206" s="37">
        <v>0</v>
      </c>
      <c r="F206" s="37">
        <f t="shared" ref="F206:F207" si="25">D206*(($F$163)+1)+E206</f>
        <v>519.31832939999993</v>
      </c>
      <c r="G206" s="122"/>
      <c r="H206" s="123"/>
      <c r="I206" s="36"/>
      <c r="N206" s="2" t="str">
        <f t="shared" ca="1" si="22"/>
        <v>116 to 416</v>
      </c>
      <c r="O206" s="2">
        <f t="shared" ca="1" si="23"/>
        <v>116</v>
      </c>
      <c r="P206" s="2">
        <f t="shared" ca="1" si="23"/>
        <v>416</v>
      </c>
    </row>
    <row r="207" spans="1:16" s="2" customFormat="1" ht="15.6" x14ac:dyDescent="0.3">
      <c r="A207" s="118" t="str">
        <f t="shared" ca="1" si="21"/>
        <v>117 to 417</v>
      </c>
      <c r="B207" s="119"/>
      <c r="C207" s="64" t="s">
        <v>198</v>
      </c>
      <c r="D207" s="65">
        <f>(18.275+2.7+1.875)*10.764</f>
        <v>245.95739999999995</v>
      </c>
      <c r="E207" s="37">
        <v>0</v>
      </c>
      <c r="F207" s="37">
        <f t="shared" si="25"/>
        <v>356.63822999999991</v>
      </c>
      <c r="G207" s="122"/>
      <c r="H207" s="123"/>
      <c r="I207" s="36"/>
      <c r="N207" s="2" t="str">
        <f t="shared" ca="1" si="22"/>
        <v>117 to 417</v>
      </c>
      <c r="O207" s="2">
        <f t="shared" ca="1" si="23"/>
        <v>117</v>
      </c>
      <c r="P207" s="2">
        <f t="shared" ca="1" si="23"/>
        <v>417</v>
      </c>
    </row>
    <row r="208" spans="1:16" s="2" customFormat="1" ht="15.6" x14ac:dyDescent="0.3">
      <c r="A208" s="118" t="str">
        <f t="shared" ca="1" si="21"/>
        <v>118 to 418</v>
      </c>
      <c r="B208" s="119"/>
      <c r="C208" s="64" t="s">
        <v>198</v>
      </c>
      <c r="D208" s="65">
        <f>(18.275+2.7+1.875)*10.764</f>
        <v>245.95739999999995</v>
      </c>
      <c r="E208" s="37">
        <v>0</v>
      </c>
      <c r="F208" s="37">
        <f>D208*(($F$163)+1)+E208</f>
        <v>356.63822999999991</v>
      </c>
      <c r="G208" s="122"/>
      <c r="H208" s="123"/>
      <c r="I208" s="36"/>
      <c r="N208" s="2" t="str">
        <f t="shared" ca="1" si="22"/>
        <v>118 to 418</v>
      </c>
      <c r="O208" s="2">
        <f t="shared" ca="1" si="23"/>
        <v>118</v>
      </c>
      <c r="P208" s="2">
        <f t="shared" ca="1" si="23"/>
        <v>418</v>
      </c>
    </row>
    <row r="209" spans="1:16" s="2" customFormat="1" ht="15.6" x14ac:dyDescent="0.3">
      <c r="A209" s="118" t="str">
        <f t="shared" ca="1" si="21"/>
        <v>119 to 419</v>
      </c>
      <c r="B209" s="119"/>
      <c r="C209" s="64" t="s">
        <v>198</v>
      </c>
      <c r="D209" s="65">
        <f>(18.275+2.7+1.875)*10.764</f>
        <v>245.95739999999995</v>
      </c>
      <c r="E209" s="37">
        <v>0</v>
      </c>
      <c r="F209" s="37">
        <f t="shared" ref="F209" si="26">D209*(($F$163)+1)+E209</f>
        <v>356.63822999999991</v>
      </c>
      <c r="G209" s="124"/>
      <c r="H209" s="125"/>
      <c r="I209" s="36"/>
      <c r="N209" s="2" t="str">
        <f t="shared" ca="1" si="22"/>
        <v>119 to 419</v>
      </c>
      <c r="O209" s="2">
        <f t="shared" ca="1" si="23"/>
        <v>119</v>
      </c>
      <c r="P209" s="2">
        <f t="shared" ca="1" si="23"/>
        <v>419</v>
      </c>
    </row>
    <row r="210" spans="1:16" s="2" customFormat="1" ht="15.6" x14ac:dyDescent="0.3">
      <c r="A210" s="114" t="s">
        <v>201</v>
      </c>
      <c r="B210" s="114"/>
      <c r="C210" s="114"/>
      <c r="D210" s="114"/>
      <c r="E210" s="114"/>
      <c r="F210" s="114"/>
      <c r="G210" s="114"/>
      <c r="H210" s="114"/>
      <c r="I210" s="36"/>
      <c r="L210" s="113"/>
      <c r="M210" s="113"/>
    </row>
    <row r="211" spans="1:16" s="2" customFormat="1" ht="15.6" x14ac:dyDescent="0.3">
      <c r="A211" s="114" t="s">
        <v>202</v>
      </c>
      <c r="B211" s="114"/>
      <c r="C211" s="114"/>
      <c r="D211" s="114"/>
      <c r="E211" s="114"/>
      <c r="F211" s="114"/>
      <c r="G211" s="114"/>
      <c r="H211" s="114"/>
      <c r="I211" s="36"/>
      <c r="L211" s="113"/>
      <c r="M211" s="113"/>
    </row>
    <row r="212" spans="1:16" s="2" customFormat="1" ht="15.75" customHeight="1" x14ac:dyDescent="0.3">
      <c r="A212" s="118">
        <v>1</v>
      </c>
      <c r="B212" s="119"/>
      <c r="C212" s="37" t="s">
        <v>199</v>
      </c>
      <c r="D212" s="63">
        <f>(36.255*10.764)</f>
        <v>390.24882000000002</v>
      </c>
      <c r="E212" s="37">
        <v>0</v>
      </c>
      <c r="F212" s="37">
        <f>D212*(($F$152)+1)+E212</f>
        <v>624.39811200000008</v>
      </c>
      <c r="G212" s="120" t="str">
        <f>A211</f>
        <v>Ground Floor for Residential + Parking</v>
      </c>
      <c r="H212" s="121"/>
      <c r="I212" s="36"/>
      <c r="L212" s="113"/>
      <c r="M212" s="113"/>
      <c r="N212" s="36"/>
    </row>
    <row r="213" spans="1:16" s="2" customFormat="1" ht="15.75" customHeight="1" x14ac:dyDescent="0.3">
      <c r="A213" s="118">
        <f>A212+1</f>
        <v>2</v>
      </c>
      <c r="B213" s="119"/>
      <c r="C213" s="37" t="s">
        <v>199</v>
      </c>
      <c r="D213" s="63">
        <f>(36.255*10.764)</f>
        <v>390.24882000000002</v>
      </c>
      <c r="E213" s="37">
        <v>0</v>
      </c>
      <c r="F213" s="37">
        <f t="shared" ref="F213:F214" si="27">D213*(($F$152)+1)+E213</f>
        <v>624.39811200000008</v>
      </c>
      <c r="G213" s="122"/>
      <c r="H213" s="123"/>
      <c r="I213" s="36"/>
      <c r="L213" s="113"/>
      <c r="M213" s="113"/>
      <c r="N213" s="36"/>
    </row>
    <row r="214" spans="1:16" s="2" customFormat="1" ht="15.75" customHeight="1" x14ac:dyDescent="0.3">
      <c r="A214" s="118">
        <f t="shared" ref="A214" si="28">A213+1</f>
        <v>3</v>
      </c>
      <c r="B214" s="119"/>
      <c r="C214" s="37" t="s">
        <v>199</v>
      </c>
      <c r="D214" s="63">
        <f>38.627*10.764</f>
        <v>415.78102799999999</v>
      </c>
      <c r="E214" s="37">
        <v>0</v>
      </c>
      <c r="F214" s="37">
        <f t="shared" si="27"/>
        <v>665.24964480000006</v>
      </c>
      <c r="G214" s="124"/>
      <c r="H214" s="125"/>
      <c r="I214" s="36"/>
      <c r="L214" s="113"/>
      <c r="M214" s="113"/>
      <c r="N214" s="36"/>
    </row>
    <row r="215" spans="1:16" s="2" customFormat="1" ht="15.6" x14ac:dyDescent="0.3">
      <c r="A215" s="115" t="s">
        <v>196</v>
      </c>
      <c r="B215" s="116"/>
      <c r="C215" s="116"/>
      <c r="D215" s="116"/>
      <c r="E215" s="116"/>
      <c r="F215" s="116"/>
      <c r="G215" s="116"/>
      <c r="H215" s="117"/>
      <c r="I215" s="36"/>
    </row>
    <row r="216" spans="1:16" s="2" customFormat="1" ht="15.75" customHeight="1" x14ac:dyDescent="0.3">
      <c r="A216" s="118" t="str">
        <f t="shared" ref="A216:A220" ca="1" si="29">N216</f>
        <v>101 to 401</v>
      </c>
      <c r="B216" s="119"/>
      <c r="C216" s="62" t="s">
        <v>197</v>
      </c>
      <c r="D216" s="63">
        <f>(26.198+4.9+2.194)*10.764</f>
        <v>358.35508800000002</v>
      </c>
      <c r="E216" s="37">
        <v>0</v>
      </c>
      <c r="F216" s="37">
        <f t="shared" ref="F216:F218" si="30">D216*(($F$163)+1)+E216</f>
        <v>519.6148776</v>
      </c>
      <c r="G216" s="120" t="str">
        <f>A215</f>
        <v>1st to 4th Floor</v>
      </c>
      <c r="H216" s="121"/>
      <c r="I216" s="36"/>
      <c r="N216" s="2" t="str">
        <f t="shared" ref="N216:N221" ca="1" si="31">O216&amp;""&amp;" to "&amp;""&amp;P216</f>
        <v>101 to 401</v>
      </c>
      <c r="O216" s="2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10^ROW(INDIRECT("1:"&amp;LEN((LEFT(A215,SUM(LEN(A215)-LEN(SUBSTITUTE(A215,{"0","1","2"},""))))))))/10))*100+1</f>
        <v>101</v>
      </c>
      <c r="P216" s="2">
        <f ca="1">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",LEN(A215))),LEN(A215)))))))/10))*100+1</f>
        <v>401</v>
      </c>
    </row>
    <row r="217" spans="1:16" s="2" customFormat="1" ht="15.75" customHeight="1" x14ac:dyDescent="0.3">
      <c r="A217" s="118" t="str">
        <f t="shared" ca="1" si="29"/>
        <v>102 to 402</v>
      </c>
      <c r="B217" s="119"/>
      <c r="C217" s="62" t="s">
        <v>197</v>
      </c>
      <c r="D217" s="63">
        <f>(26.198+4.825+2.194)*10.764</f>
        <v>357.54778799999997</v>
      </c>
      <c r="E217" s="37">
        <v>0</v>
      </c>
      <c r="F217" s="37">
        <f t="shared" si="30"/>
        <v>518.44429259999993</v>
      </c>
      <c r="G217" s="122"/>
      <c r="H217" s="123"/>
      <c r="I217" s="36"/>
      <c r="N217" s="2" t="str">
        <f t="shared" ca="1" si="31"/>
        <v>102 to 402</v>
      </c>
      <c r="O217" s="2">
        <f t="shared" ref="O217:P221" ca="1" si="32">O216+1</f>
        <v>102</v>
      </c>
      <c r="P217" s="2">
        <f t="shared" ca="1" si="32"/>
        <v>402</v>
      </c>
    </row>
    <row r="218" spans="1:16" s="2" customFormat="1" ht="15.75" customHeight="1" x14ac:dyDescent="0.3">
      <c r="A218" s="118" t="str">
        <f t="shared" ca="1" si="29"/>
        <v>103 to 403</v>
      </c>
      <c r="B218" s="119"/>
      <c r="C218" s="62" t="s">
        <v>197</v>
      </c>
      <c r="D218" s="63">
        <f>(26.198+4.825+2.194)*10.764</f>
        <v>357.54778799999997</v>
      </c>
      <c r="E218" s="37">
        <v>0</v>
      </c>
      <c r="F218" s="37">
        <f t="shared" si="30"/>
        <v>518.44429259999993</v>
      </c>
      <c r="G218" s="122"/>
      <c r="H218" s="123"/>
      <c r="I218" s="36"/>
      <c r="N218" s="2" t="str">
        <f t="shared" ca="1" si="31"/>
        <v>103 to 403</v>
      </c>
      <c r="O218" s="2">
        <f t="shared" ca="1" si="32"/>
        <v>103</v>
      </c>
      <c r="P218" s="2">
        <f t="shared" ca="1" si="32"/>
        <v>403</v>
      </c>
    </row>
    <row r="219" spans="1:16" s="2" customFormat="1" ht="15.75" customHeight="1" x14ac:dyDescent="0.3">
      <c r="A219" s="118" t="str">
        <f t="shared" ca="1" si="29"/>
        <v>104 to 404</v>
      </c>
      <c r="B219" s="119"/>
      <c r="C219" s="62" t="s">
        <v>197</v>
      </c>
      <c r="D219" s="63">
        <f>(26.198+4.75+2.25)*10.764</f>
        <v>357.34327199999996</v>
      </c>
      <c r="E219" s="37">
        <v>0</v>
      </c>
      <c r="F219" s="37">
        <f>D219*(($F$163)+1)+E219</f>
        <v>518.14774439999997</v>
      </c>
      <c r="G219" s="122"/>
      <c r="H219" s="123"/>
      <c r="I219" s="36"/>
      <c r="N219" s="2" t="str">
        <f t="shared" ca="1" si="31"/>
        <v>104 to 404</v>
      </c>
      <c r="O219" s="2">
        <f t="shared" ca="1" si="32"/>
        <v>104</v>
      </c>
      <c r="P219" s="2">
        <f t="shared" ca="1" si="32"/>
        <v>404</v>
      </c>
    </row>
    <row r="220" spans="1:16" s="2" customFormat="1" ht="15.75" customHeight="1" x14ac:dyDescent="0.3">
      <c r="A220" s="118" t="str">
        <f t="shared" ca="1" si="29"/>
        <v>105 to 405</v>
      </c>
      <c r="B220" s="119"/>
      <c r="C220" s="62" t="s">
        <v>199</v>
      </c>
      <c r="D220" s="63">
        <f>(33.785+2.75+5.644)*10.764</f>
        <v>454.01475599999992</v>
      </c>
      <c r="E220" s="37">
        <v>0</v>
      </c>
      <c r="F220" s="37">
        <f t="shared" ref="F220:F224" si="33">D220*(($F$163)+1)+E220</f>
        <v>658.32139619999987</v>
      </c>
      <c r="G220" s="122"/>
      <c r="H220" s="123"/>
      <c r="I220" s="36"/>
      <c r="N220" s="2" t="str">
        <f t="shared" ca="1" si="31"/>
        <v>105 to 405</v>
      </c>
      <c r="O220" s="2">
        <f t="shared" ca="1" si="32"/>
        <v>105</v>
      </c>
      <c r="P220" s="2">
        <f t="shared" ca="1" si="32"/>
        <v>405</v>
      </c>
    </row>
    <row r="221" spans="1:16" s="2" customFormat="1" ht="15.75" customHeight="1" x14ac:dyDescent="0.3">
      <c r="A221" s="118" t="str">
        <f ca="1">N221</f>
        <v>106 to 406</v>
      </c>
      <c r="B221" s="119"/>
      <c r="C221" s="62" t="s">
        <v>199</v>
      </c>
      <c r="D221" s="63">
        <f>(33.785+2.75+5.644)*10.764</f>
        <v>454.01475599999992</v>
      </c>
      <c r="E221" s="37">
        <v>0</v>
      </c>
      <c r="F221" s="37">
        <f t="shared" si="33"/>
        <v>658.32139619999987</v>
      </c>
      <c r="G221" s="122"/>
      <c r="H221" s="123"/>
      <c r="I221" s="36"/>
      <c r="N221" s="2" t="str">
        <f t="shared" ca="1" si="31"/>
        <v>106 to 406</v>
      </c>
      <c r="O221" s="2">
        <f ca="1">O220+1</f>
        <v>106</v>
      </c>
      <c r="P221" s="2">
        <f t="shared" ca="1" si="32"/>
        <v>406</v>
      </c>
    </row>
    <row r="222" spans="1:16" s="2" customFormat="1" ht="15.75" customHeight="1" x14ac:dyDescent="0.3">
      <c r="A222" s="118" t="str">
        <f ca="1">N222</f>
        <v>107 to 407</v>
      </c>
      <c r="B222" s="119"/>
      <c r="C222" s="62" t="s">
        <v>199</v>
      </c>
      <c r="D222" s="63">
        <f>(32.633+7.675+2.287)*10.764</f>
        <v>458.49257999999998</v>
      </c>
      <c r="E222" s="37">
        <v>0</v>
      </c>
      <c r="F222" s="37">
        <f t="shared" si="33"/>
        <v>664.81424099999992</v>
      </c>
      <c r="G222" s="122"/>
      <c r="H222" s="123"/>
      <c r="I222" s="36"/>
      <c r="N222" s="2" t="str">
        <f ca="1">O222&amp;""&amp;" to "&amp;""&amp;P222</f>
        <v>107 to 407</v>
      </c>
      <c r="O222" s="2">
        <f ca="1">O221+1</f>
        <v>107</v>
      </c>
      <c r="P222" s="2">
        <f ca="1">P221+1</f>
        <v>407</v>
      </c>
    </row>
    <row r="223" spans="1:16" s="2" customFormat="1" ht="15.75" customHeight="1" x14ac:dyDescent="0.3">
      <c r="A223" s="118" t="str">
        <f t="shared" ref="A223:A278" ca="1" si="34">N223</f>
        <v>108 to 408</v>
      </c>
      <c r="B223" s="119"/>
      <c r="C223" s="62" t="s">
        <v>199</v>
      </c>
      <c r="D223" s="63">
        <f>(32.633+7.675+2.287)*10.764</f>
        <v>458.49257999999998</v>
      </c>
      <c r="E223" s="37">
        <v>0</v>
      </c>
      <c r="F223" s="37">
        <f t="shared" si="33"/>
        <v>664.81424099999992</v>
      </c>
      <c r="G223" s="122"/>
      <c r="H223" s="123"/>
      <c r="I223" s="36"/>
      <c r="N223" s="2" t="str">
        <f t="shared" ref="N223:N278" ca="1" si="35">O223&amp;""&amp;" to "&amp;""&amp;P223</f>
        <v>108 to 408</v>
      </c>
      <c r="O223" s="2">
        <f t="shared" ref="O223:P225" ca="1" si="36">O222+1</f>
        <v>108</v>
      </c>
      <c r="P223" s="2">
        <f t="shared" ca="1" si="36"/>
        <v>408</v>
      </c>
    </row>
    <row r="224" spans="1:16" s="2" customFormat="1" ht="15.6" x14ac:dyDescent="0.3">
      <c r="A224" s="118" t="str">
        <f t="shared" ca="1" si="34"/>
        <v>109 to 409</v>
      </c>
      <c r="B224" s="119"/>
      <c r="C224" s="62" t="s">
        <v>199</v>
      </c>
      <c r="D224" s="63">
        <f>(32.61+7.75+2.231)*10.764</f>
        <v>458.449524</v>
      </c>
      <c r="E224" s="37">
        <v>0</v>
      </c>
      <c r="F224" s="37">
        <f t="shared" si="33"/>
        <v>664.75180979999993</v>
      </c>
      <c r="G224" s="122"/>
      <c r="H224" s="123"/>
      <c r="I224" s="36"/>
      <c r="N224" s="2" t="str">
        <f t="shared" ca="1" si="35"/>
        <v>109 to 409</v>
      </c>
      <c r="O224" s="2">
        <f t="shared" ca="1" si="36"/>
        <v>109</v>
      </c>
      <c r="P224" s="2">
        <f t="shared" ca="1" si="36"/>
        <v>409</v>
      </c>
    </row>
    <row r="225" spans="1:16" s="2" customFormat="1" ht="15.6" x14ac:dyDescent="0.3">
      <c r="A225" s="118" t="str">
        <f t="shared" ca="1" si="34"/>
        <v>110 to 410</v>
      </c>
      <c r="B225" s="119"/>
      <c r="C225" s="62" t="s">
        <v>199</v>
      </c>
      <c r="D225" s="63">
        <f>(33.785+2.95+5.7)*10.764</f>
        <v>456.77033999999998</v>
      </c>
      <c r="E225" s="37">
        <v>0</v>
      </c>
      <c r="F225" s="37">
        <f>D225*(($F$163)+1)+E225</f>
        <v>662.31699299999991</v>
      </c>
      <c r="G225" s="124"/>
      <c r="H225" s="125"/>
      <c r="I225" s="36"/>
      <c r="N225" s="2" t="str">
        <f t="shared" ca="1" si="35"/>
        <v>110 to 410</v>
      </c>
      <c r="O225" s="2">
        <f t="shared" ca="1" si="36"/>
        <v>110</v>
      </c>
      <c r="P225" s="2">
        <f t="shared" ca="1" si="36"/>
        <v>410</v>
      </c>
    </row>
    <row r="226" spans="1:16" s="2" customFormat="1" ht="15.6" x14ac:dyDescent="0.3">
      <c r="A226" s="114" t="s">
        <v>203</v>
      </c>
      <c r="B226" s="114"/>
      <c r="C226" s="114"/>
      <c r="D226" s="114"/>
      <c r="E226" s="114"/>
      <c r="F226" s="114"/>
      <c r="G226" s="114"/>
      <c r="H226" s="114"/>
      <c r="I226" s="36"/>
      <c r="L226" s="113"/>
      <c r="M226" s="113"/>
    </row>
    <row r="227" spans="1:16" s="2" customFormat="1" ht="15.6" x14ac:dyDescent="0.3">
      <c r="A227" s="114" t="s">
        <v>204</v>
      </c>
      <c r="B227" s="114"/>
      <c r="C227" s="114"/>
      <c r="D227" s="114"/>
      <c r="E227" s="114"/>
      <c r="F227" s="114"/>
      <c r="G227" s="114"/>
      <c r="H227" s="114"/>
      <c r="I227" s="36"/>
      <c r="L227" s="113"/>
      <c r="M227" s="113"/>
    </row>
    <row r="228" spans="1:16" s="2" customFormat="1" ht="15.6" x14ac:dyDescent="0.3">
      <c r="A228" s="114" t="s">
        <v>202</v>
      </c>
      <c r="B228" s="114"/>
      <c r="C228" s="114"/>
      <c r="D228" s="114"/>
      <c r="E228" s="114"/>
      <c r="F228" s="114"/>
      <c r="G228" s="114"/>
      <c r="H228" s="114"/>
      <c r="I228" s="36"/>
      <c r="L228" s="113"/>
      <c r="M228" s="113"/>
    </row>
    <row r="229" spans="1:16" s="2" customFormat="1" ht="15.75" customHeight="1" x14ac:dyDescent="0.3">
      <c r="A229" s="118">
        <v>1</v>
      </c>
      <c r="B229" s="119"/>
      <c r="C229" s="62" t="s">
        <v>197</v>
      </c>
      <c r="D229" s="65">
        <f>(30.123*10.764)</f>
        <v>324.24397199999999</v>
      </c>
      <c r="E229" s="37">
        <v>0</v>
      </c>
      <c r="F229" s="37">
        <f>D229*(($F$152)+1)+E229</f>
        <v>518.79035520000002</v>
      </c>
      <c r="G229" s="120" t="str">
        <f>A228</f>
        <v>Ground Floor for Residential + Parking</v>
      </c>
      <c r="H229" s="121"/>
      <c r="I229" s="36"/>
      <c r="L229" s="113"/>
      <c r="M229" s="113"/>
      <c r="N229" s="36"/>
    </row>
    <row r="230" spans="1:16" s="2" customFormat="1" ht="15.75" customHeight="1" x14ac:dyDescent="0.3">
      <c r="A230" s="118">
        <f>A229+1</f>
        <v>2</v>
      </c>
      <c r="B230" s="119"/>
      <c r="C230" s="62" t="s">
        <v>197</v>
      </c>
      <c r="D230" s="65">
        <f>38.805*10.764</f>
        <v>417.69701999999995</v>
      </c>
      <c r="E230" s="37">
        <v>0</v>
      </c>
      <c r="F230" s="37">
        <f t="shared" ref="F230:F232" si="37">D230*(($F$152)+1)+E230</f>
        <v>668.31523199999992</v>
      </c>
      <c r="G230" s="122"/>
      <c r="H230" s="123"/>
      <c r="I230" s="36"/>
      <c r="L230" s="113"/>
      <c r="M230" s="113"/>
      <c r="N230" s="36"/>
    </row>
    <row r="231" spans="1:16" s="2" customFormat="1" ht="15.75" customHeight="1" x14ac:dyDescent="0.3">
      <c r="A231" s="118">
        <f t="shared" ref="A231:A232" si="38">A230+1</f>
        <v>3</v>
      </c>
      <c r="B231" s="119"/>
      <c r="C231" s="62" t="s">
        <v>197</v>
      </c>
      <c r="D231" s="65">
        <f>38.805*10.764</f>
        <v>417.69701999999995</v>
      </c>
      <c r="E231" s="37">
        <v>0</v>
      </c>
      <c r="F231" s="37">
        <f t="shared" si="37"/>
        <v>668.31523199999992</v>
      </c>
      <c r="G231" s="122"/>
      <c r="H231" s="123"/>
      <c r="I231" s="36"/>
      <c r="L231" s="113"/>
      <c r="M231" s="113"/>
      <c r="N231" s="36"/>
    </row>
    <row r="232" spans="1:16" s="2" customFormat="1" ht="15.75" customHeight="1" x14ac:dyDescent="0.3">
      <c r="A232" s="118">
        <f t="shared" si="38"/>
        <v>4</v>
      </c>
      <c r="B232" s="119"/>
      <c r="C232" s="62" t="s">
        <v>197</v>
      </c>
      <c r="D232" s="65">
        <f>(30.123*10.764)</f>
        <v>324.24397199999999</v>
      </c>
      <c r="E232" s="37">
        <v>0</v>
      </c>
      <c r="F232" s="37">
        <f t="shared" si="37"/>
        <v>518.79035520000002</v>
      </c>
      <c r="G232" s="124"/>
      <c r="H232" s="125"/>
      <c r="I232" s="36"/>
      <c r="L232" s="113"/>
      <c r="M232" s="113"/>
      <c r="N232" s="36"/>
    </row>
    <row r="233" spans="1:16" s="2" customFormat="1" ht="15.6" x14ac:dyDescent="0.3">
      <c r="A233" s="115" t="s">
        <v>196</v>
      </c>
      <c r="B233" s="116"/>
      <c r="C233" s="116"/>
      <c r="D233" s="116"/>
      <c r="E233" s="116"/>
      <c r="F233" s="116"/>
      <c r="G233" s="116"/>
      <c r="H233" s="117"/>
      <c r="I233" s="36"/>
    </row>
    <row r="234" spans="1:16" s="2" customFormat="1" ht="15.75" customHeight="1" x14ac:dyDescent="0.3">
      <c r="A234" s="118" t="str">
        <f t="shared" ref="A234:A238" ca="1" si="39">N234</f>
        <v>101 to 401</v>
      </c>
      <c r="B234" s="119"/>
      <c r="C234" s="64" t="s">
        <v>197</v>
      </c>
      <c r="D234" s="65">
        <f>(24.232+2.85+2.731)*10.764</f>
        <v>320.90713199999999</v>
      </c>
      <c r="E234" s="37">
        <v>0</v>
      </c>
      <c r="F234" s="37">
        <f t="shared" ref="F234:F236" si="40">D234*(($F$163)+1)+E234</f>
        <v>465.31534139999997</v>
      </c>
      <c r="G234" s="120" t="str">
        <f>A233</f>
        <v>1st to 4th Floor</v>
      </c>
      <c r="H234" s="121"/>
      <c r="I234" s="36"/>
      <c r="N234" s="2" t="str">
        <f t="shared" ref="N234:N239" ca="1" si="41">O234&amp;""&amp;" to "&amp;""&amp;P234</f>
        <v>101 to 401</v>
      </c>
      <c r="O234" s="2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10^ROW(INDIRECT("1:"&amp;LEN((LEFT(A233,SUM(LEN(A233)-LEN(SUBSTITUTE(A233,{"0","1","2"},""))))))))/10))*100+1</f>
        <v>101</v>
      </c>
      <c r="P234" s="2">
        <f ca="1">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",LEN(A233))),LEN(A233)))))))/10))*100+1</f>
        <v>401</v>
      </c>
    </row>
    <row r="235" spans="1:16" s="2" customFormat="1" ht="15.75" customHeight="1" x14ac:dyDescent="0.3">
      <c r="A235" s="118" t="str">
        <f t="shared" ca="1" si="39"/>
        <v>102 to 402</v>
      </c>
      <c r="B235" s="119"/>
      <c r="C235" s="64" t="s">
        <v>197</v>
      </c>
      <c r="D235" s="65">
        <f>(24.232+2.85+2.731)*10.764</f>
        <v>320.90713199999999</v>
      </c>
      <c r="E235" s="37">
        <v>0</v>
      </c>
      <c r="F235" s="37">
        <f t="shared" si="40"/>
        <v>465.31534139999997</v>
      </c>
      <c r="G235" s="122"/>
      <c r="H235" s="123"/>
      <c r="I235" s="36"/>
      <c r="N235" s="2" t="str">
        <f t="shared" ca="1" si="41"/>
        <v>102 to 402</v>
      </c>
      <c r="O235" s="2">
        <f t="shared" ref="O235:P239" ca="1" si="42">O234+1</f>
        <v>102</v>
      </c>
      <c r="P235" s="2">
        <f t="shared" ca="1" si="42"/>
        <v>402</v>
      </c>
    </row>
    <row r="236" spans="1:16" s="2" customFormat="1" ht="15.75" customHeight="1" x14ac:dyDescent="0.3">
      <c r="A236" s="118" t="str">
        <f t="shared" ca="1" si="39"/>
        <v>103 to 403</v>
      </c>
      <c r="B236" s="119"/>
      <c r="C236" s="64" t="s">
        <v>197</v>
      </c>
      <c r="D236" s="65">
        <f>(18.275+2.7+2.025)*10.764</f>
        <v>247.57199999999995</v>
      </c>
      <c r="E236" s="37">
        <v>0</v>
      </c>
      <c r="F236" s="37">
        <f t="shared" si="40"/>
        <v>358.97939999999988</v>
      </c>
      <c r="G236" s="122"/>
      <c r="H236" s="123"/>
      <c r="I236" s="36"/>
      <c r="N236" s="2" t="str">
        <f t="shared" ca="1" si="41"/>
        <v>103 to 403</v>
      </c>
      <c r="O236" s="2">
        <f t="shared" ca="1" si="42"/>
        <v>103</v>
      </c>
      <c r="P236" s="2">
        <f t="shared" ca="1" si="42"/>
        <v>403</v>
      </c>
    </row>
    <row r="237" spans="1:16" s="2" customFormat="1" ht="15.75" customHeight="1" x14ac:dyDescent="0.3">
      <c r="A237" s="118" t="str">
        <f t="shared" ca="1" si="39"/>
        <v>104 to 404</v>
      </c>
      <c r="B237" s="119"/>
      <c r="C237" s="64" t="s">
        <v>198</v>
      </c>
      <c r="D237" s="65">
        <f>(26.198+4.825+2.25)*10.764</f>
        <v>358.15057199999995</v>
      </c>
      <c r="E237" s="37">
        <v>0</v>
      </c>
      <c r="F237" s="37">
        <f>D237*(($F$163)+1)+E237</f>
        <v>519.31832939999993</v>
      </c>
      <c r="G237" s="122"/>
      <c r="H237" s="123"/>
      <c r="I237" s="36"/>
      <c r="N237" s="2" t="str">
        <f t="shared" ca="1" si="41"/>
        <v>104 to 404</v>
      </c>
      <c r="O237" s="2">
        <f t="shared" ca="1" si="42"/>
        <v>104</v>
      </c>
      <c r="P237" s="2">
        <f t="shared" ca="1" si="42"/>
        <v>404</v>
      </c>
    </row>
    <row r="238" spans="1:16" s="2" customFormat="1" ht="15.75" customHeight="1" x14ac:dyDescent="0.3">
      <c r="A238" s="118" t="str">
        <f t="shared" ca="1" si="39"/>
        <v>105 to 405</v>
      </c>
      <c r="B238" s="119"/>
      <c r="C238" s="64" t="s">
        <v>197</v>
      </c>
      <c r="D238" s="65">
        <f>(32.25+7.675+2.231)*10.764</f>
        <v>453.76718399999999</v>
      </c>
      <c r="E238" s="37">
        <v>0</v>
      </c>
      <c r="F238" s="37">
        <f t="shared" ref="F238:F257" si="43">D238*(($F$163)+1)+E238</f>
        <v>657.96241679999991</v>
      </c>
      <c r="G238" s="122"/>
      <c r="H238" s="123"/>
      <c r="I238" s="36"/>
      <c r="N238" s="2" t="str">
        <f t="shared" ca="1" si="41"/>
        <v>105 to 405</v>
      </c>
      <c r="O238" s="2">
        <f t="shared" ca="1" si="42"/>
        <v>105</v>
      </c>
      <c r="P238" s="2">
        <f t="shared" ca="1" si="42"/>
        <v>405</v>
      </c>
    </row>
    <row r="239" spans="1:16" s="2" customFormat="1" ht="15.75" customHeight="1" x14ac:dyDescent="0.3">
      <c r="A239" s="118" t="str">
        <f ca="1">N239</f>
        <v>106 to 406</v>
      </c>
      <c r="B239" s="119"/>
      <c r="C239" s="64" t="s">
        <v>197</v>
      </c>
      <c r="D239" s="65">
        <f>(32.25+7.675+2.231)*10.764</f>
        <v>453.76718399999999</v>
      </c>
      <c r="E239" s="37">
        <v>0</v>
      </c>
      <c r="F239" s="37">
        <f t="shared" si="43"/>
        <v>657.96241679999991</v>
      </c>
      <c r="G239" s="122"/>
      <c r="H239" s="123"/>
      <c r="I239" s="36"/>
      <c r="N239" s="2" t="str">
        <f t="shared" ca="1" si="41"/>
        <v>106 to 406</v>
      </c>
      <c r="O239" s="2">
        <f ca="1">O238+1</f>
        <v>106</v>
      </c>
      <c r="P239" s="2">
        <f t="shared" ca="1" si="42"/>
        <v>406</v>
      </c>
    </row>
    <row r="240" spans="1:16" s="2" customFormat="1" ht="15.75" customHeight="1" x14ac:dyDescent="0.3">
      <c r="A240" s="118" t="str">
        <f ca="1">N240</f>
        <v>107 to 407</v>
      </c>
      <c r="B240" s="119"/>
      <c r="C240" s="64" t="s">
        <v>197</v>
      </c>
      <c r="D240" s="65">
        <f>(26.198+4.825+2.25)*10.764</f>
        <v>358.15057199999995</v>
      </c>
      <c r="E240" s="37">
        <v>0</v>
      </c>
      <c r="F240" s="37">
        <f t="shared" si="43"/>
        <v>519.31832939999993</v>
      </c>
      <c r="G240" s="122"/>
      <c r="H240" s="123"/>
      <c r="I240" s="36"/>
      <c r="N240" s="2" t="str">
        <f ca="1">O240&amp;""&amp;" to "&amp;""&amp;P240</f>
        <v>107 to 407</v>
      </c>
      <c r="O240" s="2">
        <f ca="1">O239+1</f>
        <v>107</v>
      </c>
      <c r="P240" s="2">
        <f ca="1">P239+1</f>
        <v>407</v>
      </c>
    </row>
    <row r="241" spans="1:16" s="2" customFormat="1" ht="15.75" customHeight="1" x14ac:dyDescent="0.3">
      <c r="A241" s="118" t="str">
        <f t="shared" ref="A241:A258" ca="1" si="44">N241</f>
        <v>108 to 408</v>
      </c>
      <c r="B241" s="119"/>
      <c r="C241" s="64" t="s">
        <v>198</v>
      </c>
      <c r="D241" s="65">
        <f>(18.275+2.7+2.025)*10.764</f>
        <v>247.57199999999995</v>
      </c>
      <c r="E241" s="37">
        <v>0</v>
      </c>
      <c r="F241" s="37">
        <f t="shared" si="43"/>
        <v>358.97939999999988</v>
      </c>
      <c r="G241" s="124"/>
      <c r="H241" s="125"/>
      <c r="I241" s="36"/>
      <c r="N241" s="2" t="str">
        <f t="shared" ref="N241:N258" ca="1" si="45">O241&amp;""&amp;" to "&amp;""&amp;P241</f>
        <v>108 to 408</v>
      </c>
      <c r="O241" s="2">
        <f t="shared" ref="O241:P241" ca="1" si="46">O240+1</f>
        <v>108</v>
      </c>
      <c r="P241" s="2">
        <f t="shared" ca="1" si="46"/>
        <v>408</v>
      </c>
    </row>
    <row r="242" spans="1:16" s="2" customFormat="1" ht="15.6" x14ac:dyDescent="0.3">
      <c r="A242" s="114" t="s">
        <v>205</v>
      </c>
      <c r="B242" s="114"/>
      <c r="C242" s="114"/>
      <c r="D242" s="114"/>
      <c r="E242" s="114"/>
      <c r="F242" s="114"/>
      <c r="G242" s="114"/>
      <c r="H242" s="114"/>
      <c r="I242" s="36"/>
      <c r="L242" s="113"/>
      <c r="M242" s="113"/>
    </row>
    <row r="243" spans="1:16" s="2" customFormat="1" ht="15.6" x14ac:dyDescent="0.3">
      <c r="A243" s="114" t="s">
        <v>202</v>
      </c>
      <c r="B243" s="114"/>
      <c r="C243" s="114"/>
      <c r="D243" s="114"/>
      <c r="E243" s="114"/>
      <c r="F243" s="114"/>
      <c r="G243" s="114"/>
      <c r="H243" s="114"/>
      <c r="I243" s="36"/>
      <c r="L243" s="113"/>
      <c r="M243" s="113"/>
    </row>
    <row r="244" spans="1:16" s="2" customFormat="1" ht="15.75" customHeight="1" x14ac:dyDescent="0.3">
      <c r="A244" s="118">
        <v>1</v>
      </c>
      <c r="B244" s="119"/>
      <c r="C244" s="62" t="s">
        <v>197</v>
      </c>
      <c r="D244" s="65">
        <f>(30.123*10.764)</f>
        <v>324.24397199999999</v>
      </c>
      <c r="E244" s="37">
        <v>0</v>
      </c>
      <c r="F244" s="37">
        <f>D244*(($F$152)+1)+E244</f>
        <v>518.79035520000002</v>
      </c>
      <c r="G244" s="120" t="str">
        <f>A243</f>
        <v>Ground Floor for Residential + Parking</v>
      </c>
      <c r="H244" s="121"/>
      <c r="I244" s="36"/>
      <c r="L244" s="113"/>
      <c r="M244" s="113"/>
      <c r="N244" s="36"/>
    </row>
    <row r="245" spans="1:16" s="2" customFormat="1" ht="15.75" customHeight="1" x14ac:dyDescent="0.3">
      <c r="A245" s="118">
        <f>A244+1</f>
        <v>2</v>
      </c>
      <c r="B245" s="119"/>
      <c r="C245" s="62" t="s">
        <v>197</v>
      </c>
      <c r="D245" s="65">
        <f t="shared" ref="D245:D246" si="47">(30.123*10.764)</f>
        <v>324.24397199999999</v>
      </c>
      <c r="E245" s="37">
        <v>0</v>
      </c>
      <c r="F245" s="37">
        <f t="shared" ref="F245:F247" si="48">D245*(($F$152)+1)+E245</f>
        <v>518.79035520000002</v>
      </c>
      <c r="G245" s="122"/>
      <c r="H245" s="123"/>
      <c r="I245" s="36"/>
      <c r="L245" s="113"/>
      <c r="M245" s="113"/>
      <c r="N245" s="36"/>
    </row>
    <row r="246" spans="1:16" s="2" customFormat="1" ht="15.75" customHeight="1" x14ac:dyDescent="0.3">
      <c r="A246" s="118">
        <f t="shared" ref="A246:A247" si="49">A245+1</f>
        <v>3</v>
      </c>
      <c r="B246" s="119"/>
      <c r="C246" s="62" t="s">
        <v>197</v>
      </c>
      <c r="D246" s="65">
        <f t="shared" si="47"/>
        <v>324.24397199999999</v>
      </c>
      <c r="E246" s="37">
        <v>0</v>
      </c>
      <c r="F246" s="37">
        <f t="shared" si="48"/>
        <v>518.79035520000002</v>
      </c>
      <c r="G246" s="122"/>
      <c r="H246" s="123"/>
      <c r="I246" s="36"/>
      <c r="L246" s="113"/>
      <c r="M246" s="113"/>
      <c r="N246" s="36"/>
    </row>
    <row r="247" spans="1:16" s="2" customFormat="1" ht="15.75" customHeight="1" x14ac:dyDescent="0.3">
      <c r="A247" s="118">
        <f t="shared" si="49"/>
        <v>4</v>
      </c>
      <c r="B247" s="119"/>
      <c r="C247" s="62" t="s">
        <v>197</v>
      </c>
      <c r="D247" s="65">
        <f>(30.123*10.764)</f>
        <v>324.24397199999999</v>
      </c>
      <c r="E247" s="37">
        <v>0</v>
      </c>
      <c r="F247" s="37">
        <f t="shared" si="48"/>
        <v>518.79035520000002</v>
      </c>
      <c r="G247" s="124"/>
      <c r="H247" s="125"/>
      <c r="I247" s="36"/>
      <c r="L247" s="113"/>
      <c r="M247" s="113"/>
      <c r="N247" s="36"/>
    </row>
    <row r="248" spans="1:16" s="2" customFormat="1" ht="15.6" x14ac:dyDescent="0.3">
      <c r="A248" s="115" t="s">
        <v>196</v>
      </c>
      <c r="B248" s="116"/>
      <c r="C248" s="116"/>
      <c r="D248" s="116"/>
      <c r="E248" s="116"/>
      <c r="F248" s="116"/>
      <c r="G248" s="116"/>
      <c r="H248" s="117"/>
      <c r="I248" s="36"/>
    </row>
    <row r="249" spans="1:16" s="2" customFormat="1" ht="15.75" customHeight="1" x14ac:dyDescent="0.3">
      <c r="A249" s="118" t="str">
        <f t="shared" ref="A249:A253" ca="1" si="50">N249</f>
        <v>101 to 401</v>
      </c>
      <c r="B249" s="119"/>
      <c r="C249" s="64" t="s">
        <v>197</v>
      </c>
      <c r="D249" s="65">
        <f>(24.232+2.85+3.747)*10.764</f>
        <v>331.84335599999997</v>
      </c>
      <c r="E249" s="37">
        <v>0</v>
      </c>
      <c r="F249" s="37">
        <f t="shared" ref="F249:F251" si="51">D249*(($F$163)+1)+E249</f>
        <v>481.17286619999993</v>
      </c>
      <c r="G249" s="120" t="str">
        <f>A248</f>
        <v>1st to 4th Floor</v>
      </c>
      <c r="H249" s="121"/>
      <c r="I249" s="36"/>
      <c r="N249" s="2" t="str">
        <f t="shared" ref="N249:N254" ca="1" si="52">O249&amp;""&amp;" to "&amp;""&amp;P249</f>
        <v>101 to 401</v>
      </c>
      <c r="O249" s="2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10^ROW(INDIRECT("1:"&amp;LEN((LEFT(A248,SUM(LEN(A248)-LEN(SUBSTITUTE(A248,{"0","1","2"},""))))))))/10))*100+1</f>
        <v>101</v>
      </c>
      <c r="P249" s="2">
        <f ca="1">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",LEN(A248))),LEN(A248)))))))/10))*100+1</f>
        <v>401</v>
      </c>
    </row>
    <row r="250" spans="1:16" s="2" customFormat="1" ht="15.75" customHeight="1" x14ac:dyDescent="0.3">
      <c r="A250" s="118" t="str">
        <f t="shared" ca="1" si="50"/>
        <v>102 to 402</v>
      </c>
      <c r="B250" s="119"/>
      <c r="C250" s="64" t="s">
        <v>197</v>
      </c>
      <c r="D250" s="65">
        <f>(24.232+2.85+3.747)*10.764</f>
        <v>331.84335599999997</v>
      </c>
      <c r="E250" s="37">
        <v>0</v>
      </c>
      <c r="F250" s="37">
        <f t="shared" si="51"/>
        <v>481.17286619999993</v>
      </c>
      <c r="G250" s="122"/>
      <c r="H250" s="123"/>
      <c r="I250" s="36"/>
      <c r="N250" s="2" t="str">
        <f t="shared" ca="1" si="52"/>
        <v>102 to 402</v>
      </c>
      <c r="O250" s="2">
        <f t="shared" ref="O250:P254" ca="1" si="53">O249+1</f>
        <v>102</v>
      </c>
      <c r="P250" s="2">
        <f t="shared" ca="1" si="53"/>
        <v>402</v>
      </c>
    </row>
    <row r="251" spans="1:16" s="2" customFormat="1" ht="15.75" customHeight="1" x14ac:dyDescent="0.3">
      <c r="A251" s="118" t="str">
        <f t="shared" ca="1" si="50"/>
        <v>103 to 403</v>
      </c>
      <c r="B251" s="119"/>
      <c r="C251" s="64" t="s">
        <v>198</v>
      </c>
      <c r="D251" s="65">
        <f>(18.275+2.7+2.025)*10.764</f>
        <v>247.57199999999995</v>
      </c>
      <c r="E251" s="37">
        <v>0</v>
      </c>
      <c r="F251" s="37">
        <f t="shared" si="51"/>
        <v>358.97939999999988</v>
      </c>
      <c r="G251" s="122"/>
      <c r="H251" s="123"/>
      <c r="I251" s="36"/>
      <c r="N251" s="2" t="str">
        <f t="shared" ca="1" si="52"/>
        <v>103 to 403</v>
      </c>
      <c r="O251" s="2">
        <f t="shared" ca="1" si="53"/>
        <v>103</v>
      </c>
      <c r="P251" s="2">
        <f t="shared" ca="1" si="53"/>
        <v>403</v>
      </c>
    </row>
    <row r="252" spans="1:16" s="2" customFormat="1" ht="15.75" customHeight="1" x14ac:dyDescent="0.3">
      <c r="A252" s="118" t="str">
        <f t="shared" ca="1" si="50"/>
        <v>104 to 404</v>
      </c>
      <c r="B252" s="119"/>
      <c r="C252" s="64" t="s">
        <v>197</v>
      </c>
      <c r="D252" s="65">
        <f>(26.198+4.825+2.25)*10.764</f>
        <v>358.15057199999995</v>
      </c>
      <c r="E252" s="37">
        <v>0</v>
      </c>
      <c r="F252" s="37">
        <f>D252*(($F$163)+1)+E252</f>
        <v>519.31832939999993</v>
      </c>
      <c r="G252" s="122"/>
      <c r="H252" s="123"/>
      <c r="I252" s="36"/>
      <c r="N252" s="2" t="str">
        <f t="shared" ca="1" si="52"/>
        <v>104 to 404</v>
      </c>
      <c r="O252" s="2">
        <f t="shared" ca="1" si="53"/>
        <v>104</v>
      </c>
      <c r="P252" s="2">
        <f t="shared" ca="1" si="53"/>
        <v>404</v>
      </c>
    </row>
    <row r="253" spans="1:16" s="2" customFormat="1" ht="15.75" customHeight="1" x14ac:dyDescent="0.3">
      <c r="A253" s="118" t="str">
        <f t="shared" ca="1" si="50"/>
        <v>105 to 405</v>
      </c>
      <c r="B253" s="119"/>
      <c r="C253" s="64" t="s">
        <v>197</v>
      </c>
      <c r="D253" s="65">
        <f>(26.198+4.825+2.194)*10.764</f>
        <v>357.54778799999997</v>
      </c>
      <c r="E253" s="37">
        <v>0</v>
      </c>
      <c r="F253" s="37">
        <f t="shared" ref="F253:F256" si="54">D253*(($F$163)+1)+E253</f>
        <v>518.44429259999993</v>
      </c>
      <c r="G253" s="122"/>
      <c r="H253" s="123"/>
      <c r="I253" s="36"/>
      <c r="N253" s="2" t="str">
        <f t="shared" ca="1" si="52"/>
        <v>105 to 405</v>
      </c>
      <c r="O253" s="2">
        <f t="shared" ca="1" si="53"/>
        <v>105</v>
      </c>
      <c r="P253" s="2">
        <f t="shared" ca="1" si="53"/>
        <v>405</v>
      </c>
    </row>
    <row r="254" spans="1:16" s="2" customFormat="1" ht="15.75" customHeight="1" x14ac:dyDescent="0.3">
      <c r="A254" s="118" t="str">
        <f ca="1">N254</f>
        <v>106 to 406</v>
      </c>
      <c r="B254" s="119"/>
      <c r="C254" s="64" t="s">
        <v>197</v>
      </c>
      <c r="D254" s="65">
        <f>(26.198+4.825+2.194)*10.764</f>
        <v>357.54778799999997</v>
      </c>
      <c r="E254" s="37">
        <v>0</v>
      </c>
      <c r="F254" s="37">
        <f t="shared" si="54"/>
        <v>518.44429259999993</v>
      </c>
      <c r="G254" s="122"/>
      <c r="H254" s="123"/>
      <c r="I254" s="36"/>
      <c r="N254" s="2" t="str">
        <f t="shared" ca="1" si="52"/>
        <v>106 to 406</v>
      </c>
      <c r="O254" s="2">
        <f ca="1">O253+1</f>
        <v>106</v>
      </c>
      <c r="P254" s="2">
        <f t="shared" ca="1" si="53"/>
        <v>406</v>
      </c>
    </row>
    <row r="255" spans="1:16" s="2" customFormat="1" ht="15.75" customHeight="1" x14ac:dyDescent="0.3">
      <c r="A255" s="118" t="str">
        <f ca="1">N255</f>
        <v>107 to 407</v>
      </c>
      <c r="B255" s="119"/>
      <c r="C255" s="64" t="s">
        <v>197</v>
      </c>
      <c r="D255" s="65">
        <f>(26.198+4.825+2.194)*10.764</f>
        <v>357.54778799999997</v>
      </c>
      <c r="E255" s="37">
        <v>0</v>
      </c>
      <c r="F255" s="37">
        <f t="shared" si="54"/>
        <v>518.44429259999993</v>
      </c>
      <c r="G255" s="122"/>
      <c r="H255" s="123"/>
      <c r="I255" s="36"/>
      <c r="N255" s="2" t="str">
        <f ca="1">O255&amp;""&amp;" to "&amp;""&amp;P255</f>
        <v>107 to 407</v>
      </c>
      <c r="O255" s="2">
        <f ca="1">O254+1</f>
        <v>107</v>
      </c>
      <c r="P255" s="2">
        <f ca="1">P254+1</f>
        <v>407</v>
      </c>
    </row>
    <row r="256" spans="1:16" s="2" customFormat="1" ht="15.75" customHeight="1" x14ac:dyDescent="0.3">
      <c r="A256" s="118" t="str">
        <f t="shared" ref="A256" ca="1" si="55">N256</f>
        <v>108 to 408</v>
      </c>
      <c r="B256" s="119"/>
      <c r="C256" s="64" t="s">
        <v>198</v>
      </c>
      <c r="D256" s="65">
        <f>(16.448+4.95)*10.764</f>
        <v>230.32807199999999</v>
      </c>
      <c r="E256" s="37">
        <v>0</v>
      </c>
      <c r="F256" s="37">
        <f t="shared" si="54"/>
        <v>333.97570439999998</v>
      </c>
      <c r="G256" s="122"/>
      <c r="H256" s="123"/>
      <c r="I256" s="36"/>
      <c r="N256" s="2" t="str">
        <f t="shared" ref="N256" ca="1" si="56">O256&amp;""&amp;" to "&amp;""&amp;P256</f>
        <v>108 to 408</v>
      </c>
      <c r="O256" s="2">
        <f t="shared" ref="O256:P256" ca="1" si="57">O255+1</f>
        <v>108</v>
      </c>
      <c r="P256" s="2">
        <f t="shared" ca="1" si="57"/>
        <v>408</v>
      </c>
    </row>
    <row r="257" spans="1:16" s="2" customFormat="1" ht="15.6" x14ac:dyDescent="0.3">
      <c r="A257" s="118" t="str">
        <f t="shared" ca="1" si="44"/>
        <v>109 to 409</v>
      </c>
      <c r="B257" s="119"/>
      <c r="C257" s="64" t="s">
        <v>198</v>
      </c>
      <c r="D257" s="65">
        <f>(16.448+4.95)*10.764</f>
        <v>230.32807199999999</v>
      </c>
      <c r="E257" s="37">
        <v>0</v>
      </c>
      <c r="F257" s="37">
        <f t="shared" si="43"/>
        <v>333.97570439999998</v>
      </c>
      <c r="G257" s="122"/>
      <c r="H257" s="123"/>
      <c r="I257" s="36"/>
      <c r="N257" s="2" t="str">
        <f t="shared" ca="1" si="45"/>
        <v>109 to 409</v>
      </c>
      <c r="O257" s="2">
        <f t="shared" ref="O257:P257" ca="1" si="58">O241+1</f>
        <v>109</v>
      </c>
      <c r="P257" s="2">
        <f t="shared" ca="1" si="58"/>
        <v>409</v>
      </c>
    </row>
    <row r="258" spans="1:16" s="2" customFormat="1" ht="15.6" x14ac:dyDescent="0.3">
      <c r="A258" s="118" t="str">
        <f t="shared" ca="1" si="44"/>
        <v>110 to 410</v>
      </c>
      <c r="B258" s="119"/>
      <c r="C258" s="64" t="s">
        <v>197</v>
      </c>
      <c r="D258" s="65">
        <f t="shared" ref="D258:D260" si="59">(24.232+2.85+3.747)*10.764</f>
        <v>331.84335599999997</v>
      </c>
      <c r="E258" s="37">
        <v>0</v>
      </c>
      <c r="F258" s="37">
        <f>D258*(($F$163)+1)+E258</f>
        <v>481.17286619999993</v>
      </c>
      <c r="G258" s="122"/>
      <c r="H258" s="123"/>
      <c r="I258" s="36"/>
      <c r="N258" s="2" t="str">
        <f t="shared" ca="1" si="45"/>
        <v>110 to 410</v>
      </c>
      <c r="O258" s="2">
        <f t="shared" ref="O258:P258" ca="1" si="60">O257+1</f>
        <v>110</v>
      </c>
      <c r="P258" s="2">
        <f t="shared" ca="1" si="60"/>
        <v>410</v>
      </c>
    </row>
    <row r="259" spans="1:16" s="2" customFormat="1" ht="15.6" x14ac:dyDescent="0.3">
      <c r="A259" s="118" t="str">
        <f t="shared" ca="1" si="34"/>
        <v>111 to 411</v>
      </c>
      <c r="B259" s="119"/>
      <c r="C259" s="64" t="s">
        <v>197</v>
      </c>
      <c r="D259" s="65">
        <f t="shared" si="59"/>
        <v>331.84335599999997</v>
      </c>
      <c r="E259" s="37">
        <v>0</v>
      </c>
      <c r="F259" s="37">
        <f t="shared" ref="F259:F277" si="61">D259*(($F$163)+1)+E259</f>
        <v>481.17286619999993</v>
      </c>
      <c r="G259" s="122"/>
      <c r="H259" s="123"/>
      <c r="I259" s="36"/>
      <c r="N259" s="2" t="str">
        <f t="shared" ca="1" si="35"/>
        <v>111 to 411</v>
      </c>
      <c r="O259" s="2">
        <f t="shared" ref="O259:P259" ca="1" si="62">O225+1</f>
        <v>111</v>
      </c>
      <c r="P259" s="2">
        <f t="shared" ca="1" si="62"/>
        <v>411</v>
      </c>
    </row>
    <row r="260" spans="1:16" s="2" customFormat="1" ht="15.6" x14ac:dyDescent="0.3">
      <c r="A260" s="118" t="str">
        <f t="shared" ca="1" si="34"/>
        <v>112 to 412</v>
      </c>
      <c r="B260" s="119"/>
      <c r="C260" s="64" t="s">
        <v>197</v>
      </c>
      <c r="D260" s="65">
        <f t="shared" si="59"/>
        <v>331.84335599999997</v>
      </c>
      <c r="E260" s="37">
        <v>0</v>
      </c>
      <c r="F260" s="37">
        <f t="shared" si="61"/>
        <v>481.17286619999993</v>
      </c>
      <c r="G260" s="124"/>
      <c r="H260" s="125"/>
      <c r="I260" s="36"/>
      <c r="N260" s="2" t="str">
        <f t="shared" ca="1" si="35"/>
        <v>112 to 412</v>
      </c>
      <c r="O260" s="2">
        <f t="shared" ref="O260:P260" ca="1" si="63">O259+1</f>
        <v>112</v>
      </c>
      <c r="P260" s="2">
        <f t="shared" ca="1" si="63"/>
        <v>412</v>
      </c>
    </row>
    <row r="261" spans="1:16" s="2" customFormat="1" ht="15.6" x14ac:dyDescent="0.3">
      <c r="A261" s="114" t="s">
        <v>206</v>
      </c>
      <c r="B261" s="114"/>
      <c r="C261" s="114"/>
      <c r="D261" s="114"/>
      <c r="E261" s="114"/>
      <c r="F261" s="114"/>
      <c r="G261" s="114"/>
      <c r="H261" s="114"/>
      <c r="I261" s="36"/>
      <c r="L261" s="113"/>
      <c r="M261" s="113"/>
    </row>
    <row r="262" spans="1:16" s="2" customFormat="1" ht="15.6" x14ac:dyDescent="0.3">
      <c r="A262" s="114" t="s">
        <v>195</v>
      </c>
      <c r="B262" s="114"/>
      <c r="C262" s="114"/>
      <c r="D262" s="114"/>
      <c r="E262" s="114"/>
      <c r="F262" s="114"/>
      <c r="G262" s="114"/>
      <c r="H262" s="114"/>
      <c r="I262" s="36"/>
      <c r="L262" s="113"/>
      <c r="M262" s="113"/>
    </row>
    <row r="263" spans="1:16" s="2" customFormat="1" ht="15.6" x14ac:dyDescent="0.3">
      <c r="A263" s="115" t="s">
        <v>196</v>
      </c>
      <c r="B263" s="116"/>
      <c r="C263" s="116"/>
      <c r="D263" s="116"/>
      <c r="E263" s="116"/>
      <c r="F263" s="116"/>
      <c r="G263" s="116"/>
      <c r="H263" s="117"/>
      <c r="I263" s="36"/>
    </row>
    <row r="264" spans="1:16" s="2" customFormat="1" ht="15.75" customHeight="1" x14ac:dyDescent="0.3">
      <c r="A264" s="118" t="str">
        <f t="shared" ref="A264:A268" ca="1" si="64">N264</f>
        <v>101 to 401</v>
      </c>
      <c r="B264" s="119"/>
      <c r="C264" s="64" t="s">
        <v>199</v>
      </c>
      <c r="D264" s="65">
        <f>(33.747+2.95+5.7)*10.764</f>
        <v>456.36130800000001</v>
      </c>
      <c r="E264" s="37">
        <v>0</v>
      </c>
      <c r="F264" s="37">
        <f t="shared" ref="F264:F266" si="65">D264*(($F$163)+1)+E264</f>
        <v>661.72389659999999</v>
      </c>
      <c r="G264" s="120" t="str">
        <f>A263</f>
        <v>1st to 4th Floor</v>
      </c>
      <c r="H264" s="121"/>
      <c r="I264" s="36"/>
      <c r="N264" s="2" t="str">
        <f t="shared" ref="N264:N269" ca="1" si="66">O264&amp;""&amp;" to "&amp;""&amp;P264</f>
        <v>101 to 401</v>
      </c>
      <c r="O264" s="2">
        <f ca="1">(SUMPRODUCT(MID(0&amp;(LEFT(A263,SUM(LEN(A263)-LEN(SUBSTITUTE(A263,{"0","1","2"},""))))), LARGE(INDEX(ISNUMBER(--MID((LEFT(A263,SUM(LEN(A263)-LEN(SUBSTITUTE(A263,{"0","1","2"},""))))), ROW(INDIRECT("1:"&amp;LEN((LEFT(A263,SUM(LEN(A263)-LEN(SUBSTITUTE(A263,{"0","1","2"},"")))))))), 1)) * ROW(INDIRECT("1:"&amp;LEN((LEFT(A263,SUM(LEN(A263)-LEN(SUBSTITUTE(A263,{"0","1","2"},"")))))))), 0), ROW(INDIRECT("1:"&amp;LEN((LEFT(A263,SUM(LEN(A263)-LEN(SUBSTITUTE(A263,{"0","1","2"},"")))))))))+1, 1) * 10^ROW(INDIRECT("1:"&amp;LEN((LEFT(A263,SUM(LEN(A263)-LEN(SUBSTITUTE(A263,{"0","1","2"},""))))))))/10))*100+1</f>
        <v>101</v>
      </c>
      <c r="P264" s="2">
        <f ca="1">(SUMPRODUCT(MID(0&amp;(--TRIM(RIGHT(SUBSTITUTE(LEFT(A263,_xlfn.AGGREGATE(16,6,FIND({0,1,2,3,4,5,6,7,8,9},A263,ROW(INDIRECT("1:"&amp;LEN(A263)))),1))," ",REPT(" ",LEN(A263))),LEN(A263)))), LARGE(INDEX(ISNUMBER(--MID((--TRIM(RIGHT(SUBSTITUTE(LEFT(A263,_xlfn.AGGREGATE(16,6,FIND({0,1,2,3,4,5,6,7,8,9},A263,ROW(INDIRECT("1:"&amp;LEN(A263)))),1))," ",REPT(" ",LEN(A263))),LEN(A263)))), ROW(INDIRECT("1:"&amp;LEN((--TRIM(RIGHT(SUBSTITUTE(LEFT(A263,_xlfn.AGGREGATE(16,6,FIND({0,1,2,3,4,5,6,7,8,9},A263,ROW(INDIRECT("1:"&amp;LEN(A263)))),1))," ",REPT(" ",LEN(A263))),LEN(A263))))))), 1)) * ROW(INDIRECT("1:"&amp;LEN((--TRIM(RIGHT(SUBSTITUTE(LEFT(A263,_xlfn.AGGREGATE(16,6,FIND({0,1,2,3,4,5,6,7,8,9},A263,ROW(INDIRECT("1:"&amp;LEN(A263)))),1))," ",REPT(" ",LEN(A263))),LEN(A263))))))), 0), ROW(INDIRECT("1:"&amp;LEN((--TRIM(RIGHT(SUBSTITUTE(LEFT(A263,_xlfn.AGGREGATE(16,6,FIND({0,1,2,3,4,5,6,7,8,9},A263,ROW(INDIRECT("1:"&amp;LEN(A263)))),1))," ",REPT(" ",LEN(A263))),LEN(A263))))))))+1, 1) * 10^ROW(INDIRECT("1:"&amp;LEN((--TRIM(RIGHT(SUBSTITUTE(LEFT(A263,_xlfn.AGGREGATE(16,6,FIND({0,1,2,3,4,5,6,7,8,9},A263,ROW(INDIRECT("1:"&amp;LEN(A263)))),1))," ",REPT(" ",LEN(A263))),LEN(A263)))))))/10))*100+1</f>
        <v>401</v>
      </c>
    </row>
    <row r="265" spans="1:16" s="2" customFormat="1" ht="15.75" customHeight="1" x14ac:dyDescent="0.3">
      <c r="A265" s="118" t="str">
        <f t="shared" ca="1" si="64"/>
        <v>102 to 402</v>
      </c>
      <c r="B265" s="119"/>
      <c r="C265" s="64" t="s">
        <v>197</v>
      </c>
      <c r="D265" s="65">
        <f>(26.198+4.9+2.194)*10.764</f>
        <v>358.35508800000002</v>
      </c>
      <c r="E265" s="37">
        <v>0</v>
      </c>
      <c r="F265" s="37">
        <f t="shared" si="65"/>
        <v>519.6148776</v>
      </c>
      <c r="G265" s="122"/>
      <c r="H265" s="123"/>
      <c r="I265" s="36"/>
      <c r="N265" s="2" t="str">
        <f t="shared" ca="1" si="66"/>
        <v>102 to 402</v>
      </c>
      <c r="O265" s="2">
        <f t="shared" ref="O265:P269" ca="1" si="67">O264+1</f>
        <v>102</v>
      </c>
      <c r="P265" s="2">
        <f t="shared" ca="1" si="67"/>
        <v>402</v>
      </c>
    </row>
    <row r="266" spans="1:16" s="2" customFormat="1" ht="15.75" customHeight="1" x14ac:dyDescent="0.3">
      <c r="A266" s="118" t="str">
        <f t="shared" ca="1" si="64"/>
        <v>103 to 403</v>
      </c>
      <c r="B266" s="119"/>
      <c r="C266" s="64" t="s">
        <v>197</v>
      </c>
      <c r="D266" s="65">
        <f>(26.198+4.9+2.194)*10.764</f>
        <v>358.35508800000002</v>
      </c>
      <c r="E266" s="37">
        <v>0</v>
      </c>
      <c r="F266" s="37">
        <f t="shared" si="65"/>
        <v>519.6148776</v>
      </c>
      <c r="G266" s="122"/>
      <c r="H266" s="123"/>
      <c r="I266" s="36"/>
      <c r="N266" s="2" t="str">
        <f t="shared" ca="1" si="66"/>
        <v>103 to 403</v>
      </c>
      <c r="O266" s="2">
        <f t="shared" ca="1" si="67"/>
        <v>103</v>
      </c>
      <c r="P266" s="2">
        <f t="shared" ca="1" si="67"/>
        <v>403</v>
      </c>
    </row>
    <row r="267" spans="1:16" s="2" customFormat="1" ht="15.75" customHeight="1" x14ac:dyDescent="0.3">
      <c r="A267" s="118" t="str">
        <f t="shared" ca="1" si="64"/>
        <v>104 to 404</v>
      </c>
      <c r="B267" s="119"/>
      <c r="C267" s="64" t="s">
        <v>199</v>
      </c>
      <c r="D267" s="65">
        <f>(33.747+2.95+5.7)*10.764</f>
        <v>456.36130800000001</v>
      </c>
      <c r="E267" s="37">
        <v>0</v>
      </c>
      <c r="F267" s="37">
        <f>D267*(($F$163)+1)+E267</f>
        <v>661.72389659999999</v>
      </c>
      <c r="G267" s="122"/>
      <c r="H267" s="123"/>
      <c r="I267" s="36"/>
      <c r="N267" s="2" t="str">
        <f t="shared" ca="1" si="66"/>
        <v>104 to 404</v>
      </c>
      <c r="O267" s="2">
        <f t="shared" ca="1" si="67"/>
        <v>104</v>
      </c>
      <c r="P267" s="2">
        <f t="shared" ca="1" si="67"/>
        <v>404</v>
      </c>
    </row>
    <row r="268" spans="1:16" s="2" customFormat="1" ht="15.75" customHeight="1" x14ac:dyDescent="0.3">
      <c r="A268" s="118" t="str">
        <f t="shared" ca="1" si="64"/>
        <v>105 to 405</v>
      </c>
      <c r="B268" s="119"/>
      <c r="C268" s="64" t="s">
        <v>197</v>
      </c>
      <c r="D268" s="65">
        <f>(32.25+7.675+2.287)*10.764</f>
        <v>454.36996799999991</v>
      </c>
      <c r="E268" s="37">
        <v>0</v>
      </c>
      <c r="F268" s="37">
        <f t="shared" ref="F268:F272" si="68">D268*(($F$163)+1)+E268</f>
        <v>658.8364535999998</v>
      </c>
      <c r="G268" s="122"/>
      <c r="H268" s="123"/>
      <c r="I268" s="36"/>
      <c r="N268" s="2" t="str">
        <f t="shared" ca="1" si="66"/>
        <v>105 to 405</v>
      </c>
      <c r="O268" s="2">
        <f t="shared" ca="1" si="67"/>
        <v>105</v>
      </c>
      <c r="P268" s="2">
        <f t="shared" ca="1" si="67"/>
        <v>405</v>
      </c>
    </row>
    <row r="269" spans="1:16" s="2" customFormat="1" ht="15.75" customHeight="1" x14ac:dyDescent="0.3">
      <c r="A269" s="118" t="str">
        <f ca="1">N269</f>
        <v>106 to 406</v>
      </c>
      <c r="B269" s="119"/>
      <c r="C269" s="64" t="s">
        <v>197</v>
      </c>
      <c r="D269" s="65">
        <f>(32.25+7.675+2.121)*10.764</f>
        <v>452.58314399999995</v>
      </c>
      <c r="E269" s="37">
        <v>0</v>
      </c>
      <c r="F269" s="37">
        <f t="shared" si="68"/>
        <v>656.24555879999991</v>
      </c>
      <c r="G269" s="122"/>
      <c r="H269" s="123"/>
      <c r="I269" s="36"/>
      <c r="N269" s="2" t="str">
        <f t="shared" ca="1" si="66"/>
        <v>106 to 406</v>
      </c>
      <c r="O269" s="2">
        <f ca="1">O268+1</f>
        <v>106</v>
      </c>
      <c r="P269" s="2">
        <f t="shared" ca="1" si="67"/>
        <v>406</v>
      </c>
    </row>
    <row r="270" spans="1:16" s="2" customFormat="1" ht="15.75" customHeight="1" x14ac:dyDescent="0.3">
      <c r="A270" s="118" t="str">
        <f ca="1">N270</f>
        <v>107 to 407</v>
      </c>
      <c r="B270" s="119"/>
      <c r="C270" s="64" t="s">
        <v>197</v>
      </c>
      <c r="D270" s="65">
        <f>(26.145+4.9+2.212)*10.764</f>
        <v>357.97834800000004</v>
      </c>
      <c r="E270" s="37">
        <v>0</v>
      </c>
      <c r="F270" s="37">
        <f t="shared" si="68"/>
        <v>519.06860460000007</v>
      </c>
      <c r="G270" s="122"/>
      <c r="H270" s="123"/>
      <c r="I270" s="36"/>
      <c r="N270" s="2" t="str">
        <f ca="1">O270&amp;""&amp;" to "&amp;""&amp;P270</f>
        <v>107 to 407</v>
      </c>
      <c r="O270" s="2">
        <f ca="1">O269+1</f>
        <v>107</v>
      </c>
      <c r="P270" s="2">
        <f ca="1">P269+1</f>
        <v>407</v>
      </c>
    </row>
    <row r="271" spans="1:16" s="2" customFormat="1" ht="15.75" customHeight="1" x14ac:dyDescent="0.3">
      <c r="A271" s="118" t="str">
        <f t="shared" ref="A271:A275" ca="1" si="69">N271</f>
        <v>108 to 408</v>
      </c>
      <c r="B271" s="119"/>
      <c r="C271" s="64" t="s">
        <v>197</v>
      </c>
      <c r="D271" s="65">
        <f>(26.198+4.9+2.194)*10.764</f>
        <v>358.35508800000002</v>
      </c>
      <c r="E271" s="37">
        <v>0</v>
      </c>
      <c r="F271" s="37">
        <f t="shared" si="68"/>
        <v>519.6148776</v>
      </c>
      <c r="G271" s="122"/>
      <c r="H271" s="123"/>
      <c r="I271" s="36"/>
      <c r="N271" s="2" t="str">
        <f t="shared" ref="N271:N275" ca="1" si="70">O271&amp;""&amp;" to "&amp;""&amp;P271</f>
        <v>108 to 408</v>
      </c>
      <c r="O271" s="2">
        <f t="shared" ref="O271:P271" ca="1" si="71">O270+1</f>
        <v>108</v>
      </c>
      <c r="P271" s="2">
        <f t="shared" ca="1" si="71"/>
        <v>408</v>
      </c>
    </row>
    <row r="272" spans="1:16" s="2" customFormat="1" ht="15.6" x14ac:dyDescent="0.3">
      <c r="A272" s="118" t="str">
        <f t="shared" ca="1" si="69"/>
        <v>109 to 409</v>
      </c>
      <c r="B272" s="119"/>
      <c r="C272" s="64" t="s">
        <v>197</v>
      </c>
      <c r="D272" s="65">
        <f>(26.198+4.825+2.194)*10.764</f>
        <v>357.54778799999997</v>
      </c>
      <c r="E272" s="37">
        <v>0</v>
      </c>
      <c r="F272" s="37">
        <f t="shared" si="68"/>
        <v>518.44429259999993</v>
      </c>
      <c r="G272" s="122"/>
      <c r="H272" s="123"/>
      <c r="I272" s="36"/>
      <c r="N272" s="2" t="str">
        <f t="shared" ca="1" si="70"/>
        <v>109 to 409</v>
      </c>
      <c r="O272" s="2">
        <f t="shared" ref="O272:P272" ca="1" si="72">O256+1</f>
        <v>109</v>
      </c>
      <c r="P272" s="2">
        <f t="shared" ca="1" si="72"/>
        <v>409</v>
      </c>
    </row>
    <row r="273" spans="1:16" s="2" customFormat="1" ht="15.6" x14ac:dyDescent="0.3">
      <c r="A273" s="118" t="str">
        <f t="shared" ca="1" si="69"/>
        <v>110 to 410</v>
      </c>
      <c r="B273" s="119"/>
      <c r="C273" s="64" t="s">
        <v>197</v>
      </c>
      <c r="D273" s="65">
        <f>(26.198+4.825+2.25)*10.764</f>
        <v>358.15057199999995</v>
      </c>
      <c r="E273" s="37">
        <v>0</v>
      </c>
      <c r="F273" s="37">
        <f>D273*(($F$163)+1)+E273</f>
        <v>519.31832939999993</v>
      </c>
      <c r="G273" s="122"/>
      <c r="H273" s="123"/>
      <c r="I273" s="36"/>
      <c r="N273" s="2" t="str">
        <f t="shared" ca="1" si="70"/>
        <v>110 to 410</v>
      </c>
      <c r="O273" s="2">
        <f t="shared" ref="O273:P273" ca="1" si="73">O272+1</f>
        <v>110</v>
      </c>
      <c r="P273" s="2">
        <f t="shared" ca="1" si="73"/>
        <v>410</v>
      </c>
    </row>
    <row r="274" spans="1:16" s="2" customFormat="1" ht="15.6" x14ac:dyDescent="0.3">
      <c r="A274" s="118" t="str">
        <f t="shared" ca="1" si="69"/>
        <v>108 to 408</v>
      </c>
      <c r="B274" s="119"/>
      <c r="C274" s="64" t="s">
        <v>198</v>
      </c>
      <c r="D274" s="65">
        <f>(18.274+2.775+1.874)*10.764</f>
        <v>246.74317199999996</v>
      </c>
      <c r="E274" s="37">
        <v>0</v>
      </c>
      <c r="F274" s="37">
        <f t="shared" ref="F274:F275" si="74">D274*(($F$163)+1)+E274</f>
        <v>357.77759939999993</v>
      </c>
      <c r="G274" s="122"/>
      <c r="H274" s="123"/>
      <c r="I274" s="36"/>
      <c r="N274" s="2" t="str">
        <f t="shared" ca="1" si="70"/>
        <v>108 to 408</v>
      </c>
      <c r="O274" s="2">
        <f t="shared" ref="O274:P274" ca="1" si="75">O240+1</f>
        <v>108</v>
      </c>
      <c r="P274" s="2">
        <f t="shared" ca="1" si="75"/>
        <v>408</v>
      </c>
    </row>
    <row r="275" spans="1:16" s="2" customFormat="1" ht="15.6" x14ac:dyDescent="0.3">
      <c r="A275" s="118" t="str">
        <f t="shared" ca="1" si="69"/>
        <v>109 to 409</v>
      </c>
      <c r="B275" s="119"/>
      <c r="C275" s="64" t="s">
        <v>198</v>
      </c>
      <c r="D275" s="65">
        <f>(18.274+2.775+1.818)*10.764</f>
        <v>246.140388</v>
      </c>
      <c r="E275" s="37">
        <v>0</v>
      </c>
      <c r="F275" s="37">
        <f t="shared" si="74"/>
        <v>356.90356259999999</v>
      </c>
      <c r="G275" s="122"/>
      <c r="H275" s="123"/>
      <c r="I275" s="36"/>
      <c r="N275" s="2" t="str">
        <f t="shared" ca="1" si="70"/>
        <v>109 to 409</v>
      </c>
      <c r="O275" s="2">
        <f t="shared" ref="O275:P275" ca="1" si="76">O274+1</f>
        <v>109</v>
      </c>
      <c r="P275" s="2">
        <f t="shared" ca="1" si="76"/>
        <v>409</v>
      </c>
    </row>
    <row r="276" spans="1:16" s="2" customFormat="1" ht="15.75" customHeight="1" x14ac:dyDescent="0.3">
      <c r="A276" s="118" t="str">
        <f t="shared" ca="1" si="34"/>
        <v>113 to 413</v>
      </c>
      <c r="B276" s="119"/>
      <c r="C276" s="64" t="s">
        <v>198</v>
      </c>
      <c r="D276" s="65">
        <f t="shared" ref="D276:D277" si="77">(18.274+2.775+1.818)*10.764</f>
        <v>246.140388</v>
      </c>
      <c r="E276" s="37">
        <v>0</v>
      </c>
      <c r="F276" s="37">
        <f t="shared" si="61"/>
        <v>356.90356259999999</v>
      </c>
      <c r="G276" s="122"/>
      <c r="H276" s="123"/>
      <c r="I276" s="36"/>
      <c r="N276" s="2" t="str">
        <f t="shared" ca="1" si="35"/>
        <v>113 to 413</v>
      </c>
      <c r="O276" s="2">
        <f t="shared" ref="O276:P276" ca="1" si="78">O260+1</f>
        <v>113</v>
      </c>
      <c r="P276" s="2">
        <f t="shared" ca="1" si="78"/>
        <v>413</v>
      </c>
    </row>
    <row r="277" spans="1:16" s="2" customFormat="1" ht="15.6" x14ac:dyDescent="0.3">
      <c r="A277" s="118" t="str">
        <f t="shared" ca="1" si="34"/>
        <v>114 to 414</v>
      </c>
      <c r="B277" s="119"/>
      <c r="C277" s="64" t="s">
        <v>198</v>
      </c>
      <c r="D277" s="65">
        <f t="shared" si="77"/>
        <v>246.140388</v>
      </c>
      <c r="E277" s="37">
        <v>0</v>
      </c>
      <c r="F277" s="37">
        <f t="shared" si="61"/>
        <v>356.90356259999999</v>
      </c>
      <c r="G277" s="122"/>
      <c r="H277" s="123"/>
      <c r="I277" s="36"/>
      <c r="N277" s="2" t="str">
        <f t="shared" ca="1" si="35"/>
        <v>114 to 414</v>
      </c>
      <c r="O277" s="2">
        <f t="shared" ref="O277:P278" ca="1" si="79">O276+1</f>
        <v>114</v>
      </c>
      <c r="P277" s="2">
        <f t="shared" ca="1" si="79"/>
        <v>414</v>
      </c>
    </row>
    <row r="278" spans="1:16" s="2" customFormat="1" ht="15.6" x14ac:dyDescent="0.3">
      <c r="A278" s="118" t="str">
        <f t="shared" ca="1" si="34"/>
        <v>115 to 415</v>
      </c>
      <c r="B278" s="119"/>
      <c r="C278" s="64" t="s">
        <v>198</v>
      </c>
      <c r="D278" s="65">
        <f>(18.274+2.85+1.818)*10.764</f>
        <v>246.94768800000003</v>
      </c>
      <c r="E278" s="37">
        <v>0</v>
      </c>
      <c r="F278" s="37">
        <f>D278*(($F$163)+1)+E278</f>
        <v>358.0741476</v>
      </c>
      <c r="G278" s="124"/>
      <c r="H278" s="125"/>
      <c r="I278" s="36"/>
      <c r="N278" s="2" t="str">
        <f t="shared" ca="1" si="35"/>
        <v>115 to 415</v>
      </c>
      <c r="O278" s="2">
        <f t="shared" ca="1" si="79"/>
        <v>115</v>
      </c>
      <c r="P278" s="2">
        <f t="shared" ca="1" si="79"/>
        <v>415</v>
      </c>
    </row>
    <row r="279" spans="1:16" s="2" customFormat="1" ht="15.6" x14ac:dyDescent="0.3">
      <c r="A279" s="114" t="s">
        <v>207</v>
      </c>
      <c r="B279" s="114"/>
      <c r="C279" s="114"/>
      <c r="D279" s="114"/>
      <c r="E279" s="114"/>
      <c r="F279" s="114"/>
      <c r="G279" s="114"/>
      <c r="H279" s="114"/>
      <c r="I279" s="36"/>
      <c r="L279" s="113"/>
      <c r="M279" s="113"/>
    </row>
    <row r="280" spans="1:16" s="2" customFormat="1" ht="15.6" x14ac:dyDescent="0.3">
      <c r="A280" s="114" t="s">
        <v>202</v>
      </c>
      <c r="B280" s="114"/>
      <c r="C280" s="114"/>
      <c r="D280" s="114"/>
      <c r="E280" s="114"/>
      <c r="F280" s="114"/>
      <c r="G280" s="114"/>
      <c r="H280" s="114"/>
      <c r="I280" s="36"/>
      <c r="L280" s="113"/>
      <c r="M280" s="113"/>
    </row>
    <row r="281" spans="1:16" s="2" customFormat="1" ht="15.75" customHeight="1" x14ac:dyDescent="0.3">
      <c r="A281" s="118">
        <v>1</v>
      </c>
      <c r="B281" s="119"/>
      <c r="C281" s="62" t="s">
        <v>197</v>
      </c>
      <c r="D281" s="63">
        <f>32.508*10.764</f>
        <v>349.916112</v>
      </c>
      <c r="E281" s="37">
        <v>0</v>
      </c>
      <c r="F281" s="37">
        <f>D281*(($F$152)+1)+E281</f>
        <v>559.86577920000002</v>
      </c>
      <c r="G281" s="120" t="str">
        <f>A280</f>
        <v>Ground Floor for Residential + Parking</v>
      </c>
      <c r="H281" s="121"/>
      <c r="I281" s="36"/>
      <c r="L281" s="113"/>
      <c r="M281" s="113"/>
      <c r="N281" s="36"/>
    </row>
    <row r="282" spans="1:16" s="2" customFormat="1" ht="15.75" customHeight="1" x14ac:dyDescent="0.3">
      <c r="A282" s="118">
        <f>A281+1</f>
        <v>2</v>
      </c>
      <c r="B282" s="119"/>
      <c r="C282" s="62" t="s">
        <v>197</v>
      </c>
      <c r="D282" s="63">
        <f t="shared" ref="D282:D284" si="80">32.508*10.764</f>
        <v>349.916112</v>
      </c>
      <c r="E282" s="37">
        <v>0</v>
      </c>
      <c r="F282" s="37">
        <f t="shared" ref="F282:F284" si="81">D282*(($F$152)+1)+E282</f>
        <v>559.86577920000002</v>
      </c>
      <c r="G282" s="122"/>
      <c r="H282" s="123"/>
      <c r="I282" s="36"/>
      <c r="L282" s="113"/>
      <c r="M282" s="113"/>
      <c r="N282" s="36"/>
    </row>
    <row r="283" spans="1:16" s="2" customFormat="1" ht="15.75" customHeight="1" x14ac:dyDescent="0.3">
      <c r="A283" s="118">
        <f t="shared" ref="A283:A284" si="82">A282+1</f>
        <v>3</v>
      </c>
      <c r="B283" s="119"/>
      <c r="C283" s="62" t="s">
        <v>197</v>
      </c>
      <c r="D283" s="63">
        <f t="shared" si="80"/>
        <v>349.916112</v>
      </c>
      <c r="E283" s="37">
        <v>0</v>
      </c>
      <c r="F283" s="37">
        <f t="shared" si="81"/>
        <v>559.86577920000002</v>
      </c>
      <c r="G283" s="122"/>
      <c r="H283" s="123"/>
      <c r="I283" s="36"/>
      <c r="L283" s="113"/>
      <c r="M283" s="113"/>
      <c r="N283" s="36"/>
    </row>
    <row r="284" spans="1:16" s="2" customFormat="1" ht="15.75" customHeight="1" x14ac:dyDescent="0.3">
      <c r="A284" s="118">
        <f t="shared" si="82"/>
        <v>4</v>
      </c>
      <c r="B284" s="119"/>
      <c r="C284" s="62" t="s">
        <v>197</v>
      </c>
      <c r="D284" s="63">
        <f t="shared" si="80"/>
        <v>349.916112</v>
      </c>
      <c r="E284" s="37">
        <v>0</v>
      </c>
      <c r="F284" s="37">
        <f t="shared" si="81"/>
        <v>559.86577920000002</v>
      </c>
      <c r="G284" s="124"/>
      <c r="H284" s="125"/>
      <c r="I284" s="36"/>
      <c r="L284" s="113"/>
      <c r="M284" s="113"/>
      <c r="N284" s="36"/>
    </row>
    <row r="285" spans="1:16" s="2" customFormat="1" ht="15.6" x14ac:dyDescent="0.3">
      <c r="A285" s="115" t="s">
        <v>196</v>
      </c>
      <c r="B285" s="116"/>
      <c r="C285" s="116"/>
      <c r="D285" s="116"/>
      <c r="E285" s="116"/>
      <c r="F285" s="116"/>
      <c r="G285" s="116"/>
      <c r="H285" s="117"/>
      <c r="I285" s="36"/>
    </row>
    <row r="286" spans="1:16" s="2" customFormat="1" ht="15.75" customHeight="1" x14ac:dyDescent="0.3">
      <c r="A286" s="118" t="str">
        <f t="shared" ref="A286:A290" ca="1" si="83">N286</f>
        <v>101 to 401</v>
      </c>
      <c r="B286" s="119"/>
      <c r="C286" s="62" t="s">
        <v>197</v>
      </c>
      <c r="D286" s="63">
        <f>(27.563+5.98+2.194)*10.764</f>
        <v>384.673068</v>
      </c>
      <c r="E286" s="37">
        <v>0</v>
      </c>
      <c r="F286" s="37">
        <f t="shared" ref="F286:F288" si="84">D286*(($F$163)+1)+E286</f>
        <v>557.77594859999999</v>
      </c>
      <c r="G286" s="120" t="str">
        <f>A285</f>
        <v>1st to 4th Floor</v>
      </c>
      <c r="H286" s="121"/>
      <c r="I286" s="36"/>
      <c r="N286" s="2" t="str">
        <f t="shared" ref="N286:N291" ca="1" si="85">O286&amp;""&amp;" to "&amp;""&amp;P286</f>
        <v>101 to 401</v>
      </c>
      <c r="O286" s="2">
        <f ca="1">(SUMPRODUCT(MID(0&amp;(LEFT(A285,SUM(LEN(A285)-LEN(SUBSTITUTE(A285,{"0","1","2"},""))))), LARGE(INDEX(ISNUMBER(--MID((LEFT(A285,SUM(LEN(A285)-LEN(SUBSTITUTE(A285,{"0","1","2"},""))))), ROW(INDIRECT("1:"&amp;LEN((LEFT(A285,SUM(LEN(A285)-LEN(SUBSTITUTE(A285,{"0","1","2"},"")))))))), 1)) * ROW(INDIRECT("1:"&amp;LEN((LEFT(A285,SUM(LEN(A285)-LEN(SUBSTITUTE(A285,{"0","1","2"},"")))))))), 0), ROW(INDIRECT("1:"&amp;LEN((LEFT(A285,SUM(LEN(A285)-LEN(SUBSTITUTE(A285,{"0","1","2"},"")))))))))+1, 1) * 10^ROW(INDIRECT("1:"&amp;LEN((LEFT(A285,SUM(LEN(A285)-LEN(SUBSTITUTE(A285,{"0","1","2"},""))))))))/10))*100+1</f>
        <v>101</v>
      </c>
      <c r="P286" s="2">
        <f ca="1">(SUMPRODUCT(MID(0&amp;(--TRIM(RIGHT(SUBSTITUTE(LEFT(A285,_xlfn.AGGREGATE(16,6,FIND({0,1,2,3,4,5,6,7,8,9},A285,ROW(INDIRECT("1:"&amp;LEN(A285)))),1))," ",REPT(" ",LEN(A285))),LEN(A285)))), LARGE(INDEX(ISNUMBER(--MID((--TRIM(RIGHT(SUBSTITUTE(LEFT(A285,_xlfn.AGGREGATE(16,6,FIND({0,1,2,3,4,5,6,7,8,9},A285,ROW(INDIRECT("1:"&amp;LEN(A285)))),1))," ",REPT(" ",LEN(A285))),LEN(A285)))), ROW(INDIRECT("1:"&amp;LEN((--TRIM(RIGHT(SUBSTITUTE(LEFT(A285,_xlfn.AGGREGATE(16,6,FIND({0,1,2,3,4,5,6,7,8,9},A285,ROW(INDIRECT("1:"&amp;LEN(A285)))),1))," ",REPT(" ",LEN(A285))),LEN(A285))))))), 1)) * ROW(INDIRECT("1:"&amp;LEN((--TRIM(RIGHT(SUBSTITUTE(LEFT(A285,_xlfn.AGGREGATE(16,6,FIND({0,1,2,3,4,5,6,7,8,9},A285,ROW(INDIRECT("1:"&amp;LEN(A285)))),1))," ",REPT(" ",LEN(A285))),LEN(A285))))))), 0), ROW(INDIRECT("1:"&amp;LEN((--TRIM(RIGHT(SUBSTITUTE(LEFT(A285,_xlfn.AGGREGATE(16,6,FIND({0,1,2,3,4,5,6,7,8,9},A285,ROW(INDIRECT("1:"&amp;LEN(A285)))),1))," ",REPT(" ",LEN(A285))),LEN(A285))))))))+1, 1) * 10^ROW(INDIRECT("1:"&amp;LEN((--TRIM(RIGHT(SUBSTITUTE(LEFT(A285,_xlfn.AGGREGATE(16,6,FIND({0,1,2,3,4,5,6,7,8,9},A285,ROW(INDIRECT("1:"&amp;LEN(A285)))),1))," ",REPT(" ",LEN(A285))),LEN(A285)))))))/10))*100+1</f>
        <v>401</v>
      </c>
    </row>
    <row r="287" spans="1:16" s="2" customFormat="1" ht="15.75" customHeight="1" x14ac:dyDescent="0.3">
      <c r="A287" s="118" t="str">
        <f t="shared" ca="1" si="83"/>
        <v>102 to 402</v>
      </c>
      <c r="B287" s="119"/>
      <c r="C287" s="62" t="s">
        <v>197</v>
      </c>
      <c r="D287" s="63">
        <f>(27.563+5.98+2.194)*10.764</f>
        <v>384.673068</v>
      </c>
      <c r="E287" s="37">
        <v>0</v>
      </c>
      <c r="F287" s="37">
        <f t="shared" si="84"/>
        <v>557.77594859999999</v>
      </c>
      <c r="G287" s="122"/>
      <c r="H287" s="123"/>
      <c r="I287" s="36"/>
      <c r="N287" s="2" t="str">
        <f t="shared" ca="1" si="85"/>
        <v>102 to 402</v>
      </c>
      <c r="O287" s="2">
        <f t="shared" ref="O287:P291" ca="1" si="86">O286+1</f>
        <v>102</v>
      </c>
      <c r="P287" s="2">
        <f t="shared" ca="1" si="86"/>
        <v>402</v>
      </c>
    </row>
    <row r="288" spans="1:16" s="2" customFormat="1" ht="15.75" customHeight="1" x14ac:dyDescent="0.3">
      <c r="A288" s="118" t="str">
        <f t="shared" ca="1" si="83"/>
        <v>103 to 403</v>
      </c>
      <c r="B288" s="119"/>
      <c r="C288" s="62" t="s">
        <v>197</v>
      </c>
      <c r="D288" s="63">
        <f>(27.563+5.98+2.194)*10.764</f>
        <v>384.673068</v>
      </c>
      <c r="E288" s="37">
        <v>0</v>
      </c>
      <c r="F288" s="37">
        <f t="shared" si="84"/>
        <v>557.77594859999999</v>
      </c>
      <c r="G288" s="122"/>
      <c r="H288" s="123"/>
      <c r="I288" s="36"/>
      <c r="N288" s="2" t="str">
        <f t="shared" ca="1" si="85"/>
        <v>103 to 403</v>
      </c>
      <c r="O288" s="2">
        <f t="shared" ca="1" si="86"/>
        <v>103</v>
      </c>
      <c r="P288" s="2">
        <f t="shared" ca="1" si="86"/>
        <v>403</v>
      </c>
    </row>
    <row r="289" spans="1:16" s="2" customFormat="1" ht="15.75" customHeight="1" x14ac:dyDescent="0.3">
      <c r="A289" s="118" t="str">
        <f t="shared" ca="1" si="83"/>
        <v>104 to 404</v>
      </c>
      <c r="B289" s="119"/>
      <c r="C289" s="62" t="s">
        <v>199</v>
      </c>
      <c r="D289" s="63">
        <f>(36.077+5.972+4.331)*10.764</f>
        <v>499.23432000000003</v>
      </c>
      <c r="E289" s="37">
        <v>0</v>
      </c>
      <c r="F289" s="37">
        <f>D289*(($F$163)+1)+E289</f>
        <v>723.88976400000001</v>
      </c>
      <c r="G289" s="122"/>
      <c r="H289" s="123"/>
      <c r="I289" s="36"/>
      <c r="N289" s="2" t="str">
        <f t="shared" ca="1" si="85"/>
        <v>104 to 404</v>
      </c>
      <c r="O289" s="2">
        <f t="shared" ca="1" si="86"/>
        <v>104</v>
      </c>
      <c r="P289" s="2">
        <f t="shared" ca="1" si="86"/>
        <v>404</v>
      </c>
    </row>
    <row r="290" spans="1:16" s="2" customFormat="1" ht="15.75" customHeight="1" x14ac:dyDescent="0.3">
      <c r="A290" s="118" t="str">
        <f t="shared" ca="1" si="83"/>
        <v>105 to 405</v>
      </c>
      <c r="B290" s="119"/>
      <c r="C290" s="62" t="s">
        <v>199</v>
      </c>
      <c r="D290" s="63">
        <f>(36.077+5.972+2.222)*10.764</f>
        <v>476.53304399999996</v>
      </c>
      <c r="E290" s="37">
        <v>0</v>
      </c>
      <c r="F290" s="37">
        <f t="shared" ref="F290:F293" si="87">D290*(($F$163)+1)+E290</f>
        <v>690.9729137999999</v>
      </c>
      <c r="G290" s="122"/>
      <c r="H290" s="123"/>
      <c r="I290" s="36"/>
      <c r="N290" s="2" t="str">
        <f t="shared" ca="1" si="85"/>
        <v>105 to 405</v>
      </c>
      <c r="O290" s="2">
        <f t="shared" ca="1" si="86"/>
        <v>105</v>
      </c>
      <c r="P290" s="2">
        <f t="shared" ca="1" si="86"/>
        <v>405</v>
      </c>
    </row>
    <row r="291" spans="1:16" s="2" customFormat="1" ht="15.75" customHeight="1" x14ac:dyDescent="0.3">
      <c r="A291" s="118" t="str">
        <f ca="1">N291</f>
        <v>106 to 406</v>
      </c>
      <c r="B291" s="119"/>
      <c r="C291" s="62" t="s">
        <v>199</v>
      </c>
      <c r="D291" s="63">
        <f>(36.077+5.972+4.266)*10.764</f>
        <v>498.53465999999992</v>
      </c>
      <c r="E291" s="37">
        <v>0</v>
      </c>
      <c r="F291" s="37">
        <f t="shared" si="87"/>
        <v>722.87525699999981</v>
      </c>
      <c r="G291" s="122"/>
      <c r="H291" s="123"/>
      <c r="I291" s="36"/>
      <c r="N291" s="2" t="str">
        <f t="shared" ca="1" si="85"/>
        <v>106 to 406</v>
      </c>
      <c r="O291" s="2">
        <f ca="1">O290+1</f>
        <v>106</v>
      </c>
      <c r="P291" s="2">
        <f t="shared" ca="1" si="86"/>
        <v>406</v>
      </c>
    </row>
    <row r="292" spans="1:16" s="2" customFormat="1" ht="15.75" customHeight="1" x14ac:dyDescent="0.3">
      <c r="A292" s="118" t="str">
        <f ca="1">N292</f>
        <v>107 to 407</v>
      </c>
      <c r="B292" s="119"/>
      <c r="C292" s="62" t="s">
        <v>199</v>
      </c>
      <c r="D292" s="63">
        <f>(36.077+5.972+4.331)*10.764</f>
        <v>499.23432000000003</v>
      </c>
      <c r="E292" s="37">
        <v>0</v>
      </c>
      <c r="F292" s="37">
        <f t="shared" si="87"/>
        <v>723.88976400000001</v>
      </c>
      <c r="G292" s="122"/>
      <c r="H292" s="123"/>
      <c r="I292" s="36"/>
      <c r="N292" s="2" t="str">
        <f ca="1">O292&amp;""&amp;" to "&amp;""&amp;P292</f>
        <v>107 to 407</v>
      </c>
      <c r="O292" s="2">
        <f ca="1">O291+1</f>
        <v>107</v>
      </c>
      <c r="P292" s="2">
        <f ca="1">P291+1</f>
        <v>407</v>
      </c>
    </row>
    <row r="293" spans="1:16" s="2" customFormat="1" ht="15.75" customHeight="1" x14ac:dyDescent="0.3">
      <c r="A293" s="118" t="str">
        <f t="shared" ref="A293" ca="1" si="88">N293</f>
        <v>108 to 408</v>
      </c>
      <c r="B293" s="119"/>
      <c r="C293" s="62" t="s">
        <v>197</v>
      </c>
      <c r="D293" s="63">
        <f>(27.563+5.98+2.194)*10.764</f>
        <v>384.673068</v>
      </c>
      <c r="E293" s="37">
        <v>0</v>
      </c>
      <c r="F293" s="37">
        <f t="shared" si="87"/>
        <v>557.77594859999999</v>
      </c>
      <c r="G293" s="124"/>
      <c r="H293" s="125"/>
      <c r="I293" s="36"/>
      <c r="N293" s="2" t="str">
        <f t="shared" ref="N293" ca="1" si="89">O293&amp;""&amp;" to "&amp;""&amp;P293</f>
        <v>108 to 408</v>
      </c>
      <c r="O293" s="2">
        <f t="shared" ref="O293:P293" ca="1" si="90">O292+1</f>
        <v>108</v>
      </c>
      <c r="P293" s="2">
        <f t="shared" ca="1" si="90"/>
        <v>408</v>
      </c>
    </row>
    <row r="294" spans="1:16" s="1" customFormat="1" ht="15.6" x14ac:dyDescent="0.3">
      <c r="A294" s="159" t="s">
        <v>78</v>
      </c>
      <c r="B294" s="159"/>
      <c r="C294" s="159"/>
      <c r="D294" s="159"/>
      <c r="E294" s="159"/>
      <c r="F294" s="159"/>
      <c r="G294" s="159"/>
      <c r="H294" s="159"/>
    </row>
    <row r="295" spans="1:16" s="1" customFormat="1" ht="15.6" x14ac:dyDescent="0.3">
      <c r="A295" s="60">
        <v>1</v>
      </c>
      <c r="B295" s="188" t="s">
        <v>249</v>
      </c>
      <c r="C295" s="189"/>
      <c r="D295" s="189"/>
      <c r="E295" s="189"/>
      <c r="F295" s="189"/>
      <c r="G295" s="189"/>
      <c r="H295" s="190"/>
    </row>
    <row r="296" spans="1:16" s="1" customFormat="1" ht="15.6" x14ac:dyDescent="0.3">
      <c r="A296" s="60">
        <f>A295+1</f>
        <v>2</v>
      </c>
      <c r="B296" s="188" t="s">
        <v>250</v>
      </c>
      <c r="C296" s="189"/>
      <c r="D296" s="189"/>
      <c r="E296" s="189"/>
      <c r="F296" s="189"/>
      <c r="G296" s="189"/>
      <c r="H296" s="190"/>
    </row>
    <row r="297" spans="1:16" s="1" customFormat="1" ht="15.6" x14ac:dyDescent="0.3">
      <c r="A297" s="60">
        <f t="shared" ref="A297:A301" si="91">A296+1</f>
        <v>3</v>
      </c>
      <c r="B297" s="188" t="s">
        <v>168</v>
      </c>
      <c r="C297" s="189"/>
      <c r="D297" s="189"/>
      <c r="E297" s="189"/>
      <c r="F297" s="189"/>
      <c r="G297" s="189"/>
      <c r="H297" s="190"/>
    </row>
    <row r="298" spans="1:16" s="1" customFormat="1" ht="15.6" x14ac:dyDescent="0.3">
      <c r="A298" s="60">
        <f t="shared" si="91"/>
        <v>4</v>
      </c>
      <c r="B298" s="188" t="s">
        <v>251</v>
      </c>
      <c r="C298" s="189"/>
      <c r="D298" s="189"/>
      <c r="E298" s="189"/>
      <c r="F298" s="189"/>
      <c r="G298" s="189"/>
      <c r="H298" s="190"/>
    </row>
    <row r="299" spans="1:16" s="1" customFormat="1" ht="15.6" x14ac:dyDescent="0.3">
      <c r="A299" s="60">
        <f t="shared" si="91"/>
        <v>5</v>
      </c>
      <c r="B299" s="188" t="s">
        <v>169</v>
      </c>
      <c r="C299" s="189"/>
      <c r="D299" s="189"/>
      <c r="E299" s="189"/>
      <c r="F299" s="189"/>
      <c r="G299" s="189"/>
      <c r="H299" s="190"/>
    </row>
    <row r="300" spans="1:16" s="1" customFormat="1" ht="15.6" x14ac:dyDescent="0.3">
      <c r="A300" s="60">
        <f t="shared" si="91"/>
        <v>6</v>
      </c>
      <c r="B300" s="188" t="s">
        <v>170</v>
      </c>
      <c r="C300" s="189"/>
      <c r="D300" s="189"/>
      <c r="E300" s="189"/>
      <c r="F300" s="189"/>
      <c r="G300" s="189"/>
      <c r="H300" s="190"/>
    </row>
    <row r="301" spans="1:16" s="1" customFormat="1" ht="15.6" x14ac:dyDescent="0.3">
      <c r="A301" s="60">
        <f t="shared" si="91"/>
        <v>7</v>
      </c>
      <c r="B301" s="188" t="s">
        <v>252</v>
      </c>
      <c r="C301" s="189"/>
      <c r="D301" s="189"/>
      <c r="E301" s="189"/>
      <c r="F301" s="189"/>
      <c r="G301" s="189"/>
      <c r="H301" s="190"/>
    </row>
    <row r="302" spans="1:16" s="8" customFormat="1" ht="15.6" x14ac:dyDescent="0.3">
      <c r="A302" s="141" t="s">
        <v>71</v>
      </c>
      <c r="B302" s="141"/>
      <c r="C302" s="141"/>
      <c r="D302" s="141"/>
      <c r="E302" s="141"/>
      <c r="F302" s="141"/>
      <c r="G302" s="141"/>
      <c r="H302" s="141"/>
    </row>
    <row r="303" spans="1:16" s="8" customFormat="1" ht="15.6" x14ac:dyDescent="0.3">
      <c r="A303" s="79" t="s">
        <v>72</v>
      </c>
      <c r="B303" s="79"/>
      <c r="C303" s="79"/>
      <c r="D303" s="79"/>
      <c r="E303" s="79"/>
      <c r="F303" s="79"/>
      <c r="G303" s="79"/>
      <c r="H303" s="79"/>
    </row>
    <row r="304" spans="1:16" s="8" customFormat="1" ht="15.75" customHeight="1" x14ac:dyDescent="0.3">
      <c r="A304" s="126" t="s">
        <v>73</v>
      </c>
      <c r="B304" s="126"/>
      <c r="C304" s="126"/>
      <c r="D304" s="126"/>
      <c r="E304" s="126"/>
      <c r="F304" s="126"/>
      <c r="G304" s="126"/>
      <c r="H304" s="126"/>
    </row>
    <row r="305" spans="1:8" s="8" customFormat="1" ht="15.6" x14ac:dyDescent="0.3">
      <c r="A305" s="79" t="s">
        <v>74</v>
      </c>
      <c r="B305" s="79"/>
      <c r="C305" s="79"/>
      <c r="D305" s="79"/>
      <c r="E305" s="79"/>
      <c r="F305" s="79"/>
      <c r="G305" s="79"/>
      <c r="H305" s="79"/>
    </row>
    <row r="306" spans="1:8" s="8" customFormat="1" ht="15.6" x14ac:dyDescent="0.3">
      <c r="A306" s="79" t="s">
        <v>75</v>
      </c>
      <c r="B306" s="79"/>
      <c r="C306" s="79"/>
      <c r="D306" s="79"/>
      <c r="E306" s="79"/>
      <c r="F306" s="79"/>
      <c r="G306" s="79"/>
      <c r="H306" s="79"/>
    </row>
    <row r="307" spans="1:8" s="8" customFormat="1" ht="15.6" x14ac:dyDescent="0.3">
      <c r="A307" s="79" t="s">
        <v>171</v>
      </c>
      <c r="B307" s="79"/>
      <c r="C307" s="79"/>
      <c r="D307" s="79"/>
      <c r="E307" s="79"/>
      <c r="F307" s="79"/>
      <c r="G307" s="79"/>
      <c r="H307" s="79"/>
    </row>
    <row r="308" spans="1:8" s="8" customFormat="1" ht="35.25" customHeight="1" x14ac:dyDescent="0.3">
      <c r="A308" s="88" t="s">
        <v>172</v>
      </c>
      <c r="B308" s="88"/>
      <c r="C308" s="88"/>
      <c r="D308" s="88"/>
      <c r="E308" s="88"/>
      <c r="F308" s="88"/>
      <c r="G308" s="88"/>
      <c r="H308" s="88"/>
    </row>
    <row r="309" spans="1:8" s="8" customFormat="1" ht="15.6" x14ac:dyDescent="0.3">
      <c r="A309" s="157" t="s">
        <v>110</v>
      </c>
      <c r="B309" s="157"/>
      <c r="C309" s="157" t="s">
        <v>115</v>
      </c>
      <c r="D309" s="157"/>
      <c r="E309" s="157" t="s">
        <v>148</v>
      </c>
      <c r="F309" s="157"/>
      <c r="G309" s="157" t="s">
        <v>228</v>
      </c>
      <c r="H309" s="157"/>
    </row>
    <row r="310" spans="1:8" s="8" customFormat="1" ht="15.6" x14ac:dyDescent="0.3">
      <c r="A310" s="156" t="s">
        <v>113</v>
      </c>
      <c r="B310" s="156"/>
      <c r="C310" s="156"/>
      <c r="D310" s="156"/>
      <c r="E310" s="156"/>
      <c r="F310" s="156"/>
      <c r="G310" s="156"/>
      <c r="H310" s="156"/>
    </row>
    <row r="311" spans="1:8" s="8" customFormat="1" ht="15.6" x14ac:dyDescent="0.3">
      <c r="A311" s="156"/>
      <c r="B311" s="156"/>
      <c r="C311" s="156"/>
      <c r="D311" s="156"/>
      <c r="E311" s="156"/>
      <c r="F311" s="156"/>
      <c r="G311" s="156"/>
      <c r="H311" s="156"/>
    </row>
    <row r="312" spans="1:8" s="8" customFormat="1" ht="15.6" x14ac:dyDescent="0.3">
      <c r="A312" s="156"/>
      <c r="B312" s="156"/>
      <c r="C312" s="156"/>
      <c r="D312" s="156"/>
      <c r="E312" s="156"/>
      <c r="F312" s="156"/>
      <c r="G312" s="156"/>
      <c r="H312" s="156"/>
    </row>
    <row r="313" spans="1:8" s="8" customFormat="1" ht="15.6" x14ac:dyDescent="0.3">
      <c r="A313" s="156"/>
      <c r="B313" s="156"/>
      <c r="C313" s="156"/>
      <c r="D313" s="156"/>
      <c r="E313" s="156"/>
      <c r="F313" s="156"/>
      <c r="G313" s="156"/>
      <c r="H313" s="156"/>
    </row>
    <row r="314" spans="1:8" s="8" customFormat="1" ht="15.6" x14ac:dyDescent="0.3">
      <c r="A314" s="14" t="s">
        <v>76</v>
      </c>
      <c r="B314" s="15"/>
      <c r="C314" s="15"/>
      <c r="D314" s="14" t="str">
        <f>E8</f>
        <v>SPM Lake City Phase II</v>
      </c>
      <c r="E314" s="16"/>
      <c r="F314" s="15"/>
      <c r="G314" s="15"/>
      <c r="H314" s="15"/>
    </row>
    <row r="315" spans="1:8" s="8" customFormat="1" ht="15.6" x14ac:dyDescent="0.3">
      <c r="A315" s="15"/>
      <c r="B315" s="15"/>
      <c r="C315" s="15"/>
      <c r="D315" s="15"/>
      <c r="E315" s="15"/>
      <c r="F315" s="15"/>
      <c r="G315" s="15"/>
      <c r="H315" s="15"/>
    </row>
    <row r="316" spans="1:8" s="8" customFormat="1" ht="15.6" x14ac:dyDescent="0.3">
      <c r="A316" s="15"/>
      <c r="B316" s="15"/>
      <c r="C316" s="15"/>
      <c r="D316" s="15"/>
      <c r="E316" s="15"/>
      <c r="F316" s="15"/>
      <c r="G316" s="15"/>
      <c r="H316" s="15"/>
    </row>
    <row r="317" spans="1:8" s="8" customFormat="1" ht="15" customHeight="1" x14ac:dyDescent="0.3">
      <c r="A317" s="16"/>
      <c r="B317" s="16"/>
      <c r="C317" s="16"/>
      <c r="D317" s="16"/>
      <c r="E317" s="16"/>
      <c r="F317" s="16"/>
      <c r="G317" s="16"/>
      <c r="H317" s="16"/>
    </row>
    <row r="318" spans="1:8" s="8" customFormat="1" ht="15.6" x14ac:dyDescent="0.3">
      <c r="A318" s="16"/>
      <c r="B318" s="16"/>
      <c r="C318" s="16"/>
      <c r="D318" s="16"/>
      <c r="E318" s="16"/>
      <c r="F318" s="16"/>
      <c r="G318" s="16"/>
      <c r="H318" s="16"/>
    </row>
    <row r="319" spans="1:8" s="8" customFormat="1" ht="15.6" x14ac:dyDescent="0.3">
      <c r="A319" s="16"/>
      <c r="B319" s="16"/>
      <c r="C319" s="16"/>
      <c r="D319" s="16"/>
      <c r="E319" s="16"/>
      <c r="F319" s="16"/>
      <c r="G319" s="16"/>
      <c r="H319" s="16"/>
    </row>
    <row r="320" spans="1:8" s="8" customFormat="1" ht="15.6" x14ac:dyDescent="0.3">
      <c r="A320" s="16"/>
      <c r="B320" s="16"/>
      <c r="C320" s="16"/>
      <c r="D320" s="16"/>
      <c r="E320" s="16"/>
      <c r="F320" s="16"/>
      <c r="G320" s="16"/>
      <c r="H320" s="16"/>
    </row>
    <row r="321" spans="1:8" s="8" customFormat="1" ht="15.6" x14ac:dyDescent="0.3">
      <c r="A321" s="16"/>
      <c r="B321" s="16"/>
      <c r="C321" s="16"/>
      <c r="D321" s="16"/>
      <c r="E321" s="16"/>
      <c r="F321" s="16"/>
      <c r="G321" s="16"/>
      <c r="H321" s="16"/>
    </row>
    <row r="322" spans="1:8" s="8" customFormat="1" ht="15.6" x14ac:dyDescent="0.3">
      <c r="A322" s="16"/>
      <c r="B322" s="16"/>
      <c r="C322" s="16"/>
      <c r="D322" s="16"/>
      <c r="E322" s="16"/>
      <c r="F322" s="16"/>
      <c r="G322" s="16"/>
      <c r="H322" s="16"/>
    </row>
    <row r="323" spans="1:8" s="8" customFormat="1" ht="15.6" x14ac:dyDescent="0.3">
      <c r="A323" s="16"/>
      <c r="B323" s="16"/>
      <c r="C323" s="16"/>
      <c r="D323" s="16"/>
      <c r="E323" s="16"/>
      <c r="F323" s="16"/>
      <c r="G323" s="16"/>
      <c r="H323" s="16"/>
    </row>
    <row r="324" spans="1:8" s="8" customFormat="1" ht="15.6" x14ac:dyDescent="0.3">
      <c r="A324" s="16"/>
      <c r="B324" s="16"/>
      <c r="C324" s="16"/>
      <c r="D324" s="16"/>
      <c r="E324" s="16"/>
      <c r="F324" s="16"/>
      <c r="G324" s="16"/>
      <c r="H324" s="16"/>
    </row>
    <row r="325" spans="1:8" s="8" customFormat="1" ht="15.6" x14ac:dyDescent="0.3">
      <c r="A325" s="16"/>
      <c r="B325" s="16"/>
      <c r="C325" s="16"/>
      <c r="D325" s="16"/>
      <c r="E325" s="16"/>
      <c r="F325" s="16"/>
      <c r="G325" s="16"/>
      <c r="H325" s="16"/>
    </row>
    <row r="326" spans="1:8" s="8" customFormat="1" ht="15.6" x14ac:dyDescent="0.3">
      <c r="A326" s="16"/>
      <c r="B326" s="16"/>
      <c r="C326" s="16"/>
      <c r="D326" s="16"/>
      <c r="E326" s="16"/>
      <c r="F326" s="16"/>
      <c r="G326" s="16"/>
      <c r="H326" s="16"/>
    </row>
    <row r="327" spans="1:8" s="8" customFormat="1" ht="15.6" x14ac:dyDescent="0.3">
      <c r="A327" s="16"/>
      <c r="B327" s="16"/>
      <c r="C327" s="16"/>
      <c r="D327" s="16"/>
      <c r="E327" s="16"/>
      <c r="F327" s="16"/>
      <c r="G327" s="16"/>
      <c r="H327" s="16"/>
    </row>
    <row r="328" spans="1:8" s="8" customFormat="1" ht="15.6" x14ac:dyDescent="0.3">
      <c r="A328" s="16"/>
      <c r="B328" s="16"/>
      <c r="C328" s="16"/>
      <c r="D328" s="16"/>
      <c r="E328" s="16"/>
      <c r="F328" s="16"/>
      <c r="G328" s="16"/>
      <c r="H328" s="16"/>
    </row>
    <row r="329" spans="1:8" s="8" customFormat="1" ht="15.6" x14ac:dyDescent="0.3">
      <c r="A329" s="16"/>
      <c r="B329" s="16"/>
      <c r="C329" s="16"/>
      <c r="D329" s="16"/>
      <c r="E329" s="16"/>
      <c r="F329" s="16"/>
      <c r="G329" s="16"/>
      <c r="H329" s="16"/>
    </row>
    <row r="330" spans="1:8" s="8" customFormat="1" ht="15.6" x14ac:dyDescent="0.3">
      <c r="A330" s="16"/>
      <c r="B330" s="16"/>
      <c r="C330" s="16"/>
      <c r="D330" s="16"/>
      <c r="E330" s="16"/>
      <c r="F330" s="16"/>
      <c r="G330" s="16"/>
      <c r="H330" s="16"/>
    </row>
    <row r="331" spans="1:8" s="8" customFormat="1" ht="15.6" x14ac:dyDescent="0.3">
      <c r="A331" s="16"/>
      <c r="B331" s="16"/>
      <c r="C331" s="16"/>
      <c r="D331" s="16"/>
      <c r="E331" s="16"/>
      <c r="F331" s="16"/>
      <c r="G331" s="16"/>
      <c r="H331" s="16"/>
    </row>
    <row r="332" spans="1:8" s="8" customFormat="1" ht="15.6" x14ac:dyDescent="0.3">
      <c r="A332" s="16"/>
      <c r="B332" s="16"/>
      <c r="C332" s="16"/>
      <c r="D332" s="16"/>
      <c r="E332" s="16"/>
      <c r="F332" s="16"/>
      <c r="G332" s="16"/>
      <c r="H332" s="16"/>
    </row>
    <row r="333" spans="1:8" s="8" customFormat="1" ht="15.6" x14ac:dyDescent="0.3">
      <c r="A333" s="16"/>
      <c r="B333" s="16"/>
      <c r="C333" s="16"/>
      <c r="D333" s="16"/>
      <c r="E333" s="16"/>
      <c r="F333" s="16"/>
      <c r="G333" s="16"/>
      <c r="H333" s="16"/>
    </row>
    <row r="334" spans="1:8" s="8" customFormat="1" ht="15.6" x14ac:dyDescent="0.3">
      <c r="A334" s="16"/>
      <c r="B334" s="16"/>
      <c r="C334" s="16"/>
      <c r="D334" s="16"/>
      <c r="E334" s="16"/>
      <c r="F334" s="16"/>
      <c r="G334" s="16"/>
      <c r="H334" s="16"/>
    </row>
    <row r="335" spans="1:8" s="8" customFormat="1" ht="15.6" x14ac:dyDescent="0.3">
      <c r="A335" s="16"/>
      <c r="B335" s="16"/>
      <c r="C335" s="16"/>
      <c r="D335" s="16"/>
      <c r="E335" s="16"/>
      <c r="F335" s="16"/>
      <c r="G335" s="16"/>
      <c r="H335" s="16"/>
    </row>
    <row r="336" spans="1:8" s="8" customFormat="1" ht="15.6" x14ac:dyDescent="0.3">
      <c r="A336" s="16"/>
      <c r="B336" s="16"/>
      <c r="C336" s="16"/>
      <c r="D336" s="16"/>
      <c r="E336" s="16"/>
      <c r="F336" s="16"/>
      <c r="G336" s="16"/>
      <c r="H336" s="16"/>
    </row>
    <row r="337" spans="1:8" s="8" customFormat="1" ht="15.6" x14ac:dyDescent="0.3">
      <c r="A337" s="16"/>
      <c r="B337" s="16"/>
      <c r="C337" s="16"/>
      <c r="D337" s="16"/>
      <c r="E337" s="16"/>
      <c r="F337" s="16"/>
      <c r="G337" s="16"/>
      <c r="H337" s="16"/>
    </row>
    <row r="338" spans="1:8" s="8" customFormat="1" ht="15.6" x14ac:dyDescent="0.3">
      <c r="A338" s="16"/>
      <c r="B338" s="16"/>
      <c r="C338" s="16"/>
      <c r="D338" s="16"/>
      <c r="E338" s="16"/>
      <c r="F338" s="16"/>
      <c r="G338" s="16"/>
      <c r="H338" s="16"/>
    </row>
    <row r="339" spans="1:8" s="8" customFormat="1" ht="15.6" x14ac:dyDescent="0.3">
      <c r="A339" s="16"/>
      <c r="B339" s="16"/>
      <c r="C339" s="16"/>
      <c r="D339" s="16"/>
      <c r="E339" s="16"/>
      <c r="F339" s="16"/>
      <c r="G339" s="16"/>
      <c r="H339" s="16"/>
    </row>
    <row r="340" spans="1:8" s="8" customFormat="1" ht="15.6" x14ac:dyDescent="0.3">
      <c r="A340" s="16"/>
      <c r="B340" s="16"/>
      <c r="C340" s="16"/>
      <c r="D340" s="16"/>
      <c r="E340" s="16"/>
      <c r="F340" s="16"/>
      <c r="G340" s="16"/>
      <c r="H340" s="16"/>
    </row>
    <row r="341" spans="1:8" s="8" customFormat="1" ht="15.6" x14ac:dyDescent="0.3">
      <c r="A341" s="16"/>
      <c r="B341" s="16"/>
      <c r="C341" s="16"/>
      <c r="D341" s="16"/>
      <c r="E341" s="16"/>
      <c r="F341" s="16"/>
      <c r="G341" s="16"/>
      <c r="H341" s="16"/>
    </row>
    <row r="342" spans="1:8" s="8" customFormat="1" ht="15.6" x14ac:dyDescent="0.3">
      <c r="A342" s="16"/>
      <c r="B342" s="16"/>
      <c r="C342" s="16"/>
      <c r="D342" s="16"/>
      <c r="E342" s="16"/>
      <c r="F342" s="16"/>
      <c r="G342" s="16"/>
      <c r="H342" s="16"/>
    </row>
    <row r="343" spans="1:8" s="8" customFormat="1" ht="15.6" x14ac:dyDescent="0.3">
      <c r="A343" s="16"/>
      <c r="B343" s="16"/>
      <c r="C343" s="16"/>
      <c r="D343" s="16"/>
      <c r="E343" s="16"/>
      <c r="F343" s="16"/>
      <c r="G343" s="16"/>
      <c r="H343" s="16"/>
    </row>
    <row r="344" spans="1:8" s="8" customFormat="1" ht="15.6" x14ac:dyDescent="0.3">
      <c r="A344" s="16"/>
      <c r="B344" s="16"/>
      <c r="C344" s="16"/>
      <c r="D344" s="16"/>
      <c r="E344" s="16"/>
      <c r="F344" s="16"/>
      <c r="G344" s="16"/>
      <c r="H344" s="16"/>
    </row>
    <row r="345" spans="1:8" s="8" customFormat="1" ht="15.6" x14ac:dyDescent="0.3">
      <c r="A345" s="16"/>
      <c r="B345" s="16"/>
      <c r="C345" s="16"/>
      <c r="D345" s="16"/>
      <c r="E345" s="16"/>
      <c r="F345" s="16"/>
      <c r="G345" s="16"/>
      <c r="H345" s="16"/>
    </row>
    <row r="346" spans="1:8" s="8" customFormat="1" ht="15.6" x14ac:dyDescent="0.3">
      <c r="A346" s="16"/>
      <c r="B346" s="16"/>
      <c r="C346" s="16"/>
      <c r="D346" s="16"/>
      <c r="E346" s="16"/>
      <c r="F346" s="16"/>
      <c r="G346" s="16"/>
      <c r="H346" s="16"/>
    </row>
    <row r="347" spans="1:8" s="8" customFormat="1" ht="15.6" x14ac:dyDescent="0.3">
      <c r="A347" s="16"/>
      <c r="B347" s="16"/>
      <c r="C347" s="16"/>
      <c r="D347" s="16"/>
      <c r="E347" s="16"/>
      <c r="F347" s="16"/>
      <c r="G347" s="16"/>
      <c r="H347" s="16"/>
    </row>
    <row r="348" spans="1:8" s="8" customFormat="1" ht="15.6" x14ac:dyDescent="0.3">
      <c r="A348" s="16"/>
      <c r="B348" s="16"/>
      <c r="C348" s="16"/>
      <c r="D348" s="16"/>
      <c r="E348" s="16"/>
      <c r="F348" s="16"/>
      <c r="G348" s="16"/>
      <c r="H348" s="16"/>
    </row>
    <row r="349" spans="1:8" s="8" customFormat="1" ht="15.6" x14ac:dyDescent="0.3">
      <c r="A349" s="16"/>
      <c r="B349" s="16"/>
      <c r="C349" s="16"/>
      <c r="D349" s="16"/>
      <c r="E349" s="16"/>
      <c r="F349" s="16"/>
      <c r="G349" s="16"/>
      <c r="H349" s="16"/>
    </row>
    <row r="350" spans="1:8" s="8" customFormat="1" ht="15.6" x14ac:dyDescent="0.3">
      <c r="A350" s="16"/>
      <c r="B350" s="16"/>
      <c r="C350" s="16"/>
      <c r="D350" s="16"/>
      <c r="E350" s="16"/>
      <c r="F350" s="16"/>
      <c r="G350" s="16"/>
      <c r="H350" s="16"/>
    </row>
    <row r="351" spans="1:8" s="8" customFormat="1" ht="15.6" x14ac:dyDescent="0.3">
      <c r="A351" s="16"/>
      <c r="B351" s="16"/>
      <c r="C351" s="16"/>
      <c r="D351" s="16"/>
      <c r="E351" s="16"/>
      <c r="F351" s="16"/>
      <c r="G351" s="16"/>
      <c r="H351" s="16"/>
    </row>
    <row r="352" spans="1:8" s="8" customFormat="1" ht="15.6" x14ac:dyDescent="0.3">
      <c r="A352" s="16"/>
      <c r="B352" s="16"/>
      <c r="C352" s="16"/>
      <c r="D352" s="16"/>
      <c r="E352" s="16"/>
      <c r="F352" s="16"/>
      <c r="G352" s="16"/>
      <c r="H352" s="16"/>
    </row>
    <row r="353" spans="1:8" s="8" customFormat="1" ht="15.6" x14ac:dyDescent="0.3">
      <c r="A353" s="16"/>
      <c r="B353" s="16"/>
      <c r="C353" s="16"/>
      <c r="D353" s="16"/>
      <c r="E353" s="16"/>
      <c r="F353" s="16"/>
      <c r="G353" s="16"/>
      <c r="H353" s="16"/>
    </row>
    <row r="354" spans="1:8" s="8" customFormat="1" ht="15.6" x14ac:dyDescent="0.3">
      <c r="A354" s="16"/>
      <c r="B354" s="16"/>
      <c r="C354" s="16"/>
      <c r="D354" s="16"/>
      <c r="E354" s="16"/>
      <c r="F354" s="16"/>
      <c r="G354" s="16"/>
      <c r="H354" s="16"/>
    </row>
    <row r="355" spans="1:8" s="8" customFormat="1" ht="15.6" x14ac:dyDescent="0.3">
      <c r="A355" s="16"/>
      <c r="B355" s="16"/>
      <c r="C355" s="16"/>
      <c r="D355" s="16"/>
      <c r="E355" s="16"/>
      <c r="F355" s="16"/>
      <c r="G355" s="16"/>
      <c r="H355" s="16"/>
    </row>
    <row r="356" spans="1:8" s="8" customFormat="1" ht="15.6" x14ac:dyDescent="0.3">
      <c r="A356" s="16"/>
      <c r="B356" s="16"/>
      <c r="C356" s="16"/>
      <c r="D356" s="16"/>
      <c r="E356" s="16"/>
      <c r="F356" s="16"/>
      <c r="G356" s="16"/>
      <c r="H356" s="16"/>
    </row>
    <row r="357" spans="1:8" s="8" customFormat="1" ht="15.6" x14ac:dyDescent="0.3">
      <c r="A357" s="16"/>
      <c r="B357" s="16"/>
      <c r="C357" s="16"/>
      <c r="D357" s="16"/>
      <c r="E357" s="16"/>
      <c r="F357" s="16"/>
      <c r="G357" s="16"/>
      <c r="H357" s="16"/>
    </row>
    <row r="358" spans="1:8" s="8" customFormat="1" ht="15.6" x14ac:dyDescent="0.3">
      <c r="A358" s="14" t="s">
        <v>76</v>
      </c>
      <c r="B358" s="15"/>
      <c r="C358" s="15"/>
      <c r="D358" s="14"/>
      <c r="E358" s="16"/>
      <c r="F358" s="15"/>
      <c r="G358" s="15"/>
      <c r="H358" s="15"/>
    </row>
    <row r="359" spans="1:8" s="8" customFormat="1" ht="15.6" x14ac:dyDescent="0.3">
      <c r="A359" s="15"/>
      <c r="B359" s="15"/>
      <c r="C359" s="15"/>
      <c r="D359" s="15"/>
      <c r="E359" s="15"/>
      <c r="F359" s="15"/>
      <c r="G359" s="15"/>
      <c r="H359" s="15"/>
    </row>
    <row r="360" spans="1:8" s="8" customFormat="1" ht="15.6" x14ac:dyDescent="0.3">
      <c r="A360" s="15"/>
      <c r="B360" s="15"/>
      <c r="C360" s="15"/>
      <c r="D360" s="15"/>
      <c r="E360" s="15"/>
      <c r="F360" s="15"/>
      <c r="G360" s="15"/>
      <c r="H360" s="15"/>
    </row>
    <row r="361" spans="1:8" s="8" customFormat="1" ht="15" customHeight="1" x14ac:dyDescent="0.3">
      <c r="A361" s="16"/>
      <c r="B361" s="16"/>
      <c r="C361" s="16"/>
      <c r="D361" s="16"/>
      <c r="E361" s="16"/>
      <c r="F361" s="16"/>
      <c r="G361" s="16"/>
      <c r="H361" s="16"/>
    </row>
    <row r="362" spans="1:8" s="8" customFormat="1" ht="15.6" x14ac:dyDescent="0.3">
      <c r="A362" s="16"/>
      <c r="B362" s="16"/>
      <c r="C362" s="16"/>
      <c r="D362" s="16"/>
      <c r="E362" s="16"/>
      <c r="F362" s="16"/>
      <c r="G362" s="16"/>
      <c r="H362" s="16"/>
    </row>
    <row r="363" spans="1:8" s="8" customFormat="1" ht="15.6" x14ac:dyDescent="0.3">
      <c r="A363" s="16"/>
      <c r="B363" s="16"/>
      <c r="C363" s="16"/>
      <c r="D363" s="16"/>
      <c r="E363" s="16"/>
      <c r="F363" s="16"/>
      <c r="G363" s="16"/>
      <c r="H363" s="16"/>
    </row>
    <row r="364" spans="1:8" s="8" customFormat="1" ht="15.6" x14ac:dyDescent="0.3">
      <c r="A364" s="16"/>
      <c r="B364" s="16"/>
      <c r="C364" s="16"/>
      <c r="D364" s="16"/>
      <c r="E364" s="16"/>
      <c r="F364" s="16"/>
      <c r="G364" s="16"/>
      <c r="H364" s="16"/>
    </row>
    <row r="365" spans="1:8" s="8" customFormat="1" ht="15.6" x14ac:dyDescent="0.3">
      <c r="A365" s="16"/>
      <c r="B365" s="16"/>
      <c r="C365" s="16"/>
      <c r="D365" s="16"/>
      <c r="E365" s="16"/>
      <c r="F365" s="16"/>
      <c r="G365" s="16"/>
      <c r="H365" s="16"/>
    </row>
    <row r="366" spans="1:8" s="8" customFormat="1" ht="15.6" x14ac:dyDescent="0.3">
      <c r="A366" s="16"/>
      <c r="B366" s="16"/>
      <c r="C366" s="16"/>
      <c r="D366" s="16"/>
      <c r="E366" s="16"/>
      <c r="F366" s="16"/>
      <c r="G366" s="16"/>
      <c r="H366" s="16"/>
    </row>
    <row r="367" spans="1:8" s="8" customFormat="1" ht="15.6" x14ac:dyDescent="0.3">
      <c r="A367" s="16"/>
      <c r="B367" s="16"/>
      <c r="C367" s="16"/>
      <c r="D367" s="16"/>
      <c r="E367" s="16"/>
      <c r="F367" s="16"/>
      <c r="G367" s="16"/>
      <c r="H367" s="16"/>
    </row>
    <row r="368" spans="1:8" s="8" customFormat="1" ht="15.6" x14ac:dyDescent="0.3">
      <c r="A368" s="16"/>
      <c r="B368" s="16"/>
      <c r="C368" s="16"/>
      <c r="D368" s="16"/>
      <c r="E368" s="16"/>
      <c r="F368" s="16"/>
      <c r="G368" s="16"/>
      <c r="H368" s="16"/>
    </row>
    <row r="369" spans="1:8" s="8" customFormat="1" ht="15.6" x14ac:dyDescent="0.3">
      <c r="A369" s="16"/>
      <c r="B369" s="16"/>
      <c r="C369" s="16"/>
      <c r="D369" s="16"/>
      <c r="E369" s="16"/>
      <c r="F369" s="16"/>
      <c r="G369" s="16"/>
      <c r="H369" s="16"/>
    </row>
    <row r="370" spans="1:8" s="8" customFormat="1" ht="15.6" x14ac:dyDescent="0.3">
      <c r="A370" s="16"/>
      <c r="B370" s="16"/>
      <c r="C370" s="16"/>
      <c r="D370" s="16"/>
      <c r="E370" s="16"/>
      <c r="F370" s="16"/>
      <c r="G370" s="16"/>
      <c r="H370" s="16"/>
    </row>
    <row r="371" spans="1:8" s="8" customFormat="1" ht="15.6" x14ac:dyDescent="0.3">
      <c r="A371" s="16"/>
      <c r="B371" s="16"/>
      <c r="C371" s="16"/>
      <c r="D371" s="16"/>
      <c r="E371" s="16"/>
      <c r="F371" s="16"/>
      <c r="G371" s="16"/>
      <c r="H371" s="16"/>
    </row>
    <row r="372" spans="1:8" s="8" customFormat="1" ht="15.6" x14ac:dyDescent="0.3">
      <c r="A372" s="16"/>
      <c r="B372" s="16"/>
      <c r="C372" s="16"/>
      <c r="D372" s="16"/>
      <c r="E372" s="16"/>
      <c r="F372" s="16"/>
      <c r="G372" s="16"/>
      <c r="H372" s="16"/>
    </row>
    <row r="373" spans="1:8" s="8" customFormat="1" ht="15.6" x14ac:dyDescent="0.3">
      <c r="A373" s="16"/>
      <c r="B373" s="16"/>
      <c r="C373" s="16"/>
      <c r="D373" s="16"/>
      <c r="E373" s="16"/>
      <c r="F373" s="16"/>
      <c r="G373" s="16"/>
      <c r="H373" s="16"/>
    </row>
    <row r="374" spans="1:8" s="8" customFormat="1" ht="15.6" x14ac:dyDescent="0.3">
      <c r="A374" s="16"/>
      <c r="B374" s="16"/>
      <c r="C374" s="16"/>
      <c r="D374" s="16"/>
      <c r="E374" s="16"/>
      <c r="F374" s="16"/>
      <c r="G374" s="16"/>
      <c r="H374" s="16"/>
    </row>
    <row r="375" spans="1:8" s="8" customFormat="1" ht="15.6" x14ac:dyDescent="0.3">
      <c r="A375" s="16"/>
      <c r="B375" s="16"/>
      <c r="C375" s="16"/>
      <c r="D375" s="16"/>
      <c r="E375" s="16"/>
      <c r="F375" s="16"/>
      <c r="G375" s="16"/>
      <c r="H375" s="16"/>
    </row>
    <row r="376" spans="1:8" s="8" customFormat="1" ht="15.6" x14ac:dyDescent="0.3">
      <c r="A376" s="16"/>
      <c r="B376" s="16"/>
      <c r="C376" s="16"/>
      <c r="D376" s="16"/>
      <c r="E376" s="16"/>
      <c r="F376" s="16"/>
      <c r="G376" s="16"/>
      <c r="H376" s="16"/>
    </row>
    <row r="377" spans="1:8" s="8" customFormat="1" ht="15.6" x14ac:dyDescent="0.3">
      <c r="A377" s="16"/>
      <c r="B377" s="16"/>
      <c r="C377" s="16"/>
      <c r="D377" s="16"/>
      <c r="E377" s="16"/>
      <c r="F377" s="16"/>
      <c r="G377" s="16"/>
      <c r="H377" s="16"/>
    </row>
    <row r="378" spans="1:8" s="8" customFormat="1" ht="15.6" x14ac:dyDescent="0.3">
      <c r="A378" s="16"/>
      <c r="B378" s="16"/>
      <c r="C378" s="16"/>
      <c r="D378" s="16"/>
      <c r="E378" s="16"/>
      <c r="F378" s="16"/>
      <c r="G378" s="16"/>
      <c r="H378" s="16"/>
    </row>
    <row r="379" spans="1:8" s="8" customFormat="1" ht="15.6" x14ac:dyDescent="0.3">
      <c r="A379" s="16"/>
      <c r="B379" s="16"/>
      <c r="C379" s="16"/>
      <c r="D379" s="16"/>
      <c r="E379" s="16"/>
      <c r="F379" s="16"/>
      <c r="G379" s="16"/>
      <c r="H379" s="16"/>
    </row>
    <row r="380" spans="1:8" s="8" customFormat="1" ht="15.6" x14ac:dyDescent="0.3">
      <c r="A380" s="16"/>
      <c r="B380" s="16"/>
      <c r="C380" s="16"/>
      <c r="D380" s="16"/>
      <c r="E380" s="16"/>
      <c r="F380" s="16"/>
      <c r="G380" s="16"/>
      <c r="H380" s="16"/>
    </row>
    <row r="381" spans="1:8" s="8" customFormat="1" ht="15.6" x14ac:dyDescent="0.3">
      <c r="A381" s="16"/>
      <c r="B381" s="16"/>
      <c r="C381" s="16"/>
      <c r="D381" s="16"/>
      <c r="E381" s="16"/>
      <c r="F381" s="16"/>
      <c r="G381" s="16"/>
      <c r="H381" s="16"/>
    </row>
    <row r="382" spans="1:8" s="8" customFormat="1" ht="15.6" x14ac:dyDescent="0.3">
      <c r="A382" s="16"/>
      <c r="B382" s="16"/>
      <c r="C382" s="16"/>
      <c r="D382" s="16"/>
      <c r="E382" s="16"/>
      <c r="F382" s="16"/>
      <c r="G382" s="16"/>
      <c r="H382" s="16"/>
    </row>
    <row r="383" spans="1:8" s="8" customFormat="1" ht="15.6" x14ac:dyDescent="0.3">
      <c r="A383" s="16"/>
      <c r="B383" s="16"/>
      <c r="C383" s="16"/>
      <c r="D383" s="16"/>
      <c r="E383" s="16"/>
      <c r="F383" s="16"/>
      <c r="G383" s="16"/>
      <c r="H383" s="16"/>
    </row>
    <row r="384" spans="1:8" s="8" customFormat="1" ht="15.6" x14ac:dyDescent="0.3">
      <c r="A384" s="16"/>
      <c r="B384" s="16"/>
      <c r="C384" s="16"/>
      <c r="D384" s="16"/>
      <c r="E384" s="16"/>
      <c r="F384" s="16"/>
      <c r="G384" s="16"/>
      <c r="H384" s="16"/>
    </row>
    <row r="385" spans="1:8" s="8" customFormat="1" ht="15.6" x14ac:dyDescent="0.3">
      <c r="A385" s="16"/>
      <c r="B385" s="16"/>
      <c r="C385" s="16"/>
      <c r="D385" s="16"/>
      <c r="E385" s="16"/>
      <c r="F385" s="16"/>
      <c r="G385" s="16"/>
      <c r="H385" s="16"/>
    </row>
    <row r="386" spans="1:8" s="8" customFormat="1" ht="15.6" x14ac:dyDescent="0.3">
      <c r="A386" s="16"/>
      <c r="B386" s="16"/>
      <c r="C386" s="16"/>
      <c r="D386" s="16"/>
      <c r="E386" s="16"/>
      <c r="F386" s="16"/>
      <c r="G386" s="16"/>
      <c r="H386" s="16"/>
    </row>
    <row r="387" spans="1:8" s="8" customFormat="1" ht="15.6" x14ac:dyDescent="0.3">
      <c r="A387" s="16"/>
      <c r="B387" s="16"/>
      <c r="C387" s="16"/>
      <c r="D387" s="16"/>
      <c r="E387" s="16"/>
      <c r="F387" s="16"/>
      <c r="G387" s="16"/>
      <c r="H387" s="16"/>
    </row>
    <row r="388" spans="1:8" s="8" customFormat="1" ht="15.6" x14ac:dyDescent="0.3">
      <c r="A388" s="16"/>
      <c r="B388" s="16"/>
      <c r="C388" s="16"/>
      <c r="D388" s="16"/>
      <c r="E388" s="16"/>
      <c r="F388" s="16"/>
      <c r="G388" s="16"/>
      <c r="H388" s="16"/>
    </row>
    <row r="389" spans="1:8" s="8" customFormat="1" ht="15.6" x14ac:dyDescent="0.3">
      <c r="A389" s="16"/>
      <c r="B389" s="16"/>
      <c r="C389" s="16"/>
      <c r="D389" s="16"/>
      <c r="E389" s="16"/>
      <c r="F389" s="16"/>
      <c r="G389" s="16"/>
      <c r="H389" s="16"/>
    </row>
    <row r="390" spans="1:8" s="8" customFormat="1" ht="15.6" x14ac:dyDescent="0.3">
      <c r="A390" s="16"/>
      <c r="B390" s="16"/>
      <c r="C390" s="16"/>
      <c r="D390" s="16"/>
      <c r="E390" s="16"/>
      <c r="F390" s="16"/>
      <c r="G390" s="16"/>
      <c r="H390" s="16"/>
    </row>
    <row r="391" spans="1:8" s="8" customFormat="1" ht="15.6" x14ac:dyDescent="0.3">
      <c r="A391" s="16"/>
      <c r="B391" s="16"/>
      <c r="C391" s="16"/>
      <c r="D391" s="16"/>
      <c r="E391" s="16"/>
      <c r="F391" s="16"/>
      <c r="G391" s="16"/>
      <c r="H391" s="16"/>
    </row>
    <row r="392" spans="1:8" s="8" customFormat="1" ht="15.6" x14ac:dyDescent="0.3">
      <c r="A392" s="16"/>
      <c r="B392" s="16"/>
      <c r="C392" s="16"/>
      <c r="D392" s="16"/>
      <c r="E392" s="16"/>
      <c r="F392" s="16"/>
      <c r="G392" s="16"/>
      <c r="H392" s="16"/>
    </row>
    <row r="393" spans="1:8" s="8" customFormat="1" ht="15.6" x14ac:dyDescent="0.3">
      <c r="A393" s="16"/>
      <c r="B393" s="16"/>
      <c r="C393" s="16"/>
      <c r="D393" s="16"/>
      <c r="E393" s="16"/>
      <c r="F393" s="16"/>
      <c r="G393" s="16"/>
      <c r="H393" s="16"/>
    </row>
    <row r="394" spans="1:8" s="8" customFormat="1" ht="15.6" x14ac:dyDescent="0.3">
      <c r="A394" s="16"/>
      <c r="B394" s="16"/>
      <c r="C394" s="16"/>
      <c r="D394" s="16"/>
      <c r="E394" s="16"/>
      <c r="F394" s="16"/>
      <c r="G394" s="16"/>
      <c r="H394" s="16"/>
    </row>
    <row r="395" spans="1:8" s="8" customFormat="1" ht="15.6" x14ac:dyDescent="0.3">
      <c r="A395" s="16"/>
      <c r="B395" s="16"/>
      <c r="C395" s="16"/>
      <c r="D395" s="16"/>
      <c r="E395" s="16"/>
      <c r="F395" s="16"/>
      <c r="G395" s="16"/>
      <c r="H395" s="16"/>
    </row>
    <row r="396" spans="1:8" s="8" customFormat="1" ht="15.6" x14ac:dyDescent="0.3">
      <c r="A396" s="16"/>
      <c r="B396" s="16"/>
      <c r="C396" s="16"/>
      <c r="D396" s="16"/>
      <c r="E396" s="16"/>
      <c r="F396" s="16"/>
      <c r="G396" s="16"/>
      <c r="H396" s="16"/>
    </row>
    <row r="397" spans="1:8" s="8" customFormat="1" ht="15.6" x14ac:dyDescent="0.3">
      <c r="A397" s="16"/>
      <c r="B397" s="16"/>
      <c r="C397" s="16"/>
      <c r="D397" s="16"/>
      <c r="E397" s="16"/>
      <c r="F397" s="16"/>
      <c r="G397" s="16"/>
      <c r="H397" s="16"/>
    </row>
    <row r="398" spans="1:8" s="8" customFormat="1" ht="15.6" x14ac:dyDescent="0.3">
      <c r="A398" s="16"/>
      <c r="B398" s="16"/>
      <c r="C398" s="16"/>
      <c r="D398" s="16"/>
      <c r="E398" s="16"/>
      <c r="F398" s="16"/>
      <c r="G398" s="16"/>
      <c r="H398" s="16"/>
    </row>
    <row r="399" spans="1:8" s="8" customFormat="1" ht="15.6" x14ac:dyDescent="0.3">
      <c r="A399" s="16"/>
      <c r="B399" s="16"/>
      <c r="C399" s="16"/>
      <c r="D399" s="16"/>
      <c r="E399" s="16"/>
      <c r="F399" s="16"/>
      <c r="G399" s="16"/>
      <c r="H399" s="16"/>
    </row>
    <row r="400" spans="1:8" s="8" customFormat="1" ht="15.6" x14ac:dyDescent="0.3">
      <c r="A400" s="16"/>
      <c r="B400" s="16"/>
      <c r="C400" s="16"/>
      <c r="D400" s="16"/>
      <c r="E400" s="16"/>
      <c r="F400" s="16"/>
      <c r="G400" s="16"/>
      <c r="H400" s="16"/>
    </row>
    <row r="401" spans="1:8" s="8" customFormat="1" ht="15.6" x14ac:dyDescent="0.3">
      <c r="A401" s="16"/>
      <c r="B401" s="16"/>
      <c r="C401" s="16"/>
      <c r="D401" s="16"/>
      <c r="E401" s="16"/>
      <c r="F401" s="16"/>
      <c r="G401" s="16"/>
      <c r="H401" s="16"/>
    </row>
    <row r="402" spans="1:8" s="8" customFormat="1" ht="15.6" x14ac:dyDescent="0.3">
      <c r="A402" s="17" t="s">
        <v>77</v>
      </c>
      <c r="B402" s="16"/>
      <c r="C402" s="16"/>
      <c r="D402" s="16"/>
      <c r="E402" s="16"/>
      <c r="F402" s="16"/>
      <c r="G402" s="16"/>
      <c r="H402" s="16"/>
    </row>
    <row r="403" spans="1:8" s="8" customFormat="1" ht="15.6" x14ac:dyDescent="0.3">
      <c r="A403" s="16"/>
      <c r="B403" s="16"/>
      <c r="C403" s="16"/>
      <c r="D403" s="16"/>
      <c r="E403" s="16"/>
      <c r="F403" s="16"/>
      <c r="G403" s="16"/>
      <c r="H403" s="16"/>
    </row>
    <row r="404" spans="1:8" s="8" customFormat="1" ht="15.6" x14ac:dyDescent="0.3">
      <c r="A404" s="16"/>
      <c r="B404" s="16"/>
      <c r="C404" s="16"/>
      <c r="D404" s="16"/>
      <c r="E404" s="16"/>
      <c r="F404" s="16"/>
      <c r="G404" s="16"/>
      <c r="H404" s="16"/>
    </row>
    <row r="405" spans="1:8" s="8" customFormat="1" ht="15.6" x14ac:dyDescent="0.3">
      <c r="A405" s="16"/>
      <c r="B405" s="16"/>
      <c r="C405" s="16"/>
      <c r="D405" s="16"/>
      <c r="E405" s="16"/>
      <c r="F405" s="16"/>
      <c r="G405" s="16"/>
      <c r="H405" s="16"/>
    </row>
    <row r="406" spans="1:8" s="8" customFormat="1" ht="15.6" x14ac:dyDescent="0.3">
      <c r="A406" s="16"/>
      <c r="B406" s="16"/>
      <c r="C406" s="16"/>
      <c r="D406" s="16"/>
      <c r="E406" s="16"/>
      <c r="F406" s="16"/>
      <c r="G406" s="16"/>
      <c r="H406" s="16"/>
    </row>
    <row r="407" spans="1:8" s="8" customFormat="1" ht="15.6" x14ac:dyDescent="0.3">
      <c r="A407" s="16"/>
      <c r="B407" s="16"/>
      <c r="C407" s="16"/>
      <c r="D407" s="16"/>
      <c r="E407" s="16"/>
      <c r="F407" s="16"/>
      <c r="G407" s="16"/>
      <c r="H407" s="16"/>
    </row>
    <row r="408" spans="1:8" s="8" customFormat="1" ht="15.6" x14ac:dyDescent="0.3">
      <c r="A408" s="16"/>
      <c r="B408" s="16"/>
      <c r="C408" s="16"/>
      <c r="D408" s="16"/>
      <c r="E408" s="16"/>
      <c r="F408" s="16"/>
      <c r="G408" s="16"/>
      <c r="H408" s="16"/>
    </row>
    <row r="409" spans="1:8" s="8" customFormat="1" ht="15.6" x14ac:dyDescent="0.3">
      <c r="A409" s="16"/>
      <c r="B409" s="16"/>
      <c r="C409" s="16"/>
      <c r="D409" s="16"/>
      <c r="E409" s="16"/>
      <c r="F409" s="16"/>
      <c r="G409" s="16"/>
      <c r="H409" s="16"/>
    </row>
    <row r="410" spans="1:8" s="8" customFormat="1" ht="15.6" x14ac:dyDescent="0.3">
      <c r="A410" s="16"/>
      <c r="B410" s="16"/>
      <c r="C410" s="16"/>
      <c r="D410" s="16"/>
      <c r="E410" s="16"/>
      <c r="F410" s="16"/>
      <c r="G410" s="16"/>
      <c r="H410" s="16"/>
    </row>
    <row r="411" spans="1:8" s="8" customFormat="1" ht="15.6" x14ac:dyDescent="0.3">
      <c r="A411" s="16"/>
      <c r="B411" s="16"/>
      <c r="C411" s="16"/>
      <c r="D411" s="16"/>
      <c r="E411" s="16"/>
      <c r="F411" s="16"/>
      <c r="G411" s="16"/>
      <c r="H411" s="16"/>
    </row>
    <row r="412" spans="1:8" s="8" customFormat="1" ht="15.6" x14ac:dyDescent="0.3">
      <c r="A412" s="16"/>
      <c r="B412" s="16"/>
      <c r="C412" s="16"/>
      <c r="D412" s="16"/>
      <c r="E412" s="16"/>
      <c r="F412" s="16"/>
      <c r="G412" s="16"/>
      <c r="H412" s="16"/>
    </row>
    <row r="413" spans="1:8" s="8" customFormat="1" ht="15.6" x14ac:dyDescent="0.3">
      <c r="A413" s="16"/>
      <c r="B413" s="16"/>
      <c r="C413" s="16"/>
      <c r="D413" s="16"/>
      <c r="E413" s="16"/>
      <c r="F413" s="16"/>
      <c r="G413" s="16"/>
      <c r="H413" s="16"/>
    </row>
    <row r="414" spans="1:8" s="8" customFormat="1" ht="15.6" x14ac:dyDescent="0.3">
      <c r="A414" s="16"/>
      <c r="B414" s="16"/>
      <c r="C414" s="16"/>
      <c r="D414" s="16"/>
      <c r="E414" s="16"/>
      <c r="F414" s="16"/>
      <c r="G414" s="16"/>
      <c r="H414" s="16"/>
    </row>
    <row r="415" spans="1:8" s="8" customFormat="1" ht="15.6" x14ac:dyDescent="0.3">
      <c r="A415" s="16"/>
      <c r="B415" s="16"/>
      <c r="C415" s="16"/>
      <c r="D415" s="16"/>
      <c r="E415" s="16"/>
      <c r="F415" s="16"/>
      <c r="G415" s="16"/>
      <c r="H415" s="16"/>
    </row>
    <row r="416" spans="1:8" s="8" customFormat="1" ht="15.6" x14ac:dyDescent="0.3">
      <c r="A416" s="16"/>
      <c r="B416" s="16"/>
      <c r="C416" s="16"/>
      <c r="D416" s="16"/>
      <c r="E416" s="16"/>
      <c r="F416" s="16"/>
      <c r="G416" s="16"/>
      <c r="H416" s="16"/>
    </row>
    <row r="417" spans="1:8" s="8" customFormat="1" ht="15.6" x14ac:dyDescent="0.3">
      <c r="A417" s="16"/>
      <c r="B417" s="16"/>
      <c r="C417" s="16"/>
      <c r="D417" s="16"/>
      <c r="E417" s="16"/>
      <c r="F417" s="16"/>
      <c r="G417" s="16"/>
      <c r="H417" s="16"/>
    </row>
    <row r="418" spans="1:8" s="8" customFormat="1" ht="15.6" x14ac:dyDescent="0.3">
      <c r="A418" s="16"/>
      <c r="B418" s="16"/>
      <c r="C418" s="16"/>
      <c r="D418" s="16"/>
      <c r="E418" s="16"/>
      <c r="F418" s="16"/>
      <c r="G418" s="16"/>
      <c r="H418" s="16"/>
    </row>
    <row r="419" spans="1:8" s="8" customFormat="1" ht="15.6" x14ac:dyDescent="0.3">
      <c r="A419" s="16"/>
      <c r="B419" s="16"/>
      <c r="C419" s="16"/>
      <c r="D419" s="16"/>
      <c r="E419" s="16"/>
      <c r="F419" s="16"/>
      <c r="G419" s="16"/>
      <c r="H419" s="16"/>
    </row>
    <row r="420" spans="1:8" s="8" customFormat="1" ht="15.6" x14ac:dyDescent="0.3">
      <c r="A420" s="16"/>
      <c r="B420" s="16"/>
      <c r="C420" s="16"/>
      <c r="D420" s="16"/>
      <c r="E420" s="16"/>
      <c r="F420" s="16"/>
      <c r="G420" s="16"/>
      <c r="H420" s="16"/>
    </row>
    <row r="421" spans="1:8" s="8" customFormat="1" ht="15.6" x14ac:dyDescent="0.3">
      <c r="A421" s="16"/>
      <c r="B421" s="16"/>
      <c r="C421" s="16"/>
      <c r="D421" s="16"/>
      <c r="E421" s="16"/>
      <c r="F421" s="16"/>
      <c r="G421" s="16"/>
      <c r="H421" s="16"/>
    </row>
    <row r="422" spans="1:8" s="8" customFormat="1" ht="15.6" x14ac:dyDescent="0.3">
      <c r="A422" s="16"/>
      <c r="B422" s="16"/>
      <c r="C422" s="16"/>
      <c r="D422" s="16"/>
      <c r="E422" s="16"/>
      <c r="F422" s="16"/>
      <c r="G422" s="16"/>
      <c r="H422" s="16"/>
    </row>
    <row r="423" spans="1:8" s="8" customFormat="1" ht="15.6" x14ac:dyDescent="0.3">
      <c r="A423" s="16"/>
      <c r="B423" s="16"/>
      <c r="C423" s="16"/>
      <c r="D423" s="16"/>
      <c r="E423" s="16"/>
      <c r="F423" s="16"/>
      <c r="G423" s="16"/>
      <c r="H423" s="16"/>
    </row>
    <row r="424" spans="1:8" s="8" customFormat="1" ht="15.6" x14ac:dyDescent="0.3">
      <c r="A424" s="16"/>
      <c r="B424" s="16"/>
      <c r="C424" s="16"/>
      <c r="D424" s="16"/>
      <c r="E424" s="16"/>
      <c r="F424" s="16"/>
      <c r="G424" s="16"/>
      <c r="H424" s="16"/>
    </row>
    <row r="425" spans="1:8" s="8" customFormat="1" ht="15.6" x14ac:dyDescent="0.3">
      <c r="A425" s="16"/>
      <c r="B425" s="16"/>
      <c r="C425" s="16"/>
      <c r="D425" s="16"/>
      <c r="E425" s="16"/>
      <c r="F425" s="16"/>
      <c r="G425" s="16"/>
      <c r="H425" s="16"/>
    </row>
    <row r="426" spans="1:8" s="8" customFormat="1" ht="15.6" x14ac:dyDescent="0.3">
      <c r="A426" s="16"/>
      <c r="B426" s="16"/>
      <c r="C426" s="16"/>
      <c r="D426" s="16"/>
      <c r="E426" s="16"/>
      <c r="F426" s="16"/>
      <c r="G426" s="16"/>
      <c r="H426" s="16"/>
    </row>
    <row r="427" spans="1:8" s="8" customFormat="1" ht="15.6" x14ac:dyDescent="0.3">
      <c r="A427" s="16"/>
      <c r="B427" s="16"/>
      <c r="C427" s="16"/>
      <c r="D427" s="16"/>
      <c r="E427" s="16"/>
      <c r="F427" s="16"/>
      <c r="G427" s="16"/>
      <c r="H427" s="16"/>
    </row>
    <row r="428" spans="1:8" s="8" customFormat="1" ht="15.6" x14ac:dyDescent="0.3">
      <c r="A428" s="16"/>
      <c r="B428" s="16"/>
      <c r="C428" s="16"/>
      <c r="D428" s="16"/>
      <c r="E428" s="16"/>
      <c r="F428" s="16"/>
      <c r="G428" s="16"/>
      <c r="H428" s="16"/>
    </row>
    <row r="429" spans="1:8" s="8" customFormat="1" ht="15.6" x14ac:dyDescent="0.3">
      <c r="A429" s="16"/>
      <c r="B429" s="16"/>
      <c r="C429" s="16"/>
      <c r="D429" s="16"/>
      <c r="E429" s="16"/>
      <c r="F429" s="16"/>
      <c r="G429" s="16"/>
      <c r="H429" s="16"/>
    </row>
    <row r="430" spans="1:8" s="8" customFormat="1" ht="15.6" x14ac:dyDescent="0.3">
      <c r="A430" s="16"/>
      <c r="B430" s="16"/>
      <c r="C430" s="16"/>
      <c r="D430" s="16"/>
      <c r="E430" s="16"/>
      <c r="F430" s="16"/>
      <c r="G430" s="16"/>
      <c r="H430" s="16"/>
    </row>
    <row r="431" spans="1:8" s="8" customFormat="1" ht="15.6" x14ac:dyDescent="0.3">
      <c r="A431" s="16"/>
      <c r="B431" s="16"/>
      <c r="C431" s="16"/>
      <c r="D431" s="16"/>
      <c r="E431" s="16"/>
      <c r="F431" s="16"/>
      <c r="G431" s="16"/>
      <c r="H431" s="16"/>
    </row>
    <row r="432" spans="1:8" s="8" customFormat="1" ht="15.6" x14ac:dyDescent="0.3">
      <c r="A432" s="16"/>
      <c r="B432" s="16"/>
      <c r="C432" s="16"/>
      <c r="D432" s="16"/>
      <c r="E432" s="16"/>
      <c r="F432" s="16"/>
      <c r="G432" s="16"/>
      <c r="H432" s="16"/>
    </row>
    <row r="433" spans="1:8" s="8" customFormat="1" ht="15.6" x14ac:dyDescent="0.3">
      <c r="A433" s="16"/>
      <c r="B433" s="16"/>
      <c r="C433" s="16"/>
      <c r="D433" s="16"/>
      <c r="E433" s="16"/>
      <c r="F433" s="16"/>
      <c r="G433" s="16"/>
      <c r="H433" s="16"/>
    </row>
    <row r="434" spans="1:8" s="8" customFormat="1" ht="15.6" x14ac:dyDescent="0.3">
      <c r="A434" s="16"/>
      <c r="B434" s="16"/>
      <c r="C434" s="16"/>
      <c r="D434" s="16"/>
      <c r="E434" s="16"/>
      <c r="F434" s="16"/>
      <c r="G434" s="16"/>
      <c r="H434" s="16"/>
    </row>
    <row r="435" spans="1:8" s="8" customFormat="1" ht="15.6" x14ac:dyDescent="0.3">
      <c r="A435" s="16"/>
      <c r="B435" s="16"/>
      <c r="C435" s="16"/>
      <c r="D435" s="16"/>
      <c r="E435" s="16"/>
      <c r="F435" s="16"/>
      <c r="G435" s="16"/>
      <c r="H435" s="16"/>
    </row>
    <row r="436" spans="1:8" s="8" customFormat="1" ht="15.6" x14ac:dyDescent="0.3">
      <c r="A436" s="16"/>
      <c r="B436" s="16"/>
      <c r="C436" s="16"/>
      <c r="D436" s="16"/>
      <c r="E436" s="16"/>
      <c r="F436" s="16"/>
      <c r="G436" s="16"/>
      <c r="H436" s="16"/>
    </row>
    <row r="437" spans="1:8" s="8" customFormat="1" ht="15.6" x14ac:dyDescent="0.3">
      <c r="A437" s="16"/>
      <c r="B437" s="16"/>
      <c r="C437" s="16"/>
      <c r="D437" s="16"/>
      <c r="E437" s="16"/>
      <c r="F437" s="16"/>
      <c r="G437" s="16"/>
      <c r="H437" s="16"/>
    </row>
    <row r="438" spans="1:8" s="8" customFormat="1" ht="15.6" x14ac:dyDescent="0.3">
      <c r="A438" s="16"/>
      <c r="B438" s="16"/>
      <c r="C438" s="16"/>
      <c r="D438" s="16"/>
      <c r="E438" s="16"/>
      <c r="F438" s="16"/>
      <c r="G438" s="16"/>
      <c r="H438" s="16"/>
    </row>
    <row r="439" spans="1:8" s="8" customFormat="1" ht="15.6" x14ac:dyDescent="0.3">
      <c r="A439" s="16"/>
      <c r="B439" s="16"/>
      <c r="C439" s="16"/>
      <c r="D439" s="16"/>
      <c r="E439" s="16"/>
      <c r="F439" s="16"/>
      <c r="G439" s="16"/>
      <c r="H439" s="16"/>
    </row>
    <row r="440" spans="1:8" s="8" customFormat="1" ht="15.6" x14ac:dyDescent="0.3">
      <c r="A440" s="16"/>
      <c r="B440" s="16"/>
      <c r="C440" s="16"/>
      <c r="D440" s="16"/>
      <c r="E440" s="16"/>
      <c r="F440" s="16"/>
      <c r="G440" s="16"/>
      <c r="H440" s="16"/>
    </row>
    <row r="441" spans="1:8" s="8" customFormat="1" ht="15.6" x14ac:dyDescent="0.3">
      <c r="A441" s="16"/>
      <c r="B441" s="16"/>
      <c r="C441" s="16"/>
      <c r="D441" s="16"/>
      <c r="E441" s="16"/>
      <c r="F441" s="16"/>
      <c r="G441" s="16"/>
      <c r="H441" s="16"/>
    </row>
    <row r="442" spans="1:8" s="8" customFormat="1" ht="15.6" x14ac:dyDescent="0.3">
      <c r="A442" s="16"/>
      <c r="B442" s="16"/>
      <c r="C442" s="16"/>
      <c r="D442" s="16"/>
      <c r="E442" s="16"/>
      <c r="F442" s="16"/>
      <c r="G442" s="16"/>
      <c r="H442" s="16"/>
    </row>
    <row r="443" spans="1:8" s="8" customFormat="1" ht="15.6" x14ac:dyDescent="0.3">
      <c r="A443" s="16"/>
      <c r="B443" s="16"/>
      <c r="C443" s="16"/>
      <c r="D443" s="16"/>
      <c r="E443" s="16"/>
      <c r="F443" s="16"/>
      <c r="G443" s="16"/>
      <c r="H443" s="16"/>
    </row>
    <row r="444" spans="1:8" s="8" customFormat="1" ht="15.6" x14ac:dyDescent="0.3">
      <c r="A444" s="16"/>
      <c r="B444" s="16"/>
      <c r="C444" s="16"/>
      <c r="D444" s="16"/>
      <c r="E444" s="16"/>
      <c r="F444" s="16"/>
      <c r="G444" s="16"/>
      <c r="H444" s="16"/>
    </row>
    <row r="445" spans="1:8" s="8" customFormat="1" ht="15.6" x14ac:dyDescent="0.3">
      <c r="A445" s="16"/>
      <c r="B445" s="16"/>
      <c r="C445" s="16"/>
      <c r="D445" s="16"/>
      <c r="E445" s="16"/>
      <c r="F445" s="16"/>
      <c r="G445" s="16"/>
      <c r="H445" s="16"/>
    </row>
  </sheetData>
  <mergeCells count="513">
    <mergeCell ref="A308:H308"/>
    <mergeCell ref="A309:B309"/>
    <mergeCell ref="C309:D309"/>
    <mergeCell ref="E309:F309"/>
    <mergeCell ref="G309:H309"/>
    <mergeCell ref="A310:H313"/>
    <mergeCell ref="A302:H302"/>
    <mergeCell ref="A303:H303"/>
    <mergeCell ref="A304:H304"/>
    <mergeCell ref="A305:H305"/>
    <mergeCell ref="A306:H306"/>
    <mergeCell ref="A307:H307"/>
    <mergeCell ref="B299:H299"/>
    <mergeCell ref="B300:H300"/>
    <mergeCell ref="B301:H301"/>
    <mergeCell ref="A290:B290"/>
    <mergeCell ref="A291:B291"/>
    <mergeCell ref="A292:B292"/>
    <mergeCell ref="A293:B293"/>
    <mergeCell ref="A294:H294"/>
    <mergeCell ref="B295:H295"/>
    <mergeCell ref="A285:H285"/>
    <mergeCell ref="A286:B286"/>
    <mergeCell ref="G286:H293"/>
    <mergeCell ref="A287:B287"/>
    <mergeCell ref="A288:B288"/>
    <mergeCell ref="A289:B289"/>
    <mergeCell ref="B296:H296"/>
    <mergeCell ref="B297:H297"/>
    <mergeCell ref="B298:H298"/>
    <mergeCell ref="A279:H279"/>
    <mergeCell ref="L279:M279"/>
    <mergeCell ref="A280:H280"/>
    <mergeCell ref="L280:M280"/>
    <mergeCell ref="A281:B281"/>
    <mergeCell ref="G281:H284"/>
    <mergeCell ref="L281:M281"/>
    <mergeCell ref="A282:B282"/>
    <mergeCell ref="L282:M282"/>
    <mergeCell ref="A283:B283"/>
    <mergeCell ref="L283:M283"/>
    <mergeCell ref="A284:B284"/>
    <mergeCell ref="L284:M284"/>
    <mergeCell ref="A272:B272"/>
    <mergeCell ref="A273:B273"/>
    <mergeCell ref="A274:B274"/>
    <mergeCell ref="A275:B275"/>
    <mergeCell ref="A276:B276"/>
    <mergeCell ref="A277:B277"/>
    <mergeCell ref="A263:H263"/>
    <mergeCell ref="A264:B264"/>
    <mergeCell ref="G264:H278"/>
    <mergeCell ref="A265:B265"/>
    <mergeCell ref="A266:B266"/>
    <mergeCell ref="A267:B267"/>
    <mergeCell ref="A268:B268"/>
    <mergeCell ref="A269:B269"/>
    <mergeCell ref="A270:B270"/>
    <mergeCell ref="A271:B271"/>
    <mergeCell ref="A278:B278"/>
    <mergeCell ref="L261:M261"/>
    <mergeCell ref="A262:H262"/>
    <mergeCell ref="L262:M262"/>
    <mergeCell ref="A253:B253"/>
    <mergeCell ref="A254:B254"/>
    <mergeCell ref="A255:B255"/>
    <mergeCell ref="A256:B256"/>
    <mergeCell ref="A257:B257"/>
    <mergeCell ref="A258:B258"/>
    <mergeCell ref="A248:H248"/>
    <mergeCell ref="A249:B249"/>
    <mergeCell ref="G249:H260"/>
    <mergeCell ref="A250:B250"/>
    <mergeCell ref="A251:B251"/>
    <mergeCell ref="A252:B252"/>
    <mergeCell ref="A259:B259"/>
    <mergeCell ref="A260:B260"/>
    <mergeCell ref="A261:H261"/>
    <mergeCell ref="A242:H242"/>
    <mergeCell ref="L242:M242"/>
    <mergeCell ref="A243:H243"/>
    <mergeCell ref="L243:M243"/>
    <mergeCell ref="A244:B244"/>
    <mergeCell ref="G244:H247"/>
    <mergeCell ref="L244:M244"/>
    <mergeCell ref="A245:B245"/>
    <mergeCell ref="L245:M245"/>
    <mergeCell ref="A246:B246"/>
    <mergeCell ref="L246:M246"/>
    <mergeCell ref="A247:B247"/>
    <mergeCell ref="L247:M247"/>
    <mergeCell ref="A233:H233"/>
    <mergeCell ref="A234:B234"/>
    <mergeCell ref="G234:H241"/>
    <mergeCell ref="A235:B235"/>
    <mergeCell ref="A236:B236"/>
    <mergeCell ref="A237:B237"/>
    <mergeCell ref="A238:B238"/>
    <mergeCell ref="A239:B239"/>
    <mergeCell ref="A240:B240"/>
    <mergeCell ref="A241:B241"/>
    <mergeCell ref="A228:H228"/>
    <mergeCell ref="L228:M228"/>
    <mergeCell ref="A229:B229"/>
    <mergeCell ref="G229:H232"/>
    <mergeCell ref="L229:M229"/>
    <mergeCell ref="A230:B230"/>
    <mergeCell ref="L230:M230"/>
    <mergeCell ref="A231:B231"/>
    <mergeCell ref="L231:M231"/>
    <mergeCell ref="A232:B232"/>
    <mergeCell ref="L232:M232"/>
    <mergeCell ref="A224:B224"/>
    <mergeCell ref="A225:B225"/>
    <mergeCell ref="A226:H226"/>
    <mergeCell ref="L226:M226"/>
    <mergeCell ref="A227:H227"/>
    <mergeCell ref="L227:M227"/>
    <mergeCell ref="A215:H215"/>
    <mergeCell ref="A216:B216"/>
    <mergeCell ref="G216:H225"/>
    <mergeCell ref="A217:B217"/>
    <mergeCell ref="A218:B218"/>
    <mergeCell ref="A219:B219"/>
    <mergeCell ref="A220:B220"/>
    <mergeCell ref="A221:B221"/>
    <mergeCell ref="A222:B222"/>
    <mergeCell ref="A223:B223"/>
    <mergeCell ref="A212:B212"/>
    <mergeCell ref="G212:H214"/>
    <mergeCell ref="L212:M212"/>
    <mergeCell ref="A213:B213"/>
    <mergeCell ref="L213:M213"/>
    <mergeCell ref="A214:B214"/>
    <mergeCell ref="L214:M214"/>
    <mergeCell ref="A207:B207"/>
    <mergeCell ref="A208:B208"/>
    <mergeCell ref="A209:B209"/>
    <mergeCell ref="A210:H210"/>
    <mergeCell ref="L210:M210"/>
    <mergeCell ref="A211:H211"/>
    <mergeCell ref="L211:M211"/>
    <mergeCell ref="A188:H188"/>
    <mergeCell ref="L188:M188"/>
    <mergeCell ref="A189:H189"/>
    <mergeCell ref="L189:M189"/>
    <mergeCell ref="A190:H190"/>
    <mergeCell ref="A191:B191"/>
    <mergeCell ref="G191:H209"/>
    <mergeCell ref="A192:B192"/>
    <mergeCell ref="A193:B193"/>
    <mergeCell ref="A194:B194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67:H167"/>
    <mergeCell ref="A168:B168"/>
    <mergeCell ref="G168:H187"/>
    <mergeCell ref="A169:B169"/>
    <mergeCell ref="A170:B170"/>
    <mergeCell ref="A171:B171"/>
    <mergeCell ref="A172:B172"/>
    <mergeCell ref="A173:B173"/>
    <mergeCell ref="A174:B174"/>
    <mergeCell ref="A175:B175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64:H164"/>
    <mergeCell ref="L164:M164"/>
    <mergeCell ref="A165:H165"/>
    <mergeCell ref="L165:M165"/>
    <mergeCell ref="A166:H166"/>
    <mergeCell ref="L166:M166"/>
    <mergeCell ref="A160:B160"/>
    <mergeCell ref="G160:H160"/>
    <mergeCell ref="L160:M160"/>
    <mergeCell ref="A161:H161"/>
    <mergeCell ref="A162:A163"/>
    <mergeCell ref="B162:B163"/>
    <mergeCell ref="C162:C163"/>
    <mergeCell ref="D162:D163"/>
    <mergeCell ref="E162:E163"/>
    <mergeCell ref="G162:H163"/>
    <mergeCell ref="A158:B158"/>
    <mergeCell ref="G158:H158"/>
    <mergeCell ref="L158:M158"/>
    <mergeCell ref="A159:B159"/>
    <mergeCell ref="G159:H159"/>
    <mergeCell ref="L159:M159"/>
    <mergeCell ref="A156:B156"/>
    <mergeCell ref="G156:H156"/>
    <mergeCell ref="L156:M156"/>
    <mergeCell ref="A157:B157"/>
    <mergeCell ref="G157:H157"/>
    <mergeCell ref="L157:M157"/>
    <mergeCell ref="A153:H153"/>
    <mergeCell ref="A154:B154"/>
    <mergeCell ref="G154:H154"/>
    <mergeCell ref="L154:M154"/>
    <mergeCell ref="A155:B155"/>
    <mergeCell ref="G155:H155"/>
    <mergeCell ref="L155:M155"/>
    <mergeCell ref="A149:H149"/>
    <mergeCell ref="A150:H150"/>
    <mergeCell ref="A151:A152"/>
    <mergeCell ref="B151:B152"/>
    <mergeCell ref="C151:C152"/>
    <mergeCell ref="D151:D152"/>
    <mergeCell ref="E151:E152"/>
    <mergeCell ref="G151:H152"/>
    <mergeCell ref="A147:B147"/>
    <mergeCell ref="C147:D147"/>
    <mergeCell ref="E147:F147"/>
    <mergeCell ref="G147:H147"/>
    <mergeCell ref="A148:B148"/>
    <mergeCell ref="C148:D148"/>
    <mergeCell ref="E148:F148"/>
    <mergeCell ref="G148:H148"/>
    <mergeCell ref="A145:B145"/>
    <mergeCell ref="C145:D145"/>
    <mergeCell ref="E145:F145"/>
    <mergeCell ref="G145:H145"/>
    <mergeCell ref="A146:B146"/>
    <mergeCell ref="C146:D146"/>
    <mergeCell ref="E146:F146"/>
    <mergeCell ref="G146:H146"/>
    <mergeCell ref="A142:B142"/>
    <mergeCell ref="C142:D142"/>
    <mergeCell ref="E142:F142"/>
    <mergeCell ref="G142:H142"/>
    <mergeCell ref="A143:H143"/>
    <mergeCell ref="A144:B144"/>
    <mergeCell ref="C144:D144"/>
    <mergeCell ref="E144:F144"/>
    <mergeCell ref="G144:H144"/>
    <mergeCell ref="A140:B140"/>
    <mergeCell ref="C140:D140"/>
    <mergeCell ref="E140:F140"/>
    <mergeCell ref="G140:H140"/>
    <mergeCell ref="A141:B141"/>
    <mergeCell ref="C141:D141"/>
    <mergeCell ref="E141:F141"/>
    <mergeCell ref="G141:H141"/>
    <mergeCell ref="A137:H137"/>
    <mergeCell ref="A138:B138"/>
    <mergeCell ref="C138:D138"/>
    <mergeCell ref="E138:F138"/>
    <mergeCell ref="G138:H138"/>
    <mergeCell ref="A139:H139"/>
    <mergeCell ref="A134:H134"/>
    <mergeCell ref="A135:B135"/>
    <mergeCell ref="C135:D135"/>
    <mergeCell ref="E135:F135"/>
    <mergeCell ref="G135:H135"/>
    <mergeCell ref="A136:B136"/>
    <mergeCell ref="C136:D136"/>
    <mergeCell ref="E136:F136"/>
    <mergeCell ref="G136:H136"/>
    <mergeCell ref="A131:E131"/>
    <mergeCell ref="F131:H131"/>
    <mergeCell ref="A132:E132"/>
    <mergeCell ref="F132:H132"/>
    <mergeCell ref="A133:E133"/>
    <mergeCell ref="F133:H133"/>
    <mergeCell ref="A128:E128"/>
    <mergeCell ref="F128:H128"/>
    <mergeCell ref="A129:E129"/>
    <mergeCell ref="F129:H129"/>
    <mergeCell ref="A130:E130"/>
    <mergeCell ref="F130:H130"/>
    <mergeCell ref="A125:E125"/>
    <mergeCell ref="F125:H125"/>
    <mergeCell ref="A126:E126"/>
    <mergeCell ref="F126:H126"/>
    <mergeCell ref="A127:E127"/>
    <mergeCell ref="F127:H127"/>
    <mergeCell ref="A122:E122"/>
    <mergeCell ref="F122:H122"/>
    <mergeCell ref="A123:E123"/>
    <mergeCell ref="F123:H123"/>
    <mergeCell ref="A124:E124"/>
    <mergeCell ref="F124:H124"/>
    <mergeCell ref="F117:H117"/>
    <mergeCell ref="A118:H118"/>
    <mergeCell ref="A119:B119"/>
    <mergeCell ref="C119:H119"/>
    <mergeCell ref="A120:H120"/>
    <mergeCell ref="A121:E121"/>
    <mergeCell ref="F121:H121"/>
    <mergeCell ref="A112:B112"/>
    <mergeCell ref="A113:B113"/>
    <mergeCell ref="A114:B114"/>
    <mergeCell ref="A115:B115"/>
    <mergeCell ref="A116:B116"/>
    <mergeCell ref="A117:E117"/>
    <mergeCell ref="A106:B106"/>
    <mergeCell ref="E106:F106"/>
    <mergeCell ref="G106:H106"/>
    <mergeCell ref="A107:B107"/>
    <mergeCell ref="E107:F116"/>
    <mergeCell ref="G107:H116"/>
    <mergeCell ref="A108:B108"/>
    <mergeCell ref="A109:B109"/>
    <mergeCell ref="A110:B110"/>
    <mergeCell ref="A111:B111"/>
    <mergeCell ref="A101:B101"/>
    <mergeCell ref="A102:B102"/>
    <mergeCell ref="A103:B103"/>
    <mergeCell ref="C103:H103"/>
    <mergeCell ref="A105:B105"/>
    <mergeCell ref="C105:H105"/>
    <mergeCell ref="A93:B93"/>
    <mergeCell ref="E93:F102"/>
    <mergeCell ref="G93:H102"/>
    <mergeCell ref="A94:B94"/>
    <mergeCell ref="A95:B95"/>
    <mergeCell ref="A96:B96"/>
    <mergeCell ref="A97:B97"/>
    <mergeCell ref="A98:B98"/>
    <mergeCell ref="A99:B99"/>
    <mergeCell ref="A100:B100"/>
    <mergeCell ref="C89:H89"/>
    <mergeCell ref="A91:B91"/>
    <mergeCell ref="C91:H91"/>
    <mergeCell ref="A92:B92"/>
    <mergeCell ref="E92:F92"/>
    <mergeCell ref="G92:H92"/>
    <mergeCell ref="A84:B84"/>
    <mergeCell ref="A85:B85"/>
    <mergeCell ref="A86:B86"/>
    <mergeCell ref="A87:B87"/>
    <mergeCell ref="A88:B88"/>
    <mergeCell ref="A89:B89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83:B83"/>
    <mergeCell ref="A73:B73"/>
    <mergeCell ref="A74:B74"/>
    <mergeCell ref="A75:B75"/>
    <mergeCell ref="C75:H75"/>
    <mergeCell ref="A77:B77"/>
    <mergeCell ref="C77:H77"/>
    <mergeCell ref="A65:B65"/>
    <mergeCell ref="E65:F74"/>
    <mergeCell ref="G65:H74"/>
    <mergeCell ref="A66:B66"/>
    <mergeCell ref="A67:B67"/>
    <mergeCell ref="A68:B68"/>
    <mergeCell ref="A69:B69"/>
    <mergeCell ref="A70:B70"/>
    <mergeCell ref="A71:B71"/>
    <mergeCell ref="A72:B72"/>
    <mergeCell ref="A61:B61"/>
    <mergeCell ref="C61:H61"/>
    <mergeCell ref="A63:B63"/>
    <mergeCell ref="C63:H63"/>
    <mergeCell ref="A64:B64"/>
    <mergeCell ref="E64:F64"/>
    <mergeCell ref="G64:H64"/>
    <mergeCell ref="A58:C58"/>
    <mergeCell ref="D58:H58"/>
    <mergeCell ref="A59:C59"/>
    <mergeCell ref="D59:H59"/>
    <mergeCell ref="A60:C60"/>
    <mergeCell ref="D60:H60"/>
    <mergeCell ref="A53:C56"/>
    <mergeCell ref="D53:H53"/>
    <mergeCell ref="D54:H54"/>
    <mergeCell ref="D55:H55"/>
    <mergeCell ref="D56:H56"/>
    <mergeCell ref="A57:C57"/>
    <mergeCell ref="D57:H57"/>
    <mergeCell ref="A49:H49"/>
    <mergeCell ref="A50:C50"/>
    <mergeCell ref="D50:H50"/>
    <mergeCell ref="A51:C51"/>
    <mergeCell ref="D51:H51"/>
    <mergeCell ref="A52:C52"/>
    <mergeCell ref="D52:H52"/>
    <mergeCell ref="A46:B47"/>
    <mergeCell ref="C46:E46"/>
    <mergeCell ref="G46:H46"/>
    <mergeCell ref="C47:H47"/>
    <mergeCell ref="A48:B48"/>
    <mergeCell ref="C48:E48"/>
    <mergeCell ref="G48:H48"/>
    <mergeCell ref="A43:H43"/>
    <mergeCell ref="A44:B44"/>
    <mergeCell ref="C44:E44"/>
    <mergeCell ref="G44:H44"/>
    <mergeCell ref="A45:B45"/>
    <mergeCell ref="C45:E45"/>
    <mergeCell ref="G45:H45"/>
    <mergeCell ref="A40:D40"/>
    <mergeCell ref="E40:H40"/>
    <mergeCell ref="A41:D41"/>
    <mergeCell ref="E41:H41"/>
    <mergeCell ref="A42:D42"/>
    <mergeCell ref="E42:H42"/>
    <mergeCell ref="A37:D37"/>
    <mergeCell ref="E37:H37"/>
    <mergeCell ref="A38:D38"/>
    <mergeCell ref="E38:H38"/>
    <mergeCell ref="A39:D39"/>
    <mergeCell ref="E39:H39"/>
    <mergeCell ref="A34:H34"/>
    <mergeCell ref="A35:B35"/>
    <mergeCell ref="C35:D35"/>
    <mergeCell ref="E35:F35"/>
    <mergeCell ref="G35:H35"/>
    <mergeCell ref="A36:H36"/>
    <mergeCell ref="A32:B32"/>
    <mergeCell ref="C32:E32"/>
    <mergeCell ref="F32:H32"/>
    <mergeCell ref="A33:B33"/>
    <mergeCell ref="C33:E33"/>
    <mergeCell ref="F33:H33"/>
    <mergeCell ref="A30:B30"/>
    <mergeCell ref="C30:E30"/>
    <mergeCell ref="F30:H30"/>
    <mergeCell ref="A31:B31"/>
    <mergeCell ref="C31:E31"/>
    <mergeCell ref="F31:H31"/>
    <mergeCell ref="A27:D27"/>
    <mergeCell ref="E27:H27"/>
    <mergeCell ref="A28:D28"/>
    <mergeCell ref="E28:H28"/>
    <mergeCell ref="A29:B29"/>
    <mergeCell ref="C29:E29"/>
    <mergeCell ref="F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B18"/>
    <mergeCell ref="C18:D18"/>
    <mergeCell ref="E18:F18"/>
    <mergeCell ref="G18:H18"/>
    <mergeCell ref="A19:D20"/>
    <mergeCell ref="E19:H20"/>
    <mergeCell ref="A16:B16"/>
    <mergeCell ref="C16:D16"/>
    <mergeCell ref="E16:F16"/>
    <mergeCell ref="G16:H16"/>
    <mergeCell ref="A17:B17"/>
    <mergeCell ref="C17:D17"/>
    <mergeCell ref="E17:F17"/>
    <mergeCell ref="G17:H17"/>
    <mergeCell ref="A14:B14"/>
    <mergeCell ref="C14:H14"/>
    <mergeCell ref="A15:B15"/>
    <mergeCell ref="C15:D15"/>
    <mergeCell ref="E15:F15"/>
    <mergeCell ref="G15:H15"/>
    <mergeCell ref="A11:D11"/>
    <mergeCell ref="E11:H11"/>
    <mergeCell ref="A12:D12"/>
    <mergeCell ref="E12:H12"/>
    <mergeCell ref="A13:B13"/>
    <mergeCell ref="C13:H13"/>
    <mergeCell ref="A10:D10"/>
    <mergeCell ref="E10:F10"/>
    <mergeCell ref="G10:H10"/>
    <mergeCell ref="A5:D5"/>
    <mergeCell ref="E5:H5"/>
    <mergeCell ref="A6:D6"/>
    <mergeCell ref="E6:H6"/>
    <mergeCell ref="A7:D7"/>
    <mergeCell ref="E7:H7"/>
    <mergeCell ref="A1:H1"/>
    <mergeCell ref="A2:H2"/>
    <mergeCell ref="A3:D3"/>
    <mergeCell ref="E3:H3"/>
    <mergeCell ref="A4:D4"/>
    <mergeCell ref="E4:H4"/>
    <mergeCell ref="A8:D8"/>
    <mergeCell ref="E8:H8"/>
    <mergeCell ref="A9:D9"/>
    <mergeCell ref="E9: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L36"/>
  <sheetViews>
    <sheetView topLeftCell="A7" workbookViewId="0">
      <selection activeCell="C21" sqref="C21:D25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79</v>
      </c>
      <c r="C2" s="214"/>
      <c r="D2" s="214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80</v>
      </c>
      <c r="B4" s="5" t="s">
        <v>81</v>
      </c>
      <c r="C4" s="215" t="s">
        <v>82</v>
      </c>
      <c r="D4" s="215"/>
      <c r="E4" s="215"/>
      <c r="F4" s="6"/>
      <c r="G4" s="215" t="s">
        <v>83</v>
      </c>
      <c r="H4" s="215"/>
      <c r="I4" s="215"/>
      <c r="J4" s="215" t="s">
        <v>84</v>
      </c>
      <c r="K4" s="215"/>
      <c r="L4" s="215"/>
    </row>
    <row r="5" spans="1:12" x14ac:dyDescent="0.3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">
      <c r="B6" s="7" t="s">
        <v>87</v>
      </c>
      <c r="C6" s="7"/>
      <c r="D6" s="7"/>
      <c r="E6" s="7">
        <f>C6*D6</f>
        <v>0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90</v>
      </c>
      <c r="C9" s="7"/>
      <c r="D9" s="7"/>
      <c r="E9" s="7">
        <f t="shared" si="0"/>
        <v>0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91</v>
      </c>
      <c r="C13" s="7"/>
      <c r="D13" s="7"/>
      <c r="E13" s="7">
        <f t="shared" si="0"/>
        <v>0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93</v>
      </c>
      <c r="C23" s="7"/>
      <c r="D23" s="7"/>
      <c r="E23" s="7">
        <f t="shared" si="0"/>
        <v>0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95</v>
      </c>
      <c r="C24" s="7"/>
      <c r="D24" s="7"/>
      <c r="E24" s="7">
        <f t="shared" si="0"/>
        <v>0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4"/>
  <sheetViews>
    <sheetView topLeftCell="D1" zoomScale="115" zoomScaleNormal="115" workbookViewId="0">
      <selection activeCell="G7" sqref="G7 G9"/>
    </sheetView>
  </sheetViews>
  <sheetFormatPr defaultColWidth="8.6640625" defaultRowHeight="14.4" x14ac:dyDescent="0.3"/>
  <cols>
    <col min="1" max="1" width="8.6640625" style="24"/>
    <col min="2" max="2" width="22.109375" style="24" customWidth="1"/>
    <col min="3" max="3" width="37" style="24" customWidth="1"/>
    <col min="4" max="5" width="11.44140625" style="24" customWidth="1"/>
    <col min="6" max="6" width="14" style="24" customWidth="1"/>
    <col min="7" max="7" width="20" style="24" customWidth="1"/>
    <col min="8" max="8" width="16.44140625" style="24" customWidth="1"/>
    <col min="9" max="16384" width="8.6640625" style="24"/>
  </cols>
  <sheetData>
    <row r="1" spans="1:9" ht="15" customHeight="1" x14ac:dyDescent="0.3"/>
    <row r="2" spans="1:9" ht="15" customHeight="1" x14ac:dyDescent="0.3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3">
      <c r="A3" s="25"/>
      <c r="B3" s="216" t="s">
        <v>149</v>
      </c>
      <c r="C3" s="216"/>
      <c r="D3" s="216"/>
      <c r="E3" s="216"/>
      <c r="F3" s="216"/>
      <c r="G3" s="216"/>
      <c r="H3" s="216"/>
    </row>
    <row r="4" spans="1:9" x14ac:dyDescent="0.3">
      <c r="A4" s="25"/>
      <c r="B4" s="26" t="s">
        <v>150</v>
      </c>
      <c r="C4" s="26" t="s">
        <v>151</v>
      </c>
      <c r="D4" s="26" t="s">
        <v>80</v>
      </c>
      <c r="E4" s="26" t="s">
        <v>152</v>
      </c>
      <c r="F4" s="26" t="s">
        <v>156</v>
      </c>
      <c r="G4" s="26" t="s">
        <v>157</v>
      </c>
      <c r="H4" s="26" t="s">
        <v>153</v>
      </c>
    </row>
    <row r="5" spans="1:9" ht="15" customHeight="1" x14ac:dyDescent="0.3">
      <c r="A5" s="25"/>
      <c r="B5" s="68" t="s">
        <v>253</v>
      </c>
      <c r="C5" s="67" t="s">
        <v>209</v>
      </c>
      <c r="D5" s="68" t="s">
        <v>198</v>
      </c>
      <c r="E5" s="28">
        <v>330</v>
      </c>
      <c r="F5" s="29">
        <f>E5*1.45</f>
        <v>478.5</v>
      </c>
      <c r="G5" s="29">
        <f>H5/F5</f>
        <v>2445.1410658307209</v>
      </c>
      <c r="H5" s="30">
        <v>1170000</v>
      </c>
    </row>
    <row r="6" spans="1:9" x14ac:dyDescent="0.3">
      <c r="A6" s="25"/>
      <c r="B6" s="68" t="s">
        <v>253</v>
      </c>
      <c r="C6" s="67" t="s">
        <v>209</v>
      </c>
      <c r="D6" s="68" t="s">
        <v>197</v>
      </c>
      <c r="E6" s="28">
        <v>485</v>
      </c>
      <c r="F6" s="29">
        <f t="shared" ref="F6:F9" si="0">E6*1.45</f>
        <v>703.25</v>
      </c>
      <c r="G6" s="29">
        <f t="shared" ref="G6:G9" si="1">H6/F6</f>
        <v>2452.8972627088519</v>
      </c>
      <c r="H6" s="30">
        <v>1725000</v>
      </c>
    </row>
    <row r="7" spans="1:9" ht="15" customHeight="1" x14ac:dyDescent="0.3">
      <c r="A7" s="25"/>
      <c r="B7" s="68" t="s">
        <v>253</v>
      </c>
      <c r="C7" s="67" t="s">
        <v>209</v>
      </c>
      <c r="D7" s="68" t="s">
        <v>197</v>
      </c>
      <c r="E7" s="28">
        <v>560</v>
      </c>
      <c r="F7" s="29">
        <f t="shared" si="0"/>
        <v>812</v>
      </c>
      <c r="G7" s="29">
        <f>H7/F7</f>
        <v>3177.3399014778324</v>
      </c>
      <c r="H7" s="30">
        <v>2580000</v>
      </c>
    </row>
    <row r="8" spans="1:9" x14ac:dyDescent="0.3">
      <c r="A8" s="25"/>
      <c r="B8" s="68" t="s">
        <v>253</v>
      </c>
      <c r="C8" s="67" t="s">
        <v>209</v>
      </c>
      <c r="D8" s="68" t="s">
        <v>199</v>
      </c>
      <c r="E8" s="28">
        <v>585</v>
      </c>
      <c r="F8" s="29">
        <f t="shared" si="0"/>
        <v>848.25</v>
      </c>
      <c r="G8" s="29">
        <f t="shared" si="1"/>
        <v>2440.318302387268</v>
      </c>
      <c r="H8" s="30">
        <v>2070000</v>
      </c>
    </row>
    <row r="9" spans="1:9" ht="15" customHeight="1" x14ac:dyDescent="0.3">
      <c r="A9" s="25"/>
      <c r="B9" s="68" t="s">
        <v>253</v>
      </c>
      <c r="C9" s="31"/>
      <c r="D9" s="68" t="s">
        <v>199</v>
      </c>
      <c r="E9" s="28">
        <v>730</v>
      </c>
      <c r="F9" s="29">
        <f t="shared" si="0"/>
        <v>1058.5</v>
      </c>
      <c r="G9" s="29">
        <f t="shared" si="1"/>
        <v>3174.3032593292396</v>
      </c>
      <c r="H9" s="30">
        <v>3360000</v>
      </c>
    </row>
    <row r="10" spans="1:9" ht="15" customHeight="1" x14ac:dyDescent="0.3">
      <c r="A10" s="25"/>
      <c r="B10" s="32" t="s">
        <v>154</v>
      </c>
      <c r="C10" s="28"/>
      <c r="D10" s="28"/>
      <c r="E10" s="28"/>
      <c r="F10" s="28"/>
      <c r="G10" s="33">
        <f>AVERAGE(G5:G9)</f>
        <v>2737.9999583467825</v>
      </c>
      <c r="H10" s="28"/>
    </row>
    <row r="11" spans="1:9" ht="15" customHeight="1" x14ac:dyDescent="0.3">
      <c r="B11" s="32" t="s">
        <v>155</v>
      </c>
      <c r="C11" s="28"/>
      <c r="D11" s="28"/>
      <c r="E11" s="28"/>
      <c r="F11" s="34"/>
      <c r="G11" s="32"/>
      <c r="H11" s="32"/>
      <c r="I11" s="27"/>
    </row>
    <row r="12" spans="1:9" ht="15" customHeight="1" x14ac:dyDescent="0.3"/>
    <row r="13" spans="1:9" ht="15" customHeight="1" x14ac:dyDescent="0.3"/>
    <row r="14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Report</vt:lpstr>
      <vt:lpstr>Sheet1</vt:lpstr>
      <vt:lpstr>Flat detail</vt:lpstr>
      <vt:lpstr>valuation</vt:lpstr>
      <vt:lpstr>Note</vt:lpstr>
      <vt:lpstr>'Full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2025-07-14T05:11:16Z</cp:lastPrinted>
  <dcterms:created xsi:type="dcterms:W3CDTF">2019-07-16T09:29:46Z</dcterms:created>
  <dcterms:modified xsi:type="dcterms:W3CDTF">2025-07-14T05:11:24Z</dcterms:modified>
</cp:coreProperties>
</file>