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K:\VSJ Work\July 25\Axis\Dump\Excel\"/>
    </mc:Choice>
  </mc:AlternateContent>
  <xr:revisionPtr revIDLastSave="0" documentId="13_ncr:1_{833B2242-8007-4456-B227-C9D0E23677A5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Sheet1" sheetId="9" r:id="rId2"/>
    <sheet name="Flat detail" sheetId="3" r:id="rId3"/>
    <sheet name="valuation" sheetId="5" r:id="rId4"/>
    <sheet name="Note" sheetId="4" r:id="rId5"/>
  </sheets>
  <definedNames>
    <definedName name="_xlnm.Print_Area" localSheetId="0">Report!$A$1:$H$317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66" i="1" l="1"/>
  <c r="A167" i="1" s="1"/>
  <c r="A168" i="1" s="1"/>
  <c r="A169" i="1" s="1"/>
  <c r="A160" i="1"/>
  <c r="A161" i="1" s="1"/>
  <c r="A162" i="1" s="1"/>
  <c r="A163" i="1" s="1"/>
  <c r="A154" i="1"/>
  <c r="A155" i="1" s="1"/>
  <c r="A156" i="1" s="1"/>
  <c r="A157" i="1" s="1"/>
  <c r="A148" i="1"/>
  <c r="A149" i="1" s="1"/>
  <c r="A150" i="1" s="1"/>
  <c r="A151" i="1" s="1"/>
  <c r="A142" i="1"/>
  <c r="A143" i="1" s="1"/>
  <c r="A144" i="1" s="1"/>
  <c r="A145" i="1" s="1"/>
  <c r="A136" i="1"/>
  <c r="A137" i="1" s="1"/>
  <c r="A138" i="1" s="1"/>
  <c r="A139" i="1" s="1"/>
  <c r="D119" i="1"/>
  <c r="D118" i="1"/>
  <c r="F118" i="1" s="1"/>
  <c r="I169" i="1" l="1"/>
  <c r="I162" i="1"/>
  <c r="I156" i="1"/>
  <c r="I150" i="1"/>
  <c r="I144" i="1"/>
  <c r="I138" i="1"/>
  <c r="I132" i="1"/>
  <c r="I127" i="1"/>
  <c r="I167" i="1" l="1"/>
  <c r="D168" i="1"/>
  <c r="F168" i="1" s="1"/>
  <c r="I166" i="1" s="1"/>
  <c r="D167" i="1"/>
  <c r="F167" i="1" s="1"/>
  <c r="I165" i="1" s="1"/>
  <c r="D166" i="1"/>
  <c r="F166" i="1" s="1"/>
  <c r="I164" i="1" s="1"/>
  <c r="G165" i="1"/>
  <c r="D165" i="1"/>
  <c r="F165" i="1" s="1"/>
  <c r="I163" i="1" s="1"/>
  <c r="D163" i="1"/>
  <c r="F163" i="1" s="1"/>
  <c r="I161" i="1" s="1"/>
  <c r="D162" i="1"/>
  <c r="F162" i="1" s="1"/>
  <c r="I160" i="1" s="1"/>
  <c r="D161" i="1"/>
  <c r="F161" i="1" s="1"/>
  <c r="I159" i="1" s="1"/>
  <c r="D160" i="1"/>
  <c r="F160" i="1" s="1"/>
  <c r="I158" i="1" s="1"/>
  <c r="G159" i="1"/>
  <c r="D159" i="1"/>
  <c r="F159" i="1" s="1"/>
  <c r="I157" i="1" s="1"/>
  <c r="I155" i="1"/>
  <c r="I154" i="1"/>
  <c r="D155" i="1"/>
  <c r="F155" i="1" s="1"/>
  <c r="I153" i="1" s="1"/>
  <c r="D154" i="1"/>
  <c r="F154" i="1" s="1"/>
  <c r="I152" i="1" s="1"/>
  <c r="G153" i="1"/>
  <c r="D153" i="1"/>
  <c r="F153" i="1" s="1"/>
  <c r="I151" i="1" s="1"/>
  <c r="D151" i="1"/>
  <c r="F151" i="1" s="1"/>
  <c r="I149" i="1" s="1"/>
  <c r="D150" i="1"/>
  <c r="F150" i="1" s="1"/>
  <c r="I148" i="1" s="1"/>
  <c r="D149" i="1"/>
  <c r="F149" i="1" s="1"/>
  <c r="I147" i="1" s="1"/>
  <c r="D148" i="1"/>
  <c r="F148" i="1" s="1"/>
  <c r="I146" i="1" s="1"/>
  <c r="G147" i="1"/>
  <c r="D147" i="1"/>
  <c r="F147" i="1" s="1"/>
  <c r="I145" i="1" s="1"/>
  <c r="D145" i="1"/>
  <c r="F145" i="1" s="1"/>
  <c r="I143" i="1" s="1"/>
  <c r="D144" i="1"/>
  <c r="F144" i="1" s="1"/>
  <c r="I142" i="1" s="1"/>
  <c r="D143" i="1"/>
  <c r="F143" i="1" s="1"/>
  <c r="I141" i="1" s="1"/>
  <c r="D142" i="1"/>
  <c r="F142" i="1" s="1"/>
  <c r="I140" i="1" s="1"/>
  <c r="G141" i="1"/>
  <c r="D141" i="1"/>
  <c r="F141" i="1" s="1"/>
  <c r="I139" i="1" s="1"/>
  <c r="I137" i="1"/>
  <c r="I136" i="1"/>
  <c r="D137" i="1"/>
  <c r="F137" i="1" s="1"/>
  <c r="I135" i="1" s="1"/>
  <c r="D136" i="1"/>
  <c r="F136" i="1" s="1"/>
  <c r="I134" i="1" s="1"/>
  <c r="G135" i="1"/>
  <c r="D135" i="1"/>
  <c r="F135" i="1" s="1"/>
  <c r="I133" i="1" s="1"/>
  <c r="D133" i="1"/>
  <c r="F133" i="1" s="1"/>
  <c r="D132" i="1"/>
  <c r="F132" i="1" s="1"/>
  <c r="J131" i="1" s="1"/>
  <c r="D131" i="1"/>
  <c r="F131" i="1" s="1"/>
  <c r="J130" i="1" s="1"/>
  <c r="D130" i="1"/>
  <c r="F130" i="1" s="1"/>
  <c r="D129" i="1"/>
  <c r="F129" i="1" s="1"/>
  <c r="P163" i="1"/>
  <c r="O149" i="1"/>
  <c r="P156" i="1"/>
  <c r="P131" i="1"/>
  <c r="P137" i="1"/>
  <c r="O137" i="1"/>
  <c r="O156" i="1"/>
  <c r="P149" i="1"/>
  <c r="O125" i="1"/>
  <c r="O163" i="1"/>
  <c r="P143" i="1"/>
  <c r="O131" i="1"/>
  <c r="P125" i="1"/>
  <c r="O143" i="1"/>
  <c r="J129" i="1" l="1"/>
  <c r="G96" i="1"/>
  <c r="G97" i="1" s="1"/>
  <c r="J128" i="1"/>
  <c r="E96" i="1"/>
  <c r="E97" i="1" s="1"/>
  <c r="C96" i="1"/>
  <c r="C97" i="1" s="1"/>
  <c r="N149" i="1"/>
  <c r="O150" i="1"/>
  <c r="P150" i="1"/>
  <c r="P151" i="1" s="1"/>
  <c r="P152" i="1" s="1"/>
  <c r="P153" i="1" s="1"/>
  <c r="N143" i="1"/>
  <c r="O144" i="1"/>
  <c r="P144" i="1"/>
  <c r="P145" i="1" s="1"/>
  <c r="P146" i="1" s="1"/>
  <c r="P147" i="1" s="1"/>
  <c r="N137" i="1"/>
  <c r="O138" i="1"/>
  <c r="P138" i="1"/>
  <c r="P139" i="1" s="1"/>
  <c r="P140" i="1" s="1"/>
  <c r="P141" i="1" s="1"/>
  <c r="N131" i="1"/>
  <c r="O132" i="1"/>
  <c r="P132" i="1"/>
  <c r="P133" i="1" s="1"/>
  <c r="P134" i="1" s="1"/>
  <c r="P135" i="1" s="1"/>
  <c r="N125" i="1"/>
  <c r="O126" i="1"/>
  <c r="P126" i="1"/>
  <c r="P127" i="1" s="1"/>
  <c r="P128" i="1" s="1"/>
  <c r="P129" i="1" s="1"/>
  <c r="N163" i="1"/>
  <c r="O164" i="1"/>
  <c r="P164" i="1"/>
  <c r="P165" i="1" s="1"/>
  <c r="P166" i="1" s="1"/>
  <c r="P167" i="1" s="1"/>
  <c r="P168" i="1" s="1"/>
  <c r="P122" i="1"/>
  <c r="P123" i="1" s="1"/>
  <c r="N156" i="1"/>
  <c r="O157" i="1"/>
  <c r="P157" i="1"/>
  <c r="P158" i="1" s="1"/>
  <c r="P159" i="1" s="1"/>
  <c r="P160" i="1" s="1"/>
  <c r="P161" i="1" s="1"/>
  <c r="D121" i="1"/>
  <c r="F121" i="1" s="1"/>
  <c r="G92" i="1" s="1"/>
  <c r="D120" i="1"/>
  <c r="F120" i="1" s="1"/>
  <c r="D117" i="1"/>
  <c r="D116" i="1"/>
  <c r="D115" i="1"/>
  <c r="D114" i="1"/>
  <c r="D113" i="1"/>
  <c r="D112" i="1"/>
  <c r="D111" i="1"/>
  <c r="D110" i="1"/>
  <c r="D109" i="1"/>
  <c r="D108" i="1"/>
  <c r="D107" i="1"/>
  <c r="E91" i="1" l="1"/>
  <c r="C91" i="1"/>
  <c r="E92" i="1"/>
  <c r="C92" i="1"/>
  <c r="N150" i="1"/>
  <c r="O151" i="1"/>
  <c r="N144" i="1"/>
  <c r="O145" i="1"/>
  <c r="N138" i="1"/>
  <c r="O139" i="1"/>
  <c r="N132" i="1"/>
  <c r="O133" i="1"/>
  <c r="N126" i="1"/>
  <c r="O127" i="1"/>
  <c r="N164" i="1"/>
  <c r="O165" i="1"/>
  <c r="N157" i="1"/>
  <c r="O158" i="1"/>
  <c r="C93" i="1" l="1"/>
  <c r="C98" i="1" s="1"/>
  <c r="E93" i="1"/>
  <c r="E98" i="1" s="1"/>
  <c r="N151" i="1"/>
  <c r="O152" i="1"/>
  <c r="O153" i="1" s="1"/>
  <c r="N153" i="1" s="1"/>
  <c r="N145" i="1"/>
  <c r="O146" i="1"/>
  <c r="N139" i="1"/>
  <c r="O140" i="1"/>
  <c r="N133" i="1"/>
  <c r="O134" i="1"/>
  <c r="N127" i="1"/>
  <c r="O128" i="1"/>
  <c r="N165" i="1"/>
  <c r="O166" i="1"/>
  <c r="O122" i="1"/>
  <c r="N158" i="1"/>
  <c r="O159" i="1"/>
  <c r="C14" i="1"/>
  <c r="N152" i="1" l="1"/>
  <c r="N146" i="1"/>
  <c r="O147" i="1"/>
  <c r="N147" i="1" s="1"/>
  <c r="N140" i="1"/>
  <c r="O141" i="1"/>
  <c r="N141" i="1" s="1"/>
  <c r="N134" i="1"/>
  <c r="O135" i="1"/>
  <c r="N135" i="1" s="1"/>
  <c r="N128" i="1"/>
  <c r="O129" i="1"/>
  <c r="N129" i="1" s="1"/>
  <c r="N166" i="1"/>
  <c r="O167" i="1"/>
  <c r="N122" i="1"/>
  <c r="O123" i="1"/>
  <c r="N123" i="1" s="1"/>
  <c r="N159" i="1"/>
  <c r="O160" i="1"/>
  <c r="I128" i="1"/>
  <c r="I129" i="1"/>
  <c r="I130" i="1"/>
  <c r="I131" i="1"/>
  <c r="I168" i="1"/>
  <c r="N167" i="1" l="1"/>
  <c r="O168" i="1"/>
  <c r="N168" i="1" s="1"/>
  <c r="N160" i="1"/>
  <c r="O161" i="1"/>
  <c r="N161" i="1" s="1"/>
  <c r="A130" i="1"/>
  <c r="A131" i="1" s="1"/>
  <c r="A132" i="1" s="1"/>
  <c r="A133" i="1" s="1"/>
  <c r="F119" i="1" l="1"/>
  <c r="F117" i="1"/>
  <c r="F116" i="1"/>
  <c r="F115" i="1"/>
  <c r="F114" i="1"/>
  <c r="G129" i="1" l="1"/>
  <c r="O118" i="1" l="1"/>
  <c r="P118" i="1"/>
  <c r="P119" i="1" s="1"/>
  <c r="P120" i="1" s="1"/>
  <c r="P121" i="1" s="1"/>
  <c r="O119" i="1" l="1"/>
  <c r="N118" i="1"/>
  <c r="O120" i="1" l="1"/>
  <c r="N119" i="1"/>
  <c r="O121" i="1" l="1"/>
  <c r="N121" i="1" s="1"/>
  <c r="N120" i="1"/>
  <c r="D58" i="1" l="1"/>
  <c r="C61" i="1" l="1"/>
  <c r="J72" i="1"/>
  <c r="J71" i="1"/>
  <c r="H62" i="1"/>
  <c r="D67" i="1" l="1"/>
  <c r="D73" i="1"/>
  <c r="J65" i="1"/>
  <c r="D74" i="1"/>
  <c r="D70" i="1"/>
  <c r="J66" i="1"/>
  <c r="J64" i="1"/>
  <c r="D69" i="1"/>
  <c r="D72" i="1"/>
  <c r="D68" i="1"/>
  <c r="J67" i="1"/>
  <c r="J68" i="1" s="1"/>
  <c r="D71" i="1"/>
  <c r="G48" i="1"/>
  <c r="C65" i="1" l="1"/>
  <c r="D65" i="1" s="1"/>
  <c r="J73" i="1"/>
  <c r="J69" i="1"/>
  <c r="J70" i="1" s="1"/>
  <c r="A172" i="1"/>
  <c r="A175" i="1" l="1"/>
  <c r="A177" i="1" s="1"/>
  <c r="A173" i="1"/>
  <c r="A176" i="1"/>
  <c r="A178" i="1" s="1"/>
  <c r="A179" i="1" s="1"/>
  <c r="A180" i="1" s="1"/>
  <c r="J74" i="1"/>
  <c r="C66" i="1" s="1"/>
  <c r="E65" i="1" s="1"/>
  <c r="I61" i="1" l="1"/>
  <c r="C63" i="1" s="1"/>
  <c r="D66" i="1"/>
  <c r="G65" i="1"/>
  <c r="D60" i="1" l="1"/>
  <c r="F75" i="1" s="1"/>
  <c r="E41" i="1" l="1"/>
  <c r="E42" i="1" s="1"/>
  <c r="F107" i="1" l="1"/>
  <c r="G107" i="1"/>
  <c r="F108" i="1"/>
  <c r="F109" i="1"/>
  <c r="F110" i="1"/>
  <c r="F111" i="1"/>
  <c r="F112" i="1"/>
  <c r="F113" i="1"/>
  <c r="E3" i="1"/>
  <c r="G91" i="1" l="1"/>
  <c r="G93" i="1"/>
  <c r="G98" i="1" s="1"/>
  <c r="E25" i="1" l="1"/>
  <c r="E23" i="1"/>
  <c r="F6" i="5" l="1"/>
  <c r="G6" i="5" s="1"/>
  <c r="F7" i="5"/>
  <c r="G7" i="5" s="1"/>
  <c r="F8" i="5"/>
  <c r="G8" i="5" s="1"/>
  <c r="F9" i="5"/>
  <c r="G9" i="5" s="1"/>
  <c r="F10" i="5"/>
  <c r="G10" i="5" s="1"/>
  <c r="F11" i="5"/>
  <c r="G11" i="5" s="1"/>
  <c r="F5" i="5"/>
  <c r="G5" i="5" s="1"/>
  <c r="G12" i="5" l="1"/>
  <c r="E7" i="1" l="1"/>
  <c r="D193" i="1" l="1"/>
  <c r="F88" i="1"/>
  <c r="C48" i="1"/>
  <c r="L33" i="3" l="1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L34" i="3" l="1"/>
  <c r="K34" i="3" s="1"/>
  <c r="E34" i="3"/>
  <c r="I34" i="3"/>
  <c r="H34" i="3" s="1"/>
  <c r="D34" i="3" l="1"/>
  <c r="D36" i="3" s="1"/>
  <c r="E3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SACHIN</author>
  </authors>
  <commentList>
    <comment ref="F12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Give loading of 50% for A Category</t>
        </r>
      </text>
    </comment>
  </commentList>
</comments>
</file>

<file path=xl/sharedStrings.xml><?xml version="1.0" encoding="utf-8"?>
<sst xmlns="http://schemas.openxmlformats.org/spreadsheetml/2006/main" count="408" uniqueCount="262">
  <si>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</si>
  <si>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</si>
  <si>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</si>
  <si>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</si>
  <si>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</si>
  <si>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</si>
  <si>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</si>
  <si>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</si>
  <si>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</si>
  <si>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</si>
  <si>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</si>
  <si>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</si>
  <si>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</si>
  <si>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</si>
  <si>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</si>
  <si>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</si>
  <si>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</si>
  <si>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</si>
  <si>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</si>
  <si>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</si>
  <si>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</si>
  <si>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</si>
  <si>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</si>
  <si>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</si>
  <si>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</si>
  <si>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</si>
  <si>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</si>
  <si>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</si>
  <si>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</si>
  <si>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</si>
  <si>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</si>
  <si>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</si>
  <si>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</si>
  <si>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</si>
  <si>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</si>
  <si>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</si>
  <si>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</si>
  <si>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</si>
  <si>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</si>
  <si>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</si>
  <si>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</si>
  <si>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</si>
  <si>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</si>
  <si>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</si>
  <si>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</si>
  <si>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</si>
  <si>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</si>
  <si>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</si>
  <si>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</si>
  <si>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</si>
  <si>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</si>
  <si>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</si>
  <si>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</si>
  <si>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</si>
  <si>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</si>
  <si>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</si>
  <si>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</si>
  <si>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</si>
  <si>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</si>
  <si>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</si>
  <si>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</si>
  <si>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Description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</si>
  <si>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</si>
  <si>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</si>
  <si>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</si>
  <si>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</si>
  <si>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</si>
  <si>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</si>
  <si>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</si>
  <si>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</si>
  <si>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</si>
  <si>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</si>
  <si>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</si>
  <si>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</si>
  <si>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</si>
  <si>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</si>
  <si>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</si>
  <si>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</si>
  <si>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</si>
  <si>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</si>
  <si>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</si>
  <si>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</si>
  <si>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</si>
  <si>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</si>
  <si>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</si>
  <si>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</si>
  <si>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</si>
  <si>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</si>
  <si>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</si>
  <si>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</si>
  <si>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</si>
  <si>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</si>
  <si>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</si>
  <si>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</si>
  <si>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</si>
  <si>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</si>
  <si>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</si>
  <si>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</si>
  <si>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</si>
  <si>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</si>
  <si>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</si>
  <si>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</si>
  <si>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</si>
  <si>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Residential + Commercial</t>
  </si>
  <si>
    <t>Recommended rate of the shop Per Sq. Ft. ( on Saleable area)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</si>
  <si>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</si>
  <si>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</si>
  <si>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</si>
  <si>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</si>
  <si>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</si>
  <si>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</si>
  <si>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</si>
  <si>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</si>
  <si>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</si>
  <si>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</si>
  <si>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</si>
  <si>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</si>
  <si>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</si>
  <si>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</si>
  <si>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</si>
  <si>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</si>
  <si>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Legal Services Charges</t>
  </si>
  <si>
    <t>Society Formation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</si>
  <si>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</si>
  <si>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</si>
  <si>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</si>
  <si>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</si>
  <si>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</si>
  <si>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</si>
  <si>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</si>
  <si>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</si>
  <si>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</si>
  <si>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</si>
  <si>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</si>
  <si>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</si>
  <si>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</si>
  <si>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</si>
  <si>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3BHK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</si>
  <si>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</si>
  <si>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</si>
  <si>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</si>
  <si>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</si>
  <si>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</si>
  <si>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</si>
  <si>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Saleable area
Loading :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</si>
  <si>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</si>
  <si>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</si>
  <si>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</si>
  <si>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</si>
  <si>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</si>
  <si>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</si>
  <si>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</si>
  <si>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</si>
  <si>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</si>
  <si>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</si>
  <si>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</si>
  <si>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</si>
  <si>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</si>
  <si>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</si>
  <si>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</si>
  <si>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</si>
  <si>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</si>
  <si>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</si>
  <si>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</si>
  <si>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</si>
  <si>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</si>
  <si>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</si>
  <si>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</si>
  <si>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</si>
  <si>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</si>
  <si>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</si>
  <si>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</si>
  <si>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</si>
  <si>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</si>
  <si>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</si>
  <si>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P51800007051
</t>
  </si>
  <si>
    <t>Axis Goregaon</t>
  </si>
  <si>
    <t>Shreeji Plaza Wing A</t>
  </si>
  <si>
    <t>M/s.Shreeji Construction</t>
  </si>
  <si>
    <t>CTS No</t>
  </si>
  <si>
    <t>Valnai</t>
  </si>
  <si>
    <t>PN/MCGM/0009/20060623/AP/S2</t>
  </si>
  <si>
    <t>Gautam Buddh Marg</t>
  </si>
  <si>
    <t>Shreeji Aspire</t>
  </si>
  <si>
    <t>Slum Area</t>
  </si>
  <si>
    <t>1BHK</t>
  </si>
  <si>
    <t>2BHK</t>
  </si>
  <si>
    <t>Rehab</t>
  </si>
  <si>
    <t>Sale</t>
  </si>
  <si>
    <t>Shop</t>
  </si>
  <si>
    <t xml:space="preserve">Remarks: </t>
  </si>
  <si>
    <t>Borivali</t>
  </si>
  <si>
    <t>20,000/-</t>
  </si>
  <si>
    <t>Water, Electricity, Gas Connection</t>
  </si>
  <si>
    <t>40,000/-</t>
  </si>
  <si>
    <t>5000/-</t>
  </si>
  <si>
    <t>5,00,000/-</t>
  </si>
  <si>
    <t>1(Pt), 2(Pt), 264, 265, 266, 216/1A, 216A/1A/1, 216A/1/4 to 10, 216A(pt), 216A/11 to 14</t>
  </si>
  <si>
    <t>Malad West</t>
  </si>
  <si>
    <t>Mumbai</t>
  </si>
  <si>
    <t>2.2 KM from Malad Railway Station</t>
  </si>
  <si>
    <t>Approved Plans, CC, Sale Plans, Builder area sheet, Cost Sheet</t>
  </si>
  <si>
    <t>1,00,000/-</t>
  </si>
  <si>
    <t>Club Charges</t>
  </si>
  <si>
    <t>25,000/-</t>
  </si>
  <si>
    <t xml:space="preserve">Advance Maintenance Charges </t>
  </si>
  <si>
    <t>Site Meet Contact Person ( Name &amp; Contact No.)</t>
  </si>
  <si>
    <t>Location Link</t>
  </si>
  <si>
    <t>Latitude,Longitude</t>
  </si>
  <si>
    <t xml:space="preserve">Office No. 1031, Wing J, Akshar Business Park, Plot No. 03 Sector 25, Near APMC Market, 
Vashi, Navi Mumbai, Maharashtra 400703 TEL: 022-46090378/79/80                                                                                                     Email : vsjcapf@gmail.com. Web site : www.vsjadon.com
</t>
  </si>
  <si>
    <t>s</t>
  </si>
  <si>
    <t>Construction work is in process at the time of visit. Internal photographs was not allowed.</t>
  </si>
  <si>
    <t xml:space="preserve">Commencement Certificate No.
Valid Up to: </t>
  </si>
  <si>
    <t>We have updated revised approved CC on 10/01/2025</t>
  </si>
  <si>
    <t>Refuge Area</t>
  </si>
  <si>
    <t>6th Floor For Residential (Part Refuge Area)</t>
  </si>
  <si>
    <t>7th to 9th Floor</t>
  </si>
  <si>
    <t>13th, 20th &amp; 27th Floor For Residential (Part Refuge Area)</t>
  </si>
  <si>
    <t>23rd to 26th, 28th to 33rd, 35th to 38th Floor</t>
  </si>
  <si>
    <t>34th Floor For Residential (Part Refuge Area)</t>
  </si>
  <si>
    <t>Grand Total</t>
  </si>
  <si>
    <t>Sale Building No.2 (Wing A)</t>
  </si>
  <si>
    <t>Sale Building No.2</t>
  </si>
  <si>
    <t>As per layout</t>
  </si>
  <si>
    <t xml:space="preserve">01 Wing </t>
  </si>
  <si>
    <t>Other Plot</t>
  </si>
  <si>
    <t>A Wing = B + G + 1st to 4th Podium + 5th to 38th Floor</t>
  </si>
  <si>
    <t>19.199139,72.836333</t>
  </si>
  <si>
    <t>https://maps.app.goo.gl/FFq2yFsPH8EmJ3jXA</t>
  </si>
  <si>
    <t>Composite Building 1</t>
  </si>
  <si>
    <t>12 M Wide Road/Rehab Building 2</t>
  </si>
  <si>
    <t>Approved Builtup Area of Sale Building No.2 (Sq.Mt)</t>
  </si>
  <si>
    <t>https://shreejiplaza.in/wp-content/uploads/2021/09/Plaza-E-Brochure.pdf</t>
  </si>
  <si>
    <t>Building Details Floor Wise</t>
  </si>
  <si>
    <t>Basement Floor For STP</t>
  </si>
  <si>
    <t>Ground Floor For Commercial &amp; Parking</t>
  </si>
  <si>
    <t>1st to 4th Floor For Podium Floor For Parking</t>
  </si>
  <si>
    <t>Wing A</t>
  </si>
  <si>
    <t>5th Floor For Residential</t>
  </si>
  <si>
    <t>10th to 12th, 14th to 19th, 21st &amp; 22nd Floor</t>
  </si>
  <si>
    <t xml:space="preserve">Layout : </t>
  </si>
  <si>
    <t>Saleable area Loading :</t>
  </si>
  <si>
    <t>Commercial Area Details : (Shop)</t>
  </si>
  <si>
    <t xml:space="preserve">Sale </t>
  </si>
  <si>
    <t xml:space="preserve">Details of Residential &amp; Commercial in Building   </t>
  </si>
  <si>
    <t>We have updated revised approved plans on 31/01/2025</t>
  </si>
  <si>
    <t>We have considered Saleable area of Flats as per our Calculation.</t>
  </si>
  <si>
    <t>We have considered Saleable area of Commercial as per our Calculation.</t>
  </si>
  <si>
    <t>Name of Municipal Corporation/Authority</t>
  </si>
  <si>
    <t>Slum Rehabilitation Authority (SRA)</t>
  </si>
  <si>
    <t>Designer Entrance lobby, Firefighting system, CCTV Surveillance, Hi Speed Elevators, Hassle free parking, Decorative compound wall &amp; Main gate, etc.</t>
  </si>
  <si>
    <t>Gross Carpet
Area</t>
  </si>
  <si>
    <t>We considered Gross carpet area = RERA Carpet Area</t>
  </si>
  <si>
    <t>Construction stage is increased due to revision in proposed structure of project 31/01/2025</t>
  </si>
  <si>
    <t>Shop No.
(Rehab/
Sale )</t>
  </si>
  <si>
    <t>Residential Area Details : (Sale Flat)</t>
  </si>
  <si>
    <t>Sale Flats - 161, Sale Shop - 1, Rehab Shop - 14</t>
  </si>
  <si>
    <t>Bhakti : 8655425427</t>
  </si>
  <si>
    <t>This C.C is re-endorsed &amp; further extended upto 38th floor of the Wing A &amp; B of sale bldg no.2, i.e for basement (Pt. for service) + Gr (Comm) + 1st to 3rd (Podium) + 4th (Podium/Amenity) + 5th to 38th Upper floor including OHWT &amp; LMR as per approved amended plans dated 19/12/2024.</t>
  </si>
  <si>
    <t>Kunal Kadam</t>
  </si>
  <si>
    <t>Sanket Salvi</t>
  </si>
  <si>
    <t>As per RERA - 31/12/2025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</si>
</sst>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dd\/mm\/yyyy"/>
    <numFmt numFmtId="168" formatCode="0.000000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u/>
      <sz val="11"/>
      <color theme="1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187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0" fillId="3" borderId="1" xfId="0" applyFill="1" applyBorder="1"/>
    <xf numFmtId="0" fontId="0" fillId="0" borderId="2" xfId="0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/>
    <xf numFmtId="0" fontId="7" fillId="0" borderId="0" xfId="1" applyFont="1"/>
    <xf numFmtId="0" fontId="6" fillId="0" borderId="0" xfId="2" applyFont="1"/>
    <xf numFmtId="0" fontId="12" fillId="0" borderId="0" xfId="1" applyFont="1"/>
    <xf numFmtId="0" fontId="15" fillId="0" borderId="0" xfId="1" applyFont="1"/>
    <xf numFmtId="0" fontId="16" fillId="0" borderId="0" xfId="1" applyFont="1"/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7" fillId="0" borderId="0" xfId="1" applyFont="1" applyProtection="1">
      <protection hidden="1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2" xfId="1" applyFont="1" applyBorder="1" applyProtection="1">
      <protection hidden="1"/>
    </xf>
    <xf numFmtId="0" fontId="7" fillId="0" borderId="13" xfId="1" applyFont="1" applyBorder="1" applyProtection="1">
      <protection hidden="1"/>
    </xf>
    <xf numFmtId="0" fontId="7" fillId="0" borderId="13" xfId="1" applyFont="1" applyBorder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9" fontId="8" fillId="0" borderId="19" xfId="8" applyFont="1" applyFill="1" applyBorder="1" applyAlignment="1" applyProtection="1">
      <alignment horizontal="center" vertical="top" wrapText="1"/>
      <protection locked="0"/>
    </xf>
    <xf numFmtId="1" fontId="7" fillId="0" borderId="0" xfId="1" applyNumberFormat="1" applyFont="1" applyAlignment="1">
      <alignment horizontal="center" vertical="center"/>
    </xf>
    <xf numFmtId="0" fontId="17" fillId="0" borderId="0" xfId="0" applyFont="1" applyProtection="1">
      <protection hidden="1"/>
    </xf>
    <xf numFmtId="14" fontId="7" fillId="0" borderId="0" xfId="1" applyNumberFormat="1" applyFont="1"/>
    <xf numFmtId="1" fontId="7" fillId="0" borderId="0" xfId="1" applyNumberFormat="1" applyFont="1"/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7" fillId="0" borderId="13" xfId="0" applyFont="1" applyBorder="1" applyProtection="1">
      <protection hidden="1"/>
    </xf>
    <xf numFmtId="0" fontId="7" fillId="0" borderId="11" xfId="1" applyFont="1" applyBorder="1" applyProtection="1">
      <protection hidden="1"/>
    </xf>
    <xf numFmtId="0" fontId="17" fillId="0" borderId="14" xfId="0" applyFont="1" applyBorder="1" applyProtection="1">
      <protection hidden="1"/>
    </xf>
    <xf numFmtId="1" fontId="0" fillId="0" borderId="13" xfId="0" applyNumberFormat="1" applyBorder="1"/>
    <xf numFmtId="1" fontId="0" fillId="0" borderId="13" xfId="0" applyNumberFormat="1" applyBorder="1" applyAlignment="1">
      <alignment horizontal="right"/>
    </xf>
    <xf numFmtId="1" fontId="0" fillId="0" borderId="15" xfId="0" applyNumberFormat="1" applyBorder="1"/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68" fontId="7" fillId="0" borderId="0" xfId="1" applyNumberFormat="1" applyFont="1" applyAlignment="1">
      <alignment horizontal="center" vertical="center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wrapText="1"/>
      <protection locked="0"/>
    </xf>
    <xf numFmtId="1" fontId="12" fillId="0" borderId="1" xfId="1" applyNumberFormat="1" applyFont="1" applyBorder="1" applyAlignment="1" applyProtection="1">
      <alignment horizontal="center" wrapText="1"/>
      <protection locked="0"/>
    </xf>
    <xf numFmtId="0" fontId="12" fillId="0" borderId="7" xfId="1" applyFont="1" applyBorder="1" applyAlignment="1" applyProtection="1">
      <alignment horizontal="center" wrapText="1"/>
      <protection locked="0"/>
    </xf>
    <xf numFmtId="0" fontId="4" fillId="0" borderId="0" xfId="1" applyFont="1" applyAlignment="1" applyProtection="1">
      <alignment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7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1" xfId="1" applyFont="1" applyBorder="1" applyAlignment="1" applyProtection="1">
      <alignment horizontal="center" vertical="top"/>
      <protection locked="0"/>
    </xf>
    <xf numFmtId="0" fontId="23" fillId="0" borderId="0" xfId="9"/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13" fillId="0" borderId="1" xfId="1" applyNumberFormat="1" applyFont="1" applyBorder="1" applyAlignment="1" applyProtection="1">
      <alignment horizontal="center" vertical="top" wrapText="1"/>
      <protection locked="0"/>
    </xf>
    <xf numFmtId="9" fontId="13" fillId="0" borderId="1" xfId="8" applyFont="1" applyFill="1" applyBorder="1" applyAlignment="1" applyProtection="1">
      <alignment horizontal="center"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13" fillId="0" borderId="24" xfId="0" applyNumberFormat="1" applyFont="1" applyBorder="1" applyAlignment="1" applyProtection="1">
      <alignment vertical="top" wrapText="1"/>
      <protection locked="0"/>
    </xf>
    <xf numFmtId="1" fontId="13" fillId="0" borderId="10" xfId="0" applyNumberFormat="1" applyFont="1" applyBorder="1" applyAlignment="1" applyProtection="1">
      <alignment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8" fillId="0" borderId="24" xfId="0" applyNumberFormat="1" applyFont="1" applyBorder="1" applyAlignment="1" applyProtection="1">
      <alignment vertical="top" wrapText="1"/>
      <protection locked="0"/>
    </xf>
    <xf numFmtId="1" fontId="8" fillId="0" borderId="10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24" xfId="1" applyNumberFormat="1" applyFont="1" applyBorder="1" applyAlignment="1" applyProtection="1">
      <alignment horizontal="center" vertical="center" wrapText="1"/>
      <protection locked="0"/>
    </xf>
    <xf numFmtId="1" fontId="8" fillId="0" borderId="10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28" xfId="1" applyNumberFormat="1" applyFont="1" applyBorder="1" applyAlignment="1" applyProtection="1">
      <alignment horizontal="center" vertical="center" wrapText="1"/>
      <protection locked="0"/>
    </xf>
    <xf numFmtId="1" fontId="6" fillId="0" borderId="29" xfId="1" applyNumberFormat="1" applyFont="1" applyBorder="1" applyAlignment="1" applyProtection="1">
      <alignment horizontal="center" vertical="center" wrapText="1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6" fillId="0" borderId="3" xfId="0" applyNumberFormat="1" applyFont="1" applyBorder="1" applyAlignment="1" applyProtection="1">
      <alignment horizontal="center" vertical="center" wrapText="1"/>
      <protection locked="0"/>
    </xf>
    <xf numFmtId="1" fontId="6" fillId="0" borderId="19" xfId="0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1" fontId="26" fillId="0" borderId="1" xfId="1" applyNumberFormat="1" applyFont="1" applyBorder="1" applyAlignment="1" applyProtection="1">
      <alignment horizontal="center" vertical="top" wrapText="1"/>
      <protection locked="0"/>
    </xf>
    <xf numFmtId="2" fontId="12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23" fillId="0" borderId="1" xfId="9" applyBorder="1" applyAlignment="1" applyProtection="1">
      <alignment horizontal="left"/>
      <protection locked="0"/>
    </xf>
    <xf numFmtId="0" fontId="7" fillId="0" borderId="1" xfId="1" applyFont="1" applyBorder="1" applyAlignment="1" applyProtection="1">
      <alignment horizontal="left"/>
      <protection locked="0"/>
    </xf>
    <xf numFmtId="0" fontId="13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2" borderId="1" xfId="1" applyFont="1" applyFill="1" applyBorder="1" applyAlignment="1" applyProtection="1">
      <alignment horizontal="left" vertical="top" wrapText="1"/>
      <protection locked="0"/>
    </xf>
    <xf numFmtId="167" fontId="6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8" fillId="0" borderId="24" xfId="1" applyFont="1" applyBorder="1" applyAlignment="1" applyProtection="1">
      <alignment horizontal="left" vertical="top"/>
      <protection locked="0"/>
    </xf>
    <xf numFmtId="0" fontId="8" fillId="0" borderId="10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center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7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5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8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5" fontId="12" fillId="0" borderId="1" xfId="1" applyNumberFormat="1" applyFont="1" applyBorder="1" applyAlignment="1" applyProtection="1">
      <alignment horizontal="left" vertical="top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2" fillId="0" borderId="27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167" fontId="12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25" xfId="1" applyFont="1" applyBorder="1" applyAlignment="1" applyProtection="1">
      <alignment horizontal="left" vertical="top" wrapText="1"/>
      <protection locked="0"/>
    </xf>
    <xf numFmtId="0" fontId="13" fillId="0" borderId="18" xfId="1" applyFont="1" applyBorder="1" applyAlignment="1" applyProtection="1">
      <alignment horizontal="left" vertical="top" wrapText="1"/>
      <protection locked="0"/>
    </xf>
    <xf numFmtId="0" fontId="13" fillId="0" borderId="16" xfId="1" applyFont="1" applyBorder="1" applyAlignment="1" applyProtection="1">
      <alignment horizontal="left" vertical="top" wrapText="1"/>
      <protection locked="0"/>
    </xf>
    <xf numFmtId="0" fontId="13" fillId="0" borderId="17" xfId="1" applyFont="1" applyBorder="1" applyAlignment="1" applyProtection="1">
      <alignment horizontal="left" vertical="top" wrapText="1"/>
      <protection locked="0"/>
    </xf>
    <xf numFmtId="0" fontId="13" fillId="0" borderId="26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13" fillId="0" borderId="1" xfId="0" applyNumberFormat="1" applyFont="1" applyBorder="1" applyAlignment="1" applyProtection="1">
      <alignment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8" fillId="0" borderId="21" xfId="1" applyNumberFormat="1" applyFont="1" applyBorder="1" applyAlignment="1" applyProtection="1">
      <alignment horizontal="center" vertical="top" wrapText="1"/>
      <protection locked="0"/>
    </xf>
    <xf numFmtId="1" fontId="8" fillId="0" borderId="22" xfId="1" applyNumberFormat="1" applyFont="1" applyBorder="1" applyAlignment="1" applyProtection="1">
      <alignment horizontal="center" vertical="top" wrapText="1"/>
      <protection locked="0"/>
    </xf>
    <xf numFmtId="1" fontId="8" fillId="0" borderId="23" xfId="1" applyNumberFormat="1" applyFont="1" applyBorder="1" applyAlignment="1" applyProtection="1">
      <alignment horizontal="center" vertical="top" wrapText="1"/>
      <protection locked="0"/>
    </xf>
    <xf numFmtId="0" fontId="12" fillId="0" borderId="16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 wrapText="1"/>
      <protection locked="0"/>
    </xf>
    <xf numFmtId="167" fontId="13" fillId="0" borderId="1" xfId="1" applyNumberFormat="1" applyFont="1" applyBorder="1" applyAlignment="1" applyProtection="1">
      <alignment horizontal="left" vertical="top" wrapText="1"/>
      <protection locked="0"/>
    </xf>
    <xf numFmtId="0" fontId="12" fillId="2" borderId="9" xfId="1" applyFont="1" applyFill="1" applyBorder="1" applyAlignment="1" applyProtection="1">
      <alignment horizontal="left" vertical="top" wrapText="1"/>
      <protection locked="0"/>
    </xf>
    <xf numFmtId="0" fontId="12" fillId="2" borderId="24" xfId="1" applyFont="1" applyFill="1" applyBorder="1" applyAlignment="1" applyProtection="1">
      <alignment horizontal="left" vertical="top" wrapText="1"/>
      <protection locked="0"/>
    </xf>
    <xf numFmtId="0" fontId="12" fillId="2" borderId="10" xfId="1" applyFont="1" applyFill="1" applyBorder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left" vertical="top"/>
      <protection locked="0"/>
    </xf>
    <xf numFmtId="0" fontId="12" fillId="0" borderId="24" xfId="1" applyFont="1" applyBorder="1" applyAlignment="1" applyProtection="1">
      <alignment horizontal="left" vertical="top"/>
      <protection locked="0"/>
    </xf>
    <xf numFmtId="0" fontId="12" fillId="0" borderId="10" xfId="1" applyFont="1" applyBorder="1" applyAlignment="1" applyProtection="1">
      <alignment horizontal="left" vertical="top"/>
      <protection locked="0"/>
    </xf>
    <xf numFmtId="0" fontId="7" fillId="0" borderId="0" xfId="1" applyFont="1" applyAlignment="1">
      <alignment horizontal="center" vertical="center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6" fillId="0" borderId="10" xfId="1" applyFont="1" applyBorder="1" applyAlignment="1" applyProtection="1">
      <alignment horizontal="left" vertical="top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10" xfId="1" applyNumberFormat="1" applyFont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1" xfId="5" applyFont="1" applyBorder="1" applyAlignment="1">
      <alignment horizontal="left"/>
    </xf>
  </cellXfs>
  <cellStyles count="10">
    <cellStyle name="Comma 2" xfId="6" xr:uid="{00000000-0005-0000-0000-000000000000}"/>
    <cellStyle name="Excel Built-in Normal" xfId="2" xr:uid="{00000000-0005-0000-0000-000001000000}"/>
    <cellStyle name="Excel Built-in Normal 2" xfId="4" xr:uid="{00000000-0005-0000-0000-000002000000}"/>
    <cellStyle name="Hyperlink" xfId="9" builtinId="8"/>
    <cellStyle name="Normal" xfId="0" builtinId="0"/>
    <cellStyle name="Normal 2" xfId="3" xr:uid="{00000000-0005-0000-0000-000005000000}"/>
    <cellStyle name="Normal 3" xfId="1" xr:uid="{00000000-0005-0000-0000-000006000000}"/>
    <cellStyle name="Normal 3 3" xfId="7" xr:uid="{00000000-0005-0000-0000-000007000000}"/>
    <cellStyle name="Normal 4" xfId="5" xr:uid="{00000000-0005-0000-0000-000008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1053353</xdr:colOff>
      <xdr:row>42</xdr:row>
      <xdr:rowOff>56029</xdr:rowOff>
    </xdr:from>
    <xdr:to>
      <xdr:col>17</xdr:col>
      <xdr:colOff>121583</xdr:colOff>
      <xdr:row>63</xdr:row>
      <xdr:rowOff>6163</xdr:rowOff>
    </xdr:to>
    <xdr:pic>
      <xdr:nvPicPr>
        <xdr:cNvPr id="14" name="Picture 13" descr="https://shreejiplaza.in/wp-content/uploads/2021/07/Plaza.jp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6382" y="9782735"/>
          <a:ext cx="3808319" cy="5752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79276</xdr:colOff>
      <xdr:row>276</xdr:row>
      <xdr:rowOff>29854</xdr:rowOff>
    </xdr:from>
    <xdr:to>
      <xdr:col>6</xdr:col>
      <xdr:colOff>620923</xdr:colOff>
      <xdr:row>290</xdr:row>
      <xdr:rowOff>158350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41276" y="69962404"/>
          <a:ext cx="4694547" cy="292884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</xdr:col>
      <xdr:colOff>214066</xdr:colOff>
      <xdr:row>233</xdr:row>
      <xdr:rowOff>18898</xdr:rowOff>
    </xdr:from>
    <xdr:to>
      <xdr:col>5</xdr:col>
      <xdr:colOff>603412</xdr:colOff>
      <xdr:row>245</xdr:row>
      <xdr:rowOff>200326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71684" y="51128927"/>
          <a:ext cx="2966699" cy="2601899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8</xdr:col>
      <xdr:colOff>95250</xdr:colOff>
      <xdr:row>93</xdr:row>
      <xdr:rowOff>171450</xdr:rowOff>
    </xdr:from>
    <xdr:to>
      <xdr:col>17</xdr:col>
      <xdr:colOff>505543</xdr:colOff>
      <xdr:row>100</xdr:row>
      <xdr:rowOff>143067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19875" y="21040725"/>
          <a:ext cx="5144218" cy="1371791"/>
        </a:xfrm>
        <a:prstGeom prst="rect">
          <a:avLst/>
        </a:prstGeom>
      </xdr:spPr>
    </xdr:pic>
    <xdr:clientData/>
  </xdr:twoCellAnchor>
  <xdr:twoCellAnchor>
    <xdr:from>
      <xdr:col>0</xdr:col>
      <xdr:colOff>584947</xdr:colOff>
      <xdr:row>291</xdr:row>
      <xdr:rowOff>189380</xdr:rowOff>
    </xdr:from>
    <xdr:to>
      <xdr:col>7</xdr:col>
      <xdr:colOff>242047</xdr:colOff>
      <xdr:row>314</xdr:row>
      <xdr:rowOff>167514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584947" y="61736120"/>
          <a:ext cx="5539740" cy="4534894"/>
          <a:chOff x="542925" y="73342500"/>
          <a:chExt cx="5353050" cy="4578709"/>
        </a:xfrm>
      </xdr:grpSpPr>
      <xdr:pic>
        <xdr:nvPicPr>
          <xdr:cNvPr id="6" name="Picture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542925" y="73342500"/>
            <a:ext cx="5353050" cy="4578709"/>
          </a:xfrm>
          <a:prstGeom prst="rect">
            <a:avLst/>
          </a:prstGeom>
          <a:ln>
            <a:solidFill>
              <a:sysClr val="windowText" lastClr="000000"/>
            </a:solidFill>
          </a:ln>
        </xdr:spPr>
      </xdr:pic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>
          <a:xfrm rot="1030549">
            <a:off x="2526085" y="74726799"/>
            <a:ext cx="676275" cy="781627"/>
          </a:xfrm>
          <a:prstGeom prst="rect">
            <a:avLst/>
          </a:prstGeom>
          <a:noFill/>
          <a:ln w="57150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</xdr:grpSp>
    <xdr:clientData/>
  </xdr:twoCellAnchor>
  <xdr:twoCellAnchor>
    <xdr:from>
      <xdr:col>3</xdr:col>
      <xdr:colOff>91448</xdr:colOff>
      <xdr:row>295</xdr:row>
      <xdr:rowOff>79678</xdr:rowOff>
    </xdr:from>
    <xdr:to>
      <xdr:col>5</xdr:col>
      <xdr:colOff>53545</xdr:colOff>
      <xdr:row>300</xdr:row>
      <xdr:rowOff>98919</xdr:rowOff>
    </xdr:to>
    <xdr:sp macro="" textlink="">
      <xdr:nvSpPr>
        <xdr:cNvPr id="35" name="TextBox 9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 rot="973438">
          <a:off x="2501273" y="74012728"/>
          <a:ext cx="1686122" cy="1019366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2000" b="1">
              <a:solidFill>
                <a:srgbClr val="FFFF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Shreeji Plaza (Wing A &amp; B)</a:t>
          </a:r>
          <a:endParaRPr lang="en-IN" sz="2000" b="1">
            <a:solidFill>
              <a:srgbClr val="FFFF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217371</xdr:colOff>
      <xdr:row>246</xdr:row>
      <xdr:rowOff>134475</xdr:rowOff>
    </xdr:from>
    <xdr:to>
      <xdr:col>7</xdr:col>
      <xdr:colOff>61609</xdr:colOff>
      <xdr:row>272</xdr:row>
      <xdr:rowOff>44031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1002231" y="52765815"/>
          <a:ext cx="4942018" cy="5060676"/>
          <a:chOff x="695326" y="64160400"/>
          <a:chExt cx="4781550" cy="5111312"/>
        </a:xfrm>
      </xdr:grpSpPr>
      <xdr:pic>
        <xdr:nvPicPr>
          <xdr:cNvPr id="9" name="Picture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695326" y="64160400"/>
            <a:ext cx="4781550" cy="5111312"/>
          </a:xfrm>
          <a:prstGeom prst="rect">
            <a:avLst/>
          </a:prstGeom>
          <a:ln>
            <a:solidFill>
              <a:sysClr val="windowText" lastClr="000000"/>
            </a:solidFill>
          </a:ln>
        </xdr:spPr>
      </xdr:pic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GrpSpPr/>
        </xdr:nvGrpSpPr>
        <xdr:grpSpPr>
          <a:xfrm>
            <a:off x="761802" y="65565252"/>
            <a:ext cx="4476120" cy="3505824"/>
            <a:chOff x="548263" y="63393728"/>
            <a:chExt cx="4397750" cy="3910911"/>
          </a:xfrm>
        </xdr:grpSpPr>
        <xdr:grpSp>
          <xdr:nvGrpSpPr>
            <xdr:cNvPr id="30" name="Group 29">
              <a:extLst>
                <a:ext uri="{FF2B5EF4-FFF2-40B4-BE49-F238E27FC236}">
                  <a16:creationId xmlns:a16="http://schemas.microsoft.com/office/drawing/2014/main" id="{00000000-0008-0000-0000-00001E000000}"/>
                </a:ext>
              </a:extLst>
            </xdr:cNvPr>
            <xdr:cNvGrpSpPr/>
          </xdr:nvGrpSpPr>
          <xdr:grpSpPr>
            <a:xfrm>
              <a:off x="2295682" y="63393728"/>
              <a:ext cx="2650331" cy="2438820"/>
              <a:chOff x="3083900" y="5807651"/>
              <a:chExt cx="1612970" cy="1877152"/>
            </a:xfrm>
          </xdr:grpSpPr>
          <xdr:sp macro="" textlink="">
            <xdr:nvSpPr>
              <xdr:cNvPr id="32" name="Rectangle 5">
                <a:extLst>
                  <a:ext uri="{FF2B5EF4-FFF2-40B4-BE49-F238E27FC236}">
                    <a16:creationId xmlns:a16="http://schemas.microsoft.com/office/drawing/2014/main" id="{00000000-0008-0000-0000-000020000000}"/>
                  </a:ext>
                </a:extLst>
              </xdr:cNvPr>
              <xdr:cNvSpPr/>
            </xdr:nvSpPr>
            <xdr:spPr>
              <a:xfrm rot="1660887">
                <a:off x="3083900" y="5807651"/>
                <a:ext cx="794728" cy="1877152"/>
              </a:xfrm>
              <a:custGeom>
                <a:avLst/>
                <a:gdLst>
                  <a:gd name="connsiteX0" fmla="*/ 0 w 715702"/>
                  <a:gd name="connsiteY0" fmla="*/ 0 h 1527571"/>
                  <a:gd name="connsiteX1" fmla="*/ 715702 w 715702"/>
                  <a:gd name="connsiteY1" fmla="*/ 0 h 1527571"/>
                  <a:gd name="connsiteX2" fmla="*/ 715702 w 715702"/>
                  <a:gd name="connsiteY2" fmla="*/ 1527571 h 1527571"/>
                  <a:gd name="connsiteX3" fmla="*/ 0 w 715702"/>
                  <a:gd name="connsiteY3" fmla="*/ 1527571 h 1527571"/>
                  <a:gd name="connsiteX4" fmla="*/ 0 w 715702"/>
                  <a:gd name="connsiteY4" fmla="*/ 0 h 1527571"/>
                  <a:gd name="connsiteX0" fmla="*/ 0 w 883430"/>
                  <a:gd name="connsiteY0" fmla="*/ 28832 h 1556403"/>
                  <a:gd name="connsiteX1" fmla="*/ 883430 w 883430"/>
                  <a:gd name="connsiteY1" fmla="*/ 0 h 1556403"/>
                  <a:gd name="connsiteX2" fmla="*/ 715702 w 883430"/>
                  <a:gd name="connsiteY2" fmla="*/ 1556403 h 1556403"/>
                  <a:gd name="connsiteX3" fmla="*/ 0 w 883430"/>
                  <a:gd name="connsiteY3" fmla="*/ 1556403 h 1556403"/>
                  <a:gd name="connsiteX4" fmla="*/ 0 w 883430"/>
                  <a:gd name="connsiteY4" fmla="*/ 28832 h 1556403"/>
                  <a:gd name="connsiteX0" fmla="*/ 46806 w 883430"/>
                  <a:gd name="connsiteY0" fmla="*/ 25790 h 1556403"/>
                  <a:gd name="connsiteX1" fmla="*/ 883430 w 883430"/>
                  <a:gd name="connsiteY1" fmla="*/ 0 h 1556403"/>
                  <a:gd name="connsiteX2" fmla="*/ 715702 w 883430"/>
                  <a:gd name="connsiteY2" fmla="*/ 1556403 h 1556403"/>
                  <a:gd name="connsiteX3" fmla="*/ 0 w 883430"/>
                  <a:gd name="connsiteY3" fmla="*/ 1556403 h 1556403"/>
                  <a:gd name="connsiteX4" fmla="*/ 46806 w 883430"/>
                  <a:gd name="connsiteY4" fmla="*/ 25790 h 1556403"/>
                  <a:gd name="connsiteX0" fmla="*/ 46806 w 909773"/>
                  <a:gd name="connsiteY0" fmla="*/ 25790 h 1567532"/>
                  <a:gd name="connsiteX1" fmla="*/ 883430 w 909773"/>
                  <a:gd name="connsiteY1" fmla="*/ 0 h 1567532"/>
                  <a:gd name="connsiteX2" fmla="*/ 909773 w 909773"/>
                  <a:gd name="connsiteY2" fmla="*/ 1567532 h 1567532"/>
                  <a:gd name="connsiteX3" fmla="*/ 0 w 909773"/>
                  <a:gd name="connsiteY3" fmla="*/ 1556403 h 1567532"/>
                  <a:gd name="connsiteX4" fmla="*/ 46806 w 909773"/>
                  <a:gd name="connsiteY4" fmla="*/ 25790 h 1567532"/>
                  <a:gd name="connsiteX0" fmla="*/ 46806 w 909773"/>
                  <a:gd name="connsiteY0" fmla="*/ 25790 h 1567532"/>
                  <a:gd name="connsiteX1" fmla="*/ 883430 w 909773"/>
                  <a:gd name="connsiteY1" fmla="*/ 0 h 1567532"/>
                  <a:gd name="connsiteX2" fmla="*/ 909773 w 909773"/>
                  <a:gd name="connsiteY2" fmla="*/ 1567532 h 1567532"/>
                  <a:gd name="connsiteX3" fmla="*/ 0 w 909773"/>
                  <a:gd name="connsiteY3" fmla="*/ 1556403 h 1567532"/>
                  <a:gd name="connsiteX4" fmla="*/ 46806 w 909773"/>
                  <a:gd name="connsiteY4" fmla="*/ 25790 h 156753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</a:cxnLst>
                <a:rect l="l" t="t" r="r" b="b"/>
                <a:pathLst>
                  <a:path w="909773" h="1567532">
                    <a:moveTo>
                      <a:pt x="46806" y="25790"/>
                    </a:moveTo>
                    <a:lnTo>
                      <a:pt x="883430" y="0"/>
                    </a:lnTo>
                    <a:cubicBezTo>
                      <a:pt x="892211" y="522511"/>
                      <a:pt x="854601" y="1069358"/>
                      <a:pt x="909773" y="1567532"/>
                    </a:cubicBezTo>
                    <a:lnTo>
                      <a:pt x="0" y="1556403"/>
                    </a:lnTo>
                    <a:lnTo>
                      <a:pt x="46806" y="25790"/>
                    </a:lnTo>
                    <a:close/>
                  </a:path>
                </a:pathLst>
              </a:custGeom>
              <a:noFill/>
              <a:ln>
                <a:solidFill>
                  <a:srgbClr val="FF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en-IN"/>
              </a:p>
            </xdr:txBody>
          </xdr:sp>
          <xdr:sp macro="" textlink="">
            <xdr:nvSpPr>
              <xdr:cNvPr id="33" name="TextBox 6">
                <a:extLst>
                  <a:ext uri="{FF2B5EF4-FFF2-40B4-BE49-F238E27FC236}">
                    <a16:creationId xmlns:a16="http://schemas.microsoft.com/office/drawing/2014/main" id="{00000000-0008-0000-0000-000021000000}"/>
                  </a:ext>
                </a:extLst>
              </xdr:cNvPr>
              <xdr:cNvSpPr txBox="1"/>
            </xdr:nvSpPr>
            <xdr:spPr>
              <a:xfrm rot="1495581">
                <a:off x="3358905" y="5826309"/>
                <a:ext cx="1337965" cy="283786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600" b="1">
                    <a:solidFill>
                      <a:srgbClr val="FF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Sale</a:t>
                </a:r>
                <a:r>
                  <a:rPr lang="en-US" sz="1600" b="1" baseline="0">
                    <a:solidFill>
                      <a:srgbClr val="FF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Building No.2</a:t>
                </a:r>
                <a:endParaRPr lang="en-IN" sz="1600" b="1">
                  <a:solidFill>
                    <a:srgbClr val="FF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38" name="TextBox 6">
                <a:extLst>
                  <a:ext uri="{FF2B5EF4-FFF2-40B4-BE49-F238E27FC236}">
                    <a16:creationId xmlns:a16="http://schemas.microsoft.com/office/drawing/2014/main" id="{00000000-0008-0000-0000-000026000000}"/>
                  </a:ext>
                </a:extLst>
              </xdr:cNvPr>
              <xdr:cNvSpPr txBox="1"/>
            </xdr:nvSpPr>
            <xdr:spPr>
              <a:xfrm rot="17809868">
                <a:off x="3105852" y="6246761"/>
                <a:ext cx="571842" cy="152296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1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Wing A</a:t>
                </a:r>
                <a:endParaRPr lang="en-IN" sz="1100" b="1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39" name="TextBox 6">
                <a:extLst>
                  <a:ext uri="{FF2B5EF4-FFF2-40B4-BE49-F238E27FC236}">
                    <a16:creationId xmlns:a16="http://schemas.microsoft.com/office/drawing/2014/main" id="{00000000-0008-0000-0000-000027000000}"/>
                  </a:ext>
                </a:extLst>
              </xdr:cNvPr>
              <xdr:cNvSpPr txBox="1"/>
            </xdr:nvSpPr>
            <xdr:spPr>
              <a:xfrm rot="6934220">
                <a:off x="3391183" y="6561691"/>
                <a:ext cx="645672" cy="152296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1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Wing B</a:t>
                </a:r>
                <a:endParaRPr lang="en-IN" sz="1100" b="1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xdr:grpSp>
        <xdr:pic>
          <xdr:nvPicPr>
            <xdr:cNvPr id="34" name="Picture 33">
              <a:extLst>
                <a:ext uri="{FF2B5EF4-FFF2-40B4-BE49-F238E27FC236}">
                  <a16:creationId xmlns:a16="http://schemas.microsoft.com/office/drawing/2014/main" id="{00000000-0008-0000-0000-000022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7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 rot="19954264">
              <a:off x="548263" y="66695287"/>
              <a:ext cx="609352" cy="609352"/>
            </a:xfrm>
            <a:prstGeom prst="rect">
              <a:avLst/>
            </a:prstGeom>
          </xdr:spPr>
        </xdr:pic>
      </xdr:grpSp>
      <xdr:sp macro="" textlink="">
        <xdr:nvSpPr>
          <xdr:cNvPr id="36" name="Rectangle 35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/>
        </xdr:nvSpPr>
        <xdr:spPr>
          <a:xfrm rot="1686314">
            <a:off x="3100245" y="65927743"/>
            <a:ext cx="234593" cy="708939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sp macro="" textlink="">
        <xdr:nvSpPr>
          <xdr:cNvPr id="37" name="Rectangle 3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/>
        </xdr:nvSpPr>
        <xdr:spPr>
          <a:xfrm rot="1686314">
            <a:off x="3316113" y="66046215"/>
            <a:ext cx="225968" cy="709125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</xdr:grpSp>
    <xdr:clientData/>
  </xdr:twoCellAnchor>
  <xdr:twoCellAnchor>
    <xdr:from>
      <xdr:col>9</xdr:col>
      <xdr:colOff>127000</xdr:colOff>
      <xdr:row>188</xdr:row>
      <xdr:rowOff>5080</xdr:rowOff>
    </xdr:from>
    <xdr:to>
      <xdr:col>21</xdr:col>
      <xdr:colOff>203379</xdr:colOff>
      <xdr:row>218</xdr:row>
      <xdr:rowOff>164039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8059420" y="41145460"/>
          <a:ext cx="6279059" cy="6102559"/>
          <a:chOff x="203200" y="42068750"/>
          <a:chExt cx="6371769" cy="6063189"/>
        </a:xfrm>
      </xdr:grpSpPr>
      <xdr:pic>
        <xdr:nvPicPr>
          <xdr:cNvPr id="45" name="Picture 44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6583" y="42068750"/>
            <a:ext cx="2970000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6" name="Picture 45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3200" y="46151939"/>
            <a:ext cx="1485000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7" name="Picture 46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32123" y="46151939"/>
            <a:ext cx="1485000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8" name="Picture 47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51412" y="42068750"/>
            <a:ext cx="2970000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9" name="Picture 48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61046" y="46151939"/>
            <a:ext cx="1485000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0" name="Picture 49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089969" y="46151939"/>
            <a:ext cx="1485000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381000</xdr:colOff>
      <xdr:row>194</xdr:row>
      <xdr:rowOff>30480</xdr:rowOff>
    </xdr:from>
    <xdr:to>
      <xdr:col>7</xdr:col>
      <xdr:colOff>487378</xdr:colOff>
      <xdr:row>227</xdr:row>
      <xdr:rowOff>69713</xdr:rowOff>
    </xdr:to>
    <xdr:grpSp>
      <xdr:nvGrpSpPr>
        <xdr:cNvPr id="22" name="Group 21">
          <a:extLst>
            <a:ext uri="{FF2B5EF4-FFF2-40B4-BE49-F238E27FC236}">
              <a16:creationId xmlns:a16="http://schemas.microsoft.com/office/drawing/2014/main" id="{9ABE6CF7-1502-DEFC-C091-64E228D93EB7}"/>
            </a:ext>
          </a:extLst>
        </xdr:cNvPr>
        <xdr:cNvGrpSpPr/>
      </xdr:nvGrpSpPr>
      <xdr:grpSpPr>
        <a:xfrm>
          <a:off x="381000" y="42359580"/>
          <a:ext cx="5989018" cy="6577193"/>
          <a:chOff x="382479" y="135984"/>
          <a:chExt cx="5989018" cy="6577193"/>
        </a:xfrm>
      </xdr:grpSpPr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53F18C7E-DDB3-C497-2E58-DB065EB35C8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74448" y="4193177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4" name="Picture 23">
            <a:extLst>
              <a:ext uri="{FF2B5EF4-FFF2-40B4-BE49-F238E27FC236}">
                <a16:creationId xmlns:a16="http://schemas.microsoft.com/office/drawing/2014/main" id="{C3A89495-35CC-C45A-C668-5D15E81A0C5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429000" y="4193177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5" name="Picture 24">
            <a:extLst>
              <a:ext uri="{FF2B5EF4-FFF2-40B4-BE49-F238E27FC236}">
                <a16:creationId xmlns:a16="http://schemas.microsoft.com/office/drawing/2014/main" id="{51667DB0-43E6-C704-04B9-9B6344DBBF1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82479" y="143691"/>
            <a:ext cx="2880000" cy="384400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6" name="Picture 25">
            <a:extLst>
              <a:ext uri="{FF2B5EF4-FFF2-40B4-BE49-F238E27FC236}">
                <a16:creationId xmlns:a16="http://schemas.microsoft.com/office/drawing/2014/main" id="{8BCB9738-2F66-92DE-B8AC-B848CAEF3E8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429000" y="143689"/>
            <a:ext cx="2880000" cy="384400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27" name="TextBox 11">
            <a:extLst>
              <a:ext uri="{FF2B5EF4-FFF2-40B4-BE49-F238E27FC236}">
                <a16:creationId xmlns:a16="http://schemas.microsoft.com/office/drawing/2014/main" id="{83E8EDE0-8CCC-C27D-5928-11CF23892043}"/>
              </a:ext>
            </a:extLst>
          </xdr:cNvPr>
          <xdr:cNvSpPr txBox="1"/>
        </xdr:nvSpPr>
        <xdr:spPr>
          <a:xfrm>
            <a:off x="3744988" y="135984"/>
            <a:ext cx="928459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Wing A </a:t>
            </a:r>
          </a:p>
        </xdr:txBody>
      </xdr:sp>
      <xdr:sp macro="" textlink="">
        <xdr:nvSpPr>
          <xdr:cNvPr id="28" name="TextBox 12">
            <a:extLst>
              <a:ext uri="{FF2B5EF4-FFF2-40B4-BE49-F238E27FC236}">
                <a16:creationId xmlns:a16="http://schemas.microsoft.com/office/drawing/2014/main" id="{E71B3F2C-ACD1-840D-5829-8FB2406891AA}"/>
              </a:ext>
            </a:extLst>
          </xdr:cNvPr>
          <xdr:cNvSpPr txBox="1"/>
        </xdr:nvSpPr>
        <xdr:spPr>
          <a:xfrm>
            <a:off x="5443038" y="411871"/>
            <a:ext cx="928459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Wing B </a:t>
            </a:r>
          </a:p>
        </xdr:txBody>
      </xdr:sp>
      <xdr:sp macro="" textlink="">
        <xdr:nvSpPr>
          <xdr:cNvPr id="31" name="TextBox 13">
            <a:extLst>
              <a:ext uri="{FF2B5EF4-FFF2-40B4-BE49-F238E27FC236}">
                <a16:creationId xmlns:a16="http://schemas.microsoft.com/office/drawing/2014/main" id="{58891914-7FFA-C86D-312F-E71ECDF1EA95}"/>
              </a:ext>
            </a:extLst>
          </xdr:cNvPr>
          <xdr:cNvSpPr txBox="1"/>
        </xdr:nvSpPr>
        <xdr:spPr>
          <a:xfrm>
            <a:off x="486503" y="628803"/>
            <a:ext cx="918841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Wing B </a:t>
            </a:r>
          </a:p>
        </xdr:txBody>
      </xdr:sp>
      <xdr:sp macro="" textlink="">
        <xdr:nvSpPr>
          <xdr:cNvPr id="51" name="TextBox 14">
            <a:extLst>
              <a:ext uri="{FF2B5EF4-FFF2-40B4-BE49-F238E27FC236}">
                <a16:creationId xmlns:a16="http://schemas.microsoft.com/office/drawing/2014/main" id="{157D8E81-8C07-644F-1062-7206A3196D91}"/>
              </a:ext>
            </a:extLst>
          </xdr:cNvPr>
          <xdr:cNvSpPr txBox="1"/>
        </xdr:nvSpPr>
        <xdr:spPr>
          <a:xfrm>
            <a:off x="2216332" y="227205"/>
            <a:ext cx="928459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Wing A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omments" Target="../comments1.xml"/><Relationship Id="rId2" Type="http://schemas.openxmlformats.org/officeDocument/2006/relationships/hyperlink" Target="https://shreejiplaza.in/wp-content/uploads/2021/09/Plaza-E-Brochure.pdf" TargetMode="External"/><Relationship Id="rId1" Type="http://schemas.openxmlformats.org/officeDocument/2006/relationships/hyperlink" Target="https://maps.app.goo.gl/FFq2yFsPH8EmJ3jXA" TargetMode="External"/><Relationship Id="rId6" Type="http://schemas.openxmlformats.org/officeDocument/2006/relationships/vmlDrawing" Target="../drawings/vmlDrawing2.v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275"/>
  <sheetViews>
    <sheetView tabSelected="1" view="pageBreakPreview" topLeftCell="A50" zoomScaleNormal="100" zoomScaleSheetLayoutView="100" zoomScalePageLayoutView="85" workbookViewId="0">
      <selection activeCell="I51" sqref="I51"/>
    </sheetView>
  </sheetViews>
  <sheetFormatPr defaultColWidth="9.21875" defaultRowHeight="15.6" x14ac:dyDescent="0.3"/>
  <cols>
    <col min="1" max="1" width="11.44140625" style="15" customWidth="1"/>
    <col min="2" max="2" width="12" style="15" customWidth="1"/>
    <col min="3" max="3" width="12.77734375" style="15" customWidth="1"/>
    <col min="4" max="4" width="14.21875" style="15" customWidth="1"/>
    <col min="5" max="7" width="11.77734375" style="15" customWidth="1"/>
    <col min="8" max="8" width="12.44140625" style="15" customWidth="1"/>
    <col min="9" max="9" width="17.44140625" style="8" customWidth="1"/>
    <col min="10" max="10" width="11.44140625" style="8" customWidth="1"/>
    <col min="11" max="11" width="10.5546875" style="8" bestFit="1" customWidth="1"/>
    <col min="12" max="12" width="10.5546875" style="8" customWidth="1"/>
    <col min="13" max="13" width="11.77734375" style="8" customWidth="1"/>
    <col min="14" max="14" width="12.5546875" style="8" hidden="1" customWidth="1"/>
    <col min="15" max="15" width="9.77734375" style="8" hidden="1" customWidth="1"/>
    <col min="16" max="16" width="10.44140625" style="8" hidden="1" customWidth="1"/>
    <col min="17" max="247" width="9.21875" style="8"/>
    <col min="248" max="248" width="8.77734375" style="8" customWidth="1"/>
    <col min="249" max="249" width="9.77734375" style="8" customWidth="1"/>
    <col min="250" max="250" width="14.44140625" style="8" customWidth="1"/>
    <col min="251" max="251" width="7.21875" style="8" customWidth="1"/>
    <col min="252" max="252" width="5.5546875" style="8" customWidth="1"/>
    <col min="253" max="253" width="9" style="8" customWidth="1"/>
    <col min="254" max="255" width="9.77734375" style="8" customWidth="1"/>
    <col min="256" max="256" width="11.21875" style="8" customWidth="1"/>
    <col min="257" max="257" width="2.77734375" style="8" customWidth="1"/>
    <col min="258" max="258" width="3.5546875" style="8" customWidth="1"/>
    <col min="259" max="503" width="9.21875" style="8"/>
    <col min="504" max="504" width="8.77734375" style="8" customWidth="1"/>
    <col min="505" max="505" width="9.77734375" style="8" customWidth="1"/>
    <col min="506" max="506" width="14.44140625" style="8" customWidth="1"/>
    <col min="507" max="507" width="7.21875" style="8" customWidth="1"/>
    <col min="508" max="508" width="5.5546875" style="8" customWidth="1"/>
    <col min="509" max="509" width="9" style="8" customWidth="1"/>
    <col min="510" max="511" width="9.77734375" style="8" customWidth="1"/>
    <col min="512" max="512" width="11.21875" style="8" customWidth="1"/>
    <col min="513" max="513" width="2.77734375" style="8" customWidth="1"/>
    <col min="514" max="514" width="3.5546875" style="8" customWidth="1"/>
    <col min="515" max="759" width="9.21875" style="8"/>
    <col min="760" max="760" width="8.77734375" style="8" customWidth="1"/>
    <col min="761" max="761" width="9.77734375" style="8" customWidth="1"/>
    <col min="762" max="762" width="14.44140625" style="8" customWidth="1"/>
    <col min="763" max="763" width="7.21875" style="8" customWidth="1"/>
    <col min="764" max="764" width="5.5546875" style="8" customWidth="1"/>
    <col min="765" max="765" width="9" style="8" customWidth="1"/>
    <col min="766" max="767" width="9.77734375" style="8" customWidth="1"/>
    <col min="768" max="768" width="11.21875" style="8" customWidth="1"/>
    <col min="769" max="769" width="2.77734375" style="8" customWidth="1"/>
    <col min="770" max="770" width="3.5546875" style="8" customWidth="1"/>
    <col min="771" max="1015" width="9.21875" style="8"/>
    <col min="1016" max="1016" width="8.77734375" style="8" customWidth="1"/>
    <col min="1017" max="1017" width="9.77734375" style="8" customWidth="1"/>
    <col min="1018" max="1018" width="14.44140625" style="8" customWidth="1"/>
    <col min="1019" max="1019" width="7.21875" style="8" customWidth="1"/>
    <col min="1020" max="1020" width="5.5546875" style="8" customWidth="1"/>
    <col min="1021" max="1021" width="9" style="8" customWidth="1"/>
    <col min="1022" max="1023" width="9.77734375" style="8" customWidth="1"/>
    <col min="1024" max="1024" width="11.21875" style="8" customWidth="1"/>
    <col min="1025" max="1025" width="2.77734375" style="8" customWidth="1"/>
    <col min="1026" max="1026" width="3.5546875" style="8" customWidth="1"/>
    <col min="1027" max="1271" width="9.21875" style="8"/>
    <col min="1272" max="1272" width="8.77734375" style="8" customWidth="1"/>
    <col min="1273" max="1273" width="9.77734375" style="8" customWidth="1"/>
    <col min="1274" max="1274" width="14.44140625" style="8" customWidth="1"/>
    <col min="1275" max="1275" width="7.21875" style="8" customWidth="1"/>
    <col min="1276" max="1276" width="5.5546875" style="8" customWidth="1"/>
    <col min="1277" max="1277" width="9" style="8" customWidth="1"/>
    <col min="1278" max="1279" width="9.77734375" style="8" customWidth="1"/>
    <col min="1280" max="1280" width="11.21875" style="8" customWidth="1"/>
    <col min="1281" max="1281" width="2.77734375" style="8" customWidth="1"/>
    <col min="1282" max="1282" width="3.5546875" style="8" customWidth="1"/>
    <col min="1283" max="1527" width="9.21875" style="8"/>
    <col min="1528" max="1528" width="8.77734375" style="8" customWidth="1"/>
    <col min="1529" max="1529" width="9.77734375" style="8" customWidth="1"/>
    <col min="1530" max="1530" width="14.44140625" style="8" customWidth="1"/>
    <col min="1531" max="1531" width="7.21875" style="8" customWidth="1"/>
    <col min="1532" max="1532" width="5.5546875" style="8" customWidth="1"/>
    <col min="1533" max="1533" width="9" style="8" customWidth="1"/>
    <col min="1534" max="1535" width="9.77734375" style="8" customWidth="1"/>
    <col min="1536" max="1536" width="11.21875" style="8" customWidth="1"/>
    <col min="1537" max="1537" width="2.77734375" style="8" customWidth="1"/>
    <col min="1538" max="1538" width="3.5546875" style="8" customWidth="1"/>
    <col min="1539" max="1783" width="9.21875" style="8"/>
    <col min="1784" max="1784" width="8.77734375" style="8" customWidth="1"/>
    <col min="1785" max="1785" width="9.77734375" style="8" customWidth="1"/>
    <col min="1786" max="1786" width="14.44140625" style="8" customWidth="1"/>
    <col min="1787" max="1787" width="7.21875" style="8" customWidth="1"/>
    <col min="1788" max="1788" width="5.5546875" style="8" customWidth="1"/>
    <col min="1789" max="1789" width="9" style="8" customWidth="1"/>
    <col min="1790" max="1791" width="9.77734375" style="8" customWidth="1"/>
    <col min="1792" max="1792" width="11.21875" style="8" customWidth="1"/>
    <col min="1793" max="1793" width="2.77734375" style="8" customWidth="1"/>
    <col min="1794" max="1794" width="3.5546875" style="8" customWidth="1"/>
    <col min="1795" max="2039" width="9.21875" style="8"/>
    <col min="2040" max="2040" width="8.77734375" style="8" customWidth="1"/>
    <col min="2041" max="2041" width="9.77734375" style="8" customWidth="1"/>
    <col min="2042" max="2042" width="14.44140625" style="8" customWidth="1"/>
    <col min="2043" max="2043" width="7.21875" style="8" customWidth="1"/>
    <col min="2044" max="2044" width="5.5546875" style="8" customWidth="1"/>
    <col min="2045" max="2045" width="9" style="8" customWidth="1"/>
    <col min="2046" max="2047" width="9.77734375" style="8" customWidth="1"/>
    <col min="2048" max="2048" width="11.21875" style="8" customWidth="1"/>
    <col min="2049" max="2049" width="2.77734375" style="8" customWidth="1"/>
    <col min="2050" max="2050" width="3.5546875" style="8" customWidth="1"/>
    <col min="2051" max="2295" width="9.21875" style="8"/>
    <col min="2296" max="2296" width="8.77734375" style="8" customWidth="1"/>
    <col min="2297" max="2297" width="9.77734375" style="8" customWidth="1"/>
    <col min="2298" max="2298" width="14.44140625" style="8" customWidth="1"/>
    <col min="2299" max="2299" width="7.21875" style="8" customWidth="1"/>
    <col min="2300" max="2300" width="5.5546875" style="8" customWidth="1"/>
    <col min="2301" max="2301" width="9" style="8" customWidth="1"/>
    <col min="2302" max="2303" width="9.77734375" style="8" customWidth="1"/>
    <col min="2304" max="2304" width="11.21875" style="8" customWidth="1"/>
    <col min="2305" max="2305" width="2.77734375" style="8" customWidth="1"/>
    <col min="2306" max="2306" width="3.5546875" style="8" customWidth="1"/>
    <col min="2307" max="2551" width="9.21875" style="8"/>
    <col min="2552" max="2552" width="8.77734375" style="8" customWidth="1"/>
    <col min="2553" max="2553" width="9.77734375" style="8" customWidth="1"/>
    <col min="2554" max="2554" width="14.44140625" style="8" customWidth="1"/>
    <col min="2555" max="2555" width="7.21875" style="8" customWidth="1"/>
    <col min="2556" max="2556" width="5.5546875" style="8" customWidth="1"/>
    <col min="2557" max="2557" width="9" style="8" customWidth="1"/>
    <col min="2558" max="2559" width="9.77734375" style="8" customWidth="1"/>
    <col min="2560" max="2560" width="11.21875" style="8" customWidth="1"/>
    <col min="2561" max="2561" width="2.77734375" style="8" customWidth="1"/>
    <col min="2562" max="2562" width="3.5546875" style="8" customWidth="1"/>
    <col min="2563" max="2807" width="9.21875" style="8"/>
    <col min="2808" max="2808" width="8.77734375" style="8" customWidth="1"/>
    <col min="2809" max="2809" width="9.77734375" style="8" customWidth="1"/>
    <col min="2810" max="2810" width="14.44140625" style="8" customWidth="1"/>
    <col min="2811" max="2811" width="7.21875" style="8" customWidth="1"/>
    <col min="2812" max="2812" width="5.5546875" style="8" customWidth="1"/>
    <col min="2813" max="2813" width="9" style="8" customWidth="1"/>
    <col min="2814" max="2815" width="9.77734375" style="8" customWidth="1"/>
    <col min="2816" max="2816" width="11.21875" style="8" customWidth="1"/>
    <col min="2817" max="2817" width="2.77734375" style="8" customWidth="1"/>
    <col min="2818" max="2818" width="3.5546875" style="8" customWidth="1"/>
    <col min="2819" max="3063" width="9.21875" style="8"/>
    <col min="3064" max="3064" width="8.77734375" style="8" customWidth="1"/>
    <col min="3065" max="3065" width="9.77734375" style="8" customWidth="1"/>
    <col min="3066" max="3066" width="14.44140625" style="8" customWidth="1"/>
    <col min="3067" max="3067" width="7.21875" style="8" customWidth="1"/>
    <col min="3068" max="3068" width="5.5546875" style="8" customWidth="1"/>
    <col min="3069" max="3069" width="9" style="8" customWidth="1"/>
    <col min="3070" max="3071" width="9.77734375" style="8" customWidth="1"/>
    <col min="3072" max="3072" width="11.21875" style="8" customWidth="1"/>
    <col min="3073" max="3073" width="2.77734375" style="8" customWidth="1"/>
    <col min="3074" max="3074" width="3.5546875" style="8" customWidth="1"/>
    <col min="3075" max="3319" width="9.21875" style="8"/>
    <col min="3320" max="3320" width="8.77734375" style="8" customWidth="1"/>
    <col min="3321" max="3321" width="9.77734375" style="8" customWidth="1"/>
    <col min="3322" max="3322" width="14.44140625" style="8" customWidth="1"/>
    <col min="3323" max="3323" width="7.21875" style="8" customWidth="1"/>
    <col min="3324" max="3324" width="5.5546875" style="8" customWidth="1"/>
    <col min="3325" max="3325" width="9" style="8" customWidth="1"/>
    <col min="3326" max="3327" width="9.77734375" style="8" customWidth="1"/>
    <col min="3328" max="3328" width="11.21875" style="8" customWidth="1"/>
    <col min="3329" max="3329" width="2.77734375" style="8" customWidth="1"/>
    <col min="3330" max="3330" width="3.5546875" style="8" customWidth="1"/>
    <col min="3331" max="3575" width="9.21875" style="8"/>
    <col min="3576" max="3576" width="8.77734375" style="8" customWidth="1"/>
    <col min="3577" max="3577" width="9.77734375" style="8" customWidth="1"/>
    <col min="3578" max="3578" width="14.44140625" style="8" customWidth="1"/>
    <col min="3579" max="3579" width="7.21875" style="8" customWidth="1"/>
    <col min="3580" max="3580" width="5.5546875" style="8" customWidth="1"/>
    <col min="3581" max="3581" width="9" style="8" customWidth="1"/>
    <col min="3582" max="3583" width="9.77734375" style="8" customWidth="1"/>
    <col min="3584" max="3584" width="11.21875" style="8" customWidth="1"/>
    <col min="3585" max="3585" width="2.77734375" style="8" customWidth="1"/>
    <col min="3586" max="3586" width="3.5546875" style="8" customWidth="1"/>
    <col min="3587" max="3831" width="9.21875" style="8"/>
    <col min="3832" max="3832" width="8.77734375" style="8" customWidth="1"/>
    <col min="3833" max="3833" width="9.77734375" style="8" customWidth="1"/>
    <col min="3834" max="3834" width="14.44140625" style="8" customWidth="1"/>
    <col min="3835" max="3835" width="7.21875" style="8" customWidth="1"/>
    <col min="3836" max="3836" width="5.5546875" style="8" customWidth="1"/>
    <col min="3837" max="3837" width="9" style="8" customWidth="1"/>
    <col min="3838" max="3839" width="9.77734375" style="8" customWidth="1"/>
    <col min="3840" max="3840" width="11.21875" style="8" customWidth="1"/>
    <col min="3841" max="3841" width="2.77734375" style="8" customWidth="1"/>
    <col min="3842" max="3842" width="3.5546875" style="8" customWidth="1"/>
    <col min="3843" max="4087" width="9.21875" style="8"/>
    <col min="4088" max="4088" width="8.77734375" style="8" customWidth="1"/>
    <col min="4089" max="4089" width="9.77734375" style="8" customWidth="1"/>
    <col min="4090" max="4090" width="14.44140625" style="8" customWidth="1"/>
    <col min="4091" max="4091" width="7.21875" style="8" customWidth="1"/>
    <col min="4092" max="4092" width="5.5546875" style="8" customWidth="1"/>
    <col min="4093" max="4093" width="9" style="8" customWidth="1"/>
    <col min="4094" max="4095" width="9.77734375" style="8" customWidth="1"/>
    <col min="4096" max="4096" width="11.21875" style="8" customWidth="1"/>
    <col min="4097" max="4097" width="2.77734375" style="8" customWidth="1"/>
    <col min="4098" max="4098" width="3.5546875" style="8" customWidth="1"/>
    <col min="4099" max="4343" width="9.21875" style="8"/>
    <col min="4344" max="4344" width="8.77734375" style="8" customWidth="1"/>
    <col min="4345" max="4345" width="9.77734375" style="8" customWidth="1"/>
    <col min="4346" max="4346" width="14.44140625" style="8" customWidth="1"/>
    <col min="4347" max="4347" width="7.21875" style="8" customWidth="1"/>
    <col min="4348" max="4348" width="5.5546875" style="8" customWidth="1"/>
    <col min="4349" max="4349" width="9" style="8" customWidth="1"/>
    <col min="4350" max="4351" width="9.77734375" style="8" customWidth="1"/>
    <col min="4352" max="4352" width="11.21875" style="8" customWidth="1"/>
    <col min="4353" max="4353" width="2.77734375" style="8" customWidth="1"/>
    <col min="4354" max="4354" width="3.5546875" style="8" customWidth="1"/>
    <col min="4355" max="4599" width="9.21875" style="8"/>
    <col min="4600" max="4600" width="8.77734375" style="8" customWidth="1"/>
    <col min="4601" max="4601" width="9.77734375" style="8" customWidth="1"/>
    <col min="4602" max="4602" width="14.44140625" style="8" customWidth="1"/>
    <col min="4603" max="4603" width="7.21875" style="8" customWidth="1"/>
    <col min="4604" max="4604" width="5.5546875" style="8" customWidth="1"/>
    <col min="4605" max="4605" width="9" style="8" customWidth="1"/>
    <col min="4606" max="4607" width="9.77734375" style="8" customWidth="1"/>
    <col min="4608" max="4608" width="11.21875" style="8" customWidth="1"/>
    <col min="4609" max="4609" width="2.77734375" style="8" customWidth="1"/>
    <col min="4610" max="4610" width="3.5546875" style="8" customWidth="1"/>
    <col min="4611" max="4855" width="9.21875" style="8"/>
    <col min="4856" max="4856" width="8.77734375" style="8" customWidth="1"/>
    <col min="4857" max="4857" width="9.77734375" style="8" customWidth="1"/>
    <col min="4858" max="4858" width="14.44140625" style="8" customWidth="1"/>
    <col min="4859" max="4859" width="7.21875" style="8" customWidth="1"/>
    <col min="4860" max="4860" width="5.5546875" style="8" customWidth="1"/>
    <col min="4861" max="4861" width="9" style="8" customWidth="1"/>
    <col min="4862" max="4863" width="9.77734375" style="8" customWidth="1"/>
    <col min="4864" max="4864" width="11.21875" style="8" customWidth="1"/>
    <col min="4865" max="4865" width="2.77734375" style="8" customWidth="1"/>
    <col min="4866" max="4866" width="3.5546875" style="8" customWidth="1"/>
    <col min="4867" max="5111" width="9.21875" style="8"/>
    <col min="5112" max="5112" width="8.77734375" style="8" customWidth="1"/>
    <col min="5113" max="5113" width="9.77734375" style="8" customWidth="1"/>
    <col min="5114" max="5114" width="14.44140625" style="8" customWidth="1"/>
    <col min="5115" max="5115" width="7.21875" style="8" customWidth="1"/>
    <col min="5116" max="5116" width="5.5546875" style="8" customWidth="1"/>
    <col min="5117" max="5117" width="9" style="8" customWidth="1"/>
    <col min="5118" max="5119" width="9.77734375" style="8" customWidth="1"/>
    <col min="5120" max="5120" width="11.21875" style="8" customWidth="1"/>
    <col min="5121" max="5121" width="2.77734375" style="8" customWidth="1"/>
    <col min="5122" max="5122" width="3.5546875" style="8" customWidth="1"/>
    <col min="5123" max="5367" width="9.21875" style="8"/>
    <col min="5368" max="5368" width="8.77734375" style="8" customWidth="1"/>
    <col min="5369" max="5369" width="9.77734375" style="8" customWidth="1"/>
    <col min="5370" max="5370" width="14.44140625" style="8" customWidth="1"/>
    <col min="5371" max="5371" width="7.21875" style="8" customWidth="1"/>
    <col min="5372" max="5372" width="5.5546875" style="8" customWidth="1"/>
    <col min="5373" max="5373" width="9" style="8" customWidth="1"/>
    <col min="5374" max="5375" width="9.77734375" style="8" customWidth="1"/>
    <col min="5376" max="5376" width="11.21875" style="8" customWidth="1"/>
    <col min="5377" max="5377" width="2.77734375" style="8" customWidth="1"/>
    <col min="5378" max="5378" width="3.5546875" style="8" customWidth="1"/>
    <col min="5379" max="5623" width="9.21875" style="8"/>
    <col min="5624" max="5624" width="8.77734375" style="8" customWidth="1"/>
    <col min="5625" max="5625" width="9.77734375" style="8" customWidth="1"/>
    <col min="5626" max="5626" width="14.44140625" style="8" customWidth="1"/>
    <col min="5627" max="5627" width="7.21875" style="8" customWidth="1"/>
    <col min="5628" max="5628" width="5.5546875" style="8" customWidth="1"/>
    <col min="5629" max="5629" width="9" style="8" customWidth="1"/>
    <col min="5630" max="5631" width="9.77734375" style="8" customWidth="1"/>
    <col min="5632" max="5632" width="11.21875" style="8" customWidth="1"/>
    <col min="5633" max="5633" width="2.77734375" style="8" customWidth="1"/>
    <col min="5634" max="5634" width="3.5546875" style="8" customWidth="1"/>
    <col min="5635" max="5879" width="9.21875" style="8"/>
    <col min="5880" max="5880" width="8.77734375" style="8" customWidth="1"/>
    <col min="5881" max="5881" width="9.77734375" style="8" customWidth="1"/>
    <col min="5882" max="5882" width="14.44140625" style="8" customWidth="1"/>
    <col min="5883" max="5883" width="7.21875" style="8" customWidth="1"/>
    <col min="5884" max="5884" width="5.5546875" style="8" customWidth="1"/>
    <col min="5885" max="5885" width="9" style="8" customWidth="1"/>
    <col min="5886" max="5887" width="9.77734375" style="8" customWidth="1"/>
    <col min="5888" max="5888" width="11.21875" style="8" customWidth="1"/>
    <col min="5889" max="5889" width="2.77734375" style="8" customWidth="1"/>
    <col min="5890" max="5890" width="3.5546875" style="8" customWidth="1"/>
    <col min="5891" max="6135" width="9.21875" style="8"/>
    <col min="6136" max="6136" width="8.77734375" style="8" customWidth="1"/>
    <col min="6137" max="6137" width="9.77734375" style="8" customWidth="1"/>
    <col min="6138" max="6138" width="14.44140625" style="8" customWidth="1"/>
    <col min="6139" max="6139" width="7.21875" style="8" customWidth="1"/>
    <col min="6140" max="6140" width="5.5546875" style="8" customWidth="1"/>
    <col min="6141" max="6141" width="9" style="8" customWidth="1"/>
    <col min="6142" max="6143" width="9.77734375" style="8" customWidth="1"/>
    <col min="6144" max="6144" width="11.21875" style="8" customWidth="1"/>
    <col min="6145" max="6145" width="2.77734375" style="8" customWidth="1"/>
    <col min="6146" max="6146" width="3.5546875" style="8" customWidth="1"/>
    <col min="6147" max="6391" width="9.21875" style="8"/>
    <col min="6392" max="6392" width="8.77734375" style="8" customWidth="1"/>
    <col min="6393" max="6393" width="9.77734375" style="8" customWidth="1"/>
    <col min="6394" max="6394" width="14.44140625" style="8" customWidth="1"/>
    <col min="6395" max="6395" width="7.21875" style="8" customWidth="1"/>
    <col min="6396" max="6396" width="5.5546875" style="8" customWidth="1"/>
    <col min="6397" max="6397" width="9" style="8" customWidth="1"/>
    <col min="6398" max="6399" width="9.77734375" style="8" customWidth="1"/>
    <col min="6400" max="6400" width="11.21875" style="8" customWidth="1"/>
    <col min="6401" max="6401" width="2.77734375" style="8" customWidth="1"/>
    <col min="6402" max="6402" width="3.5546875" style="8" customWidth="1"/>
    <col min="6403" max="6647" width="9.21875" style="8"/>
    <col min="6648" max="6648" width="8.77734375" style="8" customWidth="1"/>
    <col min="6649" max="6649" width="9.77734375" style="8" customWidth="1"/>
    <col min="6650" max="6650" width="14.44140625" style="8" customWidth="1"/>
    <col min="6651" max="6651" width="7.21875" style="8" customWidth="1"/>
    <col min="6652" max="6652" width="5.5546875" style="8" customWidth="1"/>
    <col min="6653" max="6653" width="9" style="8" customWidth="1"/>
    <col min="6654" max="6655" width="9.77734375" style="8" customWidth="1"/>
    <col min="6656" max="6656" width="11.21875" style="8" customWidth="1"/>
    <col min="6657" max="6657" width="2.77734375" style="8" customWidth="1"/>
    <col min="6658" max="6658" width="3.5546875" style="8" customWidth="1"/>
    <col min="6659" max="6903" width="9.21875" style="8"/>
    <col min="6904" max="6904" width="8.77734375" style="8" customWidth="1"/>
    <col min="6905" max="6905" width="9.77734375" style="8" customWidth="1"/>
    <col min="6906" max="6906" width="14.44140625" style="8" customWidth="1"/>
    <col min="6907" max="6907" width="7.21875" style="8" customWidth="1"/>
    <col min="6908" max="6908" width="5.5546875" style="8" customWidth="1"/>
    <col min="6909" max="6909" width="9" style="8" customWidth="1"/>
    <col min="6910" max="6911" width="9.77734375" style="8" customWidth="1"/>
    <col min="6912" max="6912" width="11.21875" style="8" customWidth="1"/>
    <col min="6913" max="6913" width="2.77734375" style="8" customWidth="1"/>
    <col min="6914" max="6914" width="3.5546875" style="8" customWidth="1"/>
    <col min="6915" max="7159" width="9.21875" style="8"/>
    <col min="7160" max="7160" width="8.77734375" style="8" customWidth="1"/>
    <col min="7161" max="7161" width="9.77734375" style="8" customWidth="1"/>
    <col min="7162" max="7162" width="14.44140625" style="8" customWidth="1"/>
    <col min="7163" max="7163" width="7.21875" style="8" customWidth="1"/>
    <col min="7164" max="7164" width="5.5546875" style="8" customWidth="1"/>
    <col min="7165" max="7165" width="9" style="8" customWidth="1"/>
    <col min="7166" max="7167" width="9.77734375" style="8" customWidth="1"/>
    <col min="7168" max="7168" width="11.21875" style="8" customWidth="1"/>
    <col min="7169" max="7169" width="2.77734375" style="8" customWidth="1"/>
    <col min="7170" max="7170" width="3.5546875" style="8" customWidth="1"/>
    <col min="7171" max="7415" width="9.21875" style="8"/>
    <col min="7416" max="7416" width="8.77734375" style="8" customWidth="1"/>
    <col min="7417" max="7417" width="9.77734375" style="8" customWidth="1"/>
    <col min="7418" max="7418" width="14.44140625" style="8" customWidth="1"/>
    <col min="7419" max="7419" width="7.21875" style="8" customWidth="1"/>
    <col min="7420" max="7420" width="5.5546875" style="8" customWidth="1"/>
    <col min="7421" max="7421" width="9" style="8" customWidth="1"/>
    <col min="7422" max="7423" width="9.77734375" style="8" customWidth="1"/>
    <col min="7424" max="7424" width="11.21875" style="8" customWidth="1"/>
    <col min="7425" max="7425" width="2.77734375" style="8" customWidth="1"/>
    <col min="7426" max="7426" width="3.5546875" style="8" customWidth="1"/>
    <col min="7427" max="7671" width="9.21875" style="8"/>
    <col min="7672" max="7672" width="8.77734375" style="8" customWidth="1"/>
    <col min="7673" max="7673" width="9.77734375" style="8" customWidth="1"/>
    <col min="7674" max="7674" width="14.44140625" style="8" customWidth="1"/>
    <col min="7675" max="7675" width="7.21875" style="8" customWidth="1"/>
    <col min="7676" max="7676" width="5.5546875" style="8" customWidth="1"/>
    <col min="7677" max="7677" width="9" style="8" customWidth="1"/>
    <col min="7678" max="7679" width="9.77734375" style="8" customWidth="1"/>
    <col min="7680" max="7680" width="11.21875" style="8" customWidth="1"/>
    <col min="7681" max="7681" width="2.77734375" style="8" customWidth="1"/>
    <col min="7682" max="7682" width="3.5546875" style="8" customWidth="1"/>
    <col min="7683" max="7927" width="9.21875" style="8"/>
    <col min="7928" max="7928" width="8.77734375" style="8" customWidth="1"/>
    <col min="7929" max="7929" width="9.77734375" style="8" customWidth="1"/>
    <col min="7930" max="7930" width="14.44140625" style="8" customWidth="1"/>
    <col min="7931" max="7931" width="7.21875" style="8" customWidth="1"/>
    <col min="7932" max="7932" width="5.5546875" style="8" customWidth="1"/>
    <col min="7933" max="7933" width="9" style="8" customWidth="1"/>
    <col min="7934" max="7935" width="9.77734375" style="8" customWidth="1"/>
    <col min="7936" max="7936" width="11.21875" style="8" customWidth="1"/>
    <col min="7937" max="7937" width="2.77734375" style="8" customWidth="1"/>
    <col min="7938" max="7938" width="3.5546875" style="8" customWidth="1"/>
    <col min="7939" max="8183" width="9.21875" style="8"/>
    <col min="8184" max="8184" width="8.77734375" style="8" customWidth="1"/>
    <col min="8185" max="8185" width="9.77734375" style="8" customWidth="1"/>
    <col min="8186" max="8186" width="14.44140625" style="8" customWidth="1"/>
    <col min="8187" max="8187" width="7.21875" style="8" customWidth="1"/>
    <col min="8188" max="8188" width="5.5546875" style="8" customWidth="1"/>
    <col min="8189" max="8189" width="9" style="8" customWidth="1"/>
    <col min="8190" max="8191" width="9.77734375" style="8" customWidth="1"/>
    <col min="8192" max="8192" width="11.21875" style="8" customWidth="1"/>
    <col min="8193" max="8193" width="2.77734375" style="8" customWidth="1"/>
    <col min="8194" max="8194" width="3.5546875" style="8" customWidth="1"/>
    <col min="8195" max="8439" width="9.21875" style="8"/>
    <col min="8440" max="8440" width="8.77734375" style="8" customWidth="1"/>
    <col min="8441" max="8441" width="9.77734375" style="8" customWidth="1"/>
    <col min="8442" max="8442" width="14.44140625" style="8" customWidth="1"/>
    <col min="8443" max="8443" width="7.21875" style="8" customWidth="1"/>
    <col min="8444" max="8444" width="5.5546875" style="8" customWidth="1"/>
    <col min="8445" max="8445" width="9" style="8" customWidth="1"/>
    <col min="8446" max="8447" width="9.77734375" style="8" customWidth="1"/>
    <col min="8448" max="8448" width="11.21875" style="8" customWidth="1"/>
    <col min="8449" max="8449" width="2.77734375" style="8" customWidth="1"/>
    <col min="8450" max="8450" width="3.5546875" style="8" customWidth="1"/>
    <col min="8451" max="8695" width="9.21875" style="8"/>
    <col min="8696" max="8696" width="8.77734375" style="8" customWidth="1"/>
    <col min="8697" max="8697" width="9.77734375" style="8" customWidth="1"/>
    <col min="8698" max="8698" width="14.44140625" style="8" customWidth="1"/>
    <col min="8699" max="8699" width="7.21875" style="8" customWidth="1"/>
    <col min="8700" max="8700" width="5.5546875" style="8" customWidth="1"/>
    <col min="8701" max="8701" width="9" style="8" customWidth="1"/>
    <col min="8702" max="8703" width="9.77734375" style="8" customWidth="1"/>
    <col min="8704" max="8704" width="11.21875" style="8" customWidth="1"/>
    <col min="8705" max="8705" width="2.77734375" style="8" customWidth="1"/>
    <col min="8706" max="8706" width="3.5546875" style="8" customWidth="1"/>
    <col min="8707" max="8951" width="9.21875" style="8"/>
    <col min="8952" max="8952" width="8.77734375" style="8" customWidth="1"/>
    <col min="8953" max="8953" width="9.77734375" style="8" customWidth="1"/>
    <col min="8954" max="8954" width="14.44140625" style="8" customWidth="1"/>
    <col min="8955" max="8955" width="7.21875" style="8" customWidth="1"/>
    <col min="8956" max="8956" width="5.5546875" style="8" customWidth="1"/>
    <col min="8957" max="8957" width="9" style="8" customWidth="1"/>
    <col min="8958" max="8959" width="9.77734375" style="8" customWidth="1"/>
    <col min="8960" max="8960" width="11.21875" style="8" customWidth="1"/>
    <col min="8961" max="8961" width="2.77734375" style="8" customWidth="1"/>
    <col min="8962" max="8962" width="3.5546875" style="8" customWidth="1"/>
    <col min="8963" max="9207" width="9.21875" style="8"/>
    <col min="9208" max="9208" width="8.77734375" style="8" customWidth="1"/>
    <col min="9209" max="9209" width="9.77734375" style="8" customWidth="1"/>
    <col min="9210" max="9210" width="14.44140625" style="8" customWidth="1"/>
    <col min="9211" max="9211" width="7.21875" style="8" customWidth="1"/>
    <col min="9212" max="9212" width="5.5546875" style="8" customWidth="1"/>
    <col min="9213" max="9213" width="9" style="8" customWidth="1"/>
    <col min="9214" max="9215" width="9.77734375" style="8" customWidth="1"/>
    <col min="9216" max="9216" width="11.21875" style="8" customWidth="1"/>
    <col min="9217" max="9217" width="2.77734375" style="8" customWidth="1"/>
    <col min="9218" max="9218" width="3.5546875" style="8" customWidth="1"/>
    <col min="9219" max="9463" width="9.21875" style="8"/>
    <col min="9464" max="9464" width="8.77734375" style="8" customWidth="1"/>
    <col min="9465" max="9465" width="9.77734375" style="8" customWidth="1"/>
    <col min="9466" max="9466" width="14.44140625" style="8" customWidth="1"/>
    <col min="9467" max="9467" width="7.21875" style="8" customWidth="1"/>
    <col min="9468" max="9468" width="5.5546875" style="8" customWidth="1"/>
    <col min="9469" max="9469" width="9" style="8" customWidth="1"/>
    <col min="9470" max="9471" width="9.77734375" style="8" customWidth="1"/>
    <col min="9472" max="9472" width="11.21875" style="8" customWidth="1"/>
    <col min="9473" max="9473" width="2.77734375" style="8" customWidth="1"/>
    <col min="9474" max="9474" width="3.5546875" style="8" customWidth="1"/>
    <col min="9475" max="9719" width="9.21875" style="8"/>
    <col min="9720" max="9720" width="8.77734375" style="8" customWidth="1"/>
    <col min="9721" max="9721" width="9.77734375" style="8" customWidth="1"/>
    <col min="9722" max="9722" width="14.44140625" style="8" customWidth="1"/>
    <col min="9723" max="9723" width="7.21875" style="8" customWidth="1"/>
    <col min="9724" max="9724" width="5.5546875" style="8" customWidth="1"/>
    <col min="9725" max="9725" width="9" style="8" customWidth="1"/>
    <col min="9726" max="9727" width="9.77734375" style="8" customWidth="1"/>
    <col min="9728" max="9728" width="11.21875" style="8" customWidth="1"/>
    <col min="9729" max="9729" width="2.77734375" style="8" customWidth="1"/>
    <col min="9730" max="9730" width="3.5546875" style="8" customWidth="1"/>
    <col min="9731" max="9975" width="9.21875" style="8"/>
    <col min="9976" max="9976" width="8.77734375" style="8" customWidth="1"/>
    <col min="9977" max="9977" width="9.77734375" style="8" customWidth="1"/>
    <col min="9978" max="9978" width="14.44140625" style="8" customWidth="1"/>
    <col min="9979" max="9979" width="7.21875" style="8" customWidth="1"/>
    <col min="9980" max="9980" width="5.5546875" style="8" customWidth="1"/>
    <col min="9981" max="9981" width="9" style="8" customWidth="1"/>
    <col min="9982" max="9983" width="9.77734375" style="8" customWidth="1"/>
    <col min="9984" max="9984" width="11.21875" style="8" customWidth="1"/>
    <col min="9985" max="9985" width="2.77734375" style="8" customWidth="1"/>
    <col min="9986" max="9986" width="3.5546875" style="8" customWidth="1"/>
    <col min="9987" max="10231" width="9.21875" style="8"/>
    <col min="10232" max="10232" width="8.77734375" style="8" customWidth="1"/>
    <col min="10233" max="10233" width="9.77734375" style="8" customWidth="1"/>
    <col min="10234" max="10234" width="14.44140625" style="8" customWidth="1"/>
    <col min="10235" max="10235" width="7.21875" style="8" customWidth="1"/>
    <col min="10236" max="10236" width="5.5546875" style="8" customWidth="1"/>
    <col min="10237" max="10237" width="9" style="8" customWidth="1"/>
    <col min="10238" max="10239" width="9.77734375" style="8" customWidth="1"/>
    <col min="10240" max="10240" width="11.21875" style="8" customWidth="1"/>
    <col min="10241" max="10241" width="2.77734375" style="8" customWidth="1"/>
    <col min="10242" max="10242" width="3.5546875" style="8" customWidth="1"/>
    <col min="10243" max="10487" width="9.21875" style="8"/>
    <col min="10488" max="10488" width="8.77734375" style="8" customWidth="1"/>
    <col min="10489" max="10489" width="9.77734375" style="8" customWidth="1"/>
    <col min="10490" max="10490" width="14.44140625" style="8" customWidth="1"/>
    <col min="10491" max="10491" width="7.21875" style="8" customWidth="1"/>
    <col min="10492" max="10492" width="5.5546875" style="8" customWidth="1"/>
    <col min="10493" max="10493" width="9" style="8" customWidth="1"/>
    <col min="10494" max="10495" width="9.77734375" style="8" customWidth="1"/>
    <col min="10496" max="10496" width="11.21875" style="8" customWidth="1"/>
    <col min="10497" max="10497" width="2.77734375" style="8" customWidth="1"/>
    <col min="10498" max="10498" width="3.5546875" style="8" customWidth="1"/>
    <col min="10499" max="10743" width="9.21875" style="8"/>
    <col min="10744" max="10744" width="8.77734375" style="8" customWidth="1"/>
    <col min="10745" max="10745" width="9.77734375" style="8" customWidth="1"/>
    <col min="10746" max="10746" width="14.44140625" style="8" customWidth="1"/>
    <col min="10747" max="10747" width="7.21875" style="8" customWidth="1"/>
    <col min="10748" max="10748" width="5.5546875" style="8" customWidth="1"/>
    <col min="10749" max="10749" width="9" style="8" customWidth="1"/>
    <col min="10750" max="10751" width="9.77734375" style="8" customWidth="1"/>
    <col min="10752" max="10752" width="11.21875" style="8" customWidth="1"/>
    <col min="10753" max="10753" width="2.77734375" style="8" customWidth="1"/>
    <col min="10754" max="10754" width="3.5546875" style="8" customWidth="1"/>
    <col min="10755" max="10999" width="9.21875" style="8"/>
    <col min="11000" max="11000" width="8.77734375" style="8" customWidth="1"/>
    <col min="11001" max="11001" width="9.77734375" style="8" customWidth="1"/>
    <col min="11002" max="11002" width="14.44140625" style="8" customWidth="1"/>
    <col min="11003" max="11003" width="7.21875" style="8" customWidth="1"/>
    <col min="11004" max="11004" width="5.5546875" style="8" customWidth="1"/>
    <col min="11005" max="11005" width="9" style="8" customWidth="1"/>
    <col min="11006" max="11007" width="9.77734375" style="8" customWidth="1"/>
    <col min="11008" max="11008" width="11.21875" style="8" customWidth="1"/>
    <col min="11009" max="11009" width="2.77734375" style="8" customWidth="1"/>
    <col min="11010" max="11010" width="3.5546875" style="8" customWidth="1"/>
    <col min="11011" max="11255" width="9.21875" style="8"/>
    <col min="11256" max="11256" width="8.77734375" style="8" customWidth="1"/>
    <col min="11257" max="11257" width="9.77734375" style="8" customWidth="1"/>
    <col min="11258" max="11258" width="14.44140625" style="8" customWidth="1"/>
    <col min="11259" max="11259" width="7.21875" style="8" customWidth="1"/>
    <col min="11260" max="11260" width="5.5546875" style="8" customWidth="1"/>
    <col min="11261" max="11261" width="9" style="8" customWidth="1"/>
    <col min="11262" max="11263" width="9.77734375" style="8" customWidth="1"/>
    <col min="11264" max="11264" width="11.21875" style="8" customWidth="1"/>
    <col min="11265" max="11265" width="2.77734375" style="8" customWidth="1"/>
    <col min="11266" max="11266" width="3.5546875" style="8" customWidth="1"/>
    <col min="11267" max="11511" width="9.21875" style="8"/>
    <col min="11512" max="11512" width="8.77734375" style="8" customWidth="1"/>
    <col min="11513" max="11513" width="9.77734375" style="8" customWidth="1"/>
    <col min="11514" max="11514" width="14.44140625" style="8" customWidth="1"/>
    <col min="11515" max="11515" width="7.21875" style="8" customWidth="1"/>
    <col min="11516" max="11516" width="5.5546875" style="8" customWidth="1"/>
    <col min="11517" max="11517" width="9" style="8" customWidth="1"/>
    <col min="11518" max="11519" width="9.77734375" style="8" customWidth="1"/>
    <col min="11520" max="11520" width="11.21875" style="8" customWidth="1"/>
    <col min="11521" max="11521" width="2.77734375" style="8" customWidth="1"/>
    <col min="11522" max="11522" width="3.5546875" style="8" customWidth="1"/>
    <col min="11523" max="11767" width="9.21875" style="8"/>
    <col min="11768" max="11768" width="8.77734375" style="8" customWidth="1"/>
    <col min="11769" max="11769" width="9.77734375" style="8" customWidth="1"/>
    <col min="11770" max="11770" width="14.44140625" style="8" customWidth="1"/>
    <col min="11771" max="11771" width="7.21875" style="8" customWidth="1"/>
    <col min="11772" max="11772" width="5.5546875" style="8" customWidth="1"/>
    <col min="11773" max="11773" width="9" style="8" customWidth="1"/>
    <col min="11774" max="11775" width="9.77734375" style="8" customWidth="1"/>
    <col min="11776" max="11776" width="11.21875" style="8" customWidth="1"/>
    <col min="11777" max="11777" width="2.77734375" style="8" customWidth="1"/>
    <col min="11778" max="11778" width="3.5546875" style="8" customWidth="1"/>
    <col min="11779" max="12023" width="9.21875" style="8"/>
    <col min="12024" max="12024" width="8.77734375" style="8" customWidth="1"/>
    <col min="12025" max="12025" width="9.77734375" style="8" customWidth="1"/>
    <col min="12026" max="12026" width="14.44140625" style="8" customWidth="1"/>
    <col min="12027" max="12027" width="7.21875" style="8" customWidth="1"/>
    <col min="12028" max="12028" width="5.5546875" style="8" customWidth="1"/>
    <col min="12029" max="12029" width="9" style="8" customWidth="1"/>
    <col min="12030" max="12031" width="9.77734375" style="8" customWidth="1"/>
    <col min="12032" max="12032" width="11.21875" style="8" customWidth="1"/>
    <col min="12033" max="12033" width="2.77734375" style="8" customWidth="1"/>
    <col min="12034" max="12034" width="3.5546875" style="8" customWidth="1"/>
    <col min="12035" max="12279" width="9.21875" style="8"/>
    <col min="12280" max="12280" width="8.77734375" style="8" customWidth="1"/>
    <col min="12281" max="12281" width="9.77734375" style="8" customWidth="1"/>
    <col min="12282" max="12282" width="14.44140625" style="8" customWidth="1"/>
    <col min="12283" max="12283" width="7.21875" style="8" customWidth="1"/>
    <col min="12284" max="12284" width="5.5546875" style="8" customWidth="1"/>
    <col min="12285" max="12285" width="9" style="8" customWidth="1"/>
    <col min="12286" max="12287" width="9.77734375" style="8" customWidth="1"/>
    <col min="12288" max="12288" width="11.21875" style="8" customWidth="1"/>
    <col min="12289" max="12289" width="2.77734375" style="8" customWidth="1"/>
    <col min="12290" max="12290" width="3.5546875" style="8" customWidth="1"/>
    <col min="12291" max="12535" width="9.21875" style="8"/>
    <col min="12536" max="12536" width="8.77734375" style="8" customWidth="1"/>
    <col min="12537" max="12537" width="9.77734375" style="8" customWidth="1"/>
    <col min="12538" max="12538" width="14.44140625" style="8" customWidth="1"/>
    <col min="12539" max="12539" width="7.21875" style="8" customWidth="1"/>
    <col min="12540" max="12540" width="5.5546875" style="8" customWidth="1"/>
    <col min="12541" max="12541" width="9" style="8" customWidth="1"/>
    <col min="12542" max="12543" width="9.77734375" style="8" customWidth="1"/>
    <col min="12544" max="12544" width="11.21875" style="8" customWidth="1"/>
    <col min="12545" max="12545" width="2.77734375" style="8" customWidth="1"/>
    <col min="12546" max="12546" width="3.5546875" style="8" customWidth="1"/>
    <col min="12547" max="12791" width="9.21875" style="8"/>
    <col min="12792" max="12792" width="8.77734375" style="8" customWidth="1"/>
    <col min="12793" max="12793" width="9.77734375" style="8" customWidth="1"/>
    <col min="12794" max="12794" width="14.44140625" style="8" customWidth="1"/>
    <col min="12795" max="12795" width="7.21875" style="8" customWidth="1"/>
    <col min="12796" max="12796" width="5.5546875" style="8" customWidth="1"/>
    <col min="12797" max="12797" width="9" style="8" customWidth="1"/>
    <col min="12798" max="12799" width="9.77734375" style="8" customWidth="1"/>
    <col min="12800" max="12800" width="11.21875" style="8" customWidth="1"/>
    <col min="12801" max="12801" width="2.77734375" style="8" customWidth="1"/>
    <col min="12802" max="12802" width="3.5546875" style="8" customWidth="1"/>
    <col min="12803" max="13047" width="9.21875" style="8"/>
    <col min="13048" max="13048" width="8.77734375" style="8" customWidth="1"/>
    <col min="13049" max="13049" width="9.77734375" style="8" customWidth="1"/>
    <col min="13050" max="13050" width="14.44140625" style="8" customWidth="1"/>
    <col min="13051" max="13051" width="7.21875" style="8" customWidth="1"/>
    <col min="13052" max="13052" width="5.5546875" style="8" customWidth="1"/>
    <col min="13053" max="13053" width="9" style="8" customWidth="1"/>
    <col min="13054" max="13055" width="9.77734375" style="8" customWidth="1"/>
    <col min="13056" max="13056" width="11.21875" style="8" customWidth="1"/>
    <col min="13057" max="13057" width="2.77734375" style="8" customWidth="1"/>
    <col min="13058" max="13058" width="3.5546875" style="8" customWidth="1"/>
    <col min="13059" max="13303" width="9.21875" style="8"/>
    <col min="13304" max="13304" width="8.77734375" style="8" customWidth="1"/>
    <col min="13305" max="13305" width="9.77734375" style="8" customWidth="1"/>
    <col min="13306" max="13306" width="14.44140625" style="8" customWidth="1"/>
    <col min="13307" max="13307" width="7.21875" style="8" customWidth="1"/>
    <col min="13308" max="13308" width="5.5546875" style="8" customWidth="1"/>
    <col min="13309" max="13309" width="9" style="8" customWidth="1"/>
    <col min="13310" max="13311" width="9.77734375" style="8" customWidth="1"/>
    <col min="13312" max="13312" width="11.21875" style="8" customWidth="1"/>
    <col min="13313" max="13313" width="2.77734375" style="8" customWidth="1"/>
    <col min="13314" max="13314" width="3.5546875" style="8" customWidth="1"/>
    <col min="13315" max="13559" width="9.21875" style="8"/>
    <col min="13560" max="13560" width="8.77734375" style="8" customWidth="1"/>
    <col min="13561" max="13561" width="9.77734375" style="8" customWidth="1"/>
    <col min="13562" max="13562" width="14.44140625" style="8" customWidth="1"/>
    <col min="13563" max="13563" width="7.21875" style="8" customWidth="1"/>
    <col min="13564" max="13564" width="5.5546875" style="8" customWidth="1"/>
    <col min="13565" max="13565" width="9" style="8" customWidth="1"/>
    <col min="13566" max="13567" width="9.77734375" style="8" customWidth="1"/>
    <col min="13568" max="13568" width="11.21875" style="8" customWidth="1"/>
    <col min="13569" max="13569" width="2.77734375" style="8" customWidth="1"/>
    <col min="13570" max="13570" width="3.5546875" style="8" customWidth="1"/>
    <col min="13571" max="13815" width="9.21875" style="8"/>
    <col min="13816" max="13816" width="8.77734375" style="8" customWidth="1"/>
    <col min="13817" max="13817" width="9.77734375" style="8" customWidth="1"/>
    <col min="13818" max="13818" width="14.44140625" style="8" customWidth="1"/>
    <col min="13819" max="13819" width="7.21875" style="8" customWidth="1"/>
    <col min="13820" max="13820" width="5.5546875" style="8" customWidth="1"/>
    <col min="13821" max="13821" width="9" style="8" customWidth="1"/>
    <col min="13822" max="13823" width="9.77734375" style="8" customWidth="1"/>
    <col min="13824" max="13824" width="11.21875" style="8" customWidth="1"/>
    <col min="13825" max="13825" width="2.77734375" style="8" customWidth="1"/>
    <col min="13826" max="13826" width="3.5546875" style="8" customWidth="1"/>
    <col min="13827" max="14071" width="9.21875" style="8"/>
    <col min="14072" max="14072" width="8.77734375" style="8" customWidth="1"/>
    <col min="14073" max="14073" width="9.77734375" style="8" customWidth="1"/>
    <col min="14074" max="14074" width="14.44140625" style="8" customWidth="1"/>
    <col min="14075" max="14075" width="7.21875" style="8" customWidth="1"/>
    <col min="14076" max="14076" width="5.5546875" style="8" customWidth="1"/>
    <col min="14077" max="14077" width="9" style="8" customWidth="1"/>
    <col min="14078" max="14079" width="9.77734375" style="8" customWidth="1"/>
    <col min="14080" max="14080" width="11.21875" style="8" customWidth="1"/>
    <col min="14081" max="14081" width="2.77734375" style="8" customWidth="1"/>
    <col min="14082" max="14082" width="3.5546875" style="8" customWidth="1"/>
    <col min="14083" max="14327" width="9.21875" style="8"/>
    <col min="14328" max="14328" width="8.77734375" style="8" customWidth="1"/>
    <col min="14329" max="14329" width="9.77734375" style="8" customWidth="1"/>
    <col min="14330" max="14330" width="14.44140625" style="8" customWidth="1"/>
    <col min="14331" max="14331" width="7.21875" style="8" customWidth="1"/>
    <col min="14332" max="14332" width="5.5546875" style="8" customWidth="1"/>
    <col min="14333" max="14333" width="9" style="8" customWidth="1"/>
    <col min="14334" max="14335" width="9.77734375" style="8" customWidth="1"/>
    <col min="14336" max="14336" width="11.21875" style="8" customWidth="1"/>
    <col min="14337" max="14337" width="2.77734375" style="8" customWidth="1"/>
    <col min="14338" max="14338" width="3.5546875" style="8" customWidth="1"/>
    <col min="14339" max="14583" width="9.21875" style="8"/>
    <col min="14584" max="14584" width="8.77734375" style="8" customWidth="1"/>
    <col min="14585" max="14585" width="9.77734375" style="8" customWidth="1"/>
    <col min="14586" max="14586" width="14.44140625" style="8" customWidth="1"/>
    <col min="14587" max="14587" width="7.21875" style="8" customWidth="1"/>
    <col min="14588" max="14588" width="5.5546875" style="8" customWidth="1"/>
    <col min="14589" max="14589" width="9" style="8" customWidth="1"/>
    <col min="14590" max="14591" width="9.77734375" style="8" customWidth="1"/>
    <col min="14592" max="14592" width="11.21875" style="8" customWidth="1"/>
    <col min="14593" max="14593" width="2.77734375" style="8" customWidth="1"/>
    <col min="14594" max="14594" width="3.5546875" style="8" customWidth="1"/>
    <col min="14595" max="14839" width="9.21875" style="8"/>
    <col min="14840" max="14840" width="8.77734375" style="8" customWidth="1"/>
    <col min="14841" max="14841" width="9.77734375" style="8" customWidth="1"/>
    <col min="14842" max="14842" width="14.44140625" style="8" customWidth="1"/>
    <col min="14843" max="14843" width="7.21875" style="8" customWidth="1"/>
    <col min="14844" max="14844" width="5.5546875" style="8" customWidth="1"/>
    <col min="14845" max="14845" width="9" style="8" customWidth="1"/>
    <col min="14846" max="14847" width="9.77734375" style="8" customWidth="1"/>
    <col min="14848" max="14848" width="11.21875" style="8" customWidth="1"/>
    <col min="14849" max="14849" width="2.77734375" style="8" customWidth="1"/>
    <col min="14850" max="14850" width="3.5546875" style="8" customWidth="1"/>
    <col min="14851" max="15095" width="9.21875" style="8"/>
    <col min="15096" max="15096" width="8.77734375" style="8" customWidth="1"/>
    <col min="15097" max="15097" width="9.77734375" style="8" customWidth="1"/>
    <col min="15098" max="15098" width="14.44140625" style="8" customWidth="1"/>
    <col min="15099" max="15099" width="7.21875" style="8" customWidth="1"/>
    <col min="15100" max="15100" width="5.5546875" style="8" customWidth="1"/>
    <col min="15101" max="15101" width="9" style="8" customWidth="1"/>
    <col min="15102" max="15103" width="9.77734375" style="8" customWidth="1"/>
    <col min="15104" max="15104" width="11.21875" style="8" customWidth="1"/>
    <col min="15105" max="15105" width="2.77734375" style="8" customWidth="1"/>
    <col min="15106" max="15106" width="3.5546875" style="8" customWidth="1"/>
    <col min="15107" max="15351" width="9.21875" style="8"/>
    <col min="15352" max="15352" width="8.77734375" style="8" customWidth="1"/>
    <col min="15353" max="15353" width="9.77734375" style="8" customWidth="1"/>
    <col min="15354" max="15354" width="14.44140625" style="8" customWidth="1"/>
    <col min="15355" max="15355" width="7.21875" style="8" customWidth="1"/>
    <col min="15356" max="15356" width="5.5546875" style="8" customWidth="1"/>
    <col min="15357" max="15357" width="9" style="8" customWidth="1"/>
    <col min="15358" max="15359" width="9.77734375" style="8" customWidth="1"/>
    <col min="15360" max="15360" width="11.21875" style="8" customWidth="1"/>
    <col min="15361" max="15361" width="2.77734375" style="8" customWidth="1"/>
    <col min="15362" max="15362" width="3.5546875" style="8" customWidth="1"/>
    <col min="15363" max="15607" width="9.21875" style="8"/>
    <col min="15608" max="15608" width="8.77734375" style="8" customWidth="1"/>
    <col min="15609" max="15609" width="9.77734375" style="8" customWidth="1"/>
    <col min="15610" max="15610" width="14.44140625" style="8" customWidth="1"/>
    <col min="15611" max="15611" width="7.21875" style="8" customWidth="1"/>
    <col min="15612" max="15612" width="5.5546875" style="8" customWidth="1"/>
    <col min="15613" max="15613" width="9" style="8" customWidth="1"/>
    <col min="15614" max="15615" width="9.77734375" style="8" customWidth="1"/>
    <col min="15616" max="15616" width="11.21875" style="8" customWidth="1"/>
    <col min="15617" max="15617" width="2.77734375" style="8" customWidth="1"/>
    <col min="15618" max="15618" width="3.5546875" style="8" customWidth="1"/>
    <col min="15619" max="15863" width="9.21875" style="8"/>
    <col min="15864" max="15864" width="8.77734375" style="8" customWidth="1"/>
    <col min="15865" max="15865" width="9.77734375" style="8" customWidth="1"/>
    <col min="15866" max="15866" width="14.44140625" style="8" customWidth="1"/>
    <col min="15867" max="15867" width="7.21875" style="8" customWidth="1"/>
    <col min="15868" max="15868" width="5.5546875" style="8" customWidth="1"/>
    <col min="15869" max="15869" width="9" style="8" customWidth="1"/>
    <col min="15870" max="15871" width="9.77734375" style="8" customWidth="1"/>
    <col min="15872" max="15872" width="11.21875" style="8" customWidth="1"/>
    <col min="15873" max="15873" width="2.77734375" style="8" customWidth="1"/>
    <col min="15874" max="15874" width="3.5546875" style="8" customWidth="1"/>
    <col min="15875" max="16119" width="9.21875" style="8"/>
    <col min="16120" max="16120" width="8.77734375" style="8" customWidth="1"/>
    <col min="16121" max="16121" width="9.77734375" style="8" customWidth="1"/>
    <col min="16122" max="16122" width="14.44140625" style="8" customWidth="1"/>
    <col min="16123" max="16123" width="7.21875" style="8" customWidth="1"/>
    <col min="16124" max="16124" width="5.5546875" style="8" customWidth="1"/>
    <col min="16125" max="16125" width="9" style="8" customWidth="1"/>
    <col min="16126" max="16127" width="9.77734375" style="8" customWidth="1"/>
    <col min="16128" max="16128" width="11.21875" style="8" customWidth="1"/>
    <col min="16129" max="16129" width="2.77734375" style="8" customWidth="1"/>
    <col min="16130" max="16130" width="3.5546875" style="8" customWidth="1"/>
    <col min="16131" max="16384" width="9.21875" style="8"/>
  </cols>
  <sheetData>
    <row r="1" spans="1:8" ht="46.5" customHeight="1" x14ac:dyDescent="0.3">
      <c r="A1" s="117" t="s">
        <v>209</v>
      </c>
      <c r="B1" s="117"/>
      <c r="C1" s="117"/>
      <c r="D1" s="117"/>
      <c r="E1" s="117"/>
      <c r="F1" s="117"/>
      <c r="G1" s="117"/>
      <c r="H1" s="117"/>
    </row>
    <row r="2" spans="1:8" ht="16.5" customHeight="1" x14ac:dyDescent="0.3">
      <c r="A2" s="69" t="s">
        <v>0</v>
      </c>
      <c r="B2" s="69"/>
      <c r="C2" s="69"/>
      <c r="D2" s="69"/>
      <c r="E2" s="69"/>
      <c r="F2" s="69"/>
      <c r="G2" s="69"/>
      <c r="H2" s="69"/>
    </row>
    <row r="3" spans="1:8" x14ac:dyDescent="0.3">
      <c r="A3" s="74" t="s">
        <v>1</v>
      </c>
      <c r="B3" s="74"/>
      <c r="C3" s="74"/>
      <c r="D3" s="74"/>
      <c r="E3" s="116" t="str">
        <f ca="1">TEXT(TODAY(),"DD/MM/YYYY")</f>
        <v>14/07/2025</v>
      </c>
      <c r="F3" s="116"/>
      <c r="G3" s="116"/>
      <c r="H3" s="116"/>
    </row>
    <row r="4" spans="1:8" ht="15" customHeight="1" x14ac:dyDescent="0.3">
      <c r="A4" s="74" t="s">
        <v>2</v>
      </c>
      <c r="B4" s="74"/>
      <c r="C4" s="74"/>
      <c r="D4" s="74"/>
      <c r="E4" s="121" t="s">
        <v>176</v>
      </c>
      <c r="F4" s="121"/>
      <c r="G4" s="121"/>
      <c r="H4" s="121"/>
    </row>
    <row r="5" spans="1:8" x14ac:dyDescent="0.3">
      <c r="A5" s="74" t="s">
        <v>3</v>
      </c>
      <c r="B5" s="74"/>
      <c r="C5" s="74"/>
      <c r="D5" s="74"/>
      <c r="E5" s="116">
        <v>45847</v>
      </c>
      <c r="F5" s="116"/>
      <c r="G5" s="116"/>
      <c r="H5" s="116"/>
    </row>
    <row r="6" spans="1:8" ht="16.5" customHeight="1" x14ac:dyDescent="0.3">
      <c r="A6" s="74" t="s">
        <v>4</v>
      </c>
      <c r="B6" s="74"/>
      <c r="C6" s="74"/>
      <c r="D6" s="74"/>
      <c r="E6" s="109" t="s">
        <v>178</v>
      </c>
      <c r="F6" s="109"/>
      <c r="G6" s="109"/>
      <c r="H6" s="109"/>
    </row>
    <row r="7" spans="1:8" ht="15" customHeight="1" x14ac:dyDescent="0.3">
      <c r="A7" s="74" t="s">
        <v>5</v>
      </c>
      <c r="B7" s="74"/>
      <c r="C7" s="74"/>
      <c r="D7" s="74"/>
      <c r="E7" s="109" t="str">
        <f>E6</f>
        <v>M/s.Shreeji Construction</v>
      </c>
      <c r="F7" s="109"/>
      <c r="G7" s="109"/>
      <c r="H7" s="109"/>
    </row>
    <row r="8" spans="1:8" x14ac:dyDescent="0.3">
      <c r="A8" s="74" t="s">
        <v>6</v>
      </c>
      <c r="B8" s="74"/>
      <c r="C8" s="74"/>
      <c r="D8" s="74"/>
      <c r="E8" s="118" t="s">
        <v>177</v>
      </c>
      <c r="F8" s="119"/>
      <c r="G8" s="119"/>
      <c r="H8" s="120"/>
    </row>
    <row r="9" spans="1:8" x14ac:dyDescent="0.3">
      <c r="A9" s="74" t="s">
        <v>148</v>
      </c>
      <c r="B9" s="74"/>
      <c r="C9" s="74"/>
      <c r="D9" s="74"/>
      <c r="E9" s="74">
        <v>9833371110</v>
      </c>
      <c r="F9" s="74"/>
      <c r="G9" s="74"/>
      <c r="H9" s="74"/>
    </row>
    <row r="10" spans="1:8" x14ac:dyDescent="0.3">
      <c r="A10" s="74" t="s">
        <v>206</v>
      </c>
      <c r="B10" s="74"/>
      <c r="C10" s="74"/>
      <c r="D10" s="74"/>
      <c r="E10" s="74" t="s">
        <v>257</v>
      </c>
      <c r="F10" s="74"/>
      <c r="G10" s="74"/>
      <c r="H10" s="74"/>
    </row>
    <row r="11" spans="1:8" x14ac:dyDescent="0.3">
      <c r="A11" s="111" t="s">
        <v>7</v>
      </c>
      <c r="B11" s="111"/>
      <c r="C11" s="111"/>
      <c r="D11" s="111"/>
      <c r="E11" s="111" t="s">
        <v>221</v>
      </c>
      <c r="F11" s="111"/>
      <c r="G11" s="111"/>
      <c r="H11" s="111"/>
    </row>
    <row r="12" spans="1:8" ht="31.5" customHeight="1" x14ac:dyDescent="0.3">
      <c r="A12" s="74" t="s">
        <v>8</v>
      </c>
      <c r="B12" s="74"/>
      <c r="C12" s="74"/>
      <c r="D12" s="74"/>
      <c r="E12" s="108" t="s">
        <v>201</v>
      </c>
      <c r="F12" s="108"/>
      <c r="G12" s="108"/>
      <c r="H12" s="108"/>
    </row>
    <row r="13" spans="1:8" x14ac:dyDescent="0.3">
      <c r="A13" s="74" t="s">
        <v>9</v>
      </c>
      <c r="B13" s="74"/>
      <c r="C13" s="74"/>
      <c r="D13" s="74"/>
      <c r="E13" s="112" t="s">
        <v>175</v>
      </c>
      <c r="F13" s="113"/>
      <c r="G13" s="113"/>
      <c r="H13" s="113"/>
    </row>
    <row r="14" spans="1:8" ht="49.5" customHeight="1" x14ac:dyDescent="0.3">
      <c r="A14" s="109" t="s">
        <v>10</v>
      </c>
      <c r="B14" s="109"/>
      <c r="C14" s="109" t="str">
        <f>CONCATENATE((IF(OR(E8="",E8="NA"),"",E8)),", ",(IF(OR(A15="",A15="NA"),"",A15)),".",(IF(OR(C15="",C15="NA"),"",C15)),", near ",(IF(OR(C19="",C19="NA"),"",C19)),", ",(IF(OR(C16="",C16="NA"),"",C16)),", ",(IF(OR(G16="",G16="NA"),"",G16)),", ",(IF(OR(C17="",C17="NA"),"",C17)),", ",(IF(OR(C18="",C18="NA"),"",C18)),", ",(IF(OR(G17="",G17="NA"),"",G17))," - ",(IF(OR(G18="",G18="NA"),"",G18)),".")</f>
        <v>Shreeji Plaza Wing A, CTS No.1(Pt), 2(Pt), 264, 265, 266, 216/1A, 216A/1A/1, 216A/1/4 to 10, 216A(pt), 216A/11 to 14, near Shreeji Aspire, Gautam Buddh Marg, Valnai, Malad West, Borivali, Mumbai - 400064.</v>
      </c>
      <c r="D14" s="109"/>
      <c r="E14" s="109"/>
      <c r="F14" s="109"/>
      <c r="G14" s="109"/>
      <c r="H14" s="109"/>
    </row>
    <row r="15" spans="1:8" ht="34.5" customHeight="1" x14ac:dyDescent="0.3">
      <c r="A15" s="112" t="s">
        <v>179</v>
      </c>
      <c r="B15" s="112"/>
      <c r="C15" s="108" t="s">
        <v>197</v>
      </c>
      <c r="D15" s="108"/>
      <c r="E15" s="108"/>
      <c r="F15" s="108"/>
      <c r="G15" s="108"/>
      <c r="H15" s="108"/>
    </row>
    <row r="16" spans="1:8" ht="15.75" customHeight="1" x14ac:dyDescent="0.3">
      <c r="A16" s="109" t="s">
        <v>11</v>
      </c>
      <c r="B16" s="109"/>
      <c r="C16" s="111" t="s">
        <v>182</v>
      </c>
      <c r="D16" s="111"/>
      <c r="E16" s="108" t="s">
        <v>95</v>
      </c>
      <c r="F16" s="108"/>
      <c r="G16" s="108" t="s">
        <v>180</v>
      </c>
      <c r="H16" s="108"/>
    </row>
    <row r="17" spans="1:8" x14ac:dyDescent="0.3">
      <c r="A17" s="74" t="s">
        <v>13</v>
      </c>
      <c r="B17" s="74"/>
      <c r="C17" s="108" t="s">
        <v>198</v>
      </c>
      <c r="D17" s="108"/>
      <c r="E17" s="108" t="s">
        <v>12</v>
      </c>
      <c r="F17" s="108"/>
      <c r="G17" s="114" t="s">
        <v>199</v>
      </c>
      <c r="H17" s="114"/>
    </row>
    <row r="18" spans="1:8" x14ac:dyDescent="0.3">
      <c r="A18" s="74" t="s">
        <v>96</v>
      </c>
      <c r="B18" s="74"/>
      <c r="C18" s="108" t="s">
        <v>191</v>
      </c>
      <c r="D18" s="108"/>
      <c r="E18" s="108" t="s">
        <v>14</v>
      </c>
      <c r="F18" s="108"/>
      <c r="G18" s="108">
        <v>400064</v>
      </c>
      <c r="H18" s="108"/>
    </row>
    <row r="19" spans="1:8" ht="32.25" customHeight="1" x14ac:dyDescent="0.3">
      <c r="A19" s="74" t="s">
        <v>149</v>
      </c>
      <c r="B19" s="74"/>
      <c r="C19" s="115" t="s">
        <v>183</v>
      </c>
      <c r="D19" s="115"/>
      <c r="E19" s="108" t="s">
        <v>15</v>
      </c>
      <c r="F19" s="108"/>
      <c r="G19" s="108" t="s">
        <v>200</v>
      </c>
      <c r="H19" s="108"/>
    </row>
    <row r="20" spans="1:8" ht="15" customHeight="1" x14ac:dyDescent="0.3">
      <c r="A20" s="109" t="s">
        <v>99</v>
      </c>
      <c r="B20" s="109"/>
      <c r="C20" s="109"/>
      <c r="D20" s="109"/>
      <c r="E20" s="111" t="s">
        <v>16</v>
      </c>
      <c r="F20" s="111"/>
      <c r="G20" s="111"/>
      <c r="H20" s="111"/>
    </row>
    <row r="21" spans="1:8" ht="18.75" customHeight="1" x14ac:dyDescent="0.3">
      <c r="A21" s="109"/>
      <c r="B21" s="109"/>
      <c r="C21" s="109"/>
      <c r="D21" s="109"/>
      <c r="E21" s="111"/>
      <c r="F21" s="111"/>
      <c r="G21" s="111"/>
      <c r="H21" s="111"/>
    </row>
    <row r="22" spans="1:8" ht="15" customHeight="1" x14ac:dyDescent="0.3">
      <c r="A22" s="109" t="s">
        <v>17</v>
      </c>
      <c r="B22" s="109"/>
      <c r="C22" s="109"/>
      <c r="D22" s="109"/>
      <c r="E22" s="108" t="s">
        <v>18</v>
      </c>
      <c r="F22" s="108"/>
      <c r="G22" s="108"/>
      <c r="H22" s="108"/>
    </row>
    <row r="23" spans="1:8" ht="15" customHeight="1" x14ac:dyDescent="0.3">
      <c r="A23" s="74" t="s">
        <v>19</v>
      </c>
      <c r="B23" s="74"/>
      <c r="C23" s="74"/>
      <c r="D23" s="74"/>
      <c r="E23" s="108" t="str">
        <f>IF(AND(G17="Mumbai"),"Upper Class","Middle Class")</f>
        <v>Upper Class</v>
      </c>
      <c r="F23" s="108"/>
      <c r="G23" s="108"/>
      <c r="H23" s="108"/>
    </row>
    <row r="24" spans="1:8" x14ac:dyDescent="0.3">
      <c r="A24" s="74" t="s">
        <v>20</v>
      </c>
      <c r="B24" s="74"/>
      <c r="C24" s="74"/>
      <c r="D24" s="74"/>
      <c r="E24" s="108" t="s">
        <v>21</v>
      </c>
      <c r="F24" s="108"/>
      <c r="G24" s="108"/>
      <c r="H24" s="108"/>
    </row>
    <row r="25" spans="1:8" ht="15.75" customHeight="1" x14ac:dyDescent="0.3">
      <c r="A25" s="74" t="s">
        <v>22</v>
      </c>
      <c r="B25" s="74"/>
      <c r="C25" s="74"/>
      <c r="D25" s="74"/>
      <c r="E25" s="108" t="str">
        <f>IF(AND(G17="Mumbai"),"Developed","Developing")</f>
        <v>Developed</v>
      </c>
      <c r="F25" s="108"/>
      <c r="G25" s="108"/>
      <c r="H25" s="108"/>
    </row>
    <row r="26" spans="1:8" x14ac:dyDescent="0.3">
      <c r="A26" s="74" t="s">
        <v>23</v>
      </c>
      <c r="B26" s="74"/>
      <c r="C26" s="74"/>
      <c r="D26" s="74"/>
      <c r="E26" s="108" t="s">
        <v>24</v>
      </c>
      <c r="F26" s="108"/>
      <c r="G26" s="108"/>
      <c r="H26" s="108"/>
    </row>
    <row r="27" spans="1:8" x14ac:dyDescent="0.3">
      <c r="A27" s="74" t="s">
        <v>106</v>
      </c>
      <c r="B27" s="74"/>
      <c r="C27" s="74"/>
      <c r="D27" s="74"/>
      <c r="E27" s="108" t="s">
        <v>107</v>
      </c>
      <c r="F27" s="108"/>
      <c r="G27" s="108"/>
      <c r="H27" s="108"/>
    </row>
    <row r="28" spans="1:8" ht="15" customHeight="1" x14ac:dyDescent="0.3">
      <c r="A28" s="109" t="s">
        <v>32</v>
      </c>
      <c r="B28" s="109"/>
      <c r="C28" s="109"/>
      <c r="D28" s="109"/>
      <c r="E28" s="110" t="s">
        <v>103</v>
      </c>
      <c r="F28" s="110"/>
      <c r="G28" s="110"/>
      <c r="H28" s="110"/>
    </row>
    <row r="29" spans="1:8" x14ac:dyDescent="0.3">
      <c r="A29" s="109" t="s">
        <v>117</v>
      </c>
      <c r="B29" s="109"/>
      <c r="C29" s="109"/>
      <c r="D29" s="109"/>
      <c r="E29" s="109" t="s">
        <v>33</v>
      </c>
      <c r="F29" s="109"/>
      <c r="G29" s="109"/>
      <c r="H29" s="109"/>
    </row>
    <row r="30" spans="1:8" s="11" customFormat="1" x14ac:dyDescent="0.3">
      <c r="A30" s="103" t="s">
        <v>118</v>
      </c>
      <c r="B30" s="103"/>
      <c r="C30" s="101" t="s">
        <v>223</v>
      </c>
      <c r="D30" s="101"/>
      <c r="E30" s="101"/>
      <c r="F30" s="101" t="s">
        <v>30</v>
      </c>
      <c r="G30" s="101"/>
      <c r="H30" s="101"/>
    </row>
    <row r="31" spans="1:8" s="11" customFormat="1" x14ac:dyDescent="0.3">
      <c r="A31" s="102" t="s">
        <v>25</v>
      </c>
      <c r="B31" s="102" t="s">
        <v>29</v>
      </c>
      <c r="C31" s="100" t="s">
        <v>225</v>
      </c>
      <c r="D31" s="100"/>
      <c r="E31" s="100"/>
      <c r="F31" s="100" t="s">
        <v>184</v>
      </c>
      <c r="G31" s="100"/>
      <c r="H31" s="100"/>
    </row>
    <row r="32" spans="1:8" x14ac:dyDescent="0.3">
      <c r="A32" s="102" t="s">
        <v>26</v>
      </c>
      <c r="B32" s="102" t="s">
        <v>29</v>
      </c>
      <c r="C32" s="100" t="s">
        <v>230</v>
      </c>
      <c r="D32" s="100"/>
      <c r="E32" s="100"/>
      <c r="F32" s="100" t="s">
        <v>182</v>
      </c>
      <c r="G32" s="100"/>
      <c r="H32" s="100"/>
    </row>
    <row r="33" spans="1:8" s="11" customFormat="1" x14ac:dyDescent="0.3">
      <c r="A33" s="102" t="s">
        <v>28</v>
      </c>
      <c r="B33" s="102" t="s">
        <v>29</v>
      </c>
      <c r="C33" s="100" t="s">
        <v>225</v>
      </c>
      <c r="D33" s="100"/>
      <c r="E33" s="100"/>
      <c r="F33" s="100" t="s">
        <v>184</v>
      </c>
      <c r="G33" s="100"/>
      <c r="H33" s="100"/>
    </row>
    <row r="34" spans="1:8" x14ac:dyDescent="0.3">
      <c r="A34" s="102" t="s">
        <v>27</v>
      </c>
      <c r="B34" s="102" t="s">
        <v>29</v>
      </c>
      <c r="C34" s="100" t="s">
        <v>229</v>
      </c>
      <c r="D34" s="100"/>
      <c r="E34" s="100"/>
      <c r="F34" s="100" t="s">
        <v>183</v>
      </c>
      <c r="G34" s="100"/>
      <c r="H34" s="100"/>
    </row>
    <row r="35" spans="1:8" x14ac:dyDescent="0.3">
      <c r="A35" s="74" t="s">
        <v>31</v>
      </c>
      <c r="B35" s="74"/>
      <c r="C35" s="74"/>
      <c r="D35" s="74"/>
      <c r="E35" s="74"/>
      <c r="F35" s="74"/>
      <c r="G35" s="74"/>
      <c r="H35" s="74"/>
    </row>
    <row r="36" spans="1:8" ht="15.75" customHeight="1" x14ac:dyDescent="0.3">
      <c r="A36" s="74" t="s">
        <v>208</v>
      </c>
      <c r="B36" s="74"/>
      <c r="C36" s="107" t="s">
        <v>227</v>
      </c>
      <c r="D36" s="107"/>
      <c r="E36" s="107"/>
      <c r="F36" s="107"/>
      <c r="G36" s="107"/>
      <c r="H36" s="107"/>
    </row>
    <row r="37" spans="1:8" ht="15.75" customHeight="1" x14ac:dyDescent="0.3">
      <c r="A37" s="74" t="s">
        <v>207</v>
      </c>
      <c r="B37" s="74"/>
      <c r="C37" s="105" t="s">
        <v>228</v>
      </c>
      <c r="D37" s="106"/>
      <c r="E37" s="106"/>
      <c r="F37" s="106"/>
      <c r="G37" s="106"/>
      <c r="H37" s="106"/>
    </row>
    <row r="38" spans="1:8" x14ac:dyDescent="0.3">
      <c r="A38" s="104" t="s">
        <v>34</v>
      </c>
      <c r="B38" s="104"/>
      <c r="C38" s="104"/>
      <c r="D38" s="104"/>
      <c r="E38" s="104"/>
      <c r="F38" s="104"/>
      <c r="G38" s="104"/>
      <c r="H38" s="104"/>
    </row>
    <row r="39" spans="1:8" x14ac:dyDescent="0.3">
      <c r="A39" s="74" t="s">
        <v>35</v>
      </c>
      <c r="B39" s="74"/>
      <c r="C39" s="74"/>
      <c r="D39" s="74"/>
      <c r="E39" s="99">
        <v>24155.81</v>
      </c>
      <c r="F39" s="99"/>
      <c r="G39" s="99"/>
      <c r="H39" s="99"/>
    </row>
    <row r="40" spans="1:8" x14ac:dyDescent="0.3">
      <c r="A40" s="74" t="s">
        <v>36</v>
      </c>
      <c r="B40" s="74"/>
      <c r="C40" s="74"/>
      <c r="D40" s="74"/>
      <c r="E40" s="131">
        <v>1</v>
      </c>
      <c r="F40" s="131"/>
      <c r="G40" s="131"/>
      <c r="H40" s="131"/>
    </row>
    <row r="41" spans="1:8" x14ac:dyDescent="0.3">
      <c r="A41" s="74" t="s">
        <v>37</v>
      </c>
      <c r="B41" s="74"/>
      <c r="C41" s="74"/>
      <c r="D41" s="74"/>
      <c r="E41" s="131">
        <f>E43/E39-E40</f>
        <v>2.921511636330969</v>
      </c>
      <c r="F41" s="131"/>
      <c r="G41" s="131"/>
      <c r="H41" s="131"/>
    </row>
    <row r="42" spans="1:8" x14ac:dyDescent="0.3">
      <c r="A42" s="74" t="s">
        <v>38</v>
      </c>
      <c r="B42" s="74"/>
      <c r="C42" s="74"/>
      <c r="D42" s="74"/>
      <c r="E42" s="131">
        <f>E40+E41</f>
        <v>3.921511636330969</v>
      </c>
      <c r="F42" s="131"/>
      <c r="G42" s="131"/>
      <c r="H42" s="131"/>
    </row>
    <row r="43" spans="1:8" x14ac:dyDescent="0.3">
      <c r="A43" s="74" t="s">
        <v>116</v>
      </c>
      <c r="B43" s="74"/>
      <c r="C43" s="74"/>
      <c r="D43" s="74"/>
      <c r="E43" s="132">
        <v>94727.29</v>
      </c>
      <c r="F43" s="132"/>
      <c r="G43" s="132"/>
      <c r="H43" s="132"/>
    </row>
    <row r="44" spans="1:8" x14ac:dyDescent="0.3">
      <c r="A44" s="111" t="s">
        <v>39</v>
      </c>
      <c r="B44" s="111"/>
      <c r="C44" s="111"/>
      <c r="D44" s="111"/>
      <c r="E44" s="111" t="s">
        <v>224</v>
      </c>
      <c r="F44" s="111"/>
      <c r="G44" s="111"/>
      <c r="H44" s="111"/>
    </row>
    <row r="45" spans="1:8" x14ac:dyDescent="0.3">
      <c r="A45" s="104" t="s">
        <v>40</v>
      </c>
      <c r="B45" s="104"/>
      <c r="C45" s="104"/>
      <c r="D45" s="104"/>
      <c r="E45" s="104"/>
      <c r="F45" s="104"/>
      <c r="G45" s="104"/>
      <c r="H45" s="104"/>
    </row>
    <row r="46" spans="1:8" ht="37.5" customHeight="1" x14ac:dyDescent="0.3">
      <c r="A46" s="179" t="s">
        <v>248</v>
      </c>
      <c r="B46" s="180"/>
      <c r="C46" s="118" t="s">
        <v>249</v>
      </c>
      <c r="D46" s="119"/>
      <c r="E46" s="119"/>
      <c r="F46" s="119"/>
      <c r="G46" s="119"/>
      <c r="H46" s="120"/>
    </row>
    <row r="47" spans="1:8" x14ac:dyDescent="0.3">
      <c r="A47" s="109" t="s">
        <v>41</v>
      </c>
      <c r="B47" s="109"/>
      <c r="C47" s="115" t="s">
        <v>181</v>
      </c>
      <c r="D47" s="115"/>
      <c r="E47" s="115"/>
      <c r="F47" s="61" t="s">
        <v>42</v>
      </c>
      <c r="G47" s="137">
        <v>45645</v>
      </c>
      <c r="H47" s="137"/>
    </row>
    <row r="48" spans="1:8" x14ac:dyDescent="0.3">
      <c r="A48" s="74" t="s">
        <v>43</v>
      </c>
      <c r="B48" s="74"/>
      <c r="C48" s="115" t="str">
        <f>C47</f>
        <v>PN/MCGM/0009/20060623/AP/S2</v>
      </c>
      <c r="D48" s="115"/>
      <c r="E48" s="115"/>
      <c r="F48" s="61" t="s">
        <v>42</v>
      </c>
      <c r="G48" s="137">
        <f>G47</f>
        <v>45645</v>
      </c>
      <c r="H48" s="137"/>
    </row>
    <row r="49" spans="1:14" s="10" customFormat="1" x14ac:dyDescent="0.3">
      <c r="A49" s="108" t="s">
        <v>212</v>
      </c>
      <c r="B49" s="108"/>
      <c r="C49" s="115" t="s">
        <v>181</v>
      </c>
      <c r="D49" s="75"/>
      <c r="E49" s="75"/>
      <c r="F49" s="62" t="s">
        <v>42</v>
      </c>
      <c r="G49" s="137">
        <v>45645</v>
      </c>
      <c r="H49" s="137"/>
    </row>
    <row r="50" spans="1:14" s="10" customFormat="1" ht="66" customHeight="1" x14ac:dyDescent="0.3">
      <c r="A50" s="108"/>
      <c r="B50" s="108"/>
      <c r="C50" s="172" t="s">
        <v>258</v>
      </c>
      <c r="D50" s="173"/>
      <c r="E50" s="173"/>
      <c r="F50" s="173"/>
      <c r="G50" s="173"/>
      <c r="H50" s="174"/>
    </row>
    <row r="51" spans="1:14" x14ac:dyDescent="0.3">
      <c r="A51" s="169" t="s">
        <v>44</v>
      </c>
      <c r="B51" s="169"/>
      <c r="C51" s="170" t="s">
        <v>129</v>
      </c>
      <c r="D51" s="152"/>
      <c r="E51" s="152" t="s">
        <v>45</v>
      </c>
      <c r="F51" s="51" t="s">
        <v>42</v>
      </c>
      <c r="G51" s="171" t="s">
        <v>29</v>
      </c>
      <c r="H51" s="171"/>
      <c r="K51"/>
    </row>
    <row r="52" spans="1:14" x14ac:dyDescent="0.3">
      <c r="A52" s="159" t="s">
        <v>47</v>
      </c>
      <c r="B52" s="159"/>
      <c r="C52" s="159"/>
      <c r="D52" s="159"/>
      <c r="E52" s="159"/>
      <c r="F52" s="159"/>
      <c r="G52" s="159"/>
      <c r="H52" s="159"/>
    </row>
    <row r="53" spans="1:14" ht="35.25" customHeight="1" x14ac:dyDescent="0.3">
      <c r="A53" s="109" t="s">
        <v>231</v>
      </c>
      <c r="B53" s="109"/>
      <c r="C53" s="109"/>
      <c r="D53" s="74">
        <v>21338.080000000002</v>
      </c>
      <c r="E53" s="74"/>
      <c r="F53" s="74"/>
      <c r="G53" s="74"/>
      <c r="H53" s="74"/>
    </row>
    <row r="54" spans="1:14" x14ac:dyDescent="0.3">
      <c r="A54" s="108" t="s">
        <v>48</v>
      </c>
      <c r="B54" s="111"/>
      <c r="C54" s="111"/>
      <c r="D54" s="111" t="s">
        <v>256</v>
      </c>
      <c r="E54" s="111"/>
      <c r="F54" s="111"/>
      <c r="G54" s="111"/>
      <c r="H54" s="111"/>
      <c r="I54" s="39"/>
    </row>
    <row r="55" spans="1:14" ht="15.75" customHeight="1" x14ac:dyDescent="0.3">
      <c r="A55" s="134" t="s">
        <v>49</v>
      </c>
      <c r="B55" s="135"/>
      <c r="C55" s="136"/>
      <c r="D55" s="133" t="s">
        <v>226</v>
      </c>
      <c r="E55" s="133"/>
      <c r="F55" s="133"/>
      <c r="G55" s="133"/>
      <c r="H55" s="133"/>
    </row>
    <row r="56" spans="1:14" ht="15.75" customHeight="1" x14ac:dyDescent="0.3">
      <c r="A56" s="134" t="s">
        <v>114</v>
      </c>
      <c r="B56" s="135"/>
      <c r="C56" s="135"/>
      <c r="D56" s="175" t="s">
        <v>226</v>
      </c>
      <c r="E56" s="176"/>
      <c r="F56" s="176"/>
      <c r="G56" s="176"/>
      <c r="H56" s="177"/>
    </row>
    <row r="57" spans="1:14" ht="15.75" customHeight="1" x14ac:dyDescent="0.3">
      <c r="A57" s="74" t="s">
        <v>46</v>
      </c>
      <c r="B57" s="74"/>
      <c r="C57" s="74"/>
      <c r="D57" s="108" t="s">
        <v>261</v>
      </c>
      <c r="E57" s="108"/>
      <c r="F57" s="108"/>
      <c r="G57" s="108"/>
      <c r="H57" s="108"/>
      <c r="J57" s="38"/>
      <c r="K57" s="39"/>
      <c r="N57" s="39"/>
    </row>
    <row r="58" spans="1:14" ht="15.75" customHeight="1" x14ac:dyDescent="0.3">
      <c r="A58" s="74" t="s">
        <v>112</v>
      </c>
      <c r="B58" s="74"/>
      <c r="C58" s="74"/>
      <c r="D58" s="130" t="str">
        <f>(IF(G51="NA","60 Years After Completion",IF(G51&lt;&gt;"NA",""&amp;60-ROUNDDOWN((E3-G51)/360,0)&amp;" Years"," ")))</f>
        <v>60 Years After Completion</v>
      </c>
      <c r="E58" s="130"/>
      <c r="F58" s="130"/>
      <c r="G58" s="130"/>
      <c r="H58" s="130"/>
      <c r="N58" s="39"/>
    </row>
    <row r="59" spans="1:14" ht="15.75" customHeight="1" x14ac:dyDescent="0.3">
      <c r="A59" s="74" t="s">
        <v>113</v>
      </c>
      <c r="B59" s="74"/>
      <c r="C59" s="74"/>
      <c r="D59" s="109" t="s">
        <v>24</v>
      </c>
      <c r="E59" s="109"/>
      <c r="F59" s="109"/>
      <c r="G59" s="109"/>
      <c r="H59" s="109"/>
      <c r="J59" s="17"/>
      <c r="K59" s="17"/>
    </row>
    <row r="60" spans="1:14" ht="15.75" customHeight="1" thickBot="1" x14ac:dyDescent="0.35">
      <c r="A60" s="138" t="s">
        <v>111</v>
      </c>
      <c r="B60" s="138"/>
      <c r="C60" s="138"/>
      <c r="D60" s="139" t="str">
        <f ca="1">(IF(G65&gt;95%,"Nothing",IF(G65&gt;0%,"Cement, Aggregate, Steel, etc",IF(G65=0%,"Work not yet Started"))))</f>
        <v>Cement, Aggregate, Steel, etc</v>
      </c>
      <c r="E60" s="139"/>
      <c r="F60" s="139"/>
      <c r="G60" s="139"/>
      <c r="H60" s="139"/>
      <c r="J60" s="17"/>
    </row>
    <row r="61" spans="1:14" ht="15.75" customHeight="1" x14ac:dyDescent="0.3">
      <c r="A61" s="143" t="s">
        <v>167</v>
      </c>
      <c r="B61" s="144"/>
      <c r="C61" s="145" t="str">
        <f>D56</f>
        <v>A Wing = B + G + 1st to 4th Podium + 5th to 38th Floor</v>
      </c>
      <c r="D61" s="146"/>
      <c r="E61" s="146"/>
      <c r="F61" s="146"/>
      <c r="G61" s="146"/>
      <c r="H61" s="147"/>
      <c r="I61" s="42" t="str">
        <f ca="1">(IF(E65&gt;99%,"All work completed. Please provide OC.",IF(E65&gt;89.8%,"Plinth, RCC, Brick, Plaster, Flooring, Painting work Completed. Finishing work is in process.",IF(E65&lt;94%,(IF(C65=0,"Work not yet Started.",IF(D65=25%,"Piling work in process",IF(D65=50%,"Excavation work in process",IF(D65=100%,"Excavation work Completed. ","0")))&amp;(IF(C66=0%,"",IF(C66=J67,"Footing work is process",IF(C66=J68,"Footing work Completed",IF(C66=J69,"1st Basement Completed",IF(C66=J70,"1st &amp; 2nd Basement Completed",IF(C66=J71,"1st to 3rd Basement Completed",IF(C66=J72,"1st to 4th Basement Completed",IF(C66=J73,"Plinth work is process",IF(C66=J74,"Plinth work completed","0")))))))))))&amp;(IF(C67=(D62+F62+H62),", RCC Slab",IF(C67&gt;0,", RCC upto "&amp;C67&amp;" Slab",""))&amp;(IF(C68=H62,", Brickwork",IF(C68&gt;0,", Brickwork upto "&amp;C68&amp;" Floor",""))&amp;(IF(C69=H62,", Internal Plaster",IF(C69&gt;0,", Internal Plaster upto "&amp;C69&amp;" Floor",""))&amp;(IF(C70=H62,", External Plaster",IF(C70&gt;0,", External Plaster upto "&amp;C70&amp;" Floor",""))&amp;(IF(C71=H62,", Flooring",IF(C71&gt;0,", Flooring upto "&amp;C71&amp;" Floor",""))&amp;(IF(C72=H62,", Painting",IF(C72&gt;0,", Painting upto "&amp;C72&amp;" Floor",""))&amp;(IF(C73&gt;0,", Finishing upto "&amp;C73&amp;" Floor","")&amp;(IF(C67&gt;0.5," Completed",""))))))))))))))</f>
        <v>Excavation work Completed. Plinth work completed, RCC Slab, Brickwork, Internal Plaster upto 25 Floor, External Plaster upto 25 Floor, Flooring upto 18 Floor, Painting upto 18 Floor Completed</v>
      </c>
      <c r="J61" s="19"/>
    </row>
    <row r="62" spans="1:14" x14ac:dyDescent="0.3">
      <c r="A62" s="47" t="s">
        <v>169</v>
      </c>
      <c r="B62" s="59">
        <v>1</v>
      </c>
      <c r="C62" s="59" t="s">
        <v>94</v>
      </c>
      <c r="D62" s="59">
        <v>1</v>
      </c>
      <c r="E62" s="59" t="s">
        <v>93</v>
      </c>
      <c r="F62" s="59">
        <v>0</v>
      </c>
      <c r="G62" s="59" t="s">
        <v>105</v>
      </c>
      <c r="H62" s="48">
        <f ca="1">--TRIM(RIGHT(SUBSTITUTE(LEFT(C61,_xlfn.AGGREGATE(16,6,FIND({0,1,2,3,4,5,6,7,8,9},C61,ROW(INDIRECT("1:"&amp;LEN(C61)))),1))," ",REPT(" ",LEN(C61))),LEN(C61)))</f>
        <v>38</v>
      </c>
      <c r="I62" s="17"/>
      <c r="J62" s="20"/>
    </row>
    <row r="63" spans="1:14" ht="48" customHeight="1" x14ac:dyDescent="0.3">
      <c r="A63" s="141" t="s">
        <v>115</v>
      </c>
      <c r="B63" s="142"/>
      <c r="C63" s="148" t="str">
        <f ca="1">I61</f>
        <v>Excavation work Completed. Plinth work completed, RCC Slab, Brickwork, Internal Plaster upto 25 Floor, External Plaster upto 25 Floor, Flooring upto 18 Floor, Painting upto 18 Floor Completed</v>
      </c>
      <c r="D63" s="148"/>
      <c r="E63" s="148"/>
      <c r="F63" s="148"/>
      <c r="G63" s="148"/>
      <c r="H63" s="149"/>
      <c r="I63" s="17" t="s">
        <v>128</v>
      </c>
      <c r="J63" s="20"/>
    </row>
    <row r="64" spans="1:14" ht="15.75" customHeight="1" x14ac:dyDescent="0.3">
      <c r="A64" s="126" t="s">
        <v>50</v>
      </c>
      <c r="B64" s="127"/>
      <c r="C64" s="56" t="s">
        <v>166</v>
      </c>
      <c r="D64" s="56" t="s">
        <v>108</v>
      </c>
      <c r="E64" s="127" t="s">
        <v>110</v>
      </c>
      <c r="F64" s="127"/>
      <c r="G64" s="127" t="s">
        <v>109</v>
      </c>
      <c r="H64" s="140"/>
      <c r="I64" s="37" t="s">
        <v>168</v>
      </c>
      <c r="J64" s="21">
        <f ca="1">H62*25%</f>
        <v>9.5</v>
      </c>
    </row>
    <row r="65" spans="1:13" x14ac:dyDescent="0.3">
      <c r="A65" s="126" t="s">
        <v>155</v>
      </c>
      <c r="B65" s="127"/>
      <c r="C65" s="52">
        <f ca="1">J66</f>
        <v>38</v>
      </c>
      <c r="D65" s="57">
        <f ca="1">((100/H62)*C65)/100</f>
        <v>1</v>
      </c>
      <c r="E65" s="122">
        <f ca="1">(((C66/H62*10)+(40/(D62+F62+H62)*C67)+(7.5/(H62)*C68)+(7.5/(H62)*C69)+(10/H62*C70)+(10/H62*C71)+(5/H62*C72)+(5/H62*C73)+(5/H62*C74))/100)</f>
        <v>0.7611842105263158</v>
      </c>
      <c r="F65" s="122"/>
      <c r="G65" s="122">
        <f ca="1">((((C65/H62)*20)+((C66/H62)*25)+(30/(H62+F62+D62)*C67)+(5/H62*C68)+(5/H62*C69)+(5/H62*C70)+(5/H62*C71)+(0/H62*C72)+(0/H62*C73)+(5/H62*C74))/100)</f>
        <v>0.88947368421052619</v>
      </c>
      <c r="H65" s="124"/>
      <c r="I65" s="37" t="s">
        <v>123</v>
      </c>
      <c r="J65" s="41">
        <f ca="1">H62*50%</f>
        <v>19</v>
      </c>
    </row>
    <row r="66" spans="1:13" x14ac:dyDescent="0.3">
      <c r="A66" s="126" t="s">
        <v>51</v>
      </c>
      <c r="B66" s="127"/>
      <c r="C66" s="53">
        <f ca="1">J74</f>
        <v>38</v>
      </c>
      <c r="D66" s="57">
        <f ca="1">((100/H62)*C66)/100</f>
        <v>1</v>
      </c>
      <c r="E66" s="122"/>
      <c r="F66" s="122"/>
      <c r="G66" s="122"/>
      <c r="H66" s="124"/>
      <c r="I66" s="37" t="s">
        <v>124</v>
      </c>
      <c r="J66" s="41">
        <f ca="1">H62</f>
        <v>38</v>
      </c>
    </row>
    <row r="67" spans="1:13" ht="15.75" customHeight="1" x14ac:dyDescent="0.3">
      <c r="A67" s="126" t="s">
        <v>156</v>
      </c>
      <c r="B67" s="127"/>
      <c r="C67" s="53">
        <v>39</v>
      </c>
      <c r="D67" s="57">
        <f ca="1">((100/(D62+F62+H62))*C67)/100</f>
        <v>1.0000000000000002</v>
      </c>
      <c r="E67" s="122"/>
      <c r="F67" s="122"/>
      <c r="G67" s="122"/>
      <c r="H67" s="124"/>
      <c r="I67" s="37" t="s">
        <v>125</v>
      </c>
      <c r="J67" s="44">
        <f ca="1">(IF(B62&gt;1,(H62/(B62+2)),H62/4))</f>
        <v>9.5</v>
      </c>
    </row>
    <row r="68" spans="1:13" ht="15.75" customHeight="1" x14ac:dyDescent="0.3">
      <c r="A68" s="126" t="s">
        <v>163</v>
      </c>
      <c r="B68" s="127" t="s">
        <v>157</v>
      </c>
      <c r="C68" s="53">
        <v>38</v>
      </c>
      <c r="D68" s="57">
        <f ca="1">((100/H62)*C68)/100</f>
        <v>1</v>
      </c>
      <c r="E68" s="122"/>
      <c r="F68" s="122"/>
      <c r="G68" s="122"/>
      <c r="H68" s="124"/>
      <c r="I68" s="37" t="s">
        <v>126</v>
      </c>
      <c r="J68" s="44">
        <f ca="1">(IF(B62&gt;1,(H62/(B62+2)+J67),H62/4+J67))</f>
        <v>19</v>
      </c>
      <c r="M68" s="8" t="s">
        <v>210</v>
      </c>
    </row>
    <row r="69" spans="1:13" ht="15.75" customHeight="1" x14ac:dyDescent="0.3">
      <c r="A69" s="126" t="s">
        <v>164</v>
      </c>
      <c r="B69" s="127" t="s">
        <v>157</v>
      </c>
      <c r="C69" s="52">
        <v>25</v>
      </c>
      <c r="D69" s="57">
        <f ca="1">((100/H62)*C69)/100</f>
        <v>0.65789473684210531</v>
      </c>
      <c r="E69" s="122"/>
      <c r="F69" s="122"/>
      <c r="G69" s="122"/>
      <c r="H69" s="124"/>
      <c r="I69" s="37" t="s">
        <v>173</v>
      </c>
      <c r="J69" s="44">
        <f>(IF(B62&gt;1,(H62/(B62+2)+J68),0))</f>
        <v>0</v>
      </c>
    </row>
    <row r="70" spans="1:13" ht="15" customHeight="1" x14ac:dyDescent="0.3">
      <c r="A70" s="126" t="s">
        <v>162</v>
      </c>
      <c r="B70" s="127" t="s">
        <v>159</v>
      </c>
      <c r="C70" s="52">
        <v>25</v>
      </c>
      <c r="D70" s="57">
        <f ca="1">((100/(H62))*C70)/100</f>
        <v>0.65789473684210531</v>
      </c>
      <c r="E70" s="122"/>
      <c r="F70" s="122"/>
      <c r="G70" s="122"/>
      <c r="H70" s="124"/>
      <c r="I70" s="37" t="s">
        <v>170</v>
      </c>
      <c r="J70" s="44">
        <f>(IF(B62&gt;2,(H62/(B62+2)+J69),0))</f>
        <v>0</v>
      </c>
    </row>
    <row r="71" spans="1:13" ht="15.75" customHeight="1" x14ac:dyDescent="0.3">
      <c r="A71" s="126" t="s">
        <v>158</v>
      </c>
      <c r="B71" s="127" t="s">
        <v>158</v>
      </c>
      <c r="C71" s="52">
        <v>18</v>
      </c>
      <c r="D71" s="57">
        <f ca="1">((100/H62)*C71)/100</f>
        <v>0.47368421052631582</v>
      </c>
      <c r="E71" s="122"/>
      <c r="F71" s="122"/>
      <c r="G71" s="122"/>
      <c r="H71" s="124"/>
      <c r="I71" s="37" t="s">
        <v>171</v>
      </c>
      <c r="J71" s="45">
        <f>(IF(B62&gt;3,(H62/(B62+2)+J70),0))</f>
        <v>0</v>
      </c>
    </row>
    <row r="72" spans="1:13" ht="15.75" customHeight="1" x14ac:dyDescent="0.3">
      <c r="A72" s="126" t="s">
        <v>165</v>
      </c>
      <c r="B72" s="127"/>
      <c r="C72" s="52">
        <v>18</v>
      </c>
      <c r="D72" s="57">
        <f ca="1">((100/H62)*C72)/100</f>
        <v>0.47368421052631582</v>
      </c>
      <c r="E72" s="122"/>
      <c r="F72" s="122"/>
      <c r="G72" s="122"/>
      <c r="H72" s="124"/>
      <c r="I72" s="37" t="s">
        <v>172</v>
      </c>
      <c r="J72" s="44">
        <f>(IF(B62&gt;4,(H62/(B62+2)+J71),0))</f>
        <v>0</v>
      </c>
    </row>
    <row r="73" spans="1:13" ht="15.75" customHeight="1" x14ac:dyDescent="0.3">
      <c r="A73" s="126" t="s">
        <v>160</v>
      </c>
      <c r="B73" s="127" t="s">
        <v>160</v>
      </c>
      <c r="C73" s="52">
        <v>0</v>
      </c>
      <c r="D73" s="57">
        <f ca="1">((100/(H62))*C73)/100</f>
        <v>0</v>
      </c>
      <c r="E73" s="122"/>
      <c r="F73" s="122"/>
      <c r="G73" s="122"/>
      <c r="H73" s="124"/>
      <c r="I73" s="37" t="s">
        <v>174</v>
      </c>
      <c r="J73" s="44">
        <f ca="1">(IF(B62=1,(H62/(B62+3)+J68),IF(B62=0,(H62/4+J68),IF(B62&gt;1,0))))</f>
        <v>28.5</v>
      </c>
    </row>
    <row r="74" spans="1:13" ht="16.2" thickBot="1" x14ac:dyDescent="0.35">
      <c r="A74" s="128" t="s">
        <v>161</v>
      </c>
      <c r="B74" s="129"/>
      <c r="C74" s="54">
        <v>0</v>
      </c>
      <c r="D74" s="58">
        <f ca="1">((100/(H62))*C74)/100</f>
        <v>0</v>
      </c>
      <c r="E74" s="123"/>
      <c r="F74" s="123"/>
      <c r="G74" s="123"/>
      <c r="H74" s="125"/>
      <c r="I74" s="43" t="s">
        <v>127</v>
      </c>
      <c r="J74" s="46">
        <f ca="1">(IF(B62&gt;1.5,(H62/(B62+2)+J68+MAX(0,J69-J68)+MAX(0,J70-J69)+MAX(0,J71-J70)+MAX(0,J72-J71)+MAX(0,J73-J72)),IF(B62=1,(H62/(B62+3)+J73),IF(B62=0,H62/4+J73))))</f>
        <v>38</v>
      </c>
    </row>
    <row r="75" spans="1:13" s="9" customFormat="1" x14ac:dyDescent="0.3">
      <c r="A75" s="166" t="s">
        <v>143</v>
      </c>
      <c r="B75" s="167"/>
      <c r="C75" s="167"/>
      <c r="D75" s="167"/>
      <c r="E75" s="168"/>
      <c r="F75" s="166" t="str">
        <f ca="1">(IF(D60="Nothing","Yes",IF(D60="Cement, Aggregate, Steel, etc","Under Construction",IF(D60="Work not yet Started","Work not yet Started"))))</f>
        <v>Under Construction</v>
      </c>
      <c r="G75" s="167"/>
      <c r="H75" s="168"/>
      <c r="I75" s="8"/>
      <c r="J75" s="8"/>
    </row>
    <row r="76" spans="1:13" s="1" customFormat="1" ht="15.75" customHeight="1" x14ac:dyDescent="0.3">
      <c r="A76" s="74" t="s">
        <v>52</v>
      </c>
      <c r="B76" s="74"/>
      <c r="C76" s="74"/>
      <c r="D76" s="74"/>
      <c r="E76" s="74"/>
      <c r="F76" s="74"/>
      <c r="G76" s="74"/>
      <c r="H76" s="74"/>
      <c r="I76" s="8"/>
      <c r="J76" s="8"/>
    </row>
    <row r="77" spans="1:13" s="1" customFormat="1" ht="34.5" customHeight="1" x14ac:dyDescent="0.3">
      <c r="A77" s="142" t="s">
        <v>97</v>
      </c>
      <c r="B77" s="142"/>
      <c r="C77" s="108" t="s">
        <v>250</v>
      </c>
      <c r="D77" s="108"/>
      <c r="E77" s="108"/>
      <c r="F77" s="108"/>
      <c r="G77" s="108"/>
      <c r="H77" s="108"/>
      <c r="I77" s="60" t="s">
        <v>232</v>
      </c>
      <c r="J77" s="8"/>
    </row>
    <row r="78" spans="1:13" s="1" customFormat="1" ht="15.75" customHeight="1" x14ac:dyDescent="0.3">
      <c r="A78" s="104" t="s">
        <v>53</v>
      </c>
      <c r="B78" s="104"/>
      <c r="C78" s="104"/>
      <c r="D78" s="104"/>
      <c r="E78" s="104"/>
      <c r="F78" s="104"/>
      <c r="G78" s="104"/>
      <c r="H78" s="104"/>
      <c r="I78" s="8"/>
      <c r="J78" s="8"/>
    </row>
    <row r="79" spans="1:13" s="1" customFormat="1" x14ac:dyDescent="0.3">
      <c r="A79" s="74" t="s">
        <v>98</v>
      </c>
      <c r="B79" s="74"/>
      <c r="C79" s="74"/>
      <c r="D79" s="74"/>
      <c r="E79" s="74"/>
      <c r="F79" s="75">
        <v>13200</v>
      </c>
      <c r="G79" s="75"/>
      <c r="H79" s="75"/>
      <c r="I79" s="8"/>
      <c r="J79" s="8"/>
    </row>
    <row r="80" spans="1:13" s="1" customFormat="1" x14ac:dyDescent="0.3">
      <c r="A80" s="74" t="s">
        <v>104</v>
      </c>
      <c r="B80" s="74"/>
      <c r="C80" s="74"/>
      <c r="D80" s="74"/>
      <c r="E80" s="74"/>
      <c r="F80" s="75">
        <v>25000</v>
      </c>
      <c r="G80" s="75"/>
      <c r="H80" s="75"/>
      <c r="I80" s="8"/>
      <c r="J80" s="8"/>
    </row>
    <row r="81" spans="1:16" s="1" customFormat="1" hidden="1" x14ac:dyDescent="0.25">
      <c r="A81" s="74" t="s">
        <v>119</v>
      </c>
      <c r="B81" s="74"/>
      <c r="C81" s="74"/>
      <c r="D81" s="74"/>
      <c r="E81" s="74"/>
      <c r="F81" s="75" t="s">
        <v>29</v>
      </c>
      <c r="G81" s="75"/>
      <c r="H81" s="75"/>
      <c r="I81" s="12"/>
      <c r="J81" s="12"/>
    </row>
    <row r="82" spans="1:16" s="1" customFormat="1" ht="15.75" hidden="1" customHeight="1" x14ac:dyDescent="0.25">
      <c r="A82" s="74" t="s">
        <v>120</v>
      </c>
      <c r="B82" s="74"/>
      <c r="C82" s="74"/>
      <c r="D82" s="74"/>
      <c r="E82" s="74"/>
      <c r="F82" s="75" t="s">
        <v>29</v>
      </c>
      <c r="G82" s="75"/>
      <c r="H82" s="75"/>
      <c r="I82" s="12"/>
      <c r="J82" s="12"/>
    </row>
    <row r="83" spans="1:16" s="1" customFormat="1" x14ac:dyDescent="0.25">
      <c r="A83" s="74" t="s">
        <v>203</v>
      </c>
      <c r="B83" s="74"/>
      <c r="C83" s="74"/>
      <c r="D83" s="74"/>
      <c r="E83" s="74"/>
      <c r="F83" s="75" t="s">
        <v>202</v>
      </c>
      <c r="G83" s="75"/>
      <c r="H83" s="75"/>
      <c r="I83" s="12"/>
      <c r="J83" s="12"/>
    </row>
    <row r="84" spans="1:16" s="1" customFormat="1" x14ac:dyDescent="0.25">
      <c r="A84" s="74" t="s">
        <v>193</v>
      </c>
      <c r="B84" s="74"/>
      <c r="C84" s="74"/>
      <c r="D84" s="74"/>
      <c r="E84" s="74"/>
      <c r="F84" s="75" t="s">
        <v>194</v>
      </c>
      <c r="G84" s="75"/>
      <c r="H84" s="75"/>
      <c r="I84" s="12"/>
      <c r="J84" s="12"/>
    </row>
    <row r="85" spans="1:16" s="1" customFormat="1" x14ac:dyDescent="0.3">
      <c r="A85" s="74" t="s">
        <v>122</v>
      </c>
      <c r="B85" s="74"/>
      <c r="C85" s="74"/>
      <c r="D85" s="74"/>
      <c r="E85" s="74"/>
      <c r="F85" s="75" t="s">
        <v>195</v>
      </c>
      <c r="G85" s="75"/>
      <c r="H85" s="75"/>
      <c r="I85" s="74" t="s">
        <v>121</v>
      </c>
      <c r="J85" s="74"/>
      <c r="K85" s="74"/>
      <c r="L85" s="74"/>
      <c r="M85" s="74"/>
      <c r="N85" s="75" t="s">
        <v>192</v>
      </c>
      <c r="O85" s="75"/>
      <c r="P85" s="75"/>
    </row>
    <row r="86" spans="1:16" s="9" customFormat="1" x14ac:dyDescent="0.3">
      <c r="A86" s="74" t="s">
        <v>205</v>
      </c>
      <c r="B86" s="74"/>
      <c r="C86" s="74"/>
      <c r="D86" s="74"/>
      <c r="E86" s="74"/>
      <c r="F86" s="75" t="s">
        <v>204</v>
      </c>
      <c r="G86" s="75"/>
      <c r="H86" s="75"/>
      <c r="I86" s="12"/>
      <c r="J86" s="12"/>
    </row>
    <row r="87" spans="1:16" x14ac:dyDescent="0.3">
      <c r="A87" s="74" t="s">
        <v>54</v>
      </c>
      <c r="B87" s="74"/>
      <c r="C87" s="74"/>
      <c r="D87" s="74"/>
      <c r="E87" s="74"/>
      <c r="F87" s="115" t="s">
        <v>196</v>
      </c>
      <c r="G87" s="115"/>
      <c r="H87" s="115"/>
    </row>
    <row r="88" spans="1:16" x14ac:dyDescent="0.3">
      <c r="A88" s="104" t="s">
        <v>55</v>
      </c>
      <c r="B88" s="104"/>
      <c r="C88" s="104"/>
      <c r="D88" s="104"/>
      <c r="E88" s="104"/>
      <c r="F88" s="152">
        <f>F79*0.8</f>
        <v>10560</v>
      </c>
      <c r="G88" s="152"/>
      <c r="H88" s="152"/>
      <c r="I88" s="9"/>
      <c r="J88" s="9"/>
    </row>
    <row r="89" spans="1:16" s="2" customFormat="1" x14ac:dyDescent="0.3">
      <c r="A89" s="81" t="s">
        <v>242</v>
      </c>
      <c r="B89" s="81"/>
      <c r="C89" s="81"/>
      <c r="D89" s="81"/>
      <c r="E89" s="81"/>
      <c r="F89" s="81"/>
      <c r="G89" s="81"/>
      <c r="H89" s="81"/>
      <c r="I89" s="1"/>
      <c r="J89" s="1"/>
    </row>
    <row r="90" spans="1:16" s="2" customFormat="1" x14ac:dyDescent="0.3">
      <c r="A90" s="158" t="s">
        <v>56</v>
      </c>
      <c r="B90" s="158"/>
      <c r="C90" s="92" t="s">
        <v>101</v>
      </c>
      <c r="D90" s="92"/>
      <c r="E90" s="94" t="s">
        <v>57</v>
      </c>
      <c r="F90" s="94"/>
      <c r="G90" s="158" t="s">
        <v>58</v>
      </c>
      <c r="H90" s="158"/>
      <c r="I90" s="1"/>
      <c r="J90" s="1"/>
    </row>
    <row r="91" spans="1:16" s="2" customFormat="1" x14ac:dyDescent="0.3">
      <c r="A91" s="95" t="s">
        <v>237</v>
      </c>
      <c r="B91" s="63" t="s">
        <v>187</v>
      </c>
      <c r="C91" s="79">
        <f>COUNT(D107:D120)</f>
        <v>14</v>
      </c>
      <c r="D91" s="80"/>
      <c r="E91" s="79">
        <f>SUM(D107:D120)</f>
        <v>3063.4237799999996</v>
      </c>
      <c r="F91" s="80"/>
      <c r="G91" s="79">
        <f>SUM(F107:F120)</f>
        <v>4595.1356699999997</v>
      </c>
      <c r="H91" s="80"/>
      <c r="I91" s="1"/>
      <c r="J91" s="1"/>
    </row>
    <row r="92" spans="1:16" s="2" customFormat="1" x14ac:dyDescent="0.3">
      <c r="A92" s="96"/>
      <c r="B92" s="63" t="s">
        <v>243</v>
      </c>
      <c r="C92" s="79">
        <f>COUNT(D121)</f>
        <v>1</v>
      </c>
      <c r="D92" s="80"/>
      <c r="E92" s="79">
        <f>SUM(D121)</f>
        <v>570.38436000000002</v>
      </c>
      <c r="F92" s="80"/>
      <c r="G92" s="79">
        <f>SUM(F121)</f>
        <v>855.57654000000002</v>
      </c>
      <c r="H92" s="80"/>
      <c r="I92" s="1"/>
      <c r="J92" s="1"/>
    </row>
    <row r="93" spans="1:16" s="2" customFormat="1" ht="15.75" customHeight="1" x14ac:dyDescent="0.3">
      <c r="A93" s="81" t="s">
        <v>60</v>
      </c>
      <c r="B93" s="81"/>
      <c r="C93" s="91">
        <f t="shared" ref="C93:G93" si="0">SUM(C91:D92)</f>
        <v>15</v>
      </c>
      <c r="D93" s="92"/>
      <c r="E93" s="93">
        <f>SUM(E91:F92)</f>
        <v>3633.8081399999996</v>
      </c>
      <c r="F93" s="94"/>
      <c r="G93" s="93">
        <f t="shared" si="0"/>
        <v>5450.7122099999997</v>
      </c>
      <c r="H93" s="94"/>
      <c r="I93" s="1"/>
      <c r="J93" s="1"/>
      <c r="L93" s="178"/>
      <c r="M93" s="178"/>
      <c r="N93" s="36"/>
    </row>
    <row r="94" spans="1:16" s="2" customFormat="1" ht="15.75" customHeight="1" x14ac:dyDescent="0.3">
      <c r="A94" s="81" t="s">
        <v>255</v>
      </c>
      <c r="B94" s="81"/>
      <c r="C94" s="81"/>
      <c r="D94" s="81"/>
      <c r="E94" s="81"/>
      <c r="F94" s="81"/>
      <c r="G94" s="81"/>
      <c r="H94" s="81"/>
      <c r="I94" s="1"/>
      <c r="J94" s="1"/>
      <c r="L94" s="178"/>
      <c r="M94" s="178"/>
      <c r="N94" s="36"/>
    </row>
    <row r="95" spans="1:16" s="2" customFormat="1" ht="15.75" customHeight="1" x14ac:dyDescent="0.3">
      <c r="A95" s="158" t="s">
        <v>56</v>
      </c>
      <c r="B95" s="158"/>
      <c r="C95" s="92" t="s">
        <v>101</v>
      </c>
      <c r="D95" s="92"/>
      <c r="E95" s="94" t="s">
        <v>57</v>
      </c>
      <c r="F95" s="94"/>
      <c r="G95" s="158" t="s">
        <v>58</v>
      </c>
      <c r="H95" s="158"/>
      <c r="I95" s="1"/>
      <c r="J95" s="1"/>
      <c r="L95" s="178"/>
      <c r="M95" s="178"/>
      <c r="N95" s="36"/>
    </row>
    <row r="96" spans="1:16" s="2" customFormat="1" ht="15.75" customHeight="1" x14ac:dyDescent="0.3">
      <c r="A96" s="154" t="s">
        <v>237</v>
      </c>
      <c r="B96" s="154"/>
      <c r="C96" s="79">
        <f>COUNT(D129:D133,D135:D137)+COUNT(D141:D145)*3+COUNT(D147:D151)*11+COUNT(D153:D155)*3+COUNT(D159:D163)*14+COUNT(D165:D168)</f>
        <v>161</v>
      </c>
      <c r="D96" s="79"/>
      <c r="E96" s="79">
        <f>SUM(D129:D133,D135:D137)+SUM(D141:D145)*3+SUM(D147:D151)*11+SUM(D153:D155)*3+SUM(D159:D163)*14+SUM(D165:D168)</f>
        <v>70681.805999999997</v>
      </c>
      <c r="F96" s="79"/>
      <c r="G96" s="79">
        <f>SUM(F129:F133,F135:F137)+SUM(F141:F145)*3+SUM(F147:F151)*11+SUM(F153:F155)*3+SUM(F159:F163)*14+SUM(F165:F168)</f>
        <v>106022.709</v>
      </c>
      <c r="H96" s="79"/>
      <c r="I96" s="1"/>
      <c r="J96" s="1"/>
      <c r="L96" s="178"/>
      <c r="M96" s="178"/>
      <c r="N96" s="36"/>
    </row>
    <row r="97" spans="1:14" s="2" customFormat="1" ht="15.75" customHeight="1" x14ac:dyDescent="0.3">
      <c r="A97" s="81" t="s">
        <v>60</v>
      </c>
      <c r="B97" s="81"/>
      <c r="C97" s="91">
        <f t="shared" ref="C97:G97" si="1">SUM(C96)</f>
        <v>161</v>
      </c>
      <c r="D97" s="91"/>
      <c r="E97" s="93">
        <f t="shared" si="1"/>
        <v>70681.805999999997</v>
      </c>
      <c r="F97" s="93"/>
      <c r="G97" s="93">
        <f t="shared" si="1"/>
        <v>106022.709</v>
      </c>
      <c r="H97" s="93"/>
      <c r="I97" s="1"/>
      <c r="J97" s="1"/>
      <c r="L97" s="178"/>
      <c r="M97" s="178"/>
      <c r="N97" s="36"/>
    </row>
    <row r="98" spans="1:14" s="2" customFormat="1" ht="15.75" customHeight="1" x14ac:dyDescent="0.3">
      <c r="A98" s="81" t="s">
        <v>220</v>
      </c>
      <c r="B98" s="81"/>
      <c r="C98" s="91">
        <f>SUM(C93,C97)</f>
        <v>176</v>
      </c>
      <c r="D98" s="91"/>
      <c r="E98" s="93">
        <f>SUM(E93,E97)</f>
        <v>74315.614139999991</v>
      </c>
      <c r="F98" s="93"/>
      <c r="G98" s="93">
        <f>SUM(G93,G97)</f>
        <v>111473.42121</v>
      </c>
      <c r="H98" s="93"/>
      <c r="I98" s="1"/>
      <c r="J98" s="1"/>
      <c r="L98" s="178"/>
      <c r="M98" s="178"/>
      <c r="N98" s="36"/>
    </row>
    <row r="99" spans="1:14" s="2" customFormat="1" ht="15.75" customHeight="1" x14ac:dyDescent="0.3">
      <c r="A99" s="69" t="s">
        <v>233</v>
      </c>
      <c r="B99" s="69"/>
      <c r="C99" s="69"/>
      <c r="D99" s="69"/>
      <c r="E99" s="69"/>
      <c r="F99" s="69"/>
      <c r="G99" s="69"/>
      <c r="H99" s="69"/>
      <c r="I99" s="9"/>
      <c r="J99" s="9"/>
      <c r="L99" s="178"/>
      <c r="M99" s="178"/>
      <c r="N99" s="36"/>
    </row>
    <row r="100" spans="1:14" s="2" customFormat="1" ht="15.75" customHeight="1" x14ac:dyDescent="0.3">
      <c r="A100" s="69" t="s">
        <v>244</v>
      </c>
      <c r="B100" s="69"/>
      <c r="C100" s="69"/>
      <c r="D100" s="69"/>
      <c r="E100" s="69"/>
      <c r="F100" s="69"/>
      <c r="G100" s="69"/>
      <c r="H100" s="69"/>
      <c r="I100" s="8"/>
      <c r="J100" s="8"/>
      <c r="L100" s="178"/>
      <c r="M100" s="178"/>
      <c r="N100" s="36"/>
    </row>
    <row r="101" spans="1:14" s="2" customFormat="1" ht="51" customHeight="1" x14ac:dyDescent="0.3">
      <c r="A101" s="76" t="s">
        <v>145</v>
      </c>
      <c r="B101" s="76" t="s">
        <v>254</v>
      </c>
      <c r="C101" s="76" t="s">
        <v>61</v>
      </c>
      <c r="D101" s="76" t="s">
        <v>251</v>
      </c>
      <c r="E101" s="160" t="s">
        <v>62</v>
      </c>
      <c r="F101" s="34" t="s">
        <v>144</v>
      </c>
      <c r="G101" s="162" t="s">
        <v>63</v>
      </c>
      <c r="H101" s="163"/>
      <c r="I101" s="8"/>
      <c r="J101" s="8"/>
      <c r="L101" s="178"/>
      <c r="M101" s="178"/>
      <c r="N101" s="36"/>
    </row>
    <row r="102" spans="1:14" s="2" customFormat="1" ht="15.75" customHeight="1" x14ac:dyDescent="0.3">
      <c r="A102" s="77"/>
      <c r="B102" s="77"/>
      <c r="C102" s="77"/>
      <c r="D102" s="77"/>
      <c r="E102" s="161"/>
      <c r="F102" s="35">
        <v>0.5</v>
      </c>
      <c r="G102" s="164"/>
      <c r="H102" s="165"/>
      <c r="L102" s="178"/>
      <c r="M102" s="178"/>
      <c r="N102" s="36"/>
    </row>
    <row r="103" spans="1:14" s="2" customFormat="1" ht="15.75" customHeight="1" x14ac:dyDescent="0.3">
      <c r="A103" s="82" t="s">
        <v>222</v>
      </c>
      <c r="B103" s="83"/>
      <c r="C103" s="83"/>
      <c r="D103" s="83"/>
      <c r="E103" s="83"/>
      <c r="F103" s="83"/>
      <c r="G103" s="83"/>
      <c r="H103" s="84"/>
      <c r="L103" s="178"/>
      <c r="M103" s="178"/>
      <c r="N103" s="36"/>
    </row>
    <row r="104" spans="1:14" s="2" customFormat="1" ht="15.75" customHeight="1" x14ac:dyDescent="0.3">
      <c r="A104" s="69" t="s">
        <v>237</v>
      </c>
      <c r="B104" s="69"/>
      <c r="C104" s="69"/>
      <c r="D104" s="69"/>
      <c r="E104" s="69"/>
      <c r="F104" s="69"/>
      <c r="G104" s="69"/>
      <c r="H104" s="69"/>
      <c r="N104" s="36"/>
    </row>
    <row r="105" spans="1:14" s="2" customFormat="1" ht="15.75" customHeight="1" x14ac:dyDescent="0.3">
      <c r="A105" s="82" t="s">
        <v>234</v>
      </c>
      <c r="B105" s="83"/>
      <c r="C105" s="83"/>
      <c r="D105" s="83"/>
      <c r="E105" s="83"/>
      <c r="F105" s="83"/>
      <c r="G105" s="83"/>
      <c r="H105" s="84"/>
      <c r="L105" s="178"/>
      <c r="M105" s="178"/>
      <c r="N105" s="36"/>
    </row>
    <row r="106" spans="1:14" s="2" customFormat="1" ht="15.75" customHeight="1" x14ac:dyDescent="0.3">
      <c r="A106" s="82" t="s">
        <v>235</v>
      </c>
      <c r="B106" s="83"/>
      <c r="C106" s="83"/>
      <c r="D106" s="83"/>
      <c r="E106" s="83"/>
      <c r="F106" s="83"/>
      <c r="G106" s="83"/>
      <c r="H106" s="84"/>
      <c r="I106" s="36"/>
      <c r="L106" s="178"/>
      <c r="M106" s="178"/>
      <c r="N106" s="36"/>
    </row>
    <row r="107" spans="1:14" s="2" customFormat="1" ht="15.75" customHeight="1" x14ac:dyDescent="0.3">
      <c r="A107" s="49">
        <v>1</v>
      </c>
      <c r="B107" s="18" t="s">
        <v>187</v>
      </c>
      <c r="C107" s="18" t="s">
        <v>189</v>
      </c>
      <c r="D107" s="18">
        <f>20.94*10.764</f>
        <v>225.39815999999999</v>
      </c>
      <c r="E107" s="18">
        <v>0</v>
      </c>
      <c r="F107" s="18">
        <f t="shared" ref="F107:F121" si="2">D107*(($F$102)+1)+E107</f>
        <v>338.09724</v>
      </c>
      <c r="G107" s="85" t="str">
        <f>A106</f>
        <v>Ground Floor For Commercial &amp; Parking</v>
      </c>
      <c r="H107" s="86"/>
      <c r="I107" s="36"/>
      <c r="L107" s="178"/>
      <c r="M107" s="178"/>
      <c r="N107" s="36"/>
    </row>
    <row r="108" spans="1:14" s="2" customFormat="1" ht="15.75" customHeight="1" x14ac:dyDescent="0.3">
      <c r="A108" s="49">
        <v>2</v>
      </c>
      <c r="B108" s="18" t="s">
        <v>187</v>
      </c>
      <c r="C108" s="18" t="s">
        <v>189</v>
      </c>
      <c r="D108" s="18">
        <f>18.86*10.764</f>
        <v>203.00903999999997</v>
      </c>
      <c r="E108" s="18">
        <v>0</v>
      </c>
      <c r="F108" s="18">
        <f t="shared" si="2"/>
        <v>304.51355999999998</v>
      </c>
      <c r="G108" s="87"/>
      <c r="H108" s="88"/>
      <c r="I108" s="36"/>
      <c r="L108" s="178"/>
      <c r="M108" s="178"/>
      <c r="N108" s="36"/>
    </row>
    <row r="109" spans="1:14" s="2" customFormat="1" ht="15.75" customHeight="1" x14ac:dyDescent="0.3">
      <c r="A109" s="49">
        <v>3</v>
      </c>
      <c r="B109" s="18" t="s">
        <v>187</v>
      </c>
      <c r="C109" s="18" t="s">
        <v>189</v>
      </c>
      <c r="D109" s="18">
        <f>20.9*10.764</f>
        <v>224.96759999999998</v>
      </c>
      <c r="E109" s="18">
        <v>0</v>
      </c>
      <c r="F109" s="18">
        <f t="shared" si="2"/>
        <v>337.45139999999998</v>
      </c>
      <c r="G109" s="87"/>
      <c r="H109" s="88"/>
      <c r="I109" s="36"/>
      <c r="L109" s="178"/>
      <c r="M109" s="178"/>
      <c r="N109" s="36"/>
    </row>
    <row r="110" spans="1:14" s="2" customFormat="1" ht="15.75" customHeight="1" x14ac:dyDescent="0.3">
      <c r="A110" s="49">
        <v>4</v>
      </c>
      <c r="B110" s="18" t="s">
        <v>187</v>
      </c>
      <c r="C110" s="18" t="s">
        <v>189</v>
      </c>
      <c r="D110" s="18">
        <f>20.94*10.764</f>
        <v>225.39815999999999</v>
      </c>
      <c r="E110" s="18">
        <v>0</v>
      </c>
      <c r="F110" s="18">
        <f t="shared" si="2"/>
        <v>338.09724</v>
      </c>
      <c r="G110" s="87"/>
      <c r="H110" s="88"/>
      <c r="I110" s="36"/>
      <c r="L110" s="178"/>
      <c r="M110" s="178"/>
      <c r="N110" s="36"/>
    </row>
    <row r="111" spans="1:14" s="2" customFormat="1" x14ac:dyDescent="0.3">
      <c r="A111" s="49">
        <v>5</v>
      </c>
      <c r="B111" s="18" t="s">
        <v>187</v>
      </c>
      <c r="C111" s="18" t="s">
        <v>189</v>
      </c>
      <c r="D111" s="18">
        <f>18.89*10.764</f>
        <v>203.33195999999998</v>
      </c>
      <c r="E111" s="18">
        <v>0</v>
      </c>
      <c r="F111" s="18">
        <f t="shared" si="2"/>
        <v>304.99793999999997</v>
      </c>
      <c r="G111" s="87"/>
      <c r="H111" s="88"/>
      <c r="I111" s="36"/>
      <c r="N111" s="36"/>
    </row>
    <row r="112" spans="1:14" x14ac:dyDescent="0.3">
      <c r="A112" s="49">
        <v>6</v>
      </c>
      <c r="B112" s="18" t="s">
        <v>187</v>
      </c>
      <c r="C112" s="18" t="s">
        <v>189</v>
      </c>
      <c r="D112" s="18">
        <f>20.91*10.764</f>
        <v>225.07523999999998</v>
      </c>
      <c r="E112" s="18">
        <v>0</v>
      </c>
      <c r="F112" s="18">
        <f t="shared" si="2"/>
        <v>337.61285999999996</v>
      </c>
      <c r="G112" s="87"/>
      <c r="H112" s="88"/>
      <c r="I112" s="36"/>
      <c r="J112" s="2"/>
    </row>
    <row r="113" spans="1:16" s="9" customFormat="1" x14ac:dyDescent="0.3">
      <c r="A113" s="49">
        <v>7</v>
      </c>
      <c r="B113" s="18" t="s">
        <v>187</v>
      </c>
      <c r="C113" s="18" t="s">
        <v>189</v>
      </c>
      <c r="D113" s="18">
        <f>20.91*10.764</f>
        <v>225.07523999999998</v>
      </c>
      <c r="E113" s="18">
        <v>0</v>
      </c>
      <c r="F113" s="18">
        <f t="shared" si="2"/>
        <v>337.61285999999996</v>
      </c>
      <c r="G113" s="87"/>
      <c r="H113" s="88"/>
      <c r="I113" s="36"/>
      <c r="J113" s="2"/>
    </row>
    <row r="114" spans="1:16" s="9" customFormat="1" x14ac:dyDescent="0.3">
      <c r="A114" s="49">
        <v>8</v>
      </c>
      <c r="B114" s="18" t="s">
        <v>187</v>
      </c>
      <c r="C114" s="18" t="s">
        <v>189</v>
      </c>
      <c r="D114" s="18">
        <f>19.43*10.764</f>
        <v>209.14451999999997</v>
      </c>
      <c r="E114" s="18">
        <v>0</v>
      </c>
      <c r="F114" s="18">
        <f t="shared" si="2"/>
        <v>313.71677999999997</v>
      </c>
      <c r="G114" s="87"/>
      <c r="H114" s="88"/>
      <c r="I114" s="36"/>
      <c r="J114" s="2"/>
    </row>
    <row r="115" spans="1:16" s="9" customFormat="1" x14ac:dyDescent="0.3">
      <c r="A115" s="49">
        <v>9</v>
      </c>
      <c r="B115" s="18" t="s">
        <v>187</v>
      </c>
      <c r="C115" s="18" t="s">
        <v>189</v>
      </c>
      <c r="D115" s="18">
        <f>20.92*10.764</f>
        <v>225.18288000000001</v>
      </c>
      <c r="E115" s="18">
        <v>0</v>
      </c>
      <c r="F115" s="18">
        <f t="shared" si="2"/>
        <v>337.77431999999999</v>
      </c>
      <c r="G115" s="87"/>
      <c r="H115" s="88"/>
      <c r="I115" s="36"/>
      <c r="J115" s="2"/>
    </row>
    <row r="116" spans="1:16" s="9" customFormat="1" x14ac:dyDescent="0.3">
      <c r="A116" s="49">
        <v>10</v>
      </c>
      <c r="B116" s="18" t="s">
        <v>187</v>
      </c>
      <c r="C116" s="18" t="s">
        <v>189</v>
      </c>
      <c r="D116" s="18">
        <f>20.92*10.764</f>
        <v>225.18288000000001</v>
      </c>
      <c r="E116" s="18">
        <v>0</v>
      </c>
      <c r="F116" s="18">
        <f t="shared" si="2"/>
        <v>337.77431999999999</v>
      </c>
      <c r="G116" s="87"/>
      <c r="H116" s="88"/>
      <c r="I116" s="36"/>
      <c r="J116" s="2"/>
    </row>
    <row r="117" spans="1:16" s="2" customFormat="1" ht="17.25" customHeight="1" x14ac:dyDescent="0.3">
      <c r="A117" s="49">
        <v>11</v>
      </c>
      <c r="B117" s="18" t="s">
        <v>187</v>
      </c>
      <c r="C117" s="18" t="s">
        <v>189</v>
      </c>
      <c r="D117" s="18">
        <f>20.96*10.764</f>
        <v>225.61344</v>
      </c>
      <c r="E117" s="18">
        <v>0</v>
      </c>
      <c r="F117" s="18">
        <f t="shared" si="2"/>
        <v>338.42016000000001</v>
      </c>
      <c r="G117" s="87"/>
      <c r="H117" s="88"/>
      <c r="I117" s="36"/>
    </row>
    <row r="118" spans="1:16" s="2" customFormat="1" ht="15.75" customHeight="1" x14ac:dyDescent="0.3">
      <c r="A118" s="49">
        <v>12</v>
      </c>
      <c r="B118" s="18" t="s">
        <v>187</v>
      </c>
      <c r="C118" s="18" t="s">
        <v>189</v>
      </c>
      <c r="D118" s="18">
        <f>21.22*10.764</f>
        <v>228.41207999999997</v>
      </c>
      <c r="E118" s="18">
        <v>0</v>
      </c>
      <c r="F118" s="18">
        <f t="shared" si="2"/>
        <v>342.61811999999998</v>
      </c>
      <c r="G118" s="87"/>
      <c r="H118" s="88"/>
      <c r="I118" s="36"/>
      <c r="N118" s="2" t="e">
        <f t="shared" ref="N118:N123" si="3">O118&amp;""&amp;",..,"&amp;""&amp;P118</f>
        <v>#REF!</v>
      </c>
      <c r="O118" s="2" t="e">
        <f>#REF!+1</f>
        <v>#REF!</v>
      </c>
      <c r="P118" s="2" t="e">
        <f>#REF!+1</f>
        <v>#REF!</v>
      </c>
    </row>
    <row r="119" spans="1:16" s="2" customFormat="1" ht="15.75" customHeight="1" x14ac:dyDescent="0.3">
      <c r="A119" s="49">
        <v>19</v>
      </c>
      <c r="B119" s="18" t="s">
        <v>187</v>
      </c>
      <c r="C119" s="18" t="s">
        <v>189</v>
      </c>
      <c r="D119" s="18">
        <f>13.95*13.95</f>
        <v>194.60249999999999</v>
      </c>
      <c r="E119" s="18">
        <v>0</v>
      </c>
      <c r="F119" s="18">
        <f t="shared" si="2"/>
        <v>291.90375</v>
      </c>
      <c r="G119" s="87"/>
      <c r="H119" s="88"/>
      <c r="I119" s="36"/>
      <c r="N119" s="2" t="e">
        <f t="shared" si="3"/>
        <v>#REF!</v>
      </c>
      <c r="O119" s="2" t="e">
        <f t="shared" ref="O119:P121" si="4">O118+1</f>
        <v>#REF!</v>
      </c>
      <c r="P119" s="2" t="e">
        <f t="shared" si="4"/>
        <v>#REF!</v>
      </c>
    </row>
    <row r="120" spans="1:16" s="2" customFormat="1" ht="15.75" customHeight="1" x14ac:dyDescent="0.3">
      <c r="A120" s="49">
        <v>20</v>
      </c>
      <c r="B120" s="18" t="s">
        <v>187</v>
      </c>
      <c r="C120" s="18" t="s">
        <v>189</v>
      </c>
      <c r="D120" s="18">
        <f>20.72*10.764</f>
        <v>223.03007999999997</v>
      </c>
      <c r="E120" s="18">
        <v>0</v>
      </c>
      <c r="F120" s="18">
        <f t="shared" si="2"/>
        <v>334.54511999999994</v>
      </c>
      <c r="G120" s="87"/>
      <c r="H120" s="88"/>
      <c r="I120" s="36"/>
      <c r="N120" s="2" t="e">
        <f t="shared" si="3"/>
        <v>#REF!</v>
      </c>
      <c r="O120" s="2" t="e">
        <f t="shared" si="4"/>
        <v>#REF!</v>
      </c>
      <c r="P120" s="2" t="e">
        <f t="shared" si="4"/>
        <v>#REF!</v>
      </c>
    </row>
    <row r="121" spans="1:16" s="2" customFormat="1" ht="15.75" customHeight="1" x14ac:dyDescent="0.3">
      <c r="A121" s="49">
        <v>21</v>
      </c>
      <c r="B121" s="18" t="s">
        <v>188</v>
      </c>
      <c r="C121" s="18" t="s">
        <v>189</v>
      </c>
      <c r="D121" s="18">
        <f>52.99*10.764</f>
        <v>570.38436000000002</v>
      </c>
      <c r="E121" s="18">
        <v>0</v>
      </c>
      <c r="F121" s="18">
        <f t="shared" si="2"/>
        <v>855.57654000000002</v>
      </c>
      <c r="G121" s="87"/>
      <c r="H121" s="88"/>
      <c r="I121" s="36"/>
      <c r="N121" s="2" t="e">
        <f t="shared" si="3"/>
        <v>#REF!</v>
      </c>
      <c r="O121" s="2" t="e">
        <f t="shared" si="4"/>
        <v>#REF!</v>
      </c>
      <c r="P121" s="2" t="e">
        <f t="shared" si="4"/>
        <v>#REF!</v>
      </c>
    </row>
    <row r="122" spans="1:16" s="2" customFormat="1" ht="15.75" customHeight="1" x14ac:dyDescent="0.3">
      <c r="A122" s="78"/>
      <c r="B122" s="78"/>
      <c r="C122" s="78"/>
      <c r="D122" s="78"/>
      <c r="E122" s="78"/>
      <c r="F122" s="78"/>
      <c r="G122" s="78"/>
      <c r="H122" s="78"/>
      <c r="I122" s="36"/>
      <c r="J122" s="8"/>
      <c r="N122" s="2" t="e">
        <f t="shared" si="3"/>
        <v>#REF!</v>
      </c>
      <c r="O122" s="2" t="e">
        <f>#REF!+1</f>
        <v>#REF!</v>
      </c>
      <c r="P122" s="2" t="e">
        <f>#REF!+1</f>
        <v>#REF!</v>
      </c>
    </row>
    <row r="123" spans="1:16" s="2" customFormat="1" ht="51.75" customHeight="1" x14ac:dyDescent="0.3">
      <c r="A123" s="97" t="s">
        <v>146</v>
      </c>
      <c r="B123" s="97" t="s">
        <v>147</v>
      </c>
      <c r="C123" s="97" t="s">
        <v>61</v>
      </c>
      <c r="D123" s="97" t="s">
        <v>251</v>
      </c>
      <c r="E123" s="98" t="s">
        <v>62</v>
      </c>
      <c r="F123" s="64" t="s">
        <v>241</v>
      </c>
      <c r="G123" s="97" t="s">
        <v>63</v>
      </c>
      <c r="H123" s="97"/>
      <c r="I123" s="9"/>
      <c r="J123" s="9"/>
      <c r="N123" s="2" t="e">
        <f t="shared" si="3"/>
        <v>#REF!</v>
      </c>
      <c r="O123" s="2" t="e">
        <f t="shared" ref="O123:P123" si="5">O122+1</f>
        <v>#REF!</v>
      </c>
      <c r="P123" s="2" t="e">
        <f t="shared" si="5"/>
        <v>#REF!</v>
      </c>
    </row>
    <row r="124" spans="1:16" s="2" customFormat="1" ht="17.25" customHeight="1" x14ac:dyDescent="0.3">
      <c r="A124" s="97"/>
      <c r="B124" s="97"/>
      <c r="C124" s="97"/>
      <c r="D124" s="97"/>
      <c r="E124" s="98"/>
      <c r="F124" s="65">
        <v>0.5</v>
      </c>
      <c r="G124" s="97"/>
      <c r="H124" s="97"/>
      <c r="I124" s="9"/>
      <c r="J124" s="9"/>
    </row>
    <row r="125" spans="1:16" s="2" customFormat="1" ht="15.75" customHeight="1" x14ac:dyDescent="0.3">
      <c r="A125" s="153" t="s">
        <v>222</v>
      </c>
      <c r="B125" s="153"/>
      <c r="C125" s="153"/>
      <c r="D125" s="153"/>
      <c r="E125" s="153"/>
      <c r="F125" s="153"/>
      <c r="G125" s="153"/>
      <c r="H125" s="153"/>
      <c r="I125" s="9"/>
      <c r="J125" s="9"/>
      <c r="N125" s="2" t="e">
        <f ca="1">O125&amp;""&amp;",..,"&amp;""&amp;P125</f>
        <v>#REF!</v>
      </c>
      <c r="O125" s="2" t="e">
        <f ca="1">(SUMPRODUCT(MID(0&amp;(LEFT(A140,SUM(LEN(A140)-LEN(SUBSTITUTE(A140,{"0","1","2"},""))))), LARGE(INDEX(ISNUMBER(--MID((LEFT(A140,SUM(LEN(A140)-LEN(SUBSTITUTE(A140,{"0","1","2"},""))))), ROW(INDIRECT("1:"&amp;LEN((LEFT(A140,SUM(LEN(A140)-LEN(SUBSTITUTE(A140,{"0","1","2"},"")))))))), 1)) * ROW(INDIRECT("1:"&amp;LEN((LEFT(A140,SUM(LEN(A140)-LEN(SUBSTITUTE(A140,{"0","1","2"},"")))))))), 0), ROW(INDIRECT("1:"&amp;LEN((LEFT(A140,SUM(LEN(A140)-LEN(SUBSTITUTE(A140,{"0","1","2"},"")))))))))+1, 1) * 10^ROW(INDIRECT("1:"&amp;LEN((LEFT(A140,SUM(LEN(A140)-LEN(SUBSTITUTE(A140,{"0","1","2"},""))))))))/10))*100+1</f>
        <v>#REF!</v>
      </c>
      <c r="P125" s="2">
        <f ca="1">(SUMPRODUCT(MID(0&amp;(--TRIM(RIGHT(SUBSTITUTE(LEFT(A140,_xlfn.AGGREGATE(16,6,FIND({0,1,2,3,4,5,6,7,8,9},A140,ROW(INDIRECT("1:"&amp;LEN(A140)))),1))," ",REPT(" ",LEN(A140))),LEN(A140)))), LARGE(INDEX(ISNUMBER(--MID((--TRIM(RIGHT(SUBSTITUTE(LEFT(A140,_xlfn.AGGREGATE(16,6,FIND({0,1,2,3,4,5,6,7,8,9},A140,ROW(INDIRECT("1:"&amp;LEN(A140)))),1))," ",REPT(" ",LEN(A140))),LEN(A140)))), ROW(INDIRECT("1:"&amp;LEN((--TRIM(RIGHT(SUBSTITUTE(LEFT(A140,_xlfn.AGGREGATE(16,6,FIND({0,1,2,3,4,5,6,7,8,9},A140,ROW(INDIRECT("1:"&amp;LEN(A140)))),1))," ",REPT(" ",LEN(A140))),LEN(A140))))))), 1)) * ROW(INDIRECT("1:"&amp;LEN((--TRIM(RIGHT(SUBSTITUTE(LEFT(A140,_xlfn.AGGREGATE(16,6,FIND({0,1,2,3,4,5,6,7,8,9},A140,ROW(INDIRECT("1:"&amp;LEN(A140)))),1))," ",REPT(" ",LEN(A140))),LEN(A140))))))), 0), ROW(INDIRECT("1:"&amp;LEN((--TRIM(RIGHT(SUBSTITUTE(LEFT(A140,_xlfn.AGGREGATE(16,6,FIND({0,1,2,3,4,5,6,7,8,9},A140,ROW(INDIRECT("1:"&amp;LEN(A140)))),1))," ",REPT(" ",LEN(A140))),LEN(A140))))))))+1, 1) * 10^ROW(INDIRECT("1:"&amp;LEN((--TRIM(RIGHT(SUBSTITUTE(LEFT(A140,_xlfn.AGGREGATE(16,6,FIND({0,1,2,3,4,5,6,7,8,9},A140,ROW(INDIRECT("1:"&amp;LEN(A140)))),1))," ",REPT(" ",LEN(A140))),LEN(A140)))))))/10))*100+1</f>
        <v>901</v>
      </c>
    </row>
    <row r="126" spans="1:16" s="2" customFormat="1" ht="15.75" customHeight="1" x14ac:dyDescent="0.3">
      <c r="A126" s="69" t="s">
        <v>237</v>
      </c>
      <c r="B126" s="69"/>
      <c r="C126" s="69"/>
      <c r="D126" s="69"/>
      <c r="E126" s="69"/>
      <c r="F126" s="69"/>
      <c r="G126" s="69"/>
      <c r="H126" s="69"/>
      <c r="I126" s="9"/>
      <c r="J126" s="9"/>
      <c r="N126" s="2" t="e">
        <f ca="1">O126&amp;""&amp;",..,"&amp;""&amp;P126</f>
        <v>#REF!</v>
      </c>
      <c r="O126" s="2" t="e">
        <f t="shared" ref="O126:P126" ca="1" si="6">O125+1</f>
        <v>#REF!</v>
      </c>
      <c r="P126" s="2">
        <f t="shared" ca="1" si="6"/>
        <v>902</v>
      </c>
    </row>
    <row r="127" spans="1:16" s="2" customFormat="1" ht="15.75" customHeight="1" x14ac:dyDescent="0.3">
      <c r="A127" s="69" t="s">
        <v>236</v>
      </c>
      <c r="B127" s="69"/>
      <c r="C127" s="69"/>
      <c r="D127" s="69"/>
      <c r="E127" s="69"/>
      <c r="F127" s="69"/>
      <c r="G127" s="69"/>
      <c r="H127" s="69"/>
      <c r="I127" s="36">
        <f>1</f>
        <v>1</v>
      </c>
      <c r="N127" s="2" t="e">
        <f ca="1">O127&amp;""&amp;",..,"&amp;""&amp;P127</f>
        <v>#REF!</v>
      </c>
      <c r="O127" s="2" t="e">
        <f t="shared" ref="O127:P127" ca="1" si="7">O126+1</f>
        <v>#REF!</v>
      </c>
      <c r="P127" s="2">
        <f t="shared" ca="1" si="7"/>
        <v>903</v>
      </c>
    </row>
    <row r="128" spans="1:16" s="2" customFormat="1" ht="15.75" customHeight="1" x14ac:dyDescent="0.3">
      <c r="A128" s="153" t="s">
        <v>238</v>
      </c>
      <c r="B128" s="153"/>
      <c r="C128" s="153"/>
      <c r="D128" s="153"/>
      <c r="E128" s="153"/>
      <c r="F128" s="153"/>
      <c r="G128" s="153"/>
      <c r="H128" s="153"/>
      <c r="I128" s="50">
        <f>113*F130</f>
        <v>73290.084660000008</v>
      </c>
      <c r="J128" s="2">
        <f>F129/D129</f>
        <v>1.5</v>
      </c>
      <c r="N128" s="2" t="e">
        <f ca="1">O128&amp;""&amp;",..,"&amp;""&amp;P128</f>
        <v>#REF!</v>
      </c>
      <c r="O128" s="2" t="e">
        <f t="shared" ref="O128:P128" ca="1" si="8">O127+1</f>
        <v>#REF!</v>
      </c>
      <c r="P128" s="2">
        <f t="shared" ca="1" si="8"/>
        <v>904</v>
      </c>
    </row>
    <row r="129" spans="1:16" s="2" customFormat="1" ht="15.75" customHeight="1" x14ac:dyDescent="0.3">
      <c r="A129" s="18">
        <v>1</v>
      </c>
      <c r="B129" s="18" t="s">
        <v>188</v>
      </c>
      <c r="C129" s="18" t="s">
        <v>186</v>
      </c>
      <c r="D129" s="18">
        <f>51.86*10.764</f>
        <v>558.22104000000002</v>
      </c>
      <c r="E129" s="18">
        <v>0</v>
      </c>
      <c r="F129" s="18">
        <f>D129*(($F$124)+1)+(IF(E129&lt;101,E129,IF(E129&lt;201,E129/2,IF(E129&lt;=301,E129/3,E129/4))))</f>
        <v>837.33156000000008</v>
      </c>
      <c r="G129" s="78" t="str">
        <f>A128</f>
        <v>5th Floor For Residential</v>
      </c>
      <c r="H129" s="78"/>
      <c r="I129" s="50">
        <f>113*F131</f>
        <v>73290.084660000008</v>
      </c>
      <c r="J129" s="2">
        <f>F130/D130</f>
        <v>1.5</v>
      </c>
      <c r="N129" s="2" t="e">
        <f ca="1">O129&amp;""&amp;",..,"&amp;""&amp;P129</f>
        <v>#REF!</v>
      </c>
      <c r="O129" s="2" t="e">
        <f t="shared" ref="O129:P129" ca="1" si="9">O128+1</f>
        <v>#REF!</v>
      </c>
      <c r="P129" s="2">
        <f t="shared" ca="1" si="9"/>
        <v>905</v>
      </c>
    </row>
    <row r="130" spans="1:16" s="2" customFormat="1" ht="17.25" customHeight="1" x14ac:dyDescent="0.3">
      <c r="A130" s="18">
        <f>A129+1</f>
        <v>2</v>
      </c>
      <c r="B130" s="18" t="s">
        <v>188</v>
      </c>
      <c r="C130" s="18" t="s">
        <v>185</v>
      </c>
      <c r="D130" s="18">
        <f>40.17*10.764</f>
        <v>432.38988000000001</v>
      </c>
      <c r="E130" s="18">
        <v>0</v>
      </c>
      <c r="F130" s="18">
        <f>D130*(($F$124)+1)+(IF(E130&lt;101,E130,IF(E130&lt;201,E130/2,IF(E130&lt;=301,E130/3,E130/4))))</f>
        <v>648.58482000000004</v>
      </c>
      <c r="G130" s="78"/>
      <c r="H130" s="78"/>
      <c r="I130" s="50">
        <f>113*F132</f>
        <v>67086.791459999993</v>
      </c>
      <c r="J130" s="2">
        <f>F131/D131</f>
        <v>1.5</v>
      </c>
    </row>
    <row r="131" spans="1:16" s="2" customFormat="1" ht="15.75" customHeight="1" x14ac:dyDescent="0.3">
      <c r="A131" s="18">
        <f t="shared" ref="A131:A133" si="10">A130+1</f>
        <v>3</v>
      </c>
      <c r="B131" s="18" t="s">
        <v>188</v>
      </c>
      <c r="C131" s="18" t="s">
        <v>185</v>
      </c>
      <c r="D131" s="18">
        <f>40.17*10.764</f>
        <v>432.38988000000001</v>
      </c>
      <c r="E131" s="18">
        <v>0</v>
      </c>
      <c r="F131" s="18">
        <f>D131*(($F$124)+1)+(IF(E131&lt;101,E131,IF(E131&lt;201,E131/2,IF(E131&lt;=301,E131/3,E131/4))))</f>
        <v>648.58482000000004</v>
      </c>
      <c r="G131" s="78"/>
      <c r="H131" s="78"/>
      <c r="I131" s="50">
        <f>113*F133</f>
        <v>60938.233199999995</v>
      </c>
      <c r="J131" s="2">
        <f>F132/D132</f>
        <v>1.4999999999999998</v>
      </c>
      <c r="N131" s="2" t="str">
        <f ca="1">O131&amp;""&amp;",..,"&amp;""&amp;P131</f>
        <v>101201,..,2201</v>
      </c>
      <c r="O131" s="2">
        <f ca="1">(SUMPRODUCT(MID(0&amp;(LEFT(A146,SUM(LEN(A146)-LEN(SUBSTITUTE(A146,{"0","1","2"},""))))), LARGE(INDEX(ISNUMBER(--MID((LEFT(A146,SUM(LEN(A146)-LEN(SUBSTITUTE(A146,{"0","1","2"},""))))), ROW(INDIRECT("1:"&amp;LEN((LEFT(A146,SUM(LEN(A146)-LEN(SUBSTITUTE(A146,{"0","1","2"},"")))))))), 1)) * ROW(INDIRECT("1:"&amp;LEN((LEFT(A146,SUM(LEN(A146)-LEN(SUBSTITUTE(A146,{"0","1","2"},"")))))))), 0), ROW(INDIRECT("1:"&amp;LEN((LEFT(A146,SUM(LEN(A146)-LEN(SUBSTITUTE(A146,{"0","1","2"},"")))))))))+1, 1) * 10^ROW(INDIRECT("1:"&amp;LEN((LEFT(A146,SUM(LEN(A146)-LEN(SUBSTITUTE(A146,{"0","1","2"},""))))))))/10))*100+1</f>
        <v>101201</v>
      </c>
      <c r="P131" s="2">
        <f ca="1">(SUMPRODUCT(MID(0&amp;(--TRIM(RIGHT(SUBSTITUTE(LEFT(A146,_xlfn.AGGREGATE(16,6,FIND({0,1,2,3,4,5,6,7,8,9},A146,ROW(INDIRECT("1:"&amp;LEN(A146)))),1))," ",REPT(" ",LEN(A146))),LEN(A146)))), LARGE(INDEX(ISNUMBER(--MID((--TRIM(RIGHT(SUBSTITUTE(LEFT(A146,_xlfn.AGGREGATE(16,6,FIND({0,1,2,3,4,5,6,7,8,9},A146,ROW(INDIRECT("1:"&amp;LEN(A146)))),1))," ",REPT(" ",LEN(A146))),LEN(A146)))), ROW(INDIRECT("1:"&amp;LEN((--TRIM(RIGHT(SUBSTITUTE(LEFT(A146,_xlfn.AGGREGATE(16,6,FIND({0,1,2,3,4,5,6,7,8,9},A146,ROW(INDIRECT("1:"&amp;LEN(A146)))),1))," ",REPT(" ",LEN(A146))),LEN(A146))))))), 1)) * ROW(INDIRECT("1:"&amp;LEN((--TRIM(RIGHT(SUBSTITUTE(LEFT(A146,_xlfn.AGGREGATE(16,6,FIND({0,1,2,3,4,5,6,7,8,9},A146,ROW(INDIRECT("1:"&amp;LEN(A146)))),1))," ",REPT(" ",LEN(A146))),LEN(A146))))))), 0), ROW(INDIRECT("1:"&amp;LEN((--TRIM(RIGHT(SUBSTITUTE(LEFT(A146,_xlfn.AGGREGATE(16,6,FIND({0,1,2,3,4,5,6,7,8,9},A146,ROW(INDIRECT("1:"&amp;LEN(A146)))),1))," ",REPT(" ",LEN(A146))),LEN(A146))))))))+1, 1) * 10^ROW(INDIRECT("1:"&amp;LEN((--TRIM(RIGHT(SUBSTITUTE(LEFT(A146,_xlfn.AGGREGATE(16,6,FIND({0,1,2,3,4,5,6,7,8,9},A146,ROW(INDIRECT("1:"&amp;LEN(A146)))),1))," ",REPT(" ",LEN(A146))),LEN(A146)))))))/10))*100+1</f>
        <v>2201</v>
      </c>
    </row>
    <row r="132" spans="1:16" s="2" customFormat="1" ht="15.75" customHeight="1" x14ac:dyDescent="0.3">
      <c r="A132" s="18">
        <f t="shared" si="10"/>
        <v>4</v>
      </c>
      <c r="B132" s="18" t="s">
        <v>188</v>
      </c>
      <c r="C132" s="18" t="s">
        <v>185</v>
      </c>
      <c r="D132" s="18">
        <f>36.77*10.764</f>
        <v>395.79228000000001</v>
      </c>
      <c r="E132" s="18">
        <v>0</v>
      </c>
      <c r="F132" s="18">
        <f>D132*(($F$124)+1)+(IF(E132&lt;101,E132,IF(E132&lt;201,E132/2,IF(E132&lt;=301,E132/3,E132/4))))</f>
        <v>593.68841999999995</v>
      </c>
      <c r="G132" s="78"/>
      <c r="H132" s="78"/>
      <c r="I132" s="36">
        <f>1</f>
        <v>1</v>
      </c>
      <c r="N132" s="2" t="str">
        <f ca="1">O132&amp;""&amp;",..,"&amp;""&amp;P132</f>
        <v>101202,..,2202</v>
      </c>
      <c r="O132" s="2">
        <f t="shared" ref="O132:P132" ca="1" si="11">O131+1</f>
        <v>101202</v>
      </c>
      <c r="P132" s="2">
        <f t="shared" ca="1" si="11"/>
        <v>2202</v>
      </c>
    </row>
    <row r="133" spans="1:16" s="2" customFormat="1" ht="15.75" customHeight="1" x14ac:dyDescent="0.3">
      <c r="A133" s="18">
        <f t="shared" si="10"/>
        <v>5</v>
      </c>
      <c r="B133" s="18" t="s">
        <v>188</v>
      </c>
      <c r="C133" s="18" t="s">
        <v>185</v>
      </c>
      <c r="D133" s="18">
        <f>33.4*10.764</f>
        <v>359.51759999999996</v>
      </c>
      <c r="E133" s="18">
        <v>0</v>
      </c>
      <c r="F133" s="18">
        <f>D133*(($F$124)+1)+(IF(E133&lt;101,E133,IF(E133&lt;201,E133/2,IF(E133&lt;=301,E133/3,E133/4))))</f>
        <v>539.27639999999997</v>
      </c>
      <c r="G133" s="78"/>
      <c r="H133" s="78"/>
      <c r="I133" s="50">
        <f>113*F135</f>
        <v>94618.466280000008</v>
      </c>
      <c r="N133" s="2" t="str">
        <f ca="1">O133&amp;""&amp;",..,"&amp;""&amp;P133</f>
        <v>101203,..,2203</v>
      </c>
      <c r="O133" s="2">
        <f t="shared" ref="O133:P133" ca="1" si="12">O132+1</f>
        <v>101203</v>
      </c>
      <c r="P133" s="2">
        <f t="shared" ca="1" si="12"/>
        <v>2203</v>
      </c>
    </row>
    <row r="134" spans="1:16" s="2" customFormat="1" ht="15.75" customHeight="1" x14ac:dyDescent="0.3">
      <c r="A134" s="82" t="s">
        <v>215</v>
      </c>
      <c r="B134" s="83"/>
      <c r="C134" s="83"/>
      <c r="D134" s="83"/>
      <c r="E134" s="83"/>
      <c r="F134" s="83"/>
      <c r="G134" s="83"/>
      <c r="H134" s="84"/>
      <c r="I134" s="50">
        <f>113*F136</f>
        <v>73290.084660000008</v>
      </c>
      <c r="N134" s="2" t="str">
        <f ca="1">O134&amp;""&amp;",..,"&amp;""&amp;P134</f>
        <v>101204,..,2204</v>
      </c>
      <c r="O134" s="2">
        <f t="shared" ref="O134:P134" ca="1" si="13">O133+1</f>
        <v>101204</v>
      </c>
      <c r="P134" s="2">
        <f t="shared" ca="1" si="13"/>
        <v>2204</v>
      </c>
    </row>
    <row r="135" spans="1:16" s="2" customFormat="1" ht="15.75" customHeight="1" x14ac:dyDescent="0.3">
      <c r="A135" s="49">
        <v>1</v>
      </c>
      <c r="B135" s="18" t="s">
        <v>188</v>
      </c>
      <c r="C135" s="18" t="s">
        <v>186</v>
      </c>
      <c r="D135" s="18">
        <f>51.86*10.764</f>
        <v>558.22104000000002</v>
      </c>
      <c r="E135" s="18">
        <v>0</v>
      </c>
      <c r="F135" s="18">
        <f>D135*(($F$124)+1)+(IF(E135&lt;101,E135,IF(E135&lt;201,E135/2,IF(E135&lt;=301,E135/3,E135/4))))</f>
        <v>837.33156000000008</v>
      </c>
      <c r="G135" s="85" t="str">
        <f>A134</f>
        <v>6th Floor For Residential (Part Refuge Area)</v>
      </c>
      <c r="H135" s="86"/>
      <c r="I135" s="50">
        <f>113*F137</f>
        <v>73290.084660000008</v>
      </c>
      <c r="N135" s="2" t="str">
        <f ca="1">O135&amp;""&amp;",..,"&amp;""&amp;P135</f>
        <v>101205,..,2205</v>
      </c>
      <c r="O135" s="2">
        <f t="shared" ref="O135:P135" ca="1" si="14">O134+1</f>
        <v>101205</v>
      </c>
      <c r="P135" s="2">
        <f t="shared" ca="1" si="14"/>
        <v>2205</v>
      </c>
    </row>
    <row r="136" spans="1:16" s="2" customFormat="1" ht="17.25" customHeight="1" x14ac:dyDescent="0.3">
      <c r="A136" s="49">
        <f>A135+1</f>
        <v>2</v>
      </c>
      <c r="B136" s="18" t="s">
        <v>188</v>
      </c>
      <c r="C136" s="18" t="s">
        <v>185</v>
      </c>
      <c r="D136" s="18">
        <f>40.17*10.764</f>
        <v>432.38988000000001</v>
      </c>
      <c r="E136" s="18">
        <v>0</v>
      </c>
      <c r="F136" s="18">
        <f>D136*(($F$124)+1)+(IF(E136&lt;101,E136,IF(E136&lt;201,E136/2,IF(E136&lt;=301,E136/3,E136/4))))</f>
        <v>648.58482000000004</v>
      </c>
      <c r="G136" s="87"/>
      <c r="H136" s="88"/>
      <c r="I136" s="50">
        <f>113*F138</f>
        <v>0</v>
      </c>
    </row>
    <row r="137" spans="1:16" s="2" customFormat="1" ht="15.75" customHeight="1" x14ac:dyDescent="0.3">
      <c r="A137" s="49">
        <f t="shared" ref="A137:A139" si="15">A136+1</f>
        <v>3</v>
      </c>
      <c r="B137" s="18" t="s">
        <v>188</v>
      </c>
      <c r="C137" s="18" t="s">
        <v>185</v>
      </c>
      <c r="D137" s="18">
        <f>40.17*10.764</f>
        <v>432.38988000000001</v>
      </c>
      <c r="E137" s="18">
        <v>0</v>
      </c>
      <c r="F137" s="18">
        <f>D137*(($F$124)+1)+(IF(E137&lt;101,E137,IF(E137&lt;201,E137/2,IF(E137&lt;=301,E137/3,E137/4))))</f>
        <v>648.58482000000004</v>
      </c>
      <c r="G137" s="87"/>
      <c r="H137" s="88"/>
      <c r="I137" s="50">
        <f>113*F139</f>
        <v>0</v>
      </c>
      <c r="N137" s="2" t="str">
        <f ca="1">O137&amp;""&amp;",..,"&amp;""&amp;P137</f>
        <v>1301,..,2701</v>
      </c>
      <c r="O137" s="2">
        <f ca="1">(SUMPRODUCT(MID(0&amp;(LEFT(A152,SUM(LEN(A152)-LEN(SUBSTITUTE(A152,{"0","1","2"},""))))), LARGE(INDEX(ISNUMBER(--MID((LEFT(A152,SUM(LEN(A152)-LEN(SUBSTITUTE(A152,{"0","1","2"},""))))), ROW(INDIRECT("1:"&amp;LEN((LEFT(A152,SUM(LEN(A152)-LEN(SUBSTITUTE(A152,{"0","1","2"},"")))))))), 1)) * ROW(INDIRECT("1:"&amp;LEN((LEFT(A152,SUM(LEN(A152)-LEN(SUBSTITUTE(A152,{"0","1","2"},"")))))))), 0), ROW(INDIRECT("1:"&amp;LEN((LEFT(A152,SUM(LEN(A152)-LEN(SUBSTITUTE(A152,{"0","1","2"},"")))))))))+1, 1) * 10^ROW(INDIRECT("1:"&amp;LEN((LEFT(A152,SUM(LEN(A152)-LEN(SUBSTITUTE(A152,{"0","1","2"},""))))))))/10))*100+1</f>
        <v>1301</v>
      </c>
      <c r="P137" s="2">
        <f ca="1">(SUMPRODUCT(MID(0&amp;(--TRIM(RIGHT(SUBSTITUTE(LEFT(A152,_xlfn.AGGREGATE(16,6,FIND({0,1,2,3,4,5,6,7,8,9},A152,ROW(INDIRECT("1:"&amp;LEN(A152)))),1))," ",REPT(" ",LEN(A152))),LEN(A152)))), LARGE(INDEX(ISNUMBER(--MID((--TRIM(RIGHT(SUBSTITUTE(LEFT(A152,_xlfn.AGGREGATE(16,6,FIND({0,1,2,3,4,5,6,7,8,9},A152,ROW(INDIRECT("1:"&amp;LEN(A152)))),1))," ",REPT(" ",LEN(A152))),LEN(A152)))), ROW(INDIRECT("1:"&amp;LEN((--TRIM(RIGHT(SUBSTITUTE(LEFT(A152,_xlfn.AGGREGATE(16,6,FIND({0,1,2,3,4,5,6,7,8,9},A152,ROW(INDIRECT("1:"&amp;LEN(A152)))),1))," ",REPT(" ",LEN(A152))),LEN(A152))))))), 1)) * ROW(INDIRECT("1:"&amp;LEN((--TRIM(RIGHT(SUBSTITUTE(LEFT(A152,_xlfn.AGGREGATE(16,6,FIND({0,1,2,3,4,5,6,7,8,9},A152,ROW(INDIRECT("1:"&amp;LEN(A152)))),1))," ",REPT(" ",LEN(A152))),LEN(A152))))))), 0), ROW(INDIRECT("1:"&amp;LEN((--TRIM(RIGHT(SUBSTITUTE(LEFT(A152,_xlfn.AGGREGATE(16,6,FIND({0,1,2,3,4,5,6,7,8,9},A152,ROW(INDIRECT("1:"&amp;LEN(A152)))),1))," ",REPT(" ",LEN(A152))),LEN(A152))))))))+1, 1) * 10^ROW(INDIRECT("1:"&amp;LEN((--TRIM(RIGHT(SUBSTITUTE(LEFT(A152,_xlfn.AGGREGATE(16,6,FIND({0,1,2,3,4,5,6,7,8,9},A152,ROW(INDIRECT("1:"&amp;LEN(A152)))),1))," ",REPT(" ",LEN(A152))),LEN(A152)))))))/10))*100+1</f>
        <v>2701</v>
      </c>
    </row>
    <row r="138" spans="1:16" s="2" customFormat="1" ht="15.75" customHeight="1" x14ac:dyDescent="0.3">
      <c r="A138" s="49">
        <f t="shared" si="15"/>
        <v>4</v>
      </c>
      <c r="B138" s="181" t="s">
        <v>214</v>
      </c>
      <c r="C138" s="182"/>
      <c r="D138" s="182"/>
      <c r="E138" s="182"/>
      <c r="F138" s="183"/>
      <c r="G138" s="87"/>
      <c r="H138" s="88"/>
      <c r="I138" s="36">
        <f>3</f>
        <v>3</v>
      </c>
      <c r="N138" s="2" t="str">
        <f ca="1">O138&amp;""&amp;",..,"&amp;""&amp;P138</f>
        <v>1302,..,2702</v>
      </c>
      <c r="O138" s="2">
        <f t="shared" ref="O138:P138" ca="1" si="16">O137+1</f>
        <v>1302</v>
      </c>
      <c r="P138" s="2">
        <f t="shared" ca="1" si="16"/>
        <v>2702</v>
      </c>
    </row>
    <row r="139" spans="1:16" s="2" customFormat="1" ht="15.75" customHeight="1" x14ac:dyDescent="0.3">
      <c r="A139" s="49">
        <f t="shared" si="15"/>
        <v>5</v>
      </c>
      <c r="B139" s="181" t="s">
        <v>214</v>
      </c>
      <c r="C139" s="182"/>
      <c r="D139" s="182"/>
      <c r="E139" s="182"/>
      <c r="F139" s="183"/>
      <c r="G139" s="89"/>
      <c r="H139" s="90"/>
      <c r="I139" s="50">
        <f>113*F141</f>
        <v>94618.466280000008</v>
      </c>
      <c r="N139" s="2" t="str">
        <f ca="1">O139&amp;""&amp;",..,"&amp;""&amp;P139</f>
        <v>1303,..,2703</v>
      </c>
      <c r="O139" s="2">
        <f t="shared" ref="O139:P139" ca="1" si="17">O138+1</f>
        <v>1303</v>
      </c>
      <c r="P139" s="2">
        <f t="shared" ca="1" si="17"/>
        <v>2703</v>
      </c>
    </row>
    <row r="140" spans="1:16" s="2" customFormat="1" ht="15.75" customHeight="1" x14ac:dyDescent="0.3">
      <c r="A140" s="82" t="s">
        <v>216</v>
      </c>
      <c r="B140" s="83"/>
      <c r="C140" s="83"/>
      <c r="D140" s="83"/>
      <c r="E140" s="83"/>
      <c r="F140" s="83"/>
      <c r="G140" s="83"/>
      <c r="H140" s="84"/>
      <c r="I140" s="50">
        <f>113*F142</f>
        <v>73290.084660000008</v>
      </c>
      <c r="N140" s="2" t="str">
        <f ca="1">O140&amp;""&amp;",..,"&amp;""&amp;P140</f>
        <v>1304,..,2704</v>
      </c>
      <c r="O140" s="2">
        <f t="shared" ref="O140:P140" ca="1" si="18">O139+1</f>
        <v>1304</v>
      </c>
      <c r="P140" s="2">
        <f t="shared" ca="1" si="18"/>
        <v>2704</v>
      </c>
    </row>
    <row r="141" spans="1:16" s="2" customFormat="1" ht="15.75" customHeight="1" x14ac:dyDescent="0.3">
      <c r="A141" s="49">
        <v>1</v>
      </c>
      <c r="B141" s="18" t="s">
        <v>188</v>
      </c>
      <c r="C141" s="18" t="s">
        <v>186</v>
      </c>
      <c r="D141" s="18">
        <f>51.86*10.764</f>
        <v>558.22104000000002</v>
      </c>
      <c r="E141" s="18">
        <v>0</v>
      </c>
      <c r="F141" s="18">
        <f>D141*(($F$124)+1)+(IF(E141&lt;101,E141,IF(E141&lt;201,E141/2,IF(E141&lt;=301,E141/3,E141/4))))</f>
        <v>837.33156000000008</v>
      </c>
      <c r="G141" s="85" t="str">
        <f>A140</f>
        <v>7th to 9th Floor</v>
      </c>
      <c r="H141" s="86"/>
      <c r="I141" s="50">
        <f>113*F143</f>
        <v>73290.084660000008</v>
      </c>
      <c r="N141" s="2" t="str">
        <f ca="1">O141&amp;""&amp;",..,"&amp;""&amp;P141</f>
        <v>1305,..,2705</v>
      </c>
      <c r="O141" s="2">
        <f t="shared" ref="O141:P141" ca="1" si="19">O140+1</f>
        <v>1305</v>
      </c>
      <c r="P141" s="2">
        <f t="shared" ca="1" si="19"/>
        <v>2705</v>
      </c>
    </row>
    <row r="142" spans="1:16" s="2" customFormat="1" x14ac:dyDescent="0.3">
      <c r="A142" s="49">
        <f>A141+1</f>
        <v>2</v>
      </c>
      <c r="B142" s="18" t="s">
        <v>188</v>
      </c>
      <c r="C142" s="18" t="s">
        <v>185</v>
      </c>
      <c r="D142" s="18">
        <f>40.17*10.764</f>
        <v>432.38988000000001</v>
      </c>
      <c r="E142" s="18">
        <v>0</v>
      </c>
      <c r="F142" s="18">
        <f>D142*(($F$124)+1)+(IF(E142&lt;101,E142,IF(E142&lt;201,E142/2,IF(E142&lt;=301,E142/3,E142/4))))</f>
        <v>648.58482000000004</v>
      </c>
      <c r="G142" s="87"/>
      <c r="H142" s="88"/>
      <c r="I142" s="50">
        <f>113*F144</f>
        <v>67086.791459999993</v>
      </c>
    </row>
    <row r="143" spans="1:16" s="2" customFormat="1" ht="15.75" customHeight="1" x14ac:dyDescent="0.3">
      <c r="A143" s="49">
        <f t="shared" ref="A143:A145" si="20">A142+1</f>
        <v>3</v>
      </c>
      <c r="B143" s="18" t="s">
        <v>188</v>
      </c>
      <c r="C143" s="18" t="s">
        <v>185</v>
      </c>
      <c r="D143" s="18">
        <f>40.17*10.764</f>
        <v>432.38988000000001</v>
      </c>
      <c r="E143" s="18">
        <v>0</v>
      </c>
      <c r="F143" s="18">
        <f>D143*(($F$124)+1)+(IF(E143&lt;101,E143,IF(E143&lt;201,E143/2,IF(E143&lt;=301,E143/3,E143/4))))</f>
        <v>648.58482000000004</v>
      </c>
      <c r="G143" s="87"/>
      <c r="H143" s="88"/>
      <c r="I143" s="50">
        <f>113*F145</f>
        <v>60938.233199999995</v>
      </c>
      <c r="N143" s="2" t="str">
        <f ca="1">O143&amp;""&amp;",..,"&amp;""&amp;P143</f>
        <v>2301,..,3801</v>
      </c>
      <c r="O143" s="2">
        <f ca="1">(SUMPRODUCT(MID(0&amp;(LEFT(A158,SUM(LEN(A158)-LEN(SUBSTITUTE(A158,{"0","1","2"},""))))), LARGE(INDEX(ISNUMBER(--MID((LEFT(A158,SUM(LEN(A158)-LEN(SUBSTITUTE(A158,{"0","1","2"},""))))), ROW(INDIRECT("1:"&amp;LEN((LEFT(A158,SUM(LEN(A158)-LEN(SUBSTITUTE(A158,{"0","1","2"},"")))))))), 1)) * ROW(INDIRECT("1:"&amp;LEN((LEFT(A158,SUM(LEN(A158)-LEN(SUBSTITUTE(A158,{"0","1","2"},"")))))))), 0), ROW(INDIRECT("1:"&amp;LEN((LEFT(A158,SUM(LEN(A158)-LEN(SUBSTITUTE(A158,{"0","1","2"},"")))))))))+1, 1) * 10^ROW(INDIRECT("1:"&amp;LEN((LEFT(A158,SUM(LEN(A158)-LEN(SUBSTITUTE(A158,{"0","1","2"},""))))))))/10))*100+1</f>
        <v>2301</v>
      </c>
      <c r="P143" s="2">
        <f ca="1">(SUMPRODUCT(MID(0&amp;(--TRIM(RIGHT(SUBSTITUTE(LEFT(A158,_xlfn.AGGREGATE(16,6,FIND({0,1,2,3,4,5,6,7,8,9},A158,ROW(INDIRECT("1:"&amp;LEN(A158)))),1))," ",REPT(" ",LEN(A158))),LEN(A158)))), LARGE(INDEX(ISNUMBER(--MID((--TRIM(RIGHT(SUBSTITUTE(LEFT(A158,_xlfn.AGGREGATE(16,6,FIND({0,1,2,3,4,5,6,7,8,9},A158,ROW(INDIRECT("1:"&amp;LEN(A158)))),1))," ",REPT(" ",LEN(A158))),LEN(A158)))), ROW(INDIRECT("1:"&amp;LEN((--TRIM(RIGHT(SUBSTITUTE(LEFT(A158,_xlfn.AGGREGATE(16,6,FIND({0,1,2,3,4,5,6,7,8,9},A158,ROW(INDIRECT("1:"&amp;LEN(A158)))),1))," ",REPT(" ",LEN(A158))),LEN(A158))))))), 1)) * ROW(INDIRECT("1:"&amp;LEN((--TRIM(RIGHT(SUBSTITUTE(LEFT(A158,_xlfn.AGGREGATE(16,6,FIND({0,1,2,3,4,5,6,7,8,9},A158,ROW(INDIRECT("1:"&amp;LEN(A158)))),1))," ",REPT(" ",LEN(A158))),LEN(A158))))))), 0), ROW(INDIRECT("1:"&amp;LEN((--TRIM(RIGHT(SUBSTITUTE(LEFT(A158,_xlfn.AGGREGATE(16,6,FIND({0,1,2,3,4,5,6,7,8,9},A158,ROW(INDIRECT("1:"&amp;LEN(A158)))),1))," ",REPT(" ",LEN(A158))),LEN(A158))))))))+1, 1) * 10^ROW(INDIRECT("1:"&amp;LEN((--TRIM(RIGHT(SUBSTITUTE(LEFT(A158,_xlfn.AGGREGATE(16,6,FIND({0,1,2,3,4,5,6,7,8,9},A158,ROW(INDIRECT("1:"&amp;LEN(A158)))),1))," ",REPT(" ",LEN(A158))),LEN(A158)))))))/10))*100+1</f>
        <v>3801</v>
      </c>
    </row>
    <row r="144" spans="1:16" s="2" customFormat="1" ht="15.75" customHeight="1" x14ac:dyDescent="0.3">
      <c r="A144" s="49">
        <f t="shared" si="20"/>
        <v>4</v>
      </c>
      <c r="B144" s="18" t="s">
        <v>188</v>
      </c>
      <c r="C144" s="18" t="s">
        <v>185</v>
      </c>
      <c r="D144" s="18">
        <f>36.77*10.764</f>
        <v>395.79228000000001</v>
      </c>
      <c r="E144" s="18">
        <v>0</v>
      </c>
      <c r="F144" s="18">
        <f>D144*(($F$124)+1)+(IF(E144&lt;101,E144,IF(E144&lt;201,E144/2,IF(E144&lt;=301,E144/3,E144/4))))</f>
        <v>593.68841999999995</v>
      </c>
      <c r="G144" s="87"/>
      <c r="H144" s="88"/>
      <c r="I144" s="36">
        <f>3+6+2</f>
        <v>11</v>
      </c>
      <c r="N144" s="2" t="str">
        <f ca="1">O144&amp;""&amp;",..,"&amp;""&amp;P144</f>
        <v>2302,..,3802</v>
      </c>
      <c r="O144" s="2">
        <f t="shared" ref="O144:P144" ca="1" si="21">O143+1</f>
        <v>2302</v>
      </c>
      <c r="P144" s="2">
        <f t="shared" ca="1" si="21"/>
        <v>3802</v>
      </c>
    </row>
    <row r="145" spans="1:16" s="2" customFormat="1" ht="15.75" customHeight="1" x14ac:dyDescent="0.3">
      <c r="A145" s="49">
        <f t="shared" si="20"/>
        <v>5</v>
      </c>
      <c r="B145" s="18" t="s">
        <v>188</v>
      </c>
      <c r="C145" s="18" t="s">
        <v>185</v>
      </c>
      <c r="D145" s="18">
        <f>33.4*10.764</f>
        <v>359.51759999999996</v>
      </c>
      <c r="E145" s="18">
        <v>0</v>
      </c>
      <c r="F145" s="18">
        <f>D145*(($F$124)+1)+(IF(E145&lt;101,E145,IF(E145&lt;201,E145/2,IF(E145&lt;=301,E145/3,E145/4))))</f>
        <v>539.27639999999997</v>
      </c>
      <c r="G145" s="89"/>
      <c r="H145" s="90"/>
      <c r="I145" s="50">
        <f>113*F147</f>
        <v>94618.466280000008</v>
      </c>
      <c r="N145" s="2" t="str">
        <f ca="1">O145&amp;""&amp;",..,"&amp;""&amp;P145</f>
        <v>2303,..,3803</v>
      </c>
      <c r="O145" s="2">
        <f t="shared" ref="O145:P145" ca="1" si="22">O144+1</f>
        <v>2303</v>
      </c>
      <c r="P145" s="2">
        <f t="shared" ca="1" si="22"/>
        <v>3803</v>
      </c>
    </row>
    <row r="146" spans="1:16" s="2" customFormat="1" ht="15.75" customHeight="1" x14ac:dyDescent="0.3">
      <c r="A146" s="82" t="s">
        <v>239</v>
      </c>
      <c r="B146" s="83"/>
      <c r="C146" s="83"/>
      <c r="D146" s="83"/>
      <c r="E146" s="83"/>
      <c r="F146" s="83"/>
      <c r="G146" s="83"/>
      <c r="H146" s="84"/>
      <c r="I146" s="50">
        <f>113*F148</f>
        <v>73290.084660000008</v>
      </c>
      <c r="N146" s="2" t="str">
        <f ca="1">O146&amp;""&amp;",..,"&amp;""&amp;P146</f>
        <v>2304,..,3804</v>
      </c>
      <c r="O146" s="2">
        <f t="shared" ref="O146:P146" ca="1" si="23">O145+1</f>
        <v>2304</v>
      </c>
      <c r="P146" s="2">
        <f t="shared" ca="1" si="23"/>
        <v>3804</v>
      </c>
    </row>
    <row r="147" spans="1:16" s="2" customFormat="1" ht="15.75" customHeight="1" x14ac:dyDescent="0.3">
      <c r="A147" s="49">
        <v>1</v>
      </c>
      <c r="B147" s="18" t="s">
        <v>188</v>
      </c>
      <c r="C147" s="18" t="s">
        <v>186</v>
      </c>
      <c r="D147" s="18">
        <f>51.86*10.764</f>
        <v>558.22104000000002</v>
      </c>
      <c r="E147" s="18">
        <v>0</v>
      </c>
      <c r="F147" s="18">
        <f>D147*(($F$124)+1)+(IF(E147&lt;101,E147,IF(E147&lt;201,E147/2,IF(E147&lt;=301,E147/3,E147/4))))</f>
        <v>837.33156000000008</v>
      </c>
      <c r="G147" s="85" t="str">
        <f>A146</f>
        <v>10th to 12th, 14th to 19th, 21st &amp; 22nd Floor</v>
      </c>
      <c r="H147" s="86"/>
      <c r="I147" s="50">
        <f>113*F149</f>
        <v>73290.084660000008</v>
      </c>
      <c r="N147" s="2" t="str">
        <f ca="1">O147&amp;""&amp;",..,"&amp;""&amp;P147</f>
        <v>2305,..,3805</v>
      </c>
      <c r="O147" s="2">
        <f t="shared" ref="O147:P147" ca="1" si="24">O146+1</f>
        <v>2305</v>
      </c>
      <c r="P147" s="2">
        <f t="shared" ca="1" si="24"/>
        <v>3805</v>
      </c>
    </row>
    <row r="148" spans="1:16" s="2" customFormat="1" ht="17.25" customHeight="1" x14ac:dyDescent="0.3">
      <c r="A148" s="49">
        <f>A147+1</f>
        <v>2</v>
      </c>
      <c r="B148" s="18" t="s">
        <v>188</v>
      </c>
      <c r="C148" s="18" t="s">
        <v>185</v>
      </c>
      <c r="D148" s="18">
        <f>40.17*10.764</f>
        <v>432.38988000000001</v>
      </c>
      <c r="E148" s="18">
        <v>0</v>
      </c>
      <c r="F148" s="18">
        <f>D148*(($F$124)+1)+(IF(E148&lt;101,E148,IF(E148&lt;201,E148/2,IF(E148&lt;=301,E148/3,E148/4))))</f>
        <v>648.58482000000004</v>
      </c>
      <c r="G148" s="87"/>
      <c r="H148" s="88"/>
      <c r="I148" s="50">
        <f>113*F150</f>
        <v>67086.791459999993</v>
      </c>
    </row>
    <row r="149" spans="1:16" s="2" customFormat="1" ht="15.75" customHeight="1" x14ac:dyDescent="0.3">
      <c r="A149" s="49">
        <f t="shared" ref="A149:A151" si="25">A148+1</f>
        <v>3</v>
      </c>
      <c r="B149" s="18" t="s">
        <v>188</v>
      </c>
      <c r="C149" s="18" t="s">
        <v>185</v>
      </c>
      <c r="D149" s="18">
        <f>40.17*10.764</f>
        <v>432.38988000000001</v>
      </c>
      <c r="E149" s="18">
        <v>0</v>
      </c>
      <c r="F149" s="18">
        <f>D149*(($F$124)+1)+(IF(E149&lt;101,E149,IF(E149&lt;201,E149/2,IF(E149&lt;=301,E149/3,E149/4))))</f>
        <v>648.58482000000004</v>
      </c>
      <c r="G149" s="87"/>
      <c r="H149" s="88"/>
      <c r="I149" s="50">
        <f>113*F151</f>
        <v>60938.233199999995</v>
      </c>
      <c r="N149" s="2" t="e">
        <f ca="1">O149&amp;""&amp;",..,"&amp;""&amp;P149</f>
        <v>#REF!</v>
      </c>
      <c r="O149" s="2" t="e">
        <f ca="1">(SUMPRODUCT(MID(0&amp;(LEFT(A164,SUM(LEN(A164)-LEN(SUBSTITUTE(A164,{"0","1","2"},""))))), LARGE(INDEX(ISNUMBER(--MID((LEFT(A164,SUM(LEN(A164)-LEN(SUBSTITUTE(A164,{"0","1","2"},""))))), ROW(INDIRECT("1:"&amp;LEN((LEFT(A164,SUM(LEN(A164)-LEN(SUBSTITUTE(A164,{"0","1","2"},"")))))))), 1)) * ROW(INDIRECT("1:"&amp;LEN((LEFT(A164,SUM(LEN(A164)-LEN(SUBSTITUTE(A164,{"0","1","2"},"")))))))), 0), ROW(INDIRECT("1:"&amp;LEN((LEFT(A164,SUM(LEN(A164)-LEN(SUBSTITUTE(A164,{"0","1","2"},"")))))))))+1, 1) * 10^ROW(INDIRECT("1:"&amp;LEN((LEFT(A164,SUM(LEN(A164)-LEN(SUBSTITUTE(A164,{"0","1","2"},""))))))))/10))*100+1</f>
        <v>#REF!</v>
      </c>
      <c r="P149" s="2">
        <f ca="1">(SUMPRODUCT(MID(0&amp;(--TRIM(RIGHT(SUBSTITUTE(LEFT(A164,_xlfn.AGGREGATE(16,6,FIND({0,1,2,3,4,5,6,7,8,9},A164,ROW(INDIRECT("1:"&amp;LEN(A164)))),1))," ",REPT(" ",LEN(A164))),LEN(A164)))), LARGE(INDEX(ISNUMBER(--MID((--TRIM(RIGHT(SUBSTITUTE(LEFT(A164,_xlfn.AGGREGATE(16,6,FIND({0,1,2,3,4,5,6,7,8,9},A164,ROW(INDIRECT("1:"&amp;LEN(A164)))),1))," ",REPT(" ",LEN(A164))),LEN(A164)))), ROW(INDIRECT("1:"&amp;LEN((--TRIM(RIGHT(SUBSTITUTE(LEFT(A164,_xlfn.AGGREGATE(16,6,FIND({0,1,2,3,4,5,6,7,8,9},A164,ROW(INDIRECT("1:"&amp;LEN(A164)))),1))," ",REPT(" ",LEN(A164))),LEN(A164))))))), 1)) * ROW(INDIRECT("1:"&amp;LEN((--TRIM(RIGHT(SUBSTITUTE(LEFT(A164,_xlfn.AGGREGATE(16,6,FIND({0,1,2,3,4,5,6,7,8,9},A164,ROW(INDIRECT("1:"&amp;LEN(A164)))),1))," ",REPT(" ",LEN(A164))),LEN(A164))))))), 0), ROW(INDIRECT("1:"&amp;LEN((--TRIM(RIGHT(SUBSTITUTE(LEFT(A164,_xlfn.AGGREGATE(16,6,FIND({0,1,2,3,4,5,6,7,8,9},A164,ROW(INDIRECT("1:"&amp;LEN(A164)))),1))," ",REPT(" ",LEN(A164))),LEN(A164))))))))+1, 1) * 10^ROW(INDIRECT("1:"&amp;LEN((--TRIM(RIGHT(SUBSTITUTE(LEFT(A164,_xlfn.AGGREGATE(16,6,FIND({0,1,2,3,4,5,6,7,8,9},A164,ROW(INDIRECT("1:"&amp;LEN(A164)))),1))," ",REPT(" ",LEN(A164))),LEN(A164)))))))/10))*100+1</f>
        <v>3401</v>
      </c>
    </row>
    <row r="150" spans="1:16" s="2" customFormat="1" ht="15.75" customHeight="1" x14ac:dyDescent="0.3">
      <c r="A150" s="49">
        <f t="shared" si="25"/>
        <v>4</v>
      </c>
      <c r="B150" s="18" t="s">
        <v>188</v>
      </c>
      <c r="C150" s="18" t="s">
        <v>185</v>
      </c>
      <c r="D150" s="18">
        <f>36.77*10.764</f>
        <v>395.79228000000001</v>
      </c>
      <c r="E150" s="18">
        <v>0</v>
      </c>
      <c r="F150" s="18">
        <f>D150*(($F$124)+1)+(IF(E150&lt;101,E150,IF(E150&lt;201,E150/2,IF(E150&lt;=301,E150/3,E150/4))))</f>
        <v>593.68841999999995</v>
      </c>
      <c r="G150" s="87"/>
      <c r="H150" s="88"/>
      <c r="I150" s="36">
        <f>3</f>
        <v>3</v>
      </c>
      <c r="N150" s="2" t="e">
        <f ca="1">O150&amp;""&amp;",..,"&amp;""&amp;P150</f>
        <v>#REF!</v>
      </c>
      <c r="O150" s="2" t="e">
        <f t="shared" ref="O150:P150" ca="1" si="26">O149+1</f>
        <v>#REF!</v>
      </c>
      <c r="P150" s="2">
        <f t="shared" ca="1" si="26"/>
        <v>3402</v>
      </c>
    </row>
    <row r="151" spans="1:16" s="2" customFormat="1" ht="15.75" customHeight="1" x14ac:dyDescent="0.3">
      <c r="A151" s="49">
        <f t="shared" si="25"/>
        <v>5</v>
      </c>
      <c r="B151" s="18" t="s">
        <v>188</v>
      </c>
      <c r="C151" s="18" t="s">
        <v>185</v>
      </c>
      <c r="D151" s="18">
        <f>33.4*10.764</f>
        <v>359.51759999999996</v>
      </c>
      <c r="E151" s="18">
        <v>0</v>
      </c>
      <c r="F151" s="18">
        <f>D151*(($F$124)+1)+(IF(E151&lt;101,E151,IF(E151&lt;201,E151/2,IF(E151&lt;=301,E151/3,E151/4))))</f>
        <v>539.27639999999997</v>
      </c>
      <c r="G151" s="89"/>
      <c r="H151" s="90"/>
      <c r="I151" s="50">
        <f>113*F153</f>
        <v>94618.466280000008</v>
      </c>
      <c r="N151" s="2" t="e">
        <f ca="1">O151&amp;""&amp;",..,"&amp;""&amp;P151</f>
        <v>#REF!</v>
      </c>
      <c r="O151" s="2" t="e">
        <f t="shared" ref="O151:P151" ca="1" si="27">O150+1</f>
        <v>#REF!</v>
      </c>
      <c r="P151" s="2">
        <f t="shared" ca="1" si="27"/>
        <v>3403</v>
      </c>
    </row>
    <row r="152" spans="1:16" s="2" customFormat="1" x14ac:dyDescent="0.3">
      <c r="A152" s="82" t="s">
        <v>217</v>
      </c>
      <c r="B152" s="83"/>
      <c r="C152" s="83"/>
      <c r="D152" s="83"/>
      <c r="E152" s="83"/>
      <c r="F152" s="83"/>
      <c r="G152" s="83"/>
      <c r="H152" s="84"/>
      <c r="I152" s="50">
        <f>113*F154</f>
        <v>73290.084660000008</v>
      </c>
      <c r="N152" s="2" t="e">
        <f ca="1">O152&amp;""&amp;",..,"&amp;""&amp;P152</f>
        <v>#REF!</v>
      </c>
      <c r="O152" s="2" t="e">
        <f t="shared" ref="O152:P152" ca="1" si="28">O151+1</f>
        <v>#REF!</v>
      </c>
      <c r="P152" s="2">
        <f t="shared" ca="1" si="28"/>
        <v>3404</v>
      </c>
    </row>
    <row r="153" spans="1:16" s="2" customFormat="1" ht="15.75" customHeight="1" x14ac:dyDescent="0.3">
      <c r="A153" s="49">
        <v>1</v>
      </c>
      <c r="B153" s="18" t="s">
        <v>188</v>
      </c>
      <c r="C153" s="18" t="s">
        <v>186</v>
      </c>
      <c r="D153" s="18">
        <f>51.86*10.764</f>
        <v>558.22104000000002</v>
      </c>
      <c r="E153" s="18">
        <v>0</v>
      </c>
      <c r="F153" s="18">
        <f>D153*(($F$124)+1)+(IF(E153&lt;101,E153,IF(E153&lt;201,E153/2,IF(E153&lt;=301,E153/3,E153/4))))</f>
        <v>837.33156000000008</v>
      </c>
      <c r="G153" s="85" t="str">
        <f>A152</f>
        <v>13th, 20th &amp; 27th Floor For Residential (Part Refuge Area)</v>
      </c>
      <c r="H153" s="86"/>
      <c r="I153" s="50">
        <f>113*F155</f>
        <v>73290.084660000008</v>
      </c>
      <c r="N153" s="2" t="e">
        <f ca="1">O153&amp;""&amp;",..,"&amp;""&amp;P153</f>
        <v>#REF!</v>
      </c>
      <c r="O153" s="2" t="e">
        <f t="shared" ref="O153:P153" ca="1" si="29">O152+1</f>
        <v>#REF!</v>
      </c>
      <c r="P153" s="2">
        <f t="shared" ca="1" si="29"/>
        <v>3405</v>
      </c>
    </row>
    <row r="154" spans="1:16" s="2" customFormat="1" ht="15.75" customHeight="1" x14ac:dyDescent="0.3">
      <c r="A154" s="49">
        <f>A153+1</f>
        <v>2</v>
      </c>
      <c r="B154" s="18" t="s">
        <v>188</v>
      </c>
      <c r="C154" s="18" t="s">
        <v>185</v>
      </c>
      <c r="D154" s="18">
        <f>40.17*10.764</f>
        <v>432.38988000000001</v>
      </c>
      <c r="E154" s="18">
        <v>0</v>
      </c>
      <c r="F154" s="18">
        <f>D154*(($F$124)+1)+(IF(E154&lt;101,E154,IF(E154&lt;201,E154/2,IF(E154&lt;=301,E154/3,E154/4))))</f>
        <v>648.58482000000004</v>
      </c>
      <c r="G154" s="87"/>
      <c r="H154" s="88"/>
      <c r="I154" s="50">
        <f>113*F156</f>
        <v>0</v>
      </c>
    </row>
    <row r="155" spans="1:16" s="2" customFormat="1" ht="17.25" customHeight="1" x14ac:dyDescent="0.3">
      <c r="A155" s="49">
        <f t="shared" ref="A155:A157" si="30">A154+1</f>
        <v>3</v>
      </c>
      <c r="B155" s="18" t="s">
        <v>188</v>
      </c>
      <c r="C155" s="18" t="s">
        <v>185</v>
      </c>
      <c r="D155" s="18">
        <f>40.17*10.764</f>
        <v>432.38988000000001</v>
      </c>
      <c r="E155" s="18">
        <v>0</v>
      </c>
      <c r="F155" s="18">
        <f>D155*(($F$124)+1)+(IF(E155&lt;101,E155,IF(E155&lt;201,E155/2,IF(E155&lt;=301,E155/3,E155/4))))</f>
        <v>648.58482000000004</v>
      </c>
      <c r="G155" s="87"/>
      <c r="H155" s="88"/>
      <c r="I155" s="50" t="e">
        <f>113*#REF!</f>
        <v>#REF!</v>
      </c>
    </row>
    <row r="156" spans="1:16" s="2" customFormat="1" ht="15.75" customHeight="1" x14ac:dyDescent="0.3">
      <c r="A156" s="49">
        <f t="shared" si="30"/>
        <v>4</v>
      </c>
      <c r="B156" s="181" t="s">
        <v>214</v>
      </c>
      <c r="C156" s="182"/>
      <c r="D156" s="182"/>
      <c r="E156" s="182"/>
      <c r="F156" s="183"/>
      <c r="G156" s="87"/>
      <c r="H156" s="88"/>
      <c r="I156" s="36">
        <f>4+6+4</f>
        <v>14</v>
      </c>
      <c r="N156" s="2" t="e">
        <f t="shared" ref="N156:N161" ca="1" si="31">O156&amp;""&amp;",..,"&amp;""&amp;P156</f>
        <v>#REF!</v>
      </c>
      <c r="O156" s="2" t="e">
        <f ca="1">(SUMPRODUCT(MID(0&amp;(LEFT(#REF!,SUM(LEN(#REF!)-LEN(SUBSTITUTE(#REF!,{"0","1","2"},""))))), LARGE(INDEX(ISNUMBER(--MID((LEFT(#REF!,SUM(LEN(#REF!)-LEN(SUBSTITUTE(#REF!,{"0","1","2"},""))))), ROW(INDIRECT("1:"&amp;LEN((LEFT(#REF!,SUM(LEN(#REF!)-LEN(SUBSTITUTE(#REF!,{"0","1","2"},"")))))))), 1)) * ROW(INDIRECT("1:"&amp;LEN((LEFT(#REF!,SUM(LEN(#REF!)-LEN(SUBSTITUTE(#REF!,{"0","1","2"},"")))))))), 0), ROW(INDIRECT("1:"&amp;LEN((LEFT(#REF!,SUM(LEN(#REF!)-LEN(SUBSTITUTE(#REF!,{"0","1","2"},"")))))))))+1, 1) * 10^ROW(INDIRECT("1:"&amp;LEN((LEFT(#REF!,SUM(LEN(#REF!)-LEN(SUBSTITUTE(#REF!,{"0","1","2"},""))))))))/10))*100+1</f>
        <v>#REF!</v>
      </c>
      <c r="P156" s="2" t="e">
        <f ca="1">(SUMPRODUCT(MID(0&amp;(--TRIM(RIGHT(SUBSTITUTE(LEFT(#REF!,_xlfn.AGGREGATE(16,6,FIND({0,1,2,3,4,5,6,7,8,9},#REF!,ROW(INDIRECT("1:"&amp;LEN(#REF!)))),1))," ",REPT(" ",LEN(#REF!))),LEN(#REF!)))), LARGE(INDEX(ISNUMBER(--MID((--TRIM(RIGHT(SUBSTITUTE(LEFT(#REF!,_xlfn.AGGREGATE(16,6,FIND({0,1,2,3,4,5,6,7,8,9},#REF!,ROW(INDIRECT("1:"&amp;LEN(#REF!)))),1))," ",REPT(" ",LEN(#REF!))),LEN(#REF!)))), ROW(INDIRECT("1:"&amp;LEN((--TRIM(RIGHT(SUBSTITUTE(LEFT(#REF!,_xlfn.AGGREGATE(16,6,FIND({0,1,2,3,4,5,6,7,8,9},#REF!,ROW(INDIRECT("1:"&amp;LEN(#REF!)))),1))," ",REPT(" ",LEN(#REF!))),LEN(#REF!))))))), 1)) * ROW(INDIRECT("1:"&amp;LEN((--TRIM(RIGHT(SUBSTITUTE(LEFT(#REF!,_xlfn.AGGREGATE(16,6,FIND({0,1,2,3,4,5,6,7,8,9},#REF!,ROW(INDIRECT("1:"&amp;LEN(#REF!)))),1))," ",REPT(" ",LEN(#REF!))),LEN(#REF!))))))), 0), ROW(INDIRECT("1:"&amp;LEN((--TRIM(RIGHT(SUBSTITUTE(LEFT(#REF!,_xlfn.AGGREGATE(16,6,FIND({0,1,2,3,4,5,6,7,8,9},#REF!,ROW(INDIRECT("1:"&amp;LEN(#REF!)))),1))," ",REPT(" ",LEN(#REF!))),LEN(#REF!))))))))+1, 1) * 10^ROW(INDIRECT("1:"&amp;LEN((--TRIM(RIGHT(SUBSTITUTE(LEFT(#REF!,_xlfn.AGGREGATE(16,6,FIND({0,1,2,3,4,5,6,7,8,9},#REF!,ROW(INDIRECT("1:"&amp;LEN(#REF!)))),1))," ",REPT(" ",LEN(#REF!))),LEN(#REF!)))))))/10))*100+1</f>
        <v>#REF!</v>
      </c>
    </row>
    <row r="157" spans="1:16" s="2" customFormat="1" ht="15.75" customHeight="1" x14ac:dyDescent="0.3">
      <c r="A157" s="49">
        <f t="shared" si="30"/>
        <v>5</v>
      </c>
      <c r="B157" s="181" t="s">
        <v>214</v>
      </c>
      <c r="C157" s="182"/>
      <c r="D157" s="182"/>
      <c r="E157" s="182"/>
      <c r="F157" s="183"/>
      <c r="G157" s="89"/>
      <c r="H157" s="90"/>
      <c r="I157" s="50">
        <f>113*F159</f>
        <v>94618.466280000008</v>
      </c>
      <c r="N157" s="2" t="e">
        <f t="shared" ca="1" si="31"/>
        <v>#REF!</v>
      </c>
      <c r="O157" s="2" t="e">
        <f t="shared" ref="O157:P157" ca="1" si="32">O156+1</f>
        <v>#REF!</v>
      </c>
      <c r="P157" s="2" t="e">
        <f t="shared" ca="1" si="32"/>
        <v>#REF!</v>
      </c>
    </row>
    <row r="158" spans="1:16" s="2" customFormat="1" ht="15.75" customHeight="1" x14ac:dyDescent="0.3">
      <c r="A158" s="82" t="s">
        <v>218</v>
      </c>
      <c r="B158" s="83"/>
      <c r="C158" s="83"/>
      <c r="D158" s="83"/>
      <c r="E158" s="83"/>
      <c r="F158" s="83"/>
      <c r="G158" s="83"/>
      <c r="H158" s="84"/>
      <c r="I158" s="50">
        <f>113*F160</f>
        <v>73290.084660000008</v>
      </c>
      <c r="N158" s="2" t="e">
        <f t="shared" ca="1" si="31"/>
        <v>#REF!</v>
      </c>
      <c r="O158" s="2" t="e">
        <f t="shared" ref="O158:P158" ca="1" si="33">O157+1</f>
        <v>#REF!</v>
      </c>
      <c r="P158" s="2" t="e">
        <f t="shared" ca="1" si="33"/>
        <v>#REF!</v>
      </c>
    </row>
    <row r="159" spans="1:16" s="2" customFormat="1" ht="15.75" customHeight="1" x14ac:dyDescent="0.3">
      <c r="A159" s="49">
        <v>1</v>
      </c>
      <c r="B159" s="18" t="s">
        <v>188</v>
      </c>
      <c r="C159" s="18" t="s">
        <v>186</v>
      </c>
      <c r="D159" s="18">
        <f>51.86*10.764</f>
        <v>558.22104000000002</v>
      </c>
      <c r="E159" s="18">
        <v>0</v>
      </c>
      <c r="F159" s="18">
        <f>D159*(($F$124)+1)+(IF(E159&lt;101,E159,IF(E159&lt;201,E159/2,IF(E159&lt;=301,E159/3,E159/4))))</f>
        <v>837.33156000000008</v>
      </c>
      <c r="G159" s="85" t="str">
        <f>A158</f>
        <v>23rd to 26th, 28th to 33rd, 35th to 38th Floor</v>
      </c>
      <c r="H159" s="86"/>
      <c r="I159" s="50">
        <f>113*F161</f>
        <v>73290.084660000008</v>
      </c>
      <c r="N159" s="2" t="e">
        <f t="shared" ca="1" si="31"/>
        <v>#REF!</v>
      </c>
      <c r="O159" s="2" t="e">
        <f t="shared" ref="O159:P159" ca="1" si="34">O158+1</f>
        <v>#REF!</v>
      </c>
      <c r="P159" s="2" t="e">
        <f t="shared" ca="1" si="34"/>
        <v>#REF!</v>
      </c>
    </row>
    <row r="160" spans="1:16" s="2" customFormat="1" ht="15.75" customHeight="1" x14ac:dyDescent="0.3">
      <c r="A160" s="49">
        <f>A159+1</f>
        <v>2</v>
      </c>
      <c r="B160" s="18" t="s">
        <v>188</v>
      </c>
      <c r="C160" s="18" t="s">
        <v>185</v>
      </c>
      <c r="D160" s="18">
        <f>40.17*10.764</f>
        <v>432.38988000000001</v>
      </c>
      <c r="E160" s="18">
        <v>0</v>
      </c>
      <c r="F160" s="18">
        <f>D160*(($F$124)+1)+(IF(E160&lt;101,E160,IF(E160&lt;201,E160/2,IF(E160&lt;=301,E160/3,E160/4))))</f>
        <v>648.58482000000004</v>
      </c>
      <c r="G160" s="87"/>
      <c r="H160" s="88"/>
      <c r="I160" s="50">
        <f>113*F162</f>
        <v>67086.791459999993</v>
      </c>
      <c r="N160" s="2" t="e">
        <f t="shared" ca="1" si="31"/>
        <v>#REF!</v>
      </c>
      <c r="O160" s="2" t="e">
        <f t="shared" ref="O160:P161" ca="1" si="35">O159+1</f>
        <v>#REF!</v>
      </c>
      <c r="P160" s="2" t="e">
        <f t="shared" ca="1" si="35"/>
        <v>#REF!</v>
      </c>
    </row>
    <row r="161" spans="1:16" s="2" customFormat="1" ht="15.75" customHeight="1" x14ac:dyDescent="0.3">
      <c r="A161" s="49">
        <f t="shared" ref="A161:A163" si="36">A160+1</f>
        <v>3</v>
      </c>
      <c r="B161" s="18" t="s">
        <v>188</v>
      </c>
      <c r="C161" s="18" t="s">
        <v>185</v>
      </c>
      <c r="D161" s="18">
        <f>40.17*10.764</f>
        <v>432.38988000000001</v>
      </c>
      <c r="E161" s="18">
        <v>0</v>
      </c>
      <c r="F161" s="18">
        <f>D161*(($F$124)+1)+(IF(E161&lt;101,E161,IF(E161&lt;201,E161/2,IF(E161&lt;=301,E161/3,E161/4))))</f>
        <v>648.58482000000004</v>
      </c>
      <c r="G161" s="87"/>
      <c r="H161" s="88"/>
      <c r="I161" s="50">
        <f>113*F163</f>
        <v>60938.233199999995</v>
      </c>
      <c r="N161" s="2" t="e">
        <f t="shared" ca="1" si="31"/>
        <v>#REF!</v>
      </c>
      <c r="O161" s="2" t="e">
        <f t="shared" ca="1" si="35"/>
        <v>#REF!</v>
      </c>
      <c r="P161" s="2" t="e">
        <f t="shared" ca="1" si="35"/>
        <v>#REF!</v>
      </c>
    </row>
    <row r="162" spans="1:16" s="2" customFormat="1" ht="17.25" customHeight="1" x14ac:dyDescent="0.3">
      <c r="A162" s="49">
        <f t="shared" si="36"/>
        <v>4</v>
      </c>
      <c r="B162" s="18" t="s">
        <v>188</v>
      </c>
      <c r="C162" s="18" t="s">
        <v>185</v>
      </c>
      <c r="D162" s="18">
        <f>36.77*10.764</f>
        <v>395.79228000000001</v>
      </c>
      <c r="E162" s="18">
        <v>0</v>
      </c>
      <c r="F162" s="18">
        <f>D162*(($F$124)+1)+(IF(E162&lt;101,E162,IF(E162&lt;201,E162/2,IF(E162&lt;=301,E162/3,E162/4))))</f>
        <v>593.68841999999995</v>
      </c>
      <c r="G162" s="87"/>
      <c r="H162" s="88"/>
      <c r="I162" s="36">
        <f>1</f>
        <v>1</v>
      </c>
    </row>
    <row r="163" spans="1:16" s="2" customFormat="1" ht="15.75" customHeight="1" x14ac:dyDescent="0.3">
      <c r="A163" s="49">
        <f t="shared" si="36"/>
        <v>5</v>
      </c>
      <c r="B163" s="18" t="s">
        <v>188</v>
      </c>
      <c r="C163" s="18" t="s">
        <v>185</v>
      </c>
      <c r="D163" s="18">
        <f>33.4*10.764</f>
        <v>359.51759999999996</v>
      </c>
      <c r="E163" s="18">
        <v>0</v>
      </c>
      <c r="F163" s="18">
        <f>D163*(($F$124)+1)+(IF(E163&lt;101,E163,IF(E163&lt;201,E163/2,IF(E163&lt;=301,E163/3,E163/4))))</f>
        <v>539.27639999999997</v>
      </c>
      <c r="G163" s="89"/>
      <c r="H163" s="90"/>
      <c r="I163" s="50">
        <f>113*F165</f>
        <v>94618.466280000008</v>
      </c>
      <c r="N163" s="2" t="e">
        <f t="shared" ref="N163:N168" ca="1" si="37">O163&amp;""&amp;",..,"&amp;""&amp;P163</f>
        <v>#REF!</v>
      </c>
      <c r="O163" s="2" t="e">
        <f ca="1">(SUMPRODUCT(MID(0&amp;(LEFT(#REF!,SUM(LEN(#REF!)-LEN(SUBSTITUTE(#REF!,{"0","1","2"},""))))), LARGE(INDEX(ISNUMBER(--MID((LEFT(#REF!,SUM(LEN(#REF!)-LEN(SUBSTITUTE(#REF!,{"0","1","2"},""))))), ROW(INDIRECT("1:"&amp;LEN((LEFT(#REF!,SUM(LEN(#REF!)-LEN(SUBSTITUTE(#REF!,{"0","1","2"},"")))))))), 1)) * ROW(INDIRECT("1:"&amp;LEN((LEFT(#REF!,SUM(LEN(#REF!)-LEN(SUBSTITUTE(#REF!,{"0","1","2"},"")))))))), 0), ROW(INDIRECT("1:"&amp;LEN((LEFT(#REF!,SUM(LEN(#REF!)-LEN(SUBSTITUTE(#REF!,{"0","1","2"},"")))))))))+1, 1) * 10^ROW(INDIRECT("1:"&amp;LEN((LEFT(#REF!,SUM(LEN(#REF!)-LEN(SUBSTITUTE(#REF!,{"0","1","2"},""))))))))/10))*100+1</f>
        <v>#REF!</v>
      </c>
      <c r="P163" s="2" t="e">
        <f ca="1">(SUMPRODUCT(MID(0&amp;(--TRIM(RIGHT(SUBSTITUTE(LEFT(#REF!,_xlfn.AGGREGATE(16,6,FIND({0,1,2,3,4,5,6,7,8,9},#REF!,ROW(INDIRECT("1:"&amp;LEN(#REF!)))),1))," ",REPT(" ",LEN(#REF!))),LEN(#REF!)))), LARGE(INDEX(ISNUMBER(--MID((--TRIM(RIGHT(SUBSTITUTE(LEFT(#REF!,_xlfn.AGGREGATE(16,6,FIND({0,1,2,3,4,5,6,7,8,9},#REF!,ROW(INDIRECT("1:"&amp;LEN(#REF!)))),1))," ",REPT(" ",LEN(#REF!))),LEN(#REF!)))), ROW(INDIRECT("1:"&amp;LEN((--TRIM(RIGHT(SUBSTITUTE(LEFT(#REF!,_xlfn.AGGREGATE(16,6,FIND({0,1,2,3,4,5,6,7,8,9},#REF!,ROW(INDIRECT("1:"&amp;LEN(#REF!)))),1))," ",REPT(" ",LEN(#REF!))),LEN(#REF!))))))), 1)) * ROW(INDIRECT("1:"&amp;LEN((--TRIM(RIGHT(SUBSTITUTE(LEFT(#REF!,_xlfn.AGGREGATE(16,6,FIND({0,1,2,3,4,5,6,7,8,9},#REF!,ROW(INDIRECT("1:"&amp;LEN(#REF!)))),1))," ",REPT(" ",LEN(#REF!))),LEN(#REF!))))))), 0), ROW(INDIRECT("1:"&amp;LEN((--TRIM(RIGHT(SUBSTITUTE(LEFT(#REF!,_xlfn.AGGREGATE(16,6,FIND({0,1,2,3,4,5,6,7,8,9},#REF!,ROW(INDIRECT("1:"&amp;LEN(#REF!)))),1))," ",REPT(" ",LEN(#REF!))),LEN(#REF!))))))))+1, 1) * 10^ROW(INDIRECT("1:"&amp;LEN((--TRIM(RIGHT(SUBSTITUTE(LEFT(#REF!,_xlfn.AGGREGATE(16,6,FIND({0,1,2,3,4,5,6,7,8,9},#REF!,ROW(INDIRECT("1:"&amp;LEN(#REF!)))),1))," ",REPT(" ",LEN(#REF!))),LEN(#REF!)))))))/10))*100+1</f>
        <v>#REF!</v>
      </c>
    </row>
    <row r="164" spans="1:16" s="2" customFormat="1" ht="15.75" customHeight="1" x14ac:dyDescent="0.3">
      <c r="A164" s="82" t="s">
        <v>219</v>
      </c>
      <c r="B164" s="83"/>
      <c r="C164" s="83"/>
      <c r="D164" s="83"/>
      <c r="E164" s="83"/>
      <c r="F164" s="83"/>
      <c r="G164" s="83"/>
      <c r="H164" s="84"/>
      <c r="I164" s="50">
        <f>113*F166</f>
        <v>73290.084660000008</v>
      </c>
      <c r="N164" s="2" t="e">
        <f t="shared" ca="1" si="37"/>
        <v>#REF!</v>
      </c>
      <c r="O164" s="2" t="e">
        <f t="shared" ref="O164:P164" ca="1" si="38">O163+1</f>
        <v>#REF!</v>
      </c>
      <c r="P164" s="2" t="e">
        <f t="shared" ca="1" si="38"/>
        <v>#REF!</v>
      </c>
    </row>
    <row r="165" spans="1:16" s="2" customFormat="1" ht="15.75" customHeight="1" x14ac:dyDescent="0.3">
      <c r="A165" s="18">
        <v>1</v>
      </c>
      <c r="B165" s="18" t="s">
        <v>188</v>
      </c>
      <c r="C165" s="18" t="s">
        <v>186</v>
      </c>
      <c r="D165" s="18">
        <f>51.86*10.764</f>
        <v>558.22104000000002</v>
      </c>
      <c r="E165" s="18">
        <v>0</v>
      </c>
      <c r="F165" s="18">
        <f>D165*(($F$124)+1)+(IF(E165&lt;101,E165,IF(E165&lt;201,E165/2,IF(E165&lt;=301,E165/3,E165/4))))</f>
        <v>837.33156000000008</v>
      </c>
      <c r="G165" s="78" t="str">
        <f>A164</f>
        <v>34th Floor For Residential (Part Refuge Area)</v>
      </c>
      <c r="H165" s="78"/>
      <c r="I165" s="50">
        <f>113*F167</f>
        <v>73290.084660000008</v>
      </c>
      <c r="N165" s="2" t="e">
        <f t="shared" ca="1" si="37"/>
        <v>#REF!</v>
      </c>
      <c r="O165" s="2" t="e">
        <f t="shared" ref="O165:P165" ca="1" si="39">O164+1</f>
        <v>#REF!</v>
      </c>
      <c r="P165" s="2" t="e">
        <f t="shared" ca="1" si="39"/>
        <v>#REF!</v>
      </c>
    </row>
    <row r="166" spans="1:16" s="2" customFormat="1" ht="15.75" customHeight="1" x14ac:dyDescent="0.3">
      <c r="A166" s="18">
        <f>A165+1</f>
        <v>2</v>
      </c>
      <c r="B166" s="18" t="s">
        <v>188</v>
      </c>
      <c r="C166" s="18" t="s">
        <v>185</v>
      </c>
      <c r="D166" s="18">
        <f>40.17*10.764</f>
        <v>432.38988000000001</v>
      </c>
      <c r="E166" s="18">
        <v>0</v>
      </c>
      <c r="F166" s="18">
        <f>D166*(($F$124)+1)+(IF(E166&lt;101,E166,IF(E166&lt;201,E166/2,IF(E166&lt;=301,E166/3,E166/4))))</f>
        <v>648.58482000000004</v>
      </c>
      <c r="G166" s="78"/>
      <c r="H166" s="78"/>
      <c r="I166" s="50">
        <f>113*F168</f>
        <v>67086.791459999993</v>
      </c>
      <c r="N166" s="2" t="e">
        <f t="shared" ca="1" si="37"/>
        <v>#REF!</v>
      </c>
      <c r="O166" s="2" t="e">
        <f t="shared" ref="O166:P166" ca="1" si="40">O165+1</f>
        <v>#REF!</v>
      </c>
      <c r="P166" s="2" t="e">
        <f t="shared" ca="1" si="40"/>
        <v>#REF!</v>
      </c>
    </row>
    <row r="167" spans="1:16" s="2" customFormat="1" ht="15.75" customHeight="1" x14ac:dyDescent="0.3">
      <c r="A167" s="18">
        <f t="shared" ref="A167:A169" si="41">A166+1</f>
        <v>3</v>
      </c>
      <c r="B167" s="18" t="s">
        <v>188</v>
      </c>
      <c r="C167" s="18" t="s">
        <v>185</v>
      </c>
      <c r="D167" s="18">
        <f>40.17*10.764</f>
        <v>432.38988000000001</v>
      </c>
      <c r="E167" s="18">
        <v>0</v>
      </c>
      <c r="F167" s="18">
        <f>D167*(($F$124)+1)+(IF(E167&lt;101,E167,IF(E167&lt;201,E167/2,IF(E167&lt;=301,E167/3,E167/4))))</f>
        <v>648.58482000000004</v>
      </c>
      <c r="G167" s="78"/>
      <c r="H167" s="78"/>
      <c r="I167" s="50">
        <f>113*F169</f>
        <v>0</v>
      </c>
      <c r="N167" s="2" t="e">
        <f t="shared" ca="1" si="37"/>
        <v>#REF!</v>
      </c>
      <c r="O167" s="2" t="e">
        <f t="shared" ref="O167:P167" ca="1" si="42">O166+1</f>
        <v>#REF!</v>
      </c>
      <c r="P167" s="2" t="e">
        <f t="shared" ca="1" si="42"/>
        <v>#REF!</v>
      </c>
    </row>
    <row r="168" spans="1:16" s="2" customFormat="1" ht="15.75" customHeight="1" x14ac:dyDescent="0.3">
      <c r="A168" s="18">
        <f t="shared" si="41"/>
        <v>4</v>
      </c>
      <c r="B168" s="18" t="s">
        <v>188</v>
      </c>
      <c r="C168" s="18" t="s">
        <v>185</v>
      </c>
      <c r="D168" s="18">
        <f>36.77*10.764</f>
        <v>395.79228000000001</v>
      </c>
      <c r="E168" s="18">
        <v>0</v>
      </c>
      <c r="F168" s="18">
        <f>D168*(($F$124)+1)+(IF(E168&lt;101,E168,IF(E168&lt;201,E168/2,IF(E168&lt;=301,E168/3,E168/4))))</f>
        <v>593.68841999999995</v>
      </c>
      <c r="G168" s="78"/>
      <c r="H168" s="78"/>
      <c r="I168" s="50" t="e">
        <f>113*#REF!</f>
        <v>#REF!</v>
      </c>
      <c r="N168" s="2" t="e">
        <f t="shared" ca="1" si="37"/>
        <v>#REF!</v>
      </c>
      <c r="O168" s="2" t="e">
        <f t="shared" ref="O168:P168" ca="1" si="43">O167+1</f>
        <v>#REF!</v>
      </c>
      <c r="P168" s="2" t="e">
        <f t="shared" ca="1" si="43"/>
        <v>#REF!</v>
      </c>
    </row>
    <row r="169" spans="1:16" s="2" customFormat="1" ht="17.25" customHeight="1" x14ac:dyDescent="0.3">
      <c r="A169" s="18">
        <f t="shared" si="41"/>
        <v>5</v>
      </c>
      <c r="B169" s="78" t="s">
        <v>214</v>
      </c>
      <c r="C169" s="78"/>
      <c r="D169" s="78"/>
      <c r="E169" s="78"/>
      <c r="F169" s="78"/>
      <c r="G169" s="78"/>
      <c r="H169" s="78"/>
      <c r="I169" s="36">
        <f>1</f>
        <v>1</v>
      </c>
    </row>
    <row r="170" spans="1:16" x14ac:dyDescent="0.3">
      <c r="A170" s="155" t="s">
        <v>190</v>
      </c>
      <c r="B170" s="155"/>
      <c r="C170" s="155"/>
      <c r="D170" s="155"/>
      <c r="E170" s="155"/>
      <c r="F170" s="155"/>
      <c r="G170" s="155"/>
      <c r="H170" s="155"/>
      <c r="I170" s="1"/>
      <c r="J170" s="2"/>
    </row>
    <row r="171" spans="1:16" x14ac:dyDescent="0.3">
      <c r="A171" s="40">
        <v>1</v>
      </c>
      <c r="B171" s="156" t="s">
        <v>211</v>
      </c>
      <c r="C171" s="156"/>
      <c r="D171" s="156"/>
      <c r="E171" s="156"/>
      <c r="F171" s="156"/>
      <c r="G171" s="156"/>
      <c r="H171" s="156"/>
      <c r="I171" s="1"/>
      <c r="J171" s="2"/>
    </row>
    <row r="172" spans="1:16" x14ac:dyDescent="0.3">
      <c r="A172" s="40">
        <f t="shared" ref="A172:A180" si="44">A171+1</f>
        <v>2</v>
      </c>
      <c r="B172" s="156" t="s">
        <v>246</v>
      </c>
      <c r="C172" s="156"/>
      <c r="D172" s="156"/>
      <c r="E172" s="156"/>
      <c r="F172" s="156"/>
      <c r="G172" s="156"/>
      <c r="H172" s="156"/>
      <c r="I172" s="1"/>
      <c r="J172" s="2"/>
    </row>
    <row r="173" spans="1:16" x14ac:dyDescent="0.3">
      <c r="A173" s="40">
        <f t="shared" si="44"/>
        <v>3</v>
      </c>
      <c r="B173" s="156" t="s">
        <v>247</v>
      </c>
      <c r="C173" s="156"/>
      <c r="D173" s="156"/>
      <c r="E173" s="156"/>
      <c r="F173" s="156"/>
      <c r="G173" s="156"/>
      <c r="H173" s="156"/>
      <c r="I173" s="1"/>
      <c r="J173" s="2"/>
    </row>
    <row r="174" spans="1:16" x14ac:dyDescent="0.3">
      <c r="A174" s="40">
        <v>4</v>
      </c>
      <c r="B174" s="73" t="s">
        <v>150</v>
      </c>
      <c r="C174" s="73"/>
      <c r="D174" s="73"/>
      <c r="E174" s="73"/>
      <c r="F174" s="73"/>
      <c r="G174" s="73"/>
      <c r="H174" s="73"/>
      <c r="I174" s="1"/>
      <c r="J174" s="2"/>
    </row>
    <row r="175" spans="1:16" x14ac:dyDescent="0.3">
      <c r="A175" s="40">
        <f t="shared" si="44"/>
        <v>5</v>
      </c>
      <c r="B175" s="70" t="s">
        <v>252</v>
      </c>
      <c r="C175" s="71"/>
      <c r="D175" s="71"/>
      <c r="E175" s="71"/>
      <c r="F175" s="71"/>
      <c r="G175" s="71"/>
      <c r="H175" s="72"/>
      <c r="I175" s="1"/>
      <c r="J175" s="2"/>
    </row>
    <row r="176" spans="1:16" ht="15" customHeight="1" x14ac:dyDescent="0.3">
      <c r="A176" s="40">
        <f t="shared" si="44"/>
        <v>6</v>
      </c>
      <c r="B176" s="70" t="s">
        <v>151</v>
      </c>
      <c r="C176" s="71"/>
      <c r="D176" s="71"/>
      <c r="E176" s="71"/>
      <c r="F176" s="71"/>
      <c r="G176" s="71"/>
      <c r="H176" s="72"/>
      <c r="J176" s="2"/>
    </row>
    <row r="177" spans="1:10" x14ac:dyDescent="0.3">
      <c r="A177" s="40">
        <f>A175+1</f>
        <v>6</v>
      </c>
      <c r="B177" s="70" t="s">
        <v>152</v>
      </c>
      <c r="C177" s="71"/>
      <c r="D177" s="71"/>
      <c r="E177" s="71"/>
      <c r="F177" s="71"/>
      <c r="G177" s="71"/>
      <c r="H177" s="72"/>
      <c r="J177" s="2"/>
    </row>
    <row r="178" spans="1:10" x14ac:dyDescent="0.3">
      <c r="A178" s="40">
        <f>A176+1</f>
        <v>7</v>
      </c>
      <c r="B178" s="66" t="s">
        <v>213</v>
      </c>
      <c r="C178" s="67"/>
      <c r="D178" s="67"/>
      <c r="E178" s="67"/>
      <c r="F178" s="67"/>
      <c r="G178" s="67"/>
      <c r="H178" s="68"/>
      <c r="J178" s="2"/>
    </row>
    <row r="179" spans="1:10" x14ac:dyDescent="0.3">
      <c r="A179" s="40">
        <f t="shared" si="44"/>
        <v>8</v>
      </c>
      <c r="B179" s="66" t="s">
        <v>253</v>
      </c>
      <c r="C179" s="67"/>
      <c r="D179" s="67"/>
      <c r="E179" s="67"/>
      <c r="F179" s="67"/>
      <c r="G179" s="67"/>
      <c r="H179" s="68"/>
      <c r="J179" s="2"/>
    </row>
    <row r="180" spans="1:10" x14ac:dyDescent="0.3">
      <c r="A180" s="40">
        <f t="shared" si="44"/>
        <v>9</v>
      </c>
      <c r="B180" s="66" t="s">
        <v>245</v>
      </c>
      <c r="C180" s="67"/>
      <c r="D180" s="67"/>
      <c r="E180" s="67"/>
      <c r="F180" s="67"/>
      <c r="G180" s="67"/>
      <c r="H180" s="68"/>
      <c r="J180" s="2"/>
    </row>
    <row r="181" spans="1:10" x14ac:dyDescent="0.3">
      <c r="A181" s="159" t="s">
        <v>64</v>
      </c>
      <c r="B181" s="159"/>
      <c r="C181" s="159"/>
      <c r="D181" s="159"/>
      <c r="E181" s="159"/>
      <c r="F181" s="159"/>
      <c r="G181" s="159"/>
      <c r="H181" s="159"/>
      <c r="J181" s="2"/>
    </row>
    <row r="182" spans="1:10" x14ac:dyDescent="0.3">
      <c r="A182" s="74" t="s">
        <v>65</v>
      </c>
      <c r="B182" s="74"/>
      <c r="C182" s="74"/>
      <c r="D182" s="74"/>
      <c r="E182" s="74"/>
      <c r="F182" s="74"/>
      <c r="G182" s="74"/>
      <c r="H182" s="74"/>
      <c r="J182" s="2"/>
    </row>
    <row r="183" spans="1:10" x14ac:dyDescent="0.3">
      <c r="A183" s="157" t="s">
        <v>66</v>
      </c>
      <c r="B183" s="157"/>
      <c r="C183" s="157"/>
      <c r="D183" s="157"/>
      <c r="E183" s="157"/>
      <c r="F183" s="157"/>
      <c r="G183" s="157"/>
      <c r="H183" s="157"/>
      <c r="J183" s="2"/>
    </row>
    <row r="184" spans="1:10" x14ac:dyDescent="0.3">
      <c r="A184" s="74" t="s">
        <v>67</v>
      </c>
      <c r="B184" s="74"/>
      <c r="C184" s="74"/>
      <c r="D184" s="74"/>
      <c r="E184" s="74"/>
      <c r="F184" s="74"/>
      <c r="G184" s="74"/>
      <c r="H184" s="74"/>
      <c r="J184" s="2"/>
    </row>
    <row r="185" spans="1:10" x14ac:dyDescent="0.3">
      <c r="A185" s="74" t="s">
        <v>68</v>
      </c>
      <c r="B185" s="74"/>
      <c r="C185" s="74"/>
      <c r="D185" s="74"/>
      <c r="E185" s="74"/>
      <c r="F185" s="74"/>
      <c r="G185" s="74"/>
      <c r="H185" s="74"/>
      <c r="J185" s="2"/>
    </row>
    <row r="186" spans="1:10" x14ac:dyDescent="0.3">
      <c r="A186" s="74" t="s">
        <v>153</v>
      </c>
      <c r="B186" s="74"/>
      <c r="C186" s="74"/>
      <c r="D186" s="74"/>
      <c r="E186" s="74"/>
      <c r="F186" s="74"/>
      <c r="G186" s="74"/>
      <c r="H186" s="74"/>
      <c r="J186" s="2"/>
    </row>
    <row r="187" spans="1:10" x14ac:dyDescent="0.3">
      <c r="A187" s="109" t="s">
        <v>154</v>
      </c>
      <c r="B187" s="109"/>
      <c r="C187" s="109"/>
      <c r="D187" s="109"/>
      <c r="E187" s="109"/>
      <c r="F187" s="109"/>
      <c r="G187" s="109"/>
      <c r="H187" s="109"/>
      <c r="J187" s="2"/>
    </row>
    <row r="188" spans="1:10" x14ac:dyDescent="0.3">
      <c r="A188" s="151" t="s">
        <v>100</v>
      </c>
      <c r="B188" s="151"/>
      <c r="C188" s="151" t="s">
        <v>260</v>
      </c>
      <c r="D188" s="151"/>
      <c r="E188" s="151" t="s">
        <v>130</v>
      </c>
      <c r="F188" s="151"/>
      <c r="G188" s="151" t="s">
        <v>259</v>
      </c>
      <c r="H188" s="151"/>
      <c r="J188" s="2"/>
    </row>
    <row r="189" spans="1:10" x14ac:dyDescent="0.3">
      <c r="A189" s="150" t="s">
        <v>102</v>
      </c>
      <c r="B189" s="150"/>
      <c r="C189" s="150"/>
      <c r="D189" s="150"/>
      <c r="E189" s="150"/>
      <c r="F189" s="150"/>
      <c r="G189" s="150"/>
      <c r="H189" s="150"/>
    </row>
    <row r="190" spans="1:10" x14ac:dyDescent="0.3">
      <c r="A190" s="150"/>
      <c r="B190" s="150"/>
      <c r="C190" s="150"/>
      <c r="D190" s="150"/>
      <c r="E190" s="150"/>
      <c r="F190" s="150"/>
      <c r="G190" s="150"/>
      <c r="H190" s="150"/>
    </row>
    <row r="191" spans="1:10" x14ac:dyDescent="0.3">
      <c r="A191" s="150"/>
      <c r="B191" s="150"/>
      <c r="C191" s="150"/>
      <c r="D191" s="150"/>
      <c r="E191" s="150"/>
      <c r="F191" s="150"/>
      <c r="G191" s="150"/>
      <c r="H191" s="150"/>
    </row>
    <row r="192" spans="1:10" x14ac:dyDescent="0.3">
      <c r="A192" s="150"/>
      <c r="B192" s="150"/>
      <c r="C192" s="150"/>
      <c r="D192" s="150"/>
      <c r="E192" s="150"/>
      <c r="F192" s="150"/>
      <c r="G192" s="150"/>
      <c r="H192" s="150"/>
    </row>
    <row r="193" spans="1:8" x14ac:dyDescent="0.3">
      <c r="A193" s="13" t="s">
        <v>69</v>
      </c>
      <c r="B193" s="14"/>
      <c r="C193" s="14"/>
      <c r="D193" s="13" t="str">
        <f>E8</f>
        <v>Shreeji Plaza Wing A</v>
      </c>
      <c r="F193" s="14"/>
      <c r="G193" s="14"/>
      <c r="H193" s="14"/>
    </row>
    <row r="194" spans="1:8" x14ac:dyDescent="0.3">
      <c r="A194" s="14"/>
      <c r="B194" s="14"/>
      <c r="C194" s="14"/>
      <c r="D194" s="14"/>
      <c r="E194" s="14"/>
      <c r="F194" s="14"/>
      <c r="G194" s="14"/>
      <c r="H194" s="14"/>
    </row>
    <row r="195" spans="1:8" x14ac:dyDescent="0.3">
      <c r="A195" s="14"/>
      <c r="B195" s="14"/>
      <c r="C195" s="14"/>
      <c r="D195" s="14"/>
      <c r="E195" s="14"/>
      <c r="F195" s="14"/>
      <c r="G195" s="14"/>
      <c r="H195" s="14"/>
    </row>
    <row r="231" spans="1:10" x14ac:dyDescent="0.3">
      <c r="J231" s="2"/>
    </row>
    <row r="233" spans="1:10" x14ac:dyDescent="0.3">
      <c r="A233" s="55" t="s">
        <v>240</v>
      </c>
      <c r="B233" s="14"/>
      <c r="C233" s="14"/>
      <c r="D233" s="14"/>
      <c r="E233" s="14"/>
      <c r="F233" s="14"/>
      <c r="G233" s="14"/>
      <c r="H233" s="14"/>
    </row>
    <row r="234" spans="1:10" x14ac:dyDescent="0.3">
      <c r="A234" s="14"/>
      <c r="B234" s="14"/>
      <c r="C234" s="14"/>
      <c r="D234" s="14"/>
      <c r="E234" s="14"/>
      <c r="F234" s="14"/>
      <c r="G234" s="14"/>
      <c r="H234" s="14"/>
    </row>
    <row r="275" spans="1:1" x14ac:dyDescent="0.3">
      <c r="A275" s="16" t="s">
        <v>70</v>
      </c>
    </row>
  </sheetData>
  <mergeCells count="290">
    <mergeCell ref="N85:P85"/>
    <mergeCell ref="A125:H125"/>
    <mergeCell ref="B173:H173"/>
    <mergeCell ref="A46:B46"/>
    <mergeCell ref="C46:H46"/>
    <mergeCell ref="B156:F156"/>
    <mergeCell ref="B157:F157"/>
    <mergeCell ref="B138:F138"/>
    <mergeCell ref="B139:F139"/>
    <mergeCell ref="B169:F169"/>
    <mergeCell ref="D101:D102"/>
    <mergeCell ref="L103:M103"/>
    <mergeCell ref="A97:B97"/>
    <mergeCell ref="C97:D97"/>
    <mergeCell ref="E97:F97"/>
    <mergeCell ref="G97:H97"/>
    <mergeCell ref="A98:B98"/>
    <mergeCell ref="C98:D98"/>
    <mergeCell ref="E98:F98"/>
    <mergeCell ref="G98:H98"/>
    <mergeCell ref="L94:M94"/>
    <mergeCell ref="L93:M93"/>
    <mergeCell ref="L105:M105"/>
    <mergeCell ref="L106:M106"/>
    <mergeCell ref="L107:M107"/>
    <mergeCell ref="L108:M108"/>
    <mergeCell ref="L109:M109"/>
    <mergeCell ref="L110:M110"/>
    <mergeCell ref="G107:H121"/>
    <mergeCell ref="B180:H180"/>
    <mergeCell ref="I85:M85"/>
    <mergeCell ref="L99:M99"/>
    <mergeCell ref="L100:M100"/>
    <mergeCell ref="L101:M101"/>
    <mergeCell ref="L102:M102"/>
    <mergeCell ref="L98:M98"/>
    <mergeCell ref="L97:M97"/>
    <mergeCell ref="L96:M96"/>
    <mergeCell ref="L95:M95"/>
    <mergeCell ref="A100:H100"/>
    <mergeCell ref="G90:H90"/>
    <mergeCell ref="A85:E85"/>
    <mergeCell ref="C91:D91"/>
    <mergeCell ref="E91:F91"/>
    <mergeCell ref="B175:H175"/>
    <mergeCell ref="B176:H176"/>
    <mergeCell ref="A122:H122"/>
    <mergeCell ref="A146:H146"/>
    <mergeCell ref="E40:H40"/>
    <mergeCell ref="A86:E86"/>
    <mergeCell ref="E95:F95"/>
    <mergeCell ref="E90:F90"/>
    <mergeCell ref="A99:H99"/>
    <mergeCell ref="A80:E80"/>
    <mergeCell ref="A81:E81"/>
    <mergeCell ref="G95:H95"/>
    <mergeCell ref="A82:E82"/>
    <mergeCell ref="F82:H82"/>
    <mergeCell ref="F85:H85"/>
    <mergeCell ref="A90:B90"/>
    <mergeCell ref="C90:D90"/>
    <mergeCell ref="F86:H86"/>
    <mergeCell ref="F84:H84"/>
    <mergeCell ref="A40:D40"/>
    <mergeCell ref="A47:B47"/>
    <mergeCell ref="C47:E47"/>
    <mergeCell ref="G47:H47"/>
    <mergeCell ref="G49:H49"/>
    <mergeCell ref="D53:H53"/>
    <mergeCell ref="C49:E49"/>
    <mergeCell ref="A56:C56"/>
    <mergeCell ref="D56:H56"/>
    <mergeCell ref="C48:E48"/>
    <mergeCell ref="A51:B51"/>
    <mergeCell ref="C51:E51"/>
    <mergeCell ref="A48:B48"/>
    <mergeCell ref="A52:H52"/>
    <mergeCell ref="A53:C53"/>
    <mergeCell ref="A54:C54"/>
    <mergeCell ref="D54:H54"/>
    <mergeCell ref="G51:H51"/>
    <mergeCell ref="C50:H50"/>
    <mergeCell ref="A183:H183"/>
    <mergeCell ref="A95:B95"/>
    <mergeCell ref="A70:B70"/>
    <mergeCell ref="F79:H79"/>
    <mergeCell ref="A76:H76"/>
    <mergeCell ref="A77:B77"/>
    <mergeCell ref="A78:H78"/>
    <mergeCell ref="G91:H91"/>
    <mergeCell ref="A181:H181"/>
    <mergeCell ref="A182:H182"/>
    <mergeCell ref="A72:B72"/>
    <mergeCell ref="C96:D96"/>
    <mergeCell ref="E96:F96"/>
    <mergeCell ref="G96:H96"/>
    <mergeCell ref="A79:E79"/>
    <mergeCell ref="A106:H106"/>
    <mergeCell ref="E101:E102"/>
    <mergeCell ref="G101:H102"/>
    <mergeCell ref="C77:H77"/>
    <mergeCell ref="F80:H80"/>
    <mergeCell ref="G93:H93"/>
    <mergeCell ref="F81:H81"/>
    <mergeCell ref="A75:E75"/>
    <mergeCell ref="F75:H75"/>
    <mergeCell ref="A189:H192"/>
    <mergeCell ref="A188:B188"/>
    <mergeCell ref="E188:F188"/>
    <mergeCell ref="C188:D188"/>
    <mergeCell ref="G188:H188"/>
    <mergeCell ref="A89:H89"/>
    <mergeCell ref="A87:E87"/>
    <mergeCell ref="F87:H87"/>
    <mergeCell ref="A88:E88"/>
    <mergeCell ref="F88:H88"/>
    <mergeCell ref="A128:H128"/>
    <mergeCell ref="A96:B96"/>
    <mergeCell ref="A184:H184"/>
    <mergeCell ref="A94:H94"/>
    <mergeCell ref="A187:H187"/>
    <mergeCell ref="A185:H185"/>
    <mergeCell ref="A170:H170"/>
    <mergeCell ref="C101:C102"/>
    <mergeCell ref="B179:H179"/>
    <mergeCell ref="B171:H171"/>
    <mergeCell ref="B172:H172"/>
    <mergeCell ref="A186:H186"/>
    <mergeCell ref="A104:H104"/>
    <mergeCell ref="C95:D95"/>
    <mergeCell ref="A60:C60"/>
    <mergeCell ref="D60:H60"/>
    <mergeCell ref="A65:B65"/>
    <mergeCell ref="G64:H64"/>
    <mergeCell ref="A63:B63"/>
    <mergeCell ref="A61:B61"/>
    <mergeCell ref="C61:H61"/>
    <mergeCell ref="A69:B69"/>
    <mergeCell ref="A59:C59"/>
    <mergeCell ref="D59:H59"/>
    <mergeCell ref="C63:H63"/>
    <mergeCell ref="A66:B66"/>
    <mergeCell ref="A68:B68"/>
    <mergeCell ref="E64:F64"/>
    <mergeCell ref="A57:C57"/>
    <mergeCell ref="A58:C58"/>
    <mergeCell ref="D57:H57"/>
    <mergeCell ref="E65:F74"/>
    <mergeCell ref="G65:H74"/>
    <mergeCell ref="A73:B73"/>
    <mergeCell ref="A74:B74"/>
    <mergeCell ref="D58:H58"/>
    <mergeCell ref="A41:D41"/>
    <mergeCell ref="E41:H41"/>
    <mergeCell ref="E42:H42"/>
    <mergeCell ref="E43:H43"/>
    <mergeCell ref="E44:H44"/>
    <mergeCell ref="A42:D42"/>
    <mergeCell ref="A43:D43"/>
    <mergeCell ref="A44:D44"/>
    <mergeCell ref="A45:H45"/>
    <mergeCell ref="D55:H55"/>
    <mergeCell ref="A55:C55"/>
    <mergeCell ref="G48:H48"/>
    <mergeCell ref="A49:B50"/>
    <mergeCell ref="A71:B71"/>
    <mergeCell ref="A64:B64"/>
    <mergeCell ref="A67:B67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20:D21"/>
    <mergeCell ref="E20:H21"/>
    <mergeCell ref="E13:H13"/>
    <mergeCell ref="A14:B14"/>
    <mergeCell ref="C14:H14"/>
    <mergeCell ref="C15:H15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E24:H24"/>
    <mergeCell ref="A26:D26"/>
    <mergeCell ref="E26:H26"/>
    <mergeCell ref="A23:D23"/>
    <mergeCell ref="E23:H23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25:D25"/>
    <mergeCell ref="E25:H25"/>
    <mergeCell ref="A39:D39"/>
    <mergeCell ref="E39:H39"/>
    <mergeCell ref="F31:H31"/>
    <mergeCell ref="F32:H32"/>
    <mergeCell ref="C30:E30"/>
    <mergeCell ref="F33:H33"/>
    <mergeCell ref="F34:H34"/>
    <mergeCell ref="A36:B36"/>
    <mergeCell ref="F30:H30"/>
    <mergeCell ref="A31:B31"/>
    <mergeCell ref="A30:B30"/>
    <mergeCell ref="C31:E31"/>
    <mergeCell ref="A32:B32"/>
    <mergeCell ref="C32:E32"/>
    <mergeCell ref="A35:H35"/>
    <mergeCell ref="A34:B34"/>
    <mergeCell ref="A38:H38"/>
    <mergeCell ref="C34:E34"/>
    <mergeCell ref="A37:B37"/>
    <mergeCell ref="C37:H37"/>
    <mergeCell ref="C36:H36"/>
    <mergeCell ref="G147:H151"/>
    <mergeCell ref="G153:H157"/>
    <mergeCell ref="A158:H158"/>
    <mergeCell ref="G159:H163"/>
    <mergeCell ref="A91:A92"/>
    <mergeCell ref="A103:H103"/>
    <mergeCell ref="A105:H105"/>
    <mergeCell ref="A123:A124"/>
    <mergeCell ref="B123:B124"/>
    <mergeCell ref="C123:C124"/>
    <mergeCell ref="D123:D124"/>
    <mergeCell ref="E123:E124"/>
    <mergeCell ref="G123:H124"/>
    <mergeCell ref="B178:H178"/>
    <mergeCell ref="A127:H127"/>
    <mergeCell ref="B177:H177"/>
    <mergeCell ref="B174:H174"/>
    <mergeCell ref="A83:E83"/>
    <mergeCell ref="F83:H83"/>
    <mergeCell ref="A84:E84"/>
    <mergeCell ref="A101:A102"/>
    <mergeCell ref="A126:H126"/>
    <mergeCell ref="G129:H133"/>
    <mergeCell ref="C92:D92"/>
    <mergeCell ref="E92:F92"/>
    <mergeCell ref="G92:H92"/>
    <mergeCell ref="A93:B93"/>
    <mergeCell ref="A134:H134"/>
    <mergeCell ref="G135:H139"/>
    <mergeCell ref="C93:D93"/>
    <mergeCell ref="E93:F93"/>
    <mergeCell ref="B101:B102"/>
    <mergeCell ref="A140:H140"/>
    <mergeCell ref="G141:H145"/>
    <mergeCell ref="A164:H164"/>
    <mergeCell ref="G165:H169"/>
    <mergeCell ref="A152:H152"/>
  </mergeCells>
  <dataValidations disablePrompts="1" count="1">
    <dataValidation type="list" allowBlank="1" showInputMessage="1" showErrorMessage="1" sqref="F124" xr:uid="{00000000-0002-0000-0000-000000000000}">
      <formula1>".45,.50,.55,.60"</formula1>
    </dataValidation>
  </dataValidations>
  <hyperlinks>
    <hyperlink ref="C37" r:id="rId1" xr:uid="{00000000-0004-0000-0000-000000000000}"/>
    <hyperlink ref="I77" r:id="rId2" xr:uid="{00000000-0004-0000-0000-000001000000}"/>
  </hyperlinks>
  <printOptions horizontalCentered="1"/>
  <pageMargins left="0.39370078740157483" right="0.39370078740157483" top="0.78740157480314965" bottom="0.78740157480314965" header="0.19685039370078741" footer="0.19685039370078741"/>
  <pageSetup paperSize="9" scale="97" fitToHeight="0" orientation="portrait" r:id="rId3"/>
  <headerFooter>
    <oddHeader>&amp;C&amp;G</oddHeader>
    <oddFooter>&amp;L&amp;"Times New Roman,Bold"&amp;12Ref No: &amp;F&amp;C&amp;G&amp;R&amp;"Times New Roman,Bold"&amp;12                                                &amp;P</oddFooter>
  </headerFooter>
  <rowBreaks count="3" manualBreakCount="3">
    <brk id="192" min="1" max="7" man="1"/>
    <brk id="232" min="1" max="7" man="1"/>
    <brk id="274" min="1" max="7" man="1"/>
  </rowBreaks>
  <drawing r:id="rId4"/>
  <legacyDrawing r:id="rId5"/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4"/>
  <sheetViews>
    <sheetView topLeftCell="A14" workbookViewId="0">
      <selection sqref="A1:B34"/>
    </sheetView>
  </sheetViews>
  <sheetFormatPr defaultRowHeight="14.4" x14ac:dyDescent="0.3"/>
  <sheetData>
    <row r="1" spans="1:2" x14ac:dyDescent="0.3">
      <c r="A1">
        <v>5</v>
      </c>
      <c r="B1">
        <v>1</v>
      </c>
    </row>
    <row r="2" spans="1:2" x14ac:dyDescent="0.3">
      <c r="A2">
        <v>6</v>
      </c>
      <c r="B2">
        <v>2</v>
      </c>
    </row>
    <row r="3" spans="1:2" x14ac:dyDescent="0.3">
      <c r="A3">
        <v>7</v>
      </c>
      <c r="B3">
        <v>3</v>
      </c>
    </row>
    <row r="4" spans="1:2" x14ac:dyDescent="0.3">
      <c r="A4">
        <v>8</v>
      </c>
      <c r="B4">
        <v>4</v>
      </c>
    </row>
    <row r="5" spans="1:2" x14ac:dyDescent="0.3">
      <c r="A5">
        <v>9</v>
      </c>
      <c r="B5">
        <v>5</v>
      </c>
    </row>
    <row r="6" spans="1:2" x14ac:dyDescent="0.3">
      <c r="A6">
        <v>10</v>
      </c>
      <c r="B6">
        <v>6</v>
      </c>
    </row>
    <row r="7" spans="1:2" x14ac:dyDescent="0.3">
      <c r="A7">
        <v>11</v>
      </c>
      <c r="B7">
        <v>7</v>
      </c>
    </row>
    <row r="8" spans="1:2" x14ac:dyDescent="0.3">
      <c r="A8">
        <v>12</v>
      </c>
      <c r="B8">
        <v>8</v>
      </c>
    </row>
    <row r="9" spans="1:2" x14ac:dyDescent="0.3">
      <c r="A9">
        <v>13</v>
      </c>
      <c r="B9">
        <v>9</v>
      </c>
    </row>
    <row r="10" spans="1:2" x14ac:dyDescent="0.3">
      <c r="A10">
        <v>14</v>
      </c>
      <c r="B10">
        <v>10</v>
      </c>
    </row>
    <row r="11" spans="1:2" x14ac:dyDescent="0.3">
      <c r="A11">
        <v>15</v>
      </c>
      <c r="B11">
        <v>11</v>
      </c>
    </row>
    <row r="12" spans="1:2" x14ac:dyDescent="0.3">
      <c r="A12">
        <v>16</v>
      </c>
      <c r="B12">
        <v>12</v>
      </c>
    </row>
    <row r="13" spans="1:2" x14ac:dyDescent="0.3">
      <c r="A13">
        <v>17</v>
      </c>
      <c r="B13">
        <v>13</v>
      </c>
    </row>
    <row r="14" spans="1:2" x14ac:dyDescent="0.3">
      <c r="A14">
        <v>18</v>
      </c>
      <c r="B14">
        <v>14</v>
      </c>
    </row>
    <row r="15" spans="1:2" x14ac:dyDescent="0.3">
      <c r="A15">
        <v>19</v>
      </c>
      <c r="B15">
        <v>15</v>
      </c>
    </row>
    <row r="16" spans="1:2" x14ac:dyDescent="0.3">
      <c r="A16">
        <v>20</v>
      </c>
      <c r="B16">
        <v>16</v>
      </c>
    </row>
    <row r="17" spans="1:2" x14ac:dyDescent="0.3">
      <c r="A17">
        <v>21</v>
      </c>
      <c r="B17">
        <v>17</v>
      </c>
    </row>
    <row r="18" spans="1:2" x14ac:dyDescent="0.3">
      <c r="A18">
        <v>22</v>
      </c>
      <c r="B18">
        <v>18</v>
      </c>
    </row>
    <row r="19" spans="1:2" x14ac:dyDescent="0.3">
      <c r="A19">
        <v>23</v>
      </c>
      <c r="B19">
        <v>19</v>
      </c>
    </row>
    <row r="20" spans="1:2" x14ac:dyDescent="0.3">
      <c r="A20">
        <v>24</v>
      </c>
      <c r="B20">
        <v>20</v>
      </c>
    </row>
    <row r="21" spans="1:2" x14ac:dyDescent="0.3">
      <c r="A21">
        <v>25</v>
      </c>
      <c r="B21">
        <v>21</v>
      </c>
    </row>
    <row r="22" spans="1:2" x14ac:dyDescent="0.3">
      <c r="A22">
        <v>26</v>
      </c>
      <c r="B22">
        <v>22</v>
      </c>
    </row>
    <row r="23" spans="1:2" x14ac:dyDescent="0.3">
      <c r="A23">
        <v>27</v>
      </c>
      <c r="B23">
        <v>23</v>
      </c>
    </row>
    <row r="24" spans="1:2" x14ac:dyDescent="0.3">
      <c r="A24">
        <v>28</v>
      </c>
      <c r="B24">
        <v>24</v>
      </c>
    </row>
    <row r="25" spans="1:2" x14ac:dyDescent="0.3">
      <c r="A25">
        <v>29</v>
      </c>
      <c r="B25">
        <v>25</v>
      </c>
    </row>
    <row r="26" spans="1:2" x14ac:dyDescent="0.3">
      <c r="A26">
        <v>30</v>
      </c>
      <c r="B26">
        <v>26</v>
      </c>
    </row>
    <row r="27" spans="1:2" x14ac:dyDescent="0.3">
      <c r="A27">
        <v>31</v>
      </c>
      <c r="B27">
        <v>27</v>
      </c>
    </row>
    <row r="28" spans="1:2" x14ac:dyDescent="0.3">
      <c r="A28">
        <v>32</v>
      </c>
      <c r="B28">
        <v>28</v>
      </c>
    </row>
    <row r="29" spans="1:2" x14ac:dyDescent="0.3">
      <c r="A29">
        <v>33</v>
      </c>
      <c r="B29">
        <v>29</v>
      </c>
    </row>
    <row r="30" spans="1:2" x14ac:dyDescent="0.3">
      <c r="A30">
        <v>34</v>
      </c>
      <c r="B30">
        <v>30</v>
      </c>
    </row>
    <row r="31" spans="1:2" x14ac:dyDescent="0.3">
      <c r="A31">
        <v>35</v>
      </c>
      <c r="B31">
        <v>31</v>
      </c>
    </row>
    <row r="32" spans="1:2" x14ac:dyDescent="0.3">
      <c r="A32">
        <v>36</v>
      </c>
      <c r="B32">
        <v>32</v>
      </c>
    </row>
    <row r="33" spans="1:2" x14ac:dyDescent="0.3">
      <c r="A33">
        <v>37</v>
      </c>
      <c r="B33">
        <v>33</v>
      </c>
    </row>
    <row r="34" spans="1:2" x14ac:dyDescent="0.3">
      <c r="A34">
        <v>38</v>
      </c>
      <c r="B34">
        <v>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2:L36"/>
  <sheetViews>
    <sheetView topLeftCell="A4" workbookViewId="0">
      <selection activeCell="F21" sqref="F21"/>
    </sheetView>
  </sheetViews>
  <sheetFormatPr defaultRowHeight="14.4" x14ac:dyDescent="0.3"/>
  <cols>
    <col min="2" max="2" width="12.21875" customWidth="1"/>
  </cols>
  <sheetData>
    <row r="2" spans="1:12" x14ac:dyDescent="0.3">
      <c r="B2" s="3" t="s">
        <v>71</v>
      </c>
      <c r="C2" s="184"/>
      <c r="D2" s="184"/>
    </row>
    <row r="3" spans="1:12" x14ac:dyDescent="0.3">
      <c r="D3" s="4"/>
      <c r="E3" s="4"/>
      <c r="F3" s="4"/>
      <c r="G3" s="4"/>
      <c r="H3" s="4"/>
      <c r="I3" s="4"/>
    </row>
    <row r="4" spans="1:12" x14ac:dyDescent="0.3">
      <c r="A4" s="3" t="s">
        <v>72</v>
      </c>
      <c r="B4" s="5" t="s">
        <v>73</v>
      </c>
      <c r="C4" s="185" t="s">
        <v>74</v>
      </c>
      <c r="D4" s="185"/>
      <c r="E4" s="185"/>
      <c r="F4" s="6"/>
      <c r="G4" s="185" t="s">
        <v>75</v>
      </c>
      <c r="H4" s="185"/>
      <c r="I4" s="185"/>
      <c r="J4" s="185" t="s">
        <v>76</v>
      </c>
      <c r="K4" s="185"/>
      <c r="L4" s="185"/>
    </row>
    <row r="5" spans="1:12" x14ac:dyDescent="0.3">
      <c r="A5" s="3">
        <v>202</v>
      </c>
      <c r="B5" s="5"/>
      <c r="C5" s="5" t="s">
        <v>77</v>
      </c>
      <c r="D5" s="5" t="s">
        <v>78</v>
      </c>
      <c r="E5" s="5" t="s">
        <v>59</v>
      </c>
      <c r="F5" s="5"/>
      <c r="G5" s="5" t="s">
        <v>77</v>
      </c>
      <c r="H5" s="5" t="s">
        <v>78</v>
      </c>
      <c r="I5" s="5" t="s">
        <v>59</v>
      </c>
      <c r="J5" s="5" t="s">
        <v>77</v>
      </c>
      <c r="K5" s="5" t="s">
        <v>78</v>
      </c>
      <c r="L5" s="5" t="s">
        <v>59</v>
      </c>
    </row>
    <row r="6" spans="1:12" x14ac:dyDescent="0.3">
      <c r="B6" s="7" t="s">
        <v>79</v>
      </c>
      <c r="C6" s="7"/>
      <c r="D6" s="7"/>
      <c r="E6" s="7">
        <f>C6*D6</f>
        <v>0</v>
      </c>
      <c r="F6" s="7" t="s">
        <v>80</v>
      </c>
      <c r="G6" s="7"/>
      <c r="H6" s="7"/>
      <c r="I6" s="7">
        <f>G6*H6</f>
        <v>0</v>
      </c>
      <c r="J6" s="7"/>
      <c r="K6" s="7"/>
      <c r="L6" s="7">
        <f>J6*K6</f>
        <v>0</v>
      </c>
    </row>
    <row r="7" spans="1:12" x14ac:dyDescent="0.3">
      <c r="B7" s="7"/>
      <c r="C7" s="7"/>
      <c r="D7" s="7"/>
      <c r="E7" s="7">
        <f t="shared" ref="E7:E33" si="0">C7*D7</f>
        <v>0</v>
      </c>
      <c r="F7" s="7" t="s">
        <v>81</v>
      </c>
      <c r="G7" s="7"/>
      <c r="H7" s="7"/>
      <c r="I7" s="7">
        <f t="shared" ref="I7:I29" si="1">G7*H7</f>
        <v>0</v>
      </c>
      <c r="J7" s="7"/>
      <c r="K7" s="7"/>
      <c r="L7" s="7">
        <f t="shared" ref="L7:L29" si="2">J7*K7</f>
        <v>0</v>
      </c>
    </row>
    <row r="8" spans="1:12" x14ac:dyDescent="0.3">
      <c r="B8" s="7"/>
      <c r="C8" s="7"/>
      <c r="D8" s="7"/>
      <c r="E8" s="7">
        <f t="shared" si="0"/>
        <v>0</v>
      </c>
      <c r="F8" s="7"/>
      <c r="G8" s="7"/>
      <c r="H8" s="7"/>
      <c r="I8" s="7">
        <f t="shared" si="1"/>
        <v>0</v>
      </c>
      <c r="J8" s="7"/>
      <c r="K8" s="7"/>
      <c r="L8" s="7">
        <f t="shared" si="2"/>
        <v>0</v>
      </c>
    </row>
    <row r="9" spans="1:12" x14ac:dyDescent="0.3">
      <c r="B9" s="7" t="s">
        <v>82</v>
      </c>
      <c r="C9" s="7"/>
      <c r="D9" s="7"/>
      <c r="E9" s="7">
        <f t="shared" si="0"/>
        <v>0</v>
      </c>
      <c r="F9" s="7" t="s">
        <v>80</v>
      </c>
      <c r="G9" s="7"/>
      <c r="H9" s="7"/>
      <c r="I9" s="7">
        <f t="shared" si="1"/>
        <v>0</v>
      </c>
      <c r="J9" s="7"/>
      <c r="K9" s="7"/>
      <c r="L9" s="7">
        <f t="shared" si="2"/>
        <v>0</v>
      </c>
    </row>
    <row r="10" spans="1:12" x14ac:dyDescent="0.3">
      <c r="B10" s="7"/>
      <c r="C10" s="7"/>
      <c r="D10" s="7"/>
      <c r="E10" s="7">
        <f t="shared" si="0"/>
        <v>0</v>
      </c>
      <c r="F10" s="7" t="s">
        <v>81</v>
      </c>
      <c r="G10" s="7"/>
      <c r="H10" s="7"/>
      <c r="I10" s="7">
        <f t="shared" si="1"/>
        <v>0</v>
      </c>
      <c r="J10" s="7"/>
      <c r="K10" s="7"/>
      <c r="L10" s="7">
        <f t="shared" si="2"/>
        <v>0</v>
      </c>
    </row>
    <row r="11" spans="1:12" x14ac:dyDescent="0.3">
      <c r="B11" s="7"/>
      <c r="C11" s="7"/>
      <c r="D11" s="7"/>
      <c r="E11" s="7">
        <f t="shared" si="0"/>
        <v>0</v>
      </c>
      <c r="F11" s="7"/>
      <c r="G11" s="7"/>
      <c r="H11" s="7"/>
      <c r="I11" s="7">
        <f t="shared" si="1"/>
        <v>0</v>
      </c>
      <c r="J11" s="7"/>
      <c r="K11" s="7"/>
      <c r="L11" s="7">
        <f t="shared" si="2"/>
        <v>0</v>
      </c>
    </row>
    <row r="12" spans="1:12" x14ac:dyDescent="0.3">
      <c r="B12" s="7"/>
      <c r="C12" s="7"/>
      <c r="D12" s="7"/>
      <c r="E12" s="7">
        <f t="shared" si="0"/>
        <v>0</v>
      </c>
      <c r="F12" s="7"/>
      <c r="G12" s="7"/>
      <c r="H12" s="7"/>
      <c r="I12" s="7">
        <f t="shared" si="1"/>
        <v>0</v>
      </c>
      <c r="J12" s="7"/>
      <c r="K12" s="7"/>
      <c r="L12" s="7">
        <f t="shared" si="2"/>
        <v>0</v>
      </c>
    </row>
    <row r="13" spans="1:12" x14ac:dyDescent="0.3">
      <c r="B13" s="7" t="s">
        <v>83</v>
      </c>
      <c r="C13" s="7"/>
      <c r="D13" s="7"/>
      <c r="E13" s="7">
        <f t="shared" si="0"/>
        <v>0</v>
      </c>
      <c r="F13" s="7" t="s">
        <v>80</v>
      </c>
      <c r="G13" s="7"/>
      <c r="H13" s="7"/>
      <c r="I13" s="7">
        <f t="shared" si="1"/>
        <v>0</v>
      </c>
      <c r="J13" s="7"/>
      <c r="K13" s="7"/>
      <c r="L13" s="7">
        <f t="shared" si="2"/>
        <v>0</v>
      </c>
    </row>
    <row r="14" spans="1:12" x14ac:dyDescent="0.3">
      <c r="B14" s="7"/>
      <c r="C14" s="7"/>
      <c r="D14" s="7"/>
      <c r="E14" s="7">
        <f t="shared" si="0"/>
        <v>0</v>
      </c>
      <c r="F14" s="7" t="s">
        <v>81</v>
      </c>
      <c r="G14" s="7"/>
      <c r="H14" s="7"/>
      <c r="I14" s="7">
        <f t="shared" si="1"/>
        <v>0</v>
      </c>
      <c r="J14" s="7"/>
      <c r="K14" s="7"/>
      <c r="L14" s="7">
        <f t="shared" si="2"/>
        <v>0</v>
      </c>
    </row>
    <row r="15" spans="1:12" x14ac:dyDescent="0.3">
      <c r="B15" s="7"/>
      <c r="C15" s="7"/>
      <c r="D15" s="7"/>
      <c r="E15" s="7">
        <f t="shared" si="0"/>
        <v>0</v>
      </c>
      <c r="F15" s="7"/>
      <c r="G15" s="7"/>
      <c r="H15" s="7"/>
      <c r="I15" s="7">
        <f t="shared" si="1"/>
        <v>0</v>
      </c>
      <c r="J15" s="7"/>
      <c r="K15" s="7"/>
      <c r="L15" s="7">
        <f t="shared" si="2"/>
        <v>0</v>
      </c>
    </row>
    <row r="16" spans="1:12" x14ac:dyDescent="0.3">
      <c r="B16" s="7"/>
      <c r="C16" s="7"/>
      <c r="D16" s="7"/>
      <c r="E16" s="7">
        <f t="shared" si="0"/>
        <v>0</v>
      </c>
      <c r="F16" s="7"/>
      <c r="G16" s="7"/>
      <c r="H16" s="7"/>
      <c r="I16" s="7">
        <f t="shared" si="1"/>
        <v>0</v>
      </c>
      <c r="J16" s="7"/>
      <c r="K16" s="7"/>
      <c r="L16" s="7">
        <f t="shared" si="2"/>
        <v>0</v>
      </c>
    </row>
    <row r="17" spans="2:12" x14ac:dyDescent="0.3">
      <c r="B17" s="7" t="s">
        <v>84</v>
      </c>
      <c r="C17" s="7"/>
      <c r="D17" s="7"/>
      <c r="E17" s="7">
        <f t="shared" si="0"/>
        <v>0</v>
      </c>
      <c r="F17" s="7" t="s">
        <v>80</v>
      </c>
      <c r="G17" s="7"/>
      <c r="H17" s="7"/>
      <c r="I17" s="7">
        <f t="shared" si="1"/>
        <v>0</v>
      </c>
      <c r="J17" s="7"/>
      <c r="K17" s="7"/>
      <c r="L17" s="7">
        <f t="shared" si="2"/>
        <v>0</v>
      </c>
    </row>
    <row r="18" spans="2:12" x14ac:dyDescent="0.3">
      <c r="B18" s="7"/>
      <c r="C18" s="7"/>
      <c r="D18" s="7"/>
      <c r="E18" s="7">
        <f t="shared" si="0"/>
        <v>0</v>
      </c>
      <c r="F18" s="7" t="s">
        <v>81</v>
      </c>
      <c r="G18" s="7"/>
      <c r="H18" s="7"/>
      <c r="I18" s="7">
        <f t="shared" si="1"/>
        <v>0</v>
      </c>
      <c r="J18" s="7"/>
      <c r="K18" s="7"/>
      <c r="L18" s="7">
        <f t="shared" si="2"/>
        <v>0</v>
      </c>
    </row>
    <row r="19" spans="2:12" x14ac:dyDescent="0.3">
      <c r="B19" s="7"/>
      <c r="C19" s="7"/>
      <c r="D19" s="7"/>
      <c r="E19" s="7">
        <f t="shared" si="0"/>
        <v>0</v>
      </c>
      <c r="F19" s="7"/>
      <c r="G19" s="7"/>
      <c r="H19" s="7"/>
      <c r="I19" s="7">
        <f t="shared" si="1"/>
        <v>0</v>
      </c>
      <c r="J19" s="7"/>
      <c r="K19" s="7"/>
      <c r="L19" s="7">
        <f t="shared" si="2"/>
        <v>0</v>
      </c>
    </row>
    <row r="20" spans="2:12" x14ac:dyDescent="0.3">
      <c r="B20" s="7" t="s">
        <v>84</v>
      </c>
      <c r="C20" s="7"/>
      <c r="D20" s="7"/>
      <c r="E20" s="7">
        <f t="shared" si="0"/>
        <v>0</v>
      </c>
      <c r="F20" s="7" t="s">
        <v>80</v>
      </c>
      <c r="G20" s="7"/>
      <c r="H20" s="7"/>
      <c r="I20" s="7">
        <f t="shared" si="1"/>
        <v>0</v>
      </c>
      <c r="J20" s="7"/>
      <c r="K20" s="7"/>
      <c r="L20" s="7">
        <f t="shared" si="2"/>
        <v>0</v>
      </c>
    </row>
    <row r="21" spans="2:12" x14ac:dyDescent="0.3">
      <c r="B21" s="7"/>
      <c r="C21" s="7"/>
      <c r="D21" s="7"/>
      <c r="E21" s="7">
        <f t="shared" si="0"/>
        <v>0</v>
      </c>
      <c r="F21" s="7" t="s">
        <v>81</v>
      </c>
      <c r="G21" s="7"/>
      <c r="H21" s="7"/>
      <c r="I21" s="7">
        <f t="shared" si="1"/>
        <v>0</v>
      </c>
      <c r="J21" s="7"/>
      <c r="K21" s="7"/>
      <c r="L21" s="7">
        <f t="shared" si="2"/>
        <v>0</v>
      </c>
    </row>
    <row r="22" spans="2:12" x14ac:dyDescent="0.3">
      <c r="B22" s="7"/>
      <c r="C22" s="7"/>
      <c r="D22" s="7"/>
      <c r="E22" s="7">
        <f t="shared" si="0"/>
        <v>0</v>
      </c>
      <c r="F22" s="7"/>
      <c r="G22" s="7"/>
      <c r="H22" s="7"/>
      <c r="I22" s="7">
        <f t="shared" si="1"/>
        <v>0</v>
      </c>
      <c r="J22" s="7"/>
      <c r="K22" s="7"/>
      <c r="L22" s="7">
        <f t="shared" si="2"/>
        <v>0</v>
      </c>
    </row>
    <row r="23" spans="2:12" x14ac:dyDescent="0.3">
      <c r="B23" s="7" t="s">
        <v>85</v>
      </c>
      <c r="C23" s="7"/>
      <c r="D23" s="7"/>
      <c r="E23" s="7">
        <f t="shared" si="0"/>
        <v>0</v>
      </c>
      <c r="F23" s="7" t="s">
        <v>86</v>
      </c>
      <c r="G23" s="7"/>
      <c r="H23" s="7"/>
      <c r="I23" s="7">
        <f t="shared" si="1"/>
        <v>0</v>
      </c>
      <c r="J23" s="7"/>
      <c r="K23" s="7"/>
      <c r="L23" s="7">
        <f t="shared" si="2"/>
        <v>0</v>
      </c>
    </row>
    <row r="24" spans="2:12" x14ac:dyDescent="0.3">
      <c r="B24" s="7" t="s">
        <v>87</v>
      </c>
      <c r="C24" s="7"/>
      <c r="D24" s="7"/>
      <c r="E24" s="7">
        <f t="shared" si="0"/>
        <v>0</v>
      </c>
      <c r="F24" s="7" t="s">
        <v>86</v>
      </c>
      <c r="G24" s="7"/>
      <c r="H24" s="7"/>
      <c r="I24" s="7">
        <f t="shared" si="1"/>
        <v>0</v>
      </c>
      <c r="J24" s="7"/>
      <c r="K24" s="7"/>
      <c r="L24" s="7">
        <f t="shared" si="2"/>
        <v>0</v>
      </c>
    </row>
    <row r="25" spans="2:12" x14ac:dyDescent="0.3">
      <c r="B25" s="7" t="s">
        <v>88</v>
      </c>
      <c r="C25" s="7"/>
      <c r="D25" s="7"/>
      <c r="E25" s="7">
        <f t="shared" si="0"/>
        <v>0</v>
      </c>
      <c r="F25" s="7" t="s">
        <v>86</v>
      </c>
      <c r="G25" s="7"/>
      <c r="H25" s="7"/>
      <c r="I25" s="7">
        <f t="shared" si="1"/>
        <v>0</v>
      </c>
      <c r="J25" s="7"/>
      <c r="K25" s="7"/>
      <c r="L25" s="7">
        <f t="shared" si="2"/>
        <v>0</v>
      </c>
    </row>
    <row r="26" spans="2:12" x14ac:dyDescent="0.3">
      <c r="B26" s="7"/>
      <c r="C26" s="7"/>
      <c r="D26" s="7"/>
      <c r="E26" s="7">
        <f t="shared" si="0"/>
        <v>0</v>
      </c>
      <c r="F26" s="7"/>
      <c r="G26" s="7"/>
      <c r="H26" s="7"/>
      <c r="I26" s="7">
        <f t="shared" si="1"/>
        <v>0</v>
      </c>
      <c r="J26" s="7"/>
      <c r="K26" s="7"/>
      <c r="L26" s="7">
        <f t="shared" si="2"/>
        <v>0</v>
      </c>
    </row>
    <row r="27" spans="2:12" x14ac:dyDescent="0.3">
      <c r="B27" s="7" t="s">
        <v>89</v>
      </c>
      <c r="C27" s="7"/>
      <c r="D27" s="7"/>
      <c r="E27" s="7">
        <f t="shared" si="0"/>
        <v>0</v>
      </c>
      <c r="F27" s="7"/>
      <c r="G27" s="7"/>
      <c r="H27" s="7"/>
      <c r="I27" s="7">
        <f t="shared" si="1"/>
        <v>0</v>
      </c>
      <c r="J27" s="7"/>
      <c r="K27" s="7"/>
      <c r="L27" s="7">
        <f t="shared" si="2"/>
        <v>0</v>
      </c>
    </row>
    <row r="28" spans="2:12" x14ac:dyDescent="0.3">
      <c r="B28" s="7" t="s">
        <v>90</v>
      </c>
      <c r="C28" s="7"/>
      <c r="D28" s="7"/>
      <c r="E28" s="7">
        <f t="shared" si="0"/>
        <v>0</v>
      </c>
      <c r="F28" s="7"/>
      <c r="G28" s="7"/>
      <c r="H28" s="7"/>
      <c r="I28" s="7">
        <f t="shared" si="1"/>
        <v>0</v>
      </c>
      <c r="J28" s="7"/>
      <c r="K28" s="7"/>
      <c r="L28" s="7">
        <f t="shared" si="2"/>
        <v>0</v>
      </c>
    </row>
    <row r="29" spans="2:12" x14ac:dyDescent="0.3">
      <c r="B29" s="7" t="s">
        <v>91</v>
      </c>
      <c r="C29" s="7"/>
      <c r="D29" s="7"/>
      <c r="E29" s="7">
        <f t="shared" si="0"/>
        <v>0</v>
      </c>
      <c r="F29" s="7"/>
      <c r="G29" s="7"/>
      <c r="H29" s="7"/>
      <c r="I29" s="7">
        <f t="shared" si="1"/>
        <v>0</v>
      </c>
      <c r="J29" s="7"/>
      <c r="K29" s="7"/>
      <c r="L29" s="7">
        <f t="shared" si="2"/>
        <v>0</v>
      </c>
    </row>
    <row r="30" spans="2:12" x14ac:dyDescent="0.3">
      <c r="B30" s="7" t="s">
        <v>92</v>
      </c>
      <c r="C30" s="7"/>
      <c r="D30" s="7"/>
      <c r="E30" s="7">
        <f t="shared" si="0"/>
        <v>0</v>
      </c>
      <c r="F30" s="7"/>
      <c r="G30" s="7"/>
      <c r="H30" s="7"/>
      <c r="I30" s="7">
        <f>G30*H30</f>
        <v>0</v>
      </c>
      <c r="J30" s="7"/>
      <c r="K30" s="7"/>
      <c r="L30" s="7">
        <f>J30*K30</f>
        <v>0</v>
      </c>
    </row>
    <row r="31" spans="2:12" x14ac:dyDescent="0.3">
      <c r="B31" s="7"/>
      <c r="C31" s="7"/>
      <c r="D31" s="7"/>
      <c r="E31" s="7">
        <f t="shared" si="0"/>
        <v>0</v>
      </c>
      <c r="F31" s="7"/>
      <c r="G31" s="7"/>
      <c r="H31" s="7"/>
      <c r="I31" s="7">
        <f>G31*H31</f>
        <v>0</v>
      </c>
      <c r="J31" s="7"/>
      <c r="K31" s="7"/>
      <c r="L31" s="7">
        <f>J31*K31</f>
        <v>0</v>
      </c>
    </row>
    <row r="32" spans="2:12" x14ac:dyDescent="0.3">
      <c r="B32" s="7"/>
      <c r="C32" s="7"/>
      <c r="D32" s="7"/>
      <c r="E32" s="7">
        <f t="shared" si="0"/>
        <v>0</v>
      </c>
      <c r="F32" s="7"/>
      <c r="G32" s="7"/>
      <c r="H32" s="7"/>
      <c r="I32" s="7">
        <f>G32*H32</f>
        <v>0</v>
      </c>
      <c r="J32" s="7"/>
      <c r="K32" s="7"/>
      <c r="L32" s="7">
        <f>J32*K32</f>
        <v>0</v>
      </c>
    </row>
    <row r="33" spans="2:12" x14ac:dyDescent="0.3">
      <c r="B33" s="7"/>
      <c r="C33" s="7"/>
      <c r="D33" s="7"/>
      <c r="E33" s="7">
        <f t="shared" si="0"/>
        <v>0</v>
      </c>
      <c r="F33" s="7"/>
      <c r="G33" s="7"/>
      <c r="H33" s="7"/>
      <c r="I33" s="7">
        <f>G33*H33</f>
        <v>0</v>
      </c>
      <c r="J33" s="7"/>
      <c r="K33" s="7"/>
      <c r="L33" s="7">
        <f>J33*K33</f>
        <v>0</v>
      </c>
    </row>
    <row r="34" spans="2:12" x14ac:dyDescent="0.3">
      <c r="B34" s="7" t="s">
        <v>60</v>
      </c>
      <c r="C34" s="7"/>
      <c r="D34" s="7">
        <f>E34*10.764</f>
        <v>0</v>
      </c>
      <c r="E34" s="7">
        <f>SUM(E6:E33)</f>
        <v>0</v>
      </c>
      <c r="F34" s="7"/>
      <c r="G34" s="7"/>
      <c r="H34" s="7">
        <f>I34*10.764</f>
        <v>0</v>
      </c>
      <c r="I34" s="7">
        <f>SUM(I6:I33)</f>
        <v>0</v>
      </c>
      <c r="J34" s="7"/>
      <c r="K34" s="7">
        <f>L34*10.764</f>
        <v>0</v>
      </c>
      <c r="L34" s="7">
        <f>SUM(L6:L33)</f>
        <v>0</v>
      </c>
    </row>
    <row r="36" spans="2:12" x14ac:dyDescent="0.3">
      <c r="D36">
        <f>D34+H34</f>
        <v>0</v>
      </c>
      <c r="E36">
        <f>E34+I34</f>
        <v>0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I16"/>
  <sheetViews>
    <sheetView zoomScale="115" zoomScaleNormal="115" workbookViewId="0">
      <selection activeCell="D13" sqref="D13"/>
    </sheetView>
  </sheetViews>
  <sheetFormatPr defaultColWidth="8.77734375" defaultRowHeight="14.4" x14ac:dyDescent="0.3"/>
  <cols>
    <col min="1" max="1" width="8.77734375" style="22"/>
    <col min="2" max="2" width="22.21875" style="22" customWidth="1"/>
    <col min="3" max="3" width="37" style="22" customWidth="1"/>
    <col min="4" max="5" width="11.44140625" style="22" customWidth="1"/>
    <col min="6" max="6" width="14" style="22" customWidth="1"/>
    <col min="7" max="7" width="20" style="22" customWidth="1"/>
    <col min="8" max="8" width="16.44140625" style="22" customWidth="1"/>
    <col min="9" max="16384" width="8.77734375" style="22"/>
  </cols>
  <sheetData>
    <row r="1" spans="1:9" ht="15" customHeight="1" x14ac:dyDescent="0.3"/>
    <row r="2" spans="1:9" ht="15" customHeight="1" x14ac:dyDescent="0.3">
      <c r="A2" s="23"/>
      <c r="B2" s="23"/>
      <c r="C2" s="23"/>
      <c r="D2" s="23"/>
      <c r="E2" s="23"/>
      <c r="F2" s="23"/>
      <c r="G2" s="23"/>
      <c r="H2" s="23"/>
    </row>
    <row r="3" spans="1:9" ht="15.75" customHeight="1" x14ac:dyDescent="0.3">
      <c r="A3" s="23"/>
      <c r="B3" s="186" t="s">
        <v>131</v>
      </c>
      <c r="C3" s="186"/>
      <c r="D3" s="186"/>
      <c r="E3" s="186"/>
      <c r="F3" s="186"/>
      <c r="G3" s="186"/>
      <c r="H3" s="186"/>
    </row>
    <row r="4" spans="1:9" x14ac:dyDescent="0.3">
      <c r="A4" s="23"/>
      <c r="B4" s="24" t="s">
        <v>132</v>
      </c>
      <c r="C4" s="24" t="s">
        <v>133</v>
      </c>
      <c r="D4" s="24" t="s">
        <v>72</v>
      </c>
      <c r="E4" s="24" t="s">
        <v>134</v>
      </c>
      <c r="F4" s="24" t="s">
        <v>141</v>
      </c>
      <c r="G4" s="24" t="s">
        <v>142</v>
      </c>
      <c r="H4" s="24" t="s">
        <v>135</v>
      </c>
    </row>
    <row r="5" spans="1:9" ht="15" customHeight="1" x14ac:dyDescent="0.3">
      <c r="A5" s="23"/>
      <c r="B5" s="26" t="s">
        <v>136</v>
      </c>
      <c r="C5" s="27"/>
      <c r="D5" s="26" t="s">
        <v>137</v>
      </c>
      <c r="E5" s="26">
        <v>1106</v>
      </c>
      <c r="F5" s="28">
        <f>E5*1.6</f>
        <v>1769.6000000000001</v>
      </c>
      <c r="G5" s="28">
        <f>H5/F5</f>
        <v>31532.549728752259</v>
      </c>
      <c r="H5" s="29">
        <v>55800000</v>
      </c>
    </row>
    <row r="6" spans="1:9" x14ac:dyDescent="0.3">
      <c r="A6" s="23"/>
      <c r="B6" s="26" t="s">
        <v>136</v>
      </c>
      <c r="C6" s="30"/>
      <c r="D6" s="26"/>
      <c r="E6" s="26"/>
      <c r="F6" s="28">
        <f t="shared" ref="F6:F11" si="0">E6*1.6</f>
        <v>0</v>
      </c>
      <c r="G6" s="28" t="e">
        <f t="shared" ref="G6:G11" si="1">H6/F6</f>
        <v>#DIV/0!</v>
      </c>
      <c r="H6" s="29"/>
    </row>
    <row r="7" spans="1:9" ht="15" customHeight="1" x14ac:dyDescent="0.3">
      <c r="A7" s="23"/>
      <c r="B7" s="26" t="s">
        <v>136</v>
      </c>
      <c r="C7" s="27"/>
      <c r="D7" s="26"/>
      <c r="E7" s="26"/>
      <c r="F7" s="28">
        <f t="shared" si="0"/>
        <v>0</v>
      </c>
      <c r="G7" s="28" t="e">
        <f t="shared" si="1"/>
        <v>#DIV/0!</v>
      </c>
      <c r="H7" s="29"/>
    </row>
    <row r="8" spans="1:9" x14ac:dyDescent="0.3">
      <c r="A8" s="23"/>
      <c r="B8" s="26" t="s">
        <v>136</v>
      </c>
      <c r="C8" s="30"/>
      <c r="D8" s="26"/>
      <c r="E8" s="26"/>
      <c r="F8" s="28">
        <f t="shared" si="0"/>
        <v>0</v>
      </c>
      <c r="G8" s="28" t="e">
        <f t="shared" si="1"/>
        <v>#DIV/0!</v>
      </c>
      <c r="H8" s="29"/>
    </row>
    <row r="9" spans="1:9" ht="15" customHeight="1" x14ac:dyDescent="0.3">
      <c r="A9" s="23"/>
      <c r="B9" s="26" t="s">
        <v>136</v>
      </c>
      <c r="C9" s="30"/>
      <c r="D9" s="26"/>
      <c r="E9" s="26"/>
      <c r="F9" s="28">
        <f t="shared" si="0"/>
        <v>0</v>
      </c>
      <c r="G9" s="28" t="e">
        <f t="shared" si="1"/>
        <v>#DIV/0!</v>
      </c>
      <c r="H9" s="29"/>
    </row>
    <row r="10" spans="1:9" ht="15" customHeight="1" x14ac:dyDescent="0.3">
      <c r="A10" s="23"/>
      <c r="B10" s="26" t="s">
        <v>138</v>
      </c>
      <c r="C10" s="27"/>
      <c r="D10" s="26"/>
      <c r="E10" s="26"/>
      <c r="F10" s="28">
        <f t="shared" si="0"/>
        <v>0</v>
      </c>
      <c r="G10" s="28" t="e">
        <f t="shared" si="1"/>
        <v>#DIV/0!</v>
      </c>
      <c r="H10" s="29"/>
    </row>
    <row r="11" spans="1:9" ht="15" customHeight="1" x14ac:dyDescent="0.3">
      <c r="A11" s="23"/>
      <c r="B11" s="26" t="s">
        <v>138</v>
      </c>
      <c r="C11" s="27"/>
      <c r="D11" s="26"/>
      <c r="E11" s="26"/>
      <c r="F11" s="28">
        <f t="shared" si="0"/>
        <v>0</v>
      </c>
      <c r="G11" s="28" t="e">
        <f t="shared" si="1"/>
        <v>#DIV/0!</v>
      </c>
      <c r="H11" s="29"/>
    </row>
    <row r="12" spans="1:9" ht="15" customHeight="1" x14ac:dyDescent="0.3">
      <c r="A12" s="23"/>
      <c r="B12" s="31" t="s">
        <v>139</v>
      </c>
      <c r="C12" s="26"/>
      <c r="D12" s="26"/>
      <c r="E12" s="26"/>
      <c r="F12" s="26"/>
      <c r="G12" s="32" t="e">
        <f>AVERAGE(G5:G11)</f>
        <v>#DIV/0!</v>
      </c>
      <c r="H12" s="26"/>
    </row>
    <row r="13" spans="1:9" ht="15" customHeight="1" x14ac:dyDescent="0.3">
      <c r="B13" s="31" t="s">
        <v>140</v>
      </c>
      <c r="C13" s="26"/>
      <c r="D13" s="26"/>
      <c r="E13" s="26"/>
      <c r="F13" s="33"/>
      <c r="G13" s="31"/>
      <c r="H13" s="31"/>
      <c r="I13" s="25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"/>
  <sheetViews>
    <sheetView workbookViewId="0">
      <selection activeCell="G16" sqref="G16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Report</vt:lpstr>
      <vt:lpstr>Sheet1</vt:lpstr>
      <vt:lpstr>Flat detail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Kunal Kadam</cp:lastModifiedBy>
  <cp:lastPrinted>2025-07-14T12:50:06Z</cp:lastPrinted>
  <dcterms:created xsi:type="dcterms:W3CDTF">2019-07-16T09:29:46Z</dcterms:created>
  <dcterms:modified xsi:type="dcterms:W3CDTF">2025-07-14T12:50:08Z</dcterms:modified>
</cp:coreProperties>
</file>