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B51905D7-8ADB-420B-BFFF-6A50E7FC14A7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Report!$A$1:$H$304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7" i="1" l="1"/>
  <c r="A168" i="1" s="1"/>
  <c r="F147" i="1"/>
  <c r="F118" i="1"/>
  <c r="D163" i="1"/>
  <c r="F163" i="1" s="1"/>
  <c r="D162" i="1"/>
  <c r="F162" i="1" s="1"/>
  <c r="D161" i="1"/>
  <c r="F161" i="1" s="1"/>
  <c r="D160" i="1"/>
  <c r="F160" i="1" s="1"/>
  <c r="A160" i="1"/>
  <c r="A161" i="1" s="1"/>
  <c r="A162" i="1" s="1"/>
  <c r="A163" i="1" s="1"/>
  <c r="G159" i="1"/>
  <c r="D159" i="1"/>
  <c r="F159" i="1" s="1"/>
  <c r="D157" i="1"/>
  <c r="F157" i="1" s="1"/>
  <c r="D156" i="1"/>
  <c r="F156" i="1" s="1"/>
  <c r="D155" i="1"/>
  <c r="F155" i="1" s="1"/>
  <c r="D154" i="1"/>
  <c r="F154" i="1" s="1"/>
  <c r="D153" i="1"/>
  <c r="F153" i="1" s="1"/>
  <c r="A153" i="1"/>
  <c r="A154" i="1" s="1"/>
  <c r="A155" i="1" s="1"/>
  <c r="A156" i="1" s="1"/>
  <c r="A157" i="1" s="1"/>
  <c r="G152" i="1"/>
  <c r="D152" i="1"/>
  <c r="F152" i="1" s="1"/>
  <c r="D149" i="1"/>
  <c r="F149" i="1" s="1"/>
  <c r="D148" i="1"/>
  <c r="F148" i="1" s="1"/>
  <c r="D147" i="1"/>
  <c r="D146" i="1"/>
  <c r="F146" i="1" s="1"/>
  <c r="A146" i="1"/>
  <c r="A147" i="1" s="1"/>
  <c r="A148" i="1" s="1"/>
  <c r="A149" i="1" s="1"/>
  <c r="A150" i="1" s="1"/>
  <c r="G145" i="1"/>
  <c r="D145" i="1"/>
  <c r="F145" i="1" s="1"/>
  <c r="D143" i="1"/>
  <c r="F143" i="1" s="1"/>
  <c r="D142" i="1"/>
  <c r="F142" i="1" s="1"/>
  <c r="D141" i="1"/>
  <c r="F141" i="1" s="1"/>
  <c r="D140" i="1"/>
  <c r="F140" i="1" s="1"/>
  <c r="D139" i="1"/>
  <c r="F139" i="1" s="1"/>
  <c r="A139" i="1"/>
  <c r="A140" i="1" s="1"/>
  <c r="A141" i="1" s="1"/>
  <c r="A142" i="1" s="1"/>
  <c r="A143" i="1" s="1"/>
  <c r="G138" i="1"/>
  <c r="D138" i="1"/>
  <c r="F138" i="1" s="1"/>
  <c r="D136" i="1"/>
  <c r="F136" i="1" s="1"/>
  <c r="D135" i="1"/>
  <c r="F135" i="1" s="1"/>
  <c r="D134" i="1"/>
  <c r="F134" i="1" s="1"/>
  <c r="D133" i="1"/>
  <c r="F133" i="1" s="1"/>
  <c r="D132" i="1"/>
  <c r="F132" i="1" s="1"/>
  <c r="A132" i="1"/>
  <c r="A133" i="1" s="1"/>
  <c r="A134" i="1" s="1"/>
  <c r="A135" i="1" s="1"/>
  <c r="A136" i="1" s="1"/>
  <c r="G131" i="1"/>
  <c r="D131" i="1"/>
  <c r="F131" i="1" s="1"/>
  <c r="D128" i="1"/>
  <c r="F128" i="1" s="1"/>
  <c r="D127" i="1"/>
  <c r="F127" i="1" s="1"/>
  <c r="D126" i="1"/>
  <c r="F126" i="1" s="1"/>
  <c r="D125" i="1"/>
  <c r="F125" i="1" s="1"/>
  <c r="A125" i="1"/>
  <c r="A126" i="1" s="1"/>
  <c r="A127" i="1" s="1"/>
  <c r="A128" i="1" s="1"/>
  <c r="A129" i="1" s="1"/>
  <c r="G124" i="1"/>
  <c r="D124" i="1"/>
  <c r="F124" i="1" s="1"/>
  <c r="D122" i="1"/>
  <c r="F122" i="1" s="1"/>
  <c r="D121" i="1"/>
  <c r="F121" i="1" s="1"/>
  <c r="D120" i="1"/>
  <c r="F120" i="1" s="1"/>
  <c r="D119" i="1"/>
  <c r="F119" i="1" s="1"/>
  <c r="D118" i="1"/>
  <c r="A118" i="1"/>
  <c r="A119" i="1" s="1"/>
  <c r="A120" i="1" s="1"/>
  <c r="A121" i="1" s="1"/>
  <c r="A122" i="1" s="1"/>
  <c r="G117" i="1"/>
  <c r="D117" i="1"/>
  <c r="A170" i="1"/>
  <c r="A171" i="1" s="1"/>
  <c r="A172" i="1" s="1"/>
  <c r="A173" i="1" s="1"/>
  <c r="A174" i="1" s="1"/>
  <c r="A175" i="1" s="1"/>
  <c r="A176" i="1" s="1"/>
  <c r="D189" i="1"/>
  <c r="E95" i="1" l="1"/>
  <c r="E96" i="1" s="1"/>
  <c r="F117" i="1"/>
  <c r="G95" i="1" s="1"/>
  <c r="G96" i="1" s="1"/>
  <c r="C95" i="1"/>
  <c r="C96" i="1" s="1"/>
  <c r="C61" i="1"/>
  <c r="H62" i="1"/>
  <c r="J63" i="1" l="1"/>
  <c r="J64" i="1"/>
  <c r="J65" i="1"/>
  <c r="C65" i="1" s="1"/>
  <c r="J66" i="1"/>
  <c r="J67" i="1" s="1"/>
  <c r="J72" i="1" s="1"/>
  <c r="J73" i="1" s="1"/>
  <c r="C66" i="1" s="1"/>
  <c r="D67" i="1"/>
  <c r="D68" i="1"/>
  <c r="J68" i="1"/>
  <c r="D69" i="1"/>
  <c r="J69" i="1"/>
  <c r="D70" i="1"/>
  <c r="J70" i="1"/>
  <c r="D71" i="1"/>
  <c r="J71" i="1"/>
  <c r="D72" i="1"/>
  <c r="D73" i="1"/>
  <c r="D74" i="1"/>
  <c r="E65" i="1" l="1"/>
  <c r="D66" i="1"/>
  <c r="D65" i="1"/>
  <c r="G65" i="1"/>
  <c r="I119" i="1" l="1"/>
  <c r="D107" i="1"/>
  <c r="I113" i="1" l="1"/>
  <c r="I114" i="1"/>
  <c r="D106" i="1"/>
  <c r="D108" i="1"/>
  <c r="D109" i="1"/>
  <c r="I103" i="1"/>
  <c r="C48" i="1"/>
  <c r="C91" i="1" l="1"/>
  <c r="C92" i="1" s="1"/>
  <c r="C97" i="1" s="1"/>
  <c r="E91" i="1"/>
  <c r="E92" i="1" s="1"/>
  <c r="E97" i="1" s="1"/>
  <c r="G106" i="1" l="1"/>
  <c r="I85" i="1"/>
  <c r="I82" i="1"/>
  <c r="I124" i="1"/>
  <c r="E41" i="1"/>
  <c r="E42" i="1" s="1"/>
  <c r="O105" i="1"/>
  <c r="F109" i="1" l="1"/>
  <c r="F108" i="1"/>
  <c r="F107" i="1"/>
  <c r="F106" i="1"/>
  <c r="G91" i="1" l="1"/>
  <c r="G92" i="1" s="1"/>
  <c r="G97" i="1" s="1"/>
  <c r="P113" i="1"/>
  <c r="P98" i="1"/>
  <c r="O113" i="1"/>
  <c r="O98" i="1"/>
  <c r="P114" i="1" l="1"/>
  <c r="P115" i="1" s="1"/>
  <c r="P116" i="1" s="1"/>
  <c r="P117" i="1" s="1"/>
  <c r="P118" i="1" s="1"/>
  <c r="O114" i="1"/>
  <c r="N113" i="1"/>
  <c r="P99" i="1"/>
  <c r="P100" i="1" s="1"/>
  <c r="N98" i="1"/>
  <c r="O99" i="1"/>
  <c r="D58" i="1"/>
  <c r="O115" i="1" l="1"/>
  <c r="N114" i="1"/>
  <c r="P101" i="1"/>
  <c r="P103" i="1" s="1"/>
  <c r="P102" i="1"/>
  <c r="N99" i="1"/>
  <c r="O100" i="1"/>
  <c r="O102" i="1" s="1"/>
  <c r="O116" i="1" l="1"/>
  <c r="N115" i="1"/>
  <c r="N102" i="1"/>
  <c r="O101" i="1"/>
  <c r="N100" i="1"/>
  <c r="G48" i="1"/>
  <c r="O117" i="1" l="1"/>
  <c r="N116" i="1"/>
  <c r="O103" i="1"/>
  <c r="N103" i="1" s="1"/>
  <c r="N101" i="1"/>
  <c r="O118" i="1" l="1"/>
  <c r="N118" i="1" s="1"/>
  <c r="N117" i="1"/>
  <c r="P105" i="1"/>
  <c r="I60" i="1" l="1"/>
  <c r="C63" i="1" s="1"/>
  <c r="N105" i="1"/>
  <c r="D60" i="1" l="1"/>
  <c r="F75" i="1" s="1"/>
  <c r="C14" i="1" l="1"/>
  <c r="E3" i="1" l="1"/>
  <c r="O106" i="1" l="1"/>
  <c r="P106" i="1" l="1"/>
  <c r="P107" i="1" s="1"/>
  <c r="P108" i="1" s="1"/>
  <c r="P109" i="1" s="1"/>
  <c r="P110" i="1" s="1"/>
  <c r="O107" i="1"/>
  <c r="E25" i="1"/>
  <c r="E23" i="1"/>
  <c r="N106" i="1" l="1"/>
  <c r="N107" i="1"/>
  <c r="O108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N108" i="1" l="1"/>
  <c r="O109" i="1"/>
  <c r="G12" i="5"/>
  <c r="O110" i="1" l="1"/>
  <c r="N110" i="1" s="1"/>
  <c r="N109" i="1"/>
  <c r="E7" i="1" l="1"/>
  <c r="F88" i="1" l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F1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<sst xmlns="http://schemas.openxmlformats.org/spreadsheetml/2006/main" count="399" uniqueCount="261">
  <si>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</si>
  <si>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</si>
  <si>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</si>
  <si>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</si>
  <si>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</si>
  <si>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</si>
  <si>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</si>
  <si>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</si>
  <si>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</si>
  <si>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</si>
  <si>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</si>
  <si>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</si>
  <si>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</si>
  <si>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</si>
  <si>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</si>
  <si>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</si>
  <si>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</si>
  <si>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</si>
  <si>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</si>
  <si>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</si>
  <si>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</si>
  <si>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</si>
  <si>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</si>
  <si>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</si>
  <si>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</si>
  <si>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</si>
  <si>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</si>
  <si>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</si>
  <si>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</si>
  <si>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</si>
  <si>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</si>
  <si>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</si>
  <si>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</si>
  <si>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</si>
  <si>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</si>
  <si>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</si>
  <si>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</si>
  <si>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</si>
  <si>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</si>
  <si>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</si>
  <si>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</si>
  <si>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</si>
  <si>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</si>
  <si>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</si>
  <si>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</si>
  <si>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</si>
  <si>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</si>
  <si>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</si>
  <si>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</si>
  <si>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</si>
  <si>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</si>
  <si>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</si>
  <si>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</si>
  <si>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</si>
  <si>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</si>
  <si>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</si>
  <si>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</si>
  <si>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</si>
  <si>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</si>
  <si>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</si>
  <si>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</si>
  <si>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Description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</si>
  <si>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</si>
  <si>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</si>
  <si>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</si>
  <si>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</si>
  <si>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</si>
  <si>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</si>
  <si>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</si>
  <si>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</si>
  <si>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</si>
  <si>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</si>
  <si>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</si>
  <si>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</si>
  <si>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</si>
  <si>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</si>
  <si>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</si>
  <si>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</si>
  <si>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</si>
  <si>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</si>
  <si>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</si>
  <si>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</si>
  <si>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</si>
  <si>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</si>
  <si>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</si>
  <si>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</si>
  <si>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</si>
  <si>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</si>
  <si>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</si>
  <si>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</si>
  <si>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</si>
  <si>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</si>
  <si>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</si>
  <si>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</si>
  <si>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</si>
  <si>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</si>
  <si>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</si>
  <si>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</si>
  <si>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</si>
  <si>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</si>
  <si>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</si>
  <si>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</si>
  <si>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</si>
  <si>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</si>
  <si>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</si>
  <si>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</si>
  <si>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</si>
  <si>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</si>
  <si>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</si>
  <si>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</si>
  <si>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</si>
  <si>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</si>
  <si>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</si>
  <si>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</si>
  <si>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</si>
  <si>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</si>
  <si>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</si>
  <si>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</si>
  <si>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</si>
  <si>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</si>
  <si>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</si>
  <si>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Legal Services Charges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</si>
  <si>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</si>
  <si>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</si>
  <si>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</si>
  <si>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</si>
  <si>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</si>
  <si>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</si>
  <si>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</si>
  <si>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</si>
  <si>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</si>
  <si>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</si>
  <si>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</si>
  <si>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</si>
  <si>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</si>
  <si>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</si>
  <si>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</si>
  <si>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</si>
  <si>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</si>
  <si>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</si>
  <si>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</si>
  <si>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</si>
  <si>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</si>
  <si>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</si>
  <si>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</si>
  <si>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</si>
  <si>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</si>
  <si>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</si>
  <si>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</si>
  <si>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</si>
  <si>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</si>
  <si>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</si>
  <si>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</si>
  <si>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</si>
  <si>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</si>
  <si>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</si>
  <si>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</si>
  <si>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</si>
  <si>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</si>
  <si>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</si>
  <si>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</si>
  <si>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</si>
  <si>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</si>
  <si>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</si>
  <si>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</si>
  <si>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</si>
  <si>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</si>
  <si>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</si>
  <si>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</si>
  <si>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</si>
  <si>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</si>
  <si>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</si>
  <si>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</si>
  <si>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</si>
  <si>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</si>
  <si>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Goregaon</t>
  </si>
  <si>
    <t>M/s.Shreeji Construction</t>
  </si>
  <si>
    <t>CTS No</t>
  </si>
  <si>
    <t>Valnai</t>
  </si>
  <si>
    <t>Gautam Buddh Marg</t>
  </si>
  <si>
    <t>Shreeji Aspire</t>
  </si>
  <si>
    <t>Slum Area</t>
  </si>
  <si>
    <t>Shreeji Plaza Wing B</t>
  </si>
  <si>
    <t>2BHK</t>
  </si>
  <si>
    <t>1BHK</t>
  </si>
  <si>
    <t>Rehab</t>
  </si>
  <si>
    <t>Shop</t>
  </si>
  <si>
    <t xml:space="preserve">Remarks: </t>
  </si>
  <si>
    <t>Borivali</t>
  </si>
  <si>
    <t>1(Pt), 2(Pt), 264, 265, 266, 216/1A, 216A/1A/1, 216A/1/4 to 10, 216A(pt), 216A/11 to 14</t>
  </si>
  <si>
    <t>Malad West</t>
  </si>
  <si>
    <t>Mumbai</t>
  </si>
  <si>
    <t>2.2 KM from Malad Railway Station</t>
  </si>
  <si>
    <t>Sale / Rehab</t>
  </si>
  <si>
    <t>B Wing</t>
  </si>
  <si>
    <t>5,00,000/-</t>
  </si>
  <si>
    <t>5000/-</t>
  </si>
  <si>
    <t>20,000/-</t>
  </si>
  <si>
    <t>Water, Electricity, Gas Connection</t>
  </si>
  <si>
    <t>40,000/-</t>
  </si>
  <si>
    <t>Approved Plans, CC, Sale Plans, Builder area sheet, Cost Sheet</t>
  </si>
  <si>
    <t>1,00,000/-</t>
  </si>
  <si>
    <t>25,000/-</t>
  </si>
  <si>
    <t>Site Meet Contact Person ( Name &amp; Contact No.)</t>
  </si>
  <si>
    <t>Advance Maintenance Charges</t>
  </si>
  <si>
    <t xml:space="preserve">Club Charges </t>
  </si>
  <si>
    <t>Latitude, Longitude</t>
  </si>
  <si>
    <t>Location Link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</si>
  <si>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                   Email : vsjcapf@gmail.com. Web site : www.vsjadon.com
</t>
  </si>
  <si>
    <t>We have updated latest CC from Rera (On 23/03/2024).</t>
  </si>
  <si>
    <t>P51800011168</t>
  </si>
  <si>
    <t xml:space="preserve">Commencement Certificate No.
Valid Up to: </t>
  </si>
  <si>
    <t>We have updated revised approved CC on 10/01/2025</t>
  </si>
  <si>
    <t>This C.C is re-endorsed &amp; further extended upto 38th floor of the Wing A &amp; B of sale bldg no.2, i.e for basement (Pt. for service) + Gr (Comm) + 1st to 3rd (Podium) + 4th (Podium/Amenity) + 5th to 38th Upper floor including OHWT &amp; LMR as per approved amended plans dated 19/12/2024</t>
  </si>
  <si>
    <t>Construction work is in process at the time of visit. Internal photographs was not allowed.</t>
  </si>
  <si>
    <t>Ground Floor For Commercial, Meter Room, BMS Room And Parking</t>
  </si>
  <si>
    <t>Sale</t>
  </si>
  <si>
    <t>Layout :</t>
  </si>
  <si>
    <t>Sale Building No.2 (Wing B)</t>
  </si>
  <si>
    <t>As per layout</t>
  </si>
  <si>
    <t>Other Plot</t>
  </si>
  <si>
    <t>12 M Wide Road/Rehab Building 2</t>
  </si>
  <si>
    <t>Composite Building 1</t>
  </si>
  <si>
    <t>19.199139,72.836333</t>
  </si>
  <si>
    <t>https://maps.app.goo.gl/FFq2yFsPH8EmJ3jXA</t>
  </si>
  <si>
    <t xml:space="preserve">01 Wing </t>
  </si>
  <si>
    <t>PN/MCGM/0009/20060623/AP/S2</t>
  </si>
  <si>
    <t>Name of Municipal Corporation/Authority</t>
  </si>
  <si>
    <t>Slum Rehabilitation Authority (SRA)</t>
  </si>
  <si>
    <t>Approved Builtup Area of Sale Building No.2 (Sq.Mt)</t>
  </si>
  <si>
    <r>
      <rPr>
        <sz val="12"/>
        <rFont val="Times New Roman"/>
        <family val="1"/>
      </rPr>
      <t xml:space="preserve">Designer Entrance lobby, Firefighting system, CCTV Surveillance, Hi Speed Elevators, Hassle free parking, Decorative compound wall &amp; Main gate 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</si>
  <si>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Sale Building No.2</t>
  </si>
  <si>
    <t>Basement Floor For Flush Tank, Fire Tank, Pump Room &amp; Domestic Tank</t>
  </si>
  <si>
    <t>Saleable area Loading :</t>
  </si>
  <si>
    <t>5th Floor</t>
  </si>
  <si>
    <t>6th Floor For Residential (Part Refuge Area)</t>
  </si>
  <si>
    <t>Refuge Area</t>
  </si>
  <si>
    <t>7th to 9th Floor</t>
  </si>
  <si>
    <t>10th to 12th, 14th to 19th, 21st &amp; 22nd Floor</t>
  </si>
  <si>
    <t>13th, 20th &amp; 27th Floor For Residential (Part Refuge Area)</t>
  </si>
  <si>
    <t>23rd to 26th, 28th to 33rd, 35th to 38th Floor</t>
  </si>
  <si>
    <t>34th Floor For Residential (Part Refuge Area)</t>
  </si>
  <si>
    <t>Grand Total</t>
  </si>
  <si>
    <t>Wing B = B + G + 1st to 4th Podium + 5th to 38th Floor</t>
  </si>
  <si>
    <t>Wing B</t>
  </si>
  <si>
    <t>Residential Area Details : (Sale Flat)</t>
  </si>
  <si>
    <t>Commercial Area Details : (Rehab Shop)</t>
  </si>
  <si>
    <t>Sale Flats - 199, Rehab Shops - 4</t>
  </si>
  <si>
    <t>We have considered Saleable area of Flats as per our Calculation.</t>
  </si>
  <si>
    <t>We have considered Saleable area of Commercial as per our Calculation.</t>
  </si>
  <si>
    <t>We have updated revised approved plans on 31/01/2025</t>
  </si>
  <si>
    <t>1st to 4th Floor For Podium Floor For Parking</t>
  </si>
  <si>
    <t xml:space="preserve">Details of Residential &amp; Commercial in Building   </t>
  </si>
  <si>
    <t>Building Details Floor Wise</t>
  </si>
  <si>
    <t>Gross Carpet
Area</t>
  </si>
  <si>
    <t>We considered Gross carpet area = RERA Carpet Area</t>
  </si>
  <si>
    <t>Construction stage is increased due to revision in proposed structure of project on 31/01/2025</t>
  </si>
  <si>
    <t>Bhakti : 8655425427</t>
  </si>
  <si>
    <t>Kunal Kadam</t>
  </si>
  <si>
    <t>Sanket Salvi</t>
  </si>
  <si>
    <t>As per RERA - 31/12/2025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</si>
</sst>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0.0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06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2" borderId="1" xfId="1" applyFont="1" applyFill="1" applyBorder="1" applyAlignment="1" applyProtection="1">
      <alignment horizontal="left"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7" fillId="0" borderId="11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9" fontId="8" fillId="0" borderId="17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1" xfId="0" applyFont="1" applyBorder="1" applyProtection="1">
      <protection hidden="1"/>
    </xf>
    <xf numFmtId="0" fontId="7" fillId="0" borderId="9" xfId="1" applyFont="1" applyBorder="1" applyProtection="1">
      <protection hidden="1"/>
    </xf>
    <xf numFmtId="0" fontId="17" fillId="0" borderId="12" xfId="0" applyFont="1" applyBorder="1" applyProtection="1">
      <protection hidden="1"/>
    </xf>
    <xf numFmtId="1" fontId="0" fillId="0" borderId="11" xfId="0" applyNumberFormat="1" applyBorder="1"/>
    <xf numFmtId="1" fontId="0" fillId="0" borderId="11" xfId="0" applyNumberFormat="1" applyBorder="1" applyAlignment="1">
      <alignment horizontal="right"/>
    </xf>
    <xf numFmtId="1" fontId="0" fillId="0" borderId="13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168" fontId="7" fillId="0" borderId="0" xfId="1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1" fontId="13" fillId="0" borderId="3" xfId="1" applyNumberFormat="1" applyFont="1" applyBorder="1" applyAlignment="1" applyProtection="1">
      <alignment horizontal="center" vertical="top" wrapText="1"/>
      <protection locked="0"/>
    </xf>
    <xf numFmtId="9" fontId="13" fillId="0" borderId="17" xfId="8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2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24" fillId="0" borderId="3" xfId="1" applyNumberFormat="1" applyFont="1" applyBorder="1" applyAlignment="1" applyProtection="1">
      <alignment horizontal="center" vertical="top" wrapText="1"/>
      <protection locked="0"/>
    </xf>
    <xf numFmtId="1" fontId="24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9" fontId="12" fillId="2" borderId="18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19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9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30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8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1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1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31" xfId="1" applyFont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center" vertical="top" wrapText="1"/>
      <protection locked="0"/>
    </xf>
    <xf numFmtId="0" fontId="12" fillId="0" borderId="32" xfId="1" applyFont="1" applyBorder="1" applyAlignment="1" applyProtection="1">
      <alignment horizontal="center" vertical="top" wrapText="1"/>
      <protection locked="0"/>
    </xf>
    <xf numFmtId="0" fontId="12" fillId="0" borderId="33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1" fontId="7" fillId="0" borderId="7" xfId="0" applyNumberFormat="1" applyFont="1" applyBorder="1" applyAlignment="1" applyProtection="1">
      <alignment horizontal="center" vertical="top" wrapText="1"/>
      <protection locked="0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0" fillId="0" borderId="1" xfId="1" applyFont="1" applyBorder="1" applyAlignment="1" applyProtection="1">
      <alignment horizontal="left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167" fontId="10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7" xfId="1" applyNumberFormat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2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/>
      <protection locked="0"/>
    </xf>
    <xf numFmtId="0" fontId="6" fillId="0" borderId="22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vertical="top"/>
      <protection locked="0"/>
    </xf>
    <xf numFmtId="0" fontId="6" fillId="0" borderId="22" xfId="1" applyFont="1" applyBorder="1" applyAlignment="1" applyProtection="1">
      <alignment vertical="top"/>
      <protection locked="0"/>
    </xf>
    <xf numFmtId="0" fontId="6" fillId="0" borderId="8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vertical="top"/>
      <protection locked="0"/>
    </xf>
    <xf numFmtId="0" fontId="8" fillId="0" borderId="22" xfId="1" applyFont="1" applyBorder="1" applyAlignment="1" applyProtection="1">
      <alignment vertical="top"/>
      <protection locked="0"/>
    </xf>
    <xf numFmtId="0" fontId="8" fillId="0" borderId="8" xfId="1" applyFont="1" applyBorder="1" applyAlignment="1" applyProtection="1">
      <alignment vertical="top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34" xfId="1" applyFont="1" applyBorder="1" applyAlignment="1" applyProtection="1">
      <alignment horizontal="center" vertical="top" wrapText="1"/>
      <protection locked="0"/>
    </xf>
    <xf numFmtId="0" fontId="13" fillId="0" borderId="18" xfId="1" applyFont="1" applyBorder="1" applyAlignment="1" applyProtection="1">
      <alignment horizontal="center" vertical="top" wrapText="1"/>
      <protection locked="0"/>
    </xf>
    <xf numFmtId="0" fontId="13" fillId="0" borderId="25" xfId="1" applyFont="1" applyBorder="1" applyAlignment="1" applyProtection="1">
      <alignment horizontal="center" vertical="top" wrapText="1"/>
      <protection locked="0"/>
    </xf>
    <xf numFmtId="0" fontId="13" fillId="0" borderId="19" xfId="1" applyFont="1" applyBorder="1" applyAlignment="1" applyProtection="1">
      <alignment horizontal="center" vertical="top" wrapText="1"/>
      <protection locked="0"/>
    </xf>
    <xf numFmtId="0" fontId="13" fillId="0" borderId="26" xfId="1" applyFont="1" applyBorder="1" applyAlignment="1" applyProtection="1">
      <alignment horizontal="center" vertical="top" wrapText="1"/>
      <protection locked="0"/>
    </xf>
    <xf numFmtId="0" fontId="13" fillId="0" borderId="0" xfId="1" applyFont="1" applyAlignment="1" applyProtection="1">
      <alignment horizontal="center" vertical="top" wrapText="1"/>
      <protection locked="0"/>
    </xf>
    <xf numFmtId="0" fontId="13" fillId="0" borderId="27" xfId="1" applyFont="1" applyBorder="1" applyAlignment="1" applyProtection="1">
      <alignment horizontal="center" vertical="top" wrapText="1"/>
      <protection locked="0"/>
    </xf>
    <xf numFmtId="0" fontId="13" fillId="0" borderId="20" xfId="1" applyFont="1" applyBorder="1" applyAlignment="1" applyProtection="1">
      <alignment horizontal="center" vertical="top" wrapText="1"/>
      <protection locked="0"/>
    </xf>
    <xf numFmtId="0" fontId="13" fillId="0" borderId="2" xfId="1" applyFont="1" applyBorder="1" applyAlignment="1" applyProtection="1">
      <alignment horizontal="center" vertical="top" wrapText="1"/>
      <protection locked="0"/>
    </xf>
    <xf numFmtId="0" fontId="13" fillId="0" borderId="21" xfId="1" applyFont="1" applyBorder="1" applyAlignment="1" applyProtection="1">
      <alignment horizontal="center" vertical="top" wrapText="1"/>
      <protection locked="0"/>
    </xf>
    <xf numFmtId="0" fontId="14" fillId="0" borderId="7" xfId="1" applyFont="1" applyBorder="1" applyAlignment="1" applyProtection="1">
      <alignment horizontal="center" vertical="top" wrapText="1"/>
      <protection locked="0"/>
    </xf>
    <xf numFmtId="0" fontId="14" fillId="0" borderId="8" xfId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23" fillId="0" borderId="1" xfId="9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7" xfId="1" applyFont="1" applyFill="1" applyBorder="1" applyAlignment="1" applyProtection="1">
      <alignment horizontal="left" vertical="top" wrapText="1"/>
      <protection locked="0"/>
    </xf>
    <xf numFmtId="0" fontId="12" fillId="2" borderId="22" xfId="1" applyFont="1" applyFill="1" applyBorder="1" applyAlignment="1" applyProtection="1">
      <alignment horizontal="left" vertical="top" wrapText="1"/>
      <protection locked="0"/>
    </xf>
    <xf numFmtId="0" fontId="12" fillId="2" borderId="8" xfId="1" applyFont="1" applyFill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0" fillId="2" borderId="1" xfId="1" applyFont="1" applyFill="1" applyBorder="1" applyAlignment="1" applyProtection="1">
      <alignment horizontal="left" vertical="top" wrapText="1"/>
      <protection locked="0"/>
    </xf>
    <xf numFmtId="0" fontId="10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3" fillId="0" borderId="31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24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34" xfId="1" applyFont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284845</xdr:colOff>
      <xdr:row>267</xdr:row>
      <xdr:rowOff>40820</xdr:rowOff>
    </xdr:from>
    <xdr:to>
      <xdr:col>6</xdr:col>
      <xdr:colOff>599041</xdr:colOff>
      <xdr:row>281</xdr:row>
      <xdr:rowOff>194425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6845" y="58320213"/>
          <a:ext cx="4450767" cy="30111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682625</xdr:colOff>
      <xdr:row>141</xdr:row>
      <xdr:rowOff>127000</xdr:rowOff>
    </xdr:from>
    <xdr:to>
      <xdr:col>19</xdr:col>
      <xdr:colOff>370474</xdr:colOff>
      <xdr:row>163</xdr:row>
      <xdr:rowOff>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418705" y="31788100"/>
          <a:ext cx="5821949" cy="4224020"/>
          <a:chOff x="406400" y="35769550"/>
          <a:chExt cx="5920374" cy="4467899"/>
        </a:xfrm>
      </xdr:grpSpPr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6400" y="3576955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9441" y="3576955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65420" y="3807744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9441" y="3807744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8</xdr:col>
      <xdr:colOff>819150</xdr:colOff>
      <xdr:row>19</xdr:row>
      <xdr:rowOff>179659</xdr:rowOff>
    </xdr:from>
    <xdr:to>
      <xdr:col>12</xdr:col>
      <xdr:colOff>142875</xdr:colOff>
      <xdr:row>29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43775" y="5437459"/>
          <a:ext cx="2657475" cy="1830116"/>
        </a:xfrm>
        <a:prstGeom prst="rect">
          <a:avLst/>
        </a:prstGeom>
      </xdr:spPr>
    </xdr:pic>
    <xdr:clientData/>
  </xdr:twoCellAnchor>
  <xdr:twoCellAnchor editAs="oneCell">
    <xdr:from>
      <xdr:col>10</xdr:col>
      <xdr:colOff>538443</xdr:colOff>
      <xdr:row>49</xdr:row>
      <xdr:rowOff>9525</xdr:rowOff>
    </xdr:from>
    <xdr:to>
      <xdr:col>17</xdr:col>
      <xdr:colOff>212912</xdr:colOff>
      <xdr:row>70</xdr:row>
      <xdr:rowOff>129681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2172" t="18112" r="64594" b="4847"/>
        <a:stretch/>
      </xdr:blipFill>
      <xdr:spPr>
        <a:xfrm>
          <a:off x="8998884" y="11551584"/>
          <a:ext cx="2487146" cy="5678273"/>
        </a:xfrm>
        <a:prstGeom prst="rect">
          <a:avLst/>
        </a:prstGeom>
      </xdr:spPr>
    </xdr:pic>
    <xdr:clientData/>
  </xdr:twoCellAnchor>
  <xdr:twoCellAnchor editAs="oneCell">
    <xdr:from>
      <xdr:col>8</xdr:col>
      <xdr:colOff>809625</xdr:colOff>
      <xdr:row>30</xdr:row>
      <xdr:rowOff>66675</xdr:rowOff>
    </xdr:from>
    <xdr:to>
      <xdr:col>12</xdr:col>
      <xdr:colOff>117845</xdr:colOff>
      <xdr:row>43</xdr:row>
      <xdr:rowOff>142540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34250" y="7524750"/>
          <a:ext cx="2641970" cy="2676190"/>
        </a:xfrm>
        <a:prstGeom prst="rect">
          <a:avLst/>
        </a:prstGeom>
      </xdr:spPr>
    </xdr:pic>
    <xdr:clientData/>
  </xdr:twoCellAnchor>
  <xdr:twoCellAnchor>
    <xdr:from>
      <xdr:col>2</xdr:col>
      <xdr:colOff>41519</xdr:colOff>
      <xdr:row>224</xdr:row>
      <xdr:rowOff>22411</xdr:rowOff>
    </xdr:from>
    <xdr:to>
      <xdr:col>5</xdr:col>
      <xdr:colOff>430865</xdr:colOff>
      <xdr:row>237</xdr:row>
      <xdr:rowOff>2134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99137" y="48723176"/>
          <a:ext cx="2966699" cy="260189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0</xdr:col>
      <xdr:colOff>403411</xdr:colOff>
      <xdr:row>237</xdr:row>
      <xdr:rowOff>182803</xdr:rowOff>
    </xdr:from>
    <xdr:to>
      <xdr:col>7</xdr:col>
      <xdr:colOff>257734</xdr:colOff>
      <xdr:row>264</xdr:row>
      <xdr:rowOff>190501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/>
      </xdr:nvGrpSpPr>
      <xdr:grpSpPr>
        <a:xfrm>
          <a:off x="403411" y="50855803"/>
          <a:ext cx="5736963" cy="5356938"/>
          <a:chOff x="695326" y="64160400"/>
          <a:chExt cx="4781550" cy="5111312"/>
        </a:xfrm>
      </xdr:grpSpPr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695326" y="64160400"/>
            <a:ext cx="4781550" cy="5111312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grpSp>
        <xdr:nvGrpSpPr>
          <xdr:cNvPr id="42" name="Group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GrpSpPr/>
        </xdr:nvGrpSpPr>
        <xdr:grpSpPr>
          <a:xfrm>
            <a:off x="774861" y="65565246"/>
            <a:ext cx="4463061" cy="3547708"/>
            <a:chOff x="561093" y="63393728"/>
            <a:chExt cx="4384920" cy="3957635"/>
          </a:xfrm>
        </xdr:grpSpPr>
        <xdr:grpSp>
          <xdr:nvGrpSpPr>
            <xdr:cNvPr id="45" name="Group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GrpSpPr/>
          </xdr:nvGrpSpPr>
          <xdr:grpSpPr>
            <a:xfrm>
              <a:off x="2295682" y="63393728"/>
              <a:ext cx="2650331" cy="2438820"/>
              <a:chOff x="3083900" y="5807651"/>
              <a:chExt cx="1612970" cy="1877152"/>
            </a:xfrm>
          </xdr:grpSpPr>
          <xdr:sp macro="" textlink="">
            <xdr:nvSpPr>
              <xdr:cNvPr id="47" name="Rectangle 5">
                <a:extLst>
                  <a:ext uri="{FF2B5EF4-FFF2-40B4-BE49-F238E27FC236}">
                    <a16:creationId xmlns:a16="http://schemas.microsoft.com/office/drawing/2014/main" id="{00000000-0008-0000-0000-00002F000000}"/>
                  </a:ext>
                </a:extLst>
              </xdr:cNvPr>
              <xdr:cNvSpPr/>
            </xdr:nvSpPr>
            <xdr:spPr>
              <a:xfrm rot="1660887">
                <a:off x="3083900" y="5807651"/>
                <a:ext cx="794728" cy="1877152"/>
              </a:xfrm>
              <a:custGeom>
                <a:avLst/>
                <a:gdLst>
                  <a:gd name="connsiteX0" fmla="*/ 0 w 715702"/>
                  <a:gd name="connsiteY0" fmla="*/ 0 h 1527571"/>
                  <a:gd name="connsiteX1" fmla="*/ 715702 w 715702"/>
                  <a:gd name="connsiteY1" fmla="*/ 0 h 1527571"/>
                  <a:gd name="connsiteX2" fmla="*/ 715702 w 715702"/>
                  <a:gd name="connsiteY2" fmla="*/ 1527571 h 1527571"/>
                  <a:gd name="connsiteX3" fmla="*/ 0 w 715702"/>
                  <a:gd name="connsiteY3" fmla="*/ 1527571 h 1527571"/>
                  <a:gd name="connsiteX4" fmla="*/ 0 w 715702"/>
                  <a:gd name="connsiteY4" fmla="*/ 0 h 1527571"/>
                  <a:gd name="connsiteX0" fmla="*/ 0 w 883430"/>
                  <a:gd name="connsiteY0" fmla="*/ 28832 h 1556403"/>
                  <a:gd name="connsiteX1" fmla="*/ 883430 w 883430"/>
                  <a:gd name="connsiteY1" fmla="*/ 0 h 1556403"/>
                  <a:gd name="connsiteX2" fmla="*/ 715702 w 883430"/>
                  <a:gd name="connsiteY2" fmla="*/ 1556403 h 1556403"/>
                  <a:gd name="connsiteX3" fmla="*/ 0 w 883430"/>
                  <a:gd name="connsiteY3" fmla="*/ 1556403 h 1556403"/>
                  <a:gd name="connsiteX4" fmla="*/ 0 w 883430"/>
                  <a:gd name="connsiteY4" fmla="*/ 28832 h 1556403"/>
                  <a:gd name="connsiteX0" fmla="*/ 46806 w 883430"/>
                  <a:gd name="connsiteY0" fmla="*/ 25790 h 1556403"/>
                  <a:gd name="connsiteX1" fmla="*/ 883430 w 883430"/>
                  <a:gd name="connsiteY1" fmla="*/ 0 h 1556403"/>
                  <a:gd name="connsiteX2" fmla="*/ 715702 w 883430"/>
                  <a:gd name="connsiteY2" fmla="*/ 1556403 h 1556403"/>
                  <a:gd name="connsiteX3" fmla="*/ 0 w 883430"/>
                  <a:gd name="connsiteY3" fmla="*/ 1556403 h 1556403"/>
                  <a:gd name="connsiteX4" fmla="*/ 46806 w 883430"/>
                  <a:gd name="connsiteY4" fmla="*/ 25790 h 1556403"/>
                  <a:gd name="connsiteX0" fmla="*/ 46806 w 909773"/>
                  <a:gd name="connsiteY0" fmla="*/ 25790 h 1567532"/>
                  <a:gd name="connsiteX1" fmla="*/ 883430 w 909773"/>
                  <a:gd name="connsiteY1" fmla="*/ 0 h 1567532"/>
                  <a:gd name="connsiteX2" fmla="*/ 909773 w 909773"/>
                  <a:gd name="connsiteY2" fmla="*/ 1567532 h 1567532"/>
                  <a:gd name="connsiteX3" fmla="*/ 0 w 909773"/>
                  <a:gd name="connsiteY3" fmla="*/ 1556403 h 1567532"/>
                  <a:gd name="connsiteX4" fmla="*/ 46806 w 909773"/>
                  <a:gd name="connsiteY4" fmla="*/ 25790 h 1567532"/>
                  <a:gd name="connsiteX0" fmla="*/ 46806 w 909773"/>
                  <a:gd name="connsiteY0" fmla="*/ 25790 h 1567532"/>
                  <a:gd name="connsiteX1" fmla="*/ 883430 w 909773"/>
                  <a:gd name="connsiteY1" fmla="*/ 0 h 1567532"/>
                  <a:gd name="connsiteX2" fmla="*/ 909773 w 909773"/>
                  <a:gd name="connsiteY2" fmla="*/ 1567532 h 1567532"/>
                  <a:gd name="connsiteX3" fmla="*/ 0 w 909773"/>
                  <a:gd name="connsiteY3" fmla="*/ 1556403 h 1567532"/>
                  <a:gd name="connsiteX4" fmla="*/ 46806 w 909773"/>
                  <a:gd name="connsiteY4" fmla="*/ 25790 h 156753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</a:cxnLst>
                <a:rect l="l" t="t" r="r" b="b"/>
                <a:pathLst>
                  <a:path w="909773" h="1567532">
                    <a:moveTo>
                      <a:pt x="46806" y="25790"/>
                    </a:moveTo>
                    <a:lnTo>
                      <a:pt x="883430" y="0"/>
                    </a:lnTo>
                    <a:cubicBezTo>
                      <a:pt x="892211" y="522511"/>
                      <a:pt x="854601" y="1069358"/>
                      <a:pt x="909773" y="1567532"/>
                    </a:cubicBezTo>
                    <a:lnTo>
                      <a:pt x="0" y="1556403"/>
                    </a:lnTo>
                    <a:lnTo>
                      <a:pt x="46806" y="25790"/>
                    </a:lnTo>
                    <a:close/>
                  </a:path>
                </a:pathLst>
              </a:custGeom>
              <a:noFill/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n-IN"/>
              </a:p>
            </xdr:txBody>
          </xdr:sp>
          <xdr:sp macro="" textlink="">
            <xdr:nvSpPr>
              <xdr:cNvPr id="48" name="TextBox 6">
                <a:extLst>
                  <a:ext uri="{FF2B5EF4-FFF2-40B4-BE49-F238E27FC236}">
                    <a16:creationId xmlns:a16="http://schemas.microsoft.com/office/drawing/2014/main" id="{00000000-0008-0000-0000-000030000000}"/>
                  </a:ext>
                </a:extLst>
              </xdr:cNvPr>
              <xdr:cNvSpPr txBox="1"/>
            </xdr:nvSpPr>
            <xdr:spPr>
              <a:xfrm rot="1495581">
                <a:off x="3358905" y="5826309"/>
                <a:ext cx="1337965" cy="28378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6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Sale</a:t>
                </a:r>
                <a:r>
                  <a:rPr lang="en-US" sz="1600" b="1" baseline="0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Building No.2</a:t>
                </a:r>
                <a:endParaRPr lang="en-IN" sz="1600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49" name="TextBox 6">
                <a:extLst>
                  <a:ext uri="{FF2B5EF4-FFF2-40B4-BE49-F238E27FC236}">
                    <a16:creationId xmlns:a16="http://schemas.microsoft.com/office/drawing/2014/main" id="{00000000-0008-0000-0000-000031000000}"/>
                  </a:ext>
                </a:extLst>
              </xdr:cNvPr>
              <xdr:cNvSpPr txBox="1"/>
            </xdr:nvSpPr>
            <xdr:spPr>
              <a:xfrm rot="17809868">
                <a:off x="3105852" y="6246761"/>
                <a:ext cx="571842" cy="15229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1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Wing A</a:t>
                </a:r>
                <a:endParaRPr lang="en-IN" sz="11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50" name="TextBox 6">
                <a:extLst>
                  <a:ext uri="{FF2B5EF4-FFF2-40B4-BE49-F238E27FC236}">
                    <a16:creationId xmlns:a16="http://schemas.microsoft.com/office/drawing/2014/main" id="{00000000-0008-0000-0000-000032000000}"/>
                  </a:ext>
                </a:extLst>
              </xdr:cNvPr>
              <xdr:cNvSpPr txBox="1"/>
            </xdr:nvSpPr>
            <xdr:spPr>
              <a:xfrm rot="6934220">
                <a:off x="3391183" y="6561691"/>
                <a:ext cx="645672" cy="15229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1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Wing B</a:t>
                </a:r>
                <a:endParaRPr lang="en-IN" sz="11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xdr:grpSp>
        <xdr:pic>
          <xdr:nvPicPr>
            <xdr:cNvPr id="46" name="Picture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19954264">
              <a:off x="561093" y="66742011"/>
              <a:ext cx="609352" cy="609352"/>
            </a:xfrm>
            <a:prstGeom prst="rect">
              <a:avLst/>
            </a:prstGeom>
          </xdr:spPr>
        </xdr:pic>
      </xdr:grpSp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 rot="1686314">
            <a:off x="3100245" y="65927743"/>
            <a:ext cx="234593" cy="70893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 rot="1686314">
            <a:off x="3316113" y="66046215"/>
            <a:ext cx="225968" cy="709125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0</xdr:col>
      <xdr:colOff>565391</xdr:colOff>
      <xdr:row>282</xdr:row>
      <xdr:rowOff>108858</xdr:rowOff>
    </xdr:from>
    <xdr:to>
      <xdr:col>7</xdr:col>
      <xdr:colOff>542925</xdr:colOff>
      <xdr:row>302</xdr:row>
      <xdr:rowOff>152043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65391" y="59697258"/>
          <a:ext cx="5860174" cy="4005585"/>
          <a:chOff x="728383" y="57721499"/>
          <a:chExt cx="5395913" cy="4359634"/>
        </a:xfrm>
      </xdr:grpSpPr>
      <xdr:grpSp>
        <xdr:nvGrpSpPr>
          <xdr:cNvPr id="57" name="Group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GrpSpPr/>
        </xdr:nvGrpSpPr>
        <xdr:grpSpPr>
          <a:xfrm>
            <a:off x="728383" y="57721499"/>
            <a:ext cx="5395913" cy="4359634"/>
            <a:chOff x="542925" y="73342500"/>
            <a:chExt cx="5353050" cy="4578709"/>
          </a:xfrm>
        </xdr:grpSpPr>
        <xdr:pic>
          <xdr:nvPicPr>
            <xdr:cNvPr id="58" name="Picture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542925" y="73342500"/>
              <a:ext cx="5353050" cy="4578709"/>
            </a:xfrm>
            <a:prstGeom prst="rect">
              <a:avLst/>
            </a:prstGeom>
            <a:ln>
              <a:solidFill>
                <a:sysClr val="windowText" lastClr="000000"/>
              </a:solidFill>
            </a:ln>
          </xdr:spPr>
        </xdr:pic>
        <xdr:sp macro="" textlink="">
          <xdr:nvSpPr>
            <xdr:cNvPr id="59" name="Rectangle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SpPr/>
          </xdr:nvSpPr>
          <xdr:spPr>
            <a:xfrm rot="1030549">
              <a:off x="2526085" y="74726799"/>
              <a:ext cx="676275" cy="781627"/>
            </a:xfrm>
            <a:prstGeom prst="rect">
              <a:avLst/>
            </a:prstGeom>
            <a:noFill/>
            <a:ln w="5715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</xdr:grpSp>
      <xdr:sp macro="" textlink="">
        <xdr:nvSpPr>
          <xdr:cNvPr id="60" name="TextBox 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 rot="973438">
            <a:off x="2650832" y="58352015"/>
            <a:ext cx="1786853" cy="97174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Shreeji Plaza (Wing A &amp; B)</a:t>
            </a:r>
            <a:endParaRPr lang="en-IN" sz="20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8</xdr:col>
      <xdr:colOff>817880</xdr:colOff>
      <xdr:row>188</xdr:row>
      <xdr:rowOff>13970</xdr:rowOff>
    </xdr:from>
    <xdr:to>
      <xdr:col>20</xdr:col>
      <xdr:colOff>330379</xdr:colOff>
      <xdr:row>218</xdr:row>
      <xdr:rowOff>172929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7553960" y="40979090"/>
          <a:ext cx="6279059" cy="6102559"/>
          <a:chOff x="254000" y="41084500"/>
          <a:chExt cx="6371769" cy="6063189"/>
        </a:xfrm>
      </xdr:grpSpPr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7383" y="410845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4000" y="45167689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82923" y="45167689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2212" y="410845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11846" y="45167689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40769" y="45167689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358140</xdr:colOff>
      <xdr:row>190</xdr:row>
      <xdr:rowOff>38101</xdr:rowOff>
    </xdr:from>
    <xdr:to>
      <xdr:col>7</xdr:col>
      <xdr:colOff>350520</xdr:colOff>
      <xdr:row>222</xdr:row>
      <xdr:rowOff>7621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9ABE6CF7-1502-DEFC-C091-64E228D93EB7}"/>
            </a:ext>
          </a:extLst>
        </xdr:cNvPr>
        <xdr:cNvGrpSpPr/>
      </xdr:nvGrpSpPr>
      <xdr:grpSpPr>
        <a:xfrm>
          <a:off x="358140" y="41399461"/>
          <a:ext cx="5875020" cy="6309360"/>
          <a:chOff x="382479" y="135984"/>
          <a:chExt cx="5989018" cy="6577193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53F18C7E-DDB3-C497-2E58-DB065EB35C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4448" y="4193177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C3A89495-35CC-C45A-C668-5D15E81A0C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29000" y="4193177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51667DB0-43E6-C704-04B9-9B6344DBBF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479" y="143691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8BCB9738-2F66-92DE-B8AC-B848CAEF3E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29000" y="143689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4" name="TextBox 11">
            <a:extLst>
              <a:ext uri="{FF2B5EF4-FFF2-40B4-BE49-F238E27FC236}">
                <a16:creationId xmlns:a16="http://schemas.microsoft.com/office/drawing/2014/main" id="{83E8EDE0-8CCC-C27D-5928-11CF23892043}"/>
              </a:ext>
            </a:extLst>
          </xdr:cNvPr>
          <xdr:cNvSpPr txBox="1"/>
        </xdr:nvSpPr>
        <xdr:spPr>
          <a:xfrm>
            <a:off x="3744988" y="135984"/>
            <a:ext cx="92845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A </a:t>
            </a:r>
          </a:p>
        </xdr:txBody>
      </xdr:sp>
      <xdr:sp macro="" textlink="">
        <xdr:nvSpPr>
          <xdr:cNvPr id="15" name="TextBox 12">
            <a:extLst>
              <a:ext uri="{FF2B5EF4-FFF2-40B4-BE49-F238E27FC236}">
                <a16:creationId xmlns:a16="http://schemas.microsoft.com/office/drawing/2014/main" id="{E71B3F2C-ACD1-840D-5829-8FB2406891AA}"/>
              </a:ext>
            </a:extLst>
          </xdr:cNvPr>
          <xdr:cNvSpPr txBox="1"/>
        </xdr:nvSpPr>
        <xdr:spPr>
          <a:xfrm>
            <a:off x="5443038" y="411871"/>
            <a:ext cx="92845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B </a:t>
            </a:r>
          </a:p>
        </xdr:txBody>
      </xdr:sp>
      <xdr:sp macro="" textlink="">
        <xdr:nvSpPr>
          <xdr:cNvPr id="16" name="TextBox 13">
            <a:extLst>
              <a:ext uri="{FF2B5EF4-FFF2-40B4-BE49-F238E27FC236}">
                <a16:creationId xmlns:a16="http://schemas.microsoft.com/office/drawing/2014/main" id="{58891914-7FFA-C86D-312F-E71ECDF1EA95}"/>
              </a:ext>
            </a:extLst>
          </xdr:cNvPr>
          <xdr:cNvSpPr txBox="1"/>
        </xdr:nvSpPr>
        <xdr:spPr>
          <a:xfrm>
            <a:off x="486503" y="628803"/>
            <a:ext cx="91884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B </a:t>
            </a:r>
          </a:p>
        </xdr:txBody>
      </xdr:sp>
      <xdr:sp macro="" textlink="">
        <xdr:nvSpPr>
          <xdr:cNvPr id="17" name="TextBox 14">
            <a:extLst>
              <a:ext uri="{FF2B5EF4-FFF2-40B4-BE49-F238E27FC236}">
                <a16:creationId xmlns:a16="http://schemas.microsoft.com/office/drawing/2014/main" id="{157D8E81-8C07-644F-1062-7206A3196D91}"/>
              </a:ext>
            </a:extLst>
          </xdr:cNvPr>
          <xdr:cNvSpPr txBox="1"/>
        </xdr:nvSpPr>
        <xdr:spPr>
          <a:xfrm>
            <a:off x="2216332" y="227205"/>
            <a:ext cx="92845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A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FFq2yFsPH8EmJ3jXA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7"/>
  <sheetViews>
    <sheetView tabSelected="1" view="pageBreakPreview" zoomScaleNormal="100" zoomScaleSheetLayoutView="100" zoomScalePageLayoutView="115" workbookViewId="0">
      <selection activeCell="K5" sqref="K5"/>
    </sheetView>
  </sheetViews>
  <sheetFormatPr defaultColWidth="9.21875" defaultRowHeight="15.6" x14ac:dyDescent="0.3"/>
  <cols>
    <col min="1" max="1" width="11.44140625" style="17" customWidth="1"/>
    <col min="2" max="2" width="12" style="17" customWidth="1"/>
    <col min="3" max="3" width="12.77734375" style="17" customWidth="1"/>
    <col min="4" max="4" width="14.21875" style="17" customWidth="1"/>
    <col min="5" max="7" width="11.77734375" style="17" customWidth="1"/>
    <col min="8" max="8" width="12.44140625" style="17" customWidth="1"/>
    <col min="9" max="9" width="17.44140625" style="8" customWidth="1"/>
    <col min="10" max="10" width="11.44140625" style="8" customWidth="1"/>
    <col min="11" max="11" width="10.5546875" style="8" bestFit="1" customWidth="1"/>
    <col min="12" max="12" width="10.5546875" style="8" customWidth="1"/>
    <col min="13" max="13" width="11.77734375" style="8" customWidth="1"/>
    <col min="14" max="14" width="12.5546875" style="8" hidden="1" customWidth="1"/>
    <col min="15" max="15" width="9.77734375" style="8" hidden="1" customWidth="1"/>
    <col min="16" max="16" width="10.44140625" style="8" hidden="1" customWidth="1"/>
    <col min="17" max="247" width="9.21875" style="8"/>
    <col min="248" max="248" width="8.77734375" style="8" customWidth="1"/>
    <col min="249" max="249" width="9.77734375" style="8" customWidth="1"/>
    <col min="250" max="250" width="14.44140625" style="8" customWidth="1"/>
    <col min="251" max="251" width="7.21875" style="8" customWidth="1"/>
    <col min="252" max="252" width="5.5546875" style="8" customWidth="1"/>
    <col min="253" max="253" width="9" style="8" customWidth="1"/>
    <col min="254" max="255" width="9.77734375" style="8" customWidth="1"/>
    <col min="256" max="256" width="11.21875" style="8" customWidth="1"/>
    <col min="257" max="257" width="2.77734375" style="8" customWidth="1"/>
    <col min="258" max="258" width="3.5546875" style="8" customWidth="1"/>
    <col min="259" max="503" width="9.21875" style="8"/>
    <col min="504" max="504" width="8.77734375" style="8" customWidth="1"/>
    <col min="505" max="505" width="9.77734375" style="8" customWidth="1"/>
    <col min="506" max="506" width="14.44140625" style="8" customWidth="1"/>
    <col min="507" max="507" width="7.21875" style="8" customWidth="1"/>
    <col min="508" max="508" width="5.5546875" style="8" customWidth="1"/>
    <col min="509" max="509" width="9" style="8" customWidth="1"/>
    <col min="510" max="511" width="9.77734375" style="8" customWidth="1"/>
    <col min="512" max="512" width="11.21875" style="8" customWidth="1"/>
    <col min="513" max="513" width="2.77734375" style="8" customWidth="1"/>
    <col min="514" max="514" width="3.5546875" style="8" customWidth="1"/>
    <col min="515" max="759" width="9.21875" style="8"/>
    <col min="760" max="760" width="8.77734375" style="8" customWidth="1"/>
    <col min="761" max="761" width="9.77734375" style="8" customWidth="1"/>
    <col min="762" max="762" width="14.44140625" style="8" customWidth="1"/>
    <col min="763" max="763" width="7.21875" style="8" customWidth="1"/>
    <col min="764" max="764" width="5.5546875" style="8" customWidth="1"/>
    <col min="765" max="765" width="9" style="8" customWidth="1"/>
    <col min="766" max="767" width="9.77734375" style="8" customWidth="1"/>
    <col min="768" max="768" width="11.21875" style="8" customWidth="1"/>
    <col min="769" max="769" width="2.77734375" style="8" customWidth="1"/>
    <col min="770" max="770" width="3.5546875" style="8" customWidth="1"/>
    <col min="771" max="1015" width="9.21875" style="8"/>
    <col min="1016" max="1016" width="8.77734375" style="8" customWidth="1"/>
    <col min="1017" max="1017" width="9.77734375" style="8" customWidth="1"/>
    <col min="1018" max="1018" width="14.44140625" style="8" customWidth="1"/>
    <col min="1019" max="1019" width="7.21875" style="8" customWidth="1"/>
    <col min="1020" max="1020" width="5.5546875" style="8" customWidth="1"/>
    <col min="1021" max="1021" width="9" style="8" customWidth="1"/>
    <col min="1022" max="1023" width="9.77734375" style="8" customWidth="1"/>
    <col min="1024" max="1024" width="11.21875" style="8" customWidth="1"/>
    <col min="1025" max="1025" width="2.77734375" style="8" customWidth="1"/>
    <col min="1026" max="1026" width="3.5546875" style="8" customWidth="1"/>
    <col min="1027" max="1271" width="9.21875" style="8"/>
    <col min="1272" max="1272" width="8.77734375" style="8" customWidth="1"/>
    <col min="1273" max="1273" width="9.77734375" style="8" customWidth="1"/>
    <col min="1274" max="1274" width="14.44140625" style="8" customWidth="1"/>
    <col min="1275" max="1275" width="7.21875" style="8" customWidth="1"/>
    <col min="1276" max="1276" width="5.5546875" style="8" customWidth="1"/>
    <col min="1277" max="1277" width="9" style="8" customWidth="1"/>
    <col min="1278" max="1279" width="9.77734375" style="8" customWidth="1"/>
    <col min="1280" max="1280" width="11.21875" style="8" customWidth="1"/>
    <col min="1281" max="1281" width="2.77734375" style="8" customWidth="1"/>
    <col min="1282" max="1282" width="3.5546875" style="8" customWidth="1"/>
    <col min="1283" max="1527" width="9.21875" style="8"/>
    <col min="1528" max="1528" width="8.77734375" style="8" customWidth="1"/>
    <col min="1529" max="1529" width="9.77734375" style="8" customWidth="1"/>
    <col min="1530" max="1530" width="14.44140625" style="8" customWidth="1"/>
    <col min="1531" max="1531" width="7.21875" style="8" customWidth="1"/>
    <col min="1532" max="1532" width="5.5546875" style="8" customWidth="1"/>
    <col min="1533" max="1533" width="9" style="8" customWidth="1"/>
    <col min="1534" max="1535" width="9.77734375" style="8" customWidth="1"/>
    <col min="1536" max="1536" width="11.21875" style="8" customWidth="1"/>
    <col min="1537" max="1537" width="2.77734375" style="8" customWidth="1"/>
    <col min="1538" max="1538" width="3.5546875" style="8" customWidth="1"/>
    <col min="1539" max="1783" width="9.21875" style="8"/>
    <col min="1784" max="1784" width="8.77734375" style="8" customWidth="1"/>
    <col min="1785" max="1785" width="9.77734375" style="8" customWidth="1"/>
    <col min="1786" max="1786" width="14.44140625" style="8" customWidth="1"/>
    <col min="1787" max="1787" width="7.21875" style="8" customWidth="1"/>
    <col min="1788" max="1788" width="5.5546875" style="8" customWidth="1"/>
    <col min="1789" max="1789" width="9" style="8" customWidth="1"/>
    <col min="1790" max="1791" width="9.77734375" style="8" customWidth="1"/>
    <col min="1792" max="1792" width="11.21875" style="8" customWidth="1"/>
    <col min="1793" max="1793" width="2.77734375" style="8" customWidth="1"/>
    <col min="1794" max="1794" width="3.5546875" style="8" customWidth="1"/>
    <col min="1795" max="2039" width="9.21875" style="8"/>
    <col min="2040" max="2040" width="8.77734375" style="8" customWidth="1"/>
    <col min="2041" max="2041" width="9.77734375" style="8" customWidth="1"/>
    <col min="2042" max="2042" width="14.44140625" style="8" customWidth="1"/>
    <col min="2043" max="2043" width="7.21875" style="8" customWidth="1"/>
    <col min="2044" max="2044" width="5.5546875" style="8" customWidth="1"/>
    <col min="2045" max="2045" width="9" style="8" customWidth="1"/>
    <col min="2046" max="2047" width="9.77734375" style="8" customWidth="1"/>
    <col min="2048" max="2048" width="11.21875" style="8" customWidth="1"/>
    <col min="2049" max="2049" width="2.77734375" style="8" customWidth="1"/>
    <col min="2050" max="2050" width="3.5546875" style="8" customWidth="1"/>
    <col min="2051" max="2295" width="9.21875" style="8"/>
    <col min="2296" max="2296" width="8.77734375" style="8" customWidth="1"/>
    <col min="2297" max="2297" width="9.77734375" style="8" customWidth="1"/>
    <col min="2298" max="2298" width="14.44140625" style="8" customWidth="1"/>
    <col min="2299" max="2299" width="7.21875" style="8" customWidth="1"/>
    <col min="2300" max="2300" width="5.5546875" style="8" customWidth="1"/>
    <col min="2301" max="2301" width="9" style="8" customWidth="1"/>
    <col min="2302" max="2303" width="9.77734375" style="8" customWidth="1"/>
    <col min="2304" max="2304" width="11.21875" style="8" customWidth="1"/>
    <col min="2305" max="2305" width="2.77734375" style="8" customWidth="1"/>
    <col min="2306" max="2306" width="3.5546875" style="8" customWidth="1"/>
    <col min="2307" max="2551" width="9.21875" style="8"/>
    <col min="2552" max="2552" width="8.77734375" style="8" customWidth="1"/>
    <col min="2553" max="2553" width="9.77734375" style="8" customWidth="1"/>
    <col min="2554" max="2554" width="14.44140625" style="8" customWidth="1"/>
    <col min="2555" max="2555" width="7.21875" style="8" customWidth="1"/>
    <col min="2556" max="2556" width="5.5546875" style="8" customWidth="1"/>
    <col min="2557" max="2557" width="9" style="8" customWidth="1"/>
    <col min="2558" max="2559" width="9.77734375" style="8" customWidth="1"/>
    <col min="2560" max="2560" width="11.21875" style="8" customWidth="1"/>
    <col min="2561" max="2561" width="2.77734375" style="8" customWidth="1"/>
    <col min="2562" max="2562" width="3.5546875" style="8" customWidth="1"/>
    <col min="2563" max="2807" width="9.21875" style="8"/>
    <col min="2808" max="2808" width="8.77734375" style="8" customWidth="1"/>
    <col min="2809" max="2809" width="9.77734375" style="8" customWidth="1"/>
    <col min="2810" max="2810" width="14.44140625" style="8" customWidth="1"/>
    <col min="2811" max="2811" width="7.21875" style="8" customWidth="1"/>
    <col min="2812" max="2812" width="5.5546875" style="8" customWidth="1"/>
    <col min="2813" max="2813" width="9" style="8" customWidth="1"/>
    <col min="2814" max="2815" width="9.77734375" style="8" customWidth="1"/>
    <col min="2816" max="2816" width="11.21875" style="8" customWidth="1"/>
    <col min="2817" max="2817" width="2.77734375" style="8" customWidth="1"/>
    <col min="2818" max="2818" width="3.5546875" style="8" customWidth="1"/>
    <col min="2819" max="3063" width="9.21875" style="8"/>
    <col min="3064" max="3064" width="8.77734375" style="8" customWidth="1"/>
    <col min="3065" max="3065" width="9.77734375" style="8" customWidth="1"/>
    <col min="3066" max="3066" width="14.44140625" style="8" customWidth="1"/>
    <col min="3067" max="3067" width="7.21875" style="8" customWidth="1"/>
    <col min="3068" max="3068" width="5.5546875" style="8" customWidth="1"/>
    <col min="3069" max="3069" width="9" style="8" customWidth="1"/>
    <col min="3070" max="3071" width="9.77734375" style="8" customWidth="1"/>
    <col min="3072" max="3072" width="11.21875" style="8" customWidth="1"/>
    <col min="3073" max="3073" width="2.77734375" style="8" customWidth="1"/>
    <col min="3074" max="3074" width="3.5546875" style="8" customWidth="1"/>
    <col min="3075" max="3319" width="9.21875" style="8"/>
    <col min="3320" max="3320" width="8.77734375" style="8" customWidth="1"/>
    <col min="3321" max="3321" width="9.77734375" style="8" customWidth="1"/>
    <col min="3322" max="3322" width="14.44140625" style="8" customWidth="1"/>
    <col min="3323" max="3323" width="7.21875" style="8" customWidth="1"/>
    <col min="3324" max="3324" width="5.5546875" style="8" customWidth="1"/>
    <col min="3325" max="3325" width="9" style="8" customWidth="1"/>
    <col min="3326" max="3327" width="9.77734375" style="8" customWidth="1"/>
    <col min="3328" max="3328" width="11.21875" style="8" customWidth="1"/>
    <col min="3329" max="3329" width="2.77734375" style="8" customWidth="1"/>
    <col min="3330" max="3330" width="3.5546875" style="8" customWidth="1"/>
    <col min="3331" max="3575" width="9.21875" style="8"/>
    <col min="3576" max="3576" width="8.77734375" style="8" customWidth="1"/>
    <col min="3577" max="3577" width="9.77734375" style="8" customWidth="1"/>
    <col min="3578" max="3578" width="14.44140625" style="8" customWidth="1"/>
    <col min="3579" max="3579" width="7.21875" style="8" customWidth="1"/>
    <col min="3580" max="3580" width="5.5546875" style="8" customWidth="1"/>
    <col min="3581" max="3581" width="9" style="8" customWidth="1"/>
    <col min="3582" max="3583" width="9.77734375" style="8" customWidth="1"/>
    <col min="3584" max="3584" width="11.21875" style="8" customWidth="1"/>
    <col min="3585" max="3585" width="2.77734375" style="8" customWidth="1"/>
    <col min="3586" max="3586" width="3.5546875" style="8" customWidth="1"/>
    <col min="3587" max="3831" width="9.21875" style="8"/>
    <col min="3832" max="3832" width="8.77734375" style="8" customWidth="1"/>
    <col min="3833" max="3833" width="9.77734375" style="8" customWidth="1"/>
    <col min="3834" max="3834" width="14.44140625" style="8" customWidth="1"/>
    <col min="3835" max="3835" width="7.21875" style="8" customWidth="1"/>
    <col min="3836" max="3836" width="5.5546875" style="8" customWidth="1"/>
    <col min="3837" max="3837" width="9" style="8" customWidth="1"/>
    <col min="3838" max="3839" width="9.77734375" style="8" customWidth="1"/>
    <col min="3840" max="3840" width="11.21875" style="8" customWidth="1"/>
    <col min="3841" max="3841" width="2.77734375" style="8" customWidth="1"/>
    <col min="3842" max="3842" width="3.5546875" style="8" customWidth="1"/>
    <col min="3843" max="4087" width="9.21875" style="8"/>
    <col min="4088" max="4088" width="8.77734375" style="8" customWidth="1"/>
    <col min="4089" max="4089" width="9.77734375" style="8" customWidth="1"/>
    <col min="4090" max="4090" width="14.44140625" style="8" customWidth="1"/>
    <col min="4091" max="4091" width="7.21875" style="8" customWidth="1"/>
    <col min="4092" max="4092" width="5.5546875" style="8" customWidth="1"/>
    <col min="4093" max="4093" width="9" style="8" customWidth="1"/>
    <col min="4094" max="4095" width="9.77734375" style="8" customWidth="1"/>
    <col min="4096" max="4096" width="11.21875" style="8" customWidth="1"/>
    <col min="4097" max="4097" width="2.77734375" style="8" customWidth="1"/>
    <col min="4098" max="4098" width="3.5546875" style="8" customWidth="1"/>
    <col min="4099" max="4343" width="9.21875" style="8"/>
    <col min="4344" max="4344" width="8.77734375" style="8" customWidth="1"/>
    <col min="4345" max="4345" width="9.77734375" style="8" customWidth="1"/>
    <col min="4346" max="4346" width="14.44140625" style="8" customWidth="1"/>
    <col min="4347" max="4347" width="7.21875" style="8" customWidth="1"/>
    <col min="4348" max="4348" width="5.5546875" style="8" customWidth="1"/>
    <col min="4349" max="4349" width="9" style="8" customWidth="1"/>
    <col min="4350" max="4351" width="9.77734375" style="8" customWidth="1"/>
    <col min="4352" max="4352" width="11.21875" style="8" customWidth="1"/>
    <col min="4353" max="4353" width="2.77734375" style="8" customWidth="1"/>
    <col min="4354" max="4354" width="3.5546875" style="8" customWidth="1"/>
    <col min="4355" max="4599" width="9.21875" style="8"/>
    <col min="4600" max="4600" width="8.77734375" style="8" customWidth="1"/>
    <col min="4601" max="4601" width="9.77734375" style="8" customWidth="1"/>
    <col min="4602" max="4602" width="14.44140625" style="8" customWidth="1"/>
    <col min="4603" max="4603" width="7.21875" style="8" customWidth="1"/>
    <col min="4604" max="4604" width="5.5546875" style="8" customWidth="1"/>
    <col min="4605" max="4605" width="9" style="8" customWidth="1"/>
    <col min="4606" max="4607" width="9.77734375" style="8" customWidth="1"/>
    <col min="4608" max="4608" width="11.21875" style="8" customWidth="1"/>
    <col min="4609" max="4609" width="2.77734375" style="8" customWidth="1"/>
    <col min="4610" max="4610" width="3.5546875" style="8" customWidth="1"/>
    <col min="4611" max="4855" width="9.21875" style="8"/>
    <col min="4856" max="4856" width="8.77734375" style="8" customWidth="1"/>
    <col min="4857" max="4857" width="9.77734375" style="8" customWidth="1"/>
    <col min="4858" max="4858" width="14.44140625" style="8" customWidth="1"/>
    <col min="4859" max="4859" width="7.21875" style="8" customWidth="1"/>
    <col min="4860" max="4860" width="5.5546875" style="8" customWidth="1"/>
    <col min="4861" max="4861" width="9" style="8" customWidth="1"/>
    <col min="4862" max="4863" width="9.77734375" style="8" customWidth="1"/>
    <col min="4864" max="4864" width="11.21875" style="8" customWidth="1"/>
    <col min="4865" max="4865" width="2.77734375" style="8" customWidth="1"/>
    <col min="4866" max="4866" width="3.5546875" style="8" customWidth="1"/>
    <col min="4867" max="5111" width="9.21875" style="8"/>
    <col min="5112" max="5112" width="8.77734375" style="8" customWidth="1"/>
    <col min="5113" max="5113" width="9.77734375" style="8" customWidth="1"/>
    <col min="5114" max="5114" width="14.44140625" style="8" customWidth="1"/>
    <col min="5115" max="5115" width="7.21875" style="8" customWidth="1"/>
    <col min="5116" max="5116" width="5.5546875" style="8" customWidth="1"/>
    <col min="5117" max="5117" width="9" style="8" customWidth="1"/>
    <col min="5118" max="5119" width="9.77734375" style="8" customWidth="1"/>
    <col min="5120" max="5120" width="11.21875" style="8" customWidth="1"/>
    <col min="5121" max="5121" width="2.77734375" style="8" customWidth="1"/>
    <col min="5122" max="5122" width="3.5546875" style="8" customWidth="1"/>
    <col min="5123" max="5367" width="9.21875" style="8"/>
    <col min="5368" max="5368" width="8.77734375" style="8" customWidth="1"/>
    <col min="5369" max="5369" width="9.77734375" style="8" customWidth="1"/>
    <col min="5370" max="5370" width="14.44140625" style="8" customWidth="1"/>
    <col min="5371" max="5371" width="7.21875" style="8" customWidth="1"/>
    <col min="5372" max="5372" width="5.5546875" style="8" customWidth="1"/>
    <col min="5373" max="5373" width="9" style="8" customWidth="1"/>
    <col min="5374" max="5375" width="9.77734375" style="8" customWidth="1"/>
    <col min="5376" max="5376" width="11.21875" style="8" customWidth="1"/>
    <col min="5377" max="5377" width="2.77734375" style="8" customWidth="1"/>
    <col min="5378" max="5378" width="3.5546875" style="8" customWidth="1"/>
    <col min="5379" max="5623" width="9.21875" style="8"/>
    <col min="5624" max="5624" width="8.77734375" style="8" customWidth="1"/>
    <col min="5625" max="5625" width="9.77734375" style="8" customWidth="1"/>
    <col min="5626" max="5626" width="14.44140625" style="8" customWidth="1"/>
    <col min="5627" max="5627" width="7.21875" style="8" customWidth="1"/>
    <col min="5628" max="5628" width="5.5546875" style="8" customWidth="1"/>
    <col min="5629" max="5629" width="9" style="8" customWidth="1"/>
    <col min="5630" max="5631" width="9.77734375" style="8" customWidth="1"/>
    <col min="5632" max="5632" width="11.21875" style="8" customWidth="1"/>
    <col min="5633" max="5633" width="2.77734375" style="8" customWidth="1"/>
    <col min="5634" max="5634" width="3.5546875" style="8" customWidth="1"/>
    <col min="5635" max="5879" width="9.21875" style="8"/>
    <col min="5880" max="5880" width="8.77734375" style="8" customWidth="1"/>
    <col min="5881" max="5881" width="9.77734375" style="8" customWidth="1"/>
    <col min="5882" max="5882" width="14.44140625" style="8" customWidth="1"/>
    <col min="5883" max="5883" width="7.21875" style="8" customWidth="1"/>
    <col min="5884" max="5884" width="5.5546875" style="8" customWidth="1"/>
    <col min="5885" max="5885" width="9" style="8" customWidth="1"/>
    <col min="5886" max="5887" width="9.77734375" style="8" customWidth="1"/>
    <col min="5888" max="5888" width="11.21875" style="8" customWidth="1"/>
    <col min="5889" max="5889" width="2.77734375" style="8" customWidth="1"/>
    <col min="5890" max="5890" width="3.5546875" style="8" customWidth="1"/>
    <col min="5891" max="6135" width="9.21875" style="8"/>
    <col min="6136" max="6136" width="8.77734375" style="8" customWidth="1"/>
    <col min="6137" max="6137" width="9.77734375" style="8" customWidth="1"/>
    <col min="6138" max="6138" width="14.44140625" style="8" customWidth="1"/>
    <col min="6139" max="6139" width="7.21875" style="8" customWidth="1"/>
    <col min="6140" max="6140" width="5.5546875" style="8" customWidth="1"/>
    <col min="6141" max="6141" width="9" style="8" customWidth="1"/>
    <col min="6142" max="6143" width="9.77734375" style="8" customWidth="1"/>
    <col min="6144" max="6144" width="11.21875" style="8" customWidth="1"/>
    <col min="6145" max="6145" width="2.77734375" style="8" customWidth="1"/>
    <col min="6146" max="6146" width="3.5546875" style="8" customWidth="1"/>
    <col min="6147" max="6391" width="9.21875" style="8"/>
    <col min="6392" max="6392" width="8.77734375" style="8" customWidth="1"/>
    <col min="6393" max="6393" width="9.77734375" style="8" customWidth="1"/>
    <col min="6394" max="6394" width="14.44140625" style="8" customWidth="1"/>
    <col min="6395" max="6395" width="7.21875" style="8" customWidth="1"/>
    <col min="6396" max="6396" width="5.5546875" style="8" customWidth="1"/>
    <col min="6397" max="6397" width="9" style="8" customWidth="1"/>
    <col min="6398" max="6399" width="9.77734375" style="8" customWidth="1"/>
    <col min="6400" max="6400" width="11.21875" style="8" customWidth="1"/>
    <col min="6401" max="6401" width="2.77734375" style="8" customWidth="1"/>
    <col min="6402" max="6402" width="3.5546875" style="8" customWidth="1"/>
    <col min="6403" max="6647" width="9.21875" style="8"/>
    <col min="6648" max="6648" width="8.77734375" style="8" customWidth="1"/>
    <col min="6649" max="6649" width="9.77734375" style="8" customWidth="1"/>
    <col min="6650" max="6650" width="14.44140625" style="8" customWidth="1"/>
    <col min="6651" max="6651" width="7.21875" style="8" customWidth="1"/>
    <col min="6652" max="6652" width="5.5546875" style="8" customWidth="1"/>
    <col min="6653" max="6653" width="9" style="8" customWidth="1"/>
    <col min="6654" max="6655" width="9.77734375" style="8" customWidth="1"/>
    <col min="6656" max="6656" width="11.21875" style="8" customWidth="1"/>
    <col min="6657" max="6657" width="2.77734375" style="8" customWidth="1"/>
    <col min="6658" max="6658" width="3.5546875" style="8" customWidth="1"/>
    <col min="6659" max="6903" width="9.21875" style="8"/>
    <col min="6904" max="6904" width="8.77734375" style="8" customWidth="1"/>
    <col min="6905" max="6905" width="9.77734375" style="8" customWidth="1"/>
    <col min="6906" max="6906" width="14.44140625" style="8" customWidth="1"/>
    <col min="6907" max="6907" width="7.21875" style="8" customWidth="1"/>
    <col min="6908" max="6908" width="5.5546875" style="8" customWidth="1"/>
    <col min="6909" max="6909" width="9" style="8" customWidth="1"/>
    <col min="6910" max="6911" width="9.77734375" style="8" customWidth="1"/>
    <col min="6912" max="6912" width="11.21875" style="8" customWidth="1"/>
    <col min="6913" max="6913" width="2.77734375" style="8" customWidth="1"/>
    <col min="6914" max="6914" width="3.5546875" style="8" customWidth="1"/>
    <col min="6915" max="7159" width="9.21875" style="8"/>
    <col min="7160" max="7160" width="8.77734375" style="8" customWidth="1"/>
    <col min="7161" max="7161" width="9.77734375" style="8" customWidth="1"/>
    <col min="7162" max="7162" width="14.44140625" style="8" customWidth="1"/>
    <col min="7163" max="7163" width="7.21875" style="8" customWidth="1"/>
    <col min="7164" max="7164" width="5.5546875" style="8" customWidth="1"/>
    <col min="7165" max="7165" width="9" style="8" customWidth="1"/>
    <col min="7166" max="7167" width="9.77734375" style="8" customWidth="1"/>
    <col min="7168" max="7168" width="11.21875" style="8" customWidth="1"/>
    <col min="7169" max="7169" width="2.77734375" style="8" customWidth="1"/>
    <col min="7170" max="7170" width="3.5546875" style="8" customWidth="1"/>
    <col min="7171" max="7415" width="9.21875" style="8"/>
    <col min="7416" max="7416" width="8.77734375" style="8" customWidth="1"/>
    <col min="7417" max="7417" width="9.77734375" style="8" customWidth="1"/>
    <col min="7418" max="7418" width="14.44140625" style="8" customWidth="1"/>
    <col min="7419" max="7419" width="7.21875" style="8" customWidth="1"/>
    <col min="7420" max="7420" width="5.5546875" style="8" customWidth="1"/>
    <col min="7421" max="7421" width="9" style="8" customWidth="1"/>
    <col min="7422" max="7423" width="9.77734375" style="8" customWidth="1"/>
    <col min="7424" max="7424" width="11.21875" style="8" customWidth="1"/>
    <col min="7425" max="7425" width="2.77734375" style="8" customWidth="1"/>
    <col min="7426" max="7426" width="3.5546875" style="8" customWidth="1"/>
    <col min="7427" max="7671" width="9.21875" style="8"/>
    <col min="7672" max="7672" width="8.77734375" style="8" customWidth="1"/>
    <col min="7673" max="7673" width="9.77734375" style="8" customWidth="1"/>
    <col min="7674" max="7674" width="14.44140625" style="8" customWidth="1"/>
    <col min="7675" max="7675" width="7.21875" style="8" customWidth="1"/>
    <col min="7676" max="7676" width="5.5546875" style="8" customWidth="1"/>
    <col min="7677" max="7677" width="9" style="8" customWidth="1"/>
    <col min="7678" max="7679" width="9.77734375" style="8" customWidth="1"/>
    <col min="7680" max="7680" width="11.21875" style="8" customWidth="1"/>
    <col min="7681" max="7681" width="2.77734375" style="8" customWidth="1"/>
    <col min="7682" max="7682" width="3.5546875" style="8" customWidth="1"/>
    <col min="7683" max="7927" width="9.21875" style="8"/>
    <col min="7928" max="7928" width="8.77734375" style="8" customWidth="1"/>
    <col min="7929" max="7929" width="9.77734375" style="8" customWidth="1"/>
    <col min="7930" max="7930" width="14.44140625" style="8" customWidth="1"/>
    <col min="7931" max="7931" width="7.21875" style="8" customWidth="1"/>
    <col min="7932" max="7932" width="5.5546875" style="8" customWidth="1"/>
    <col min="7933" max="7933" width="9" style="8" customWidth="1"/>
    <col min="7934" max="7935" width="9.77734375" style="8" customWidth="1"/>
    <col min="7936" max="7936" width="11.21875" style="8" customWidth="1"/>
    <col min="7937" max="7937" width="2.77734375" style="8" customWidth="1"/>
    <col min="7938" max="7938" width="3.5546875" style="8" customWidth="1"/>
    <col min="7939" max="8183" width="9.21875" style="8"/>
    <col min="8184" max="8184" width="8.77734375" style="8" customWidth="1"/>
    <col min="8185" max="8185" width="9.77734375" style="8" customWidth="1"/>
    <col min="8186" max="8186" width="14.44140625" style="8" customWidth="1"/>
    <col min="8187" max="8187" width="7.21875" style="8" customWidth="1"/>
    <col min="8188" max="8188" width="5.5546875" style="8" customWidth="1"/>
    <col min="8189" max="8189" width="9" style="8" customWidth="1"/>
    <col min="8190" max="8191" width="9.77734375" style="8" customWidth="1"/>
    <col min="8192" max="8192" width="11.21875" style="8" customWidth="1"/>
    <col min="8193" max="8193" width="2.77734375" style="8" customWidth="1"/>
    <col min="8194" max="8194" width="3.5546875" style="8" customWidth="1"/>
    <col min="8195" max="8439" width="9.21875" style="8"/>
    <col min="8440" max="8440" width="8.77734375" style="8" customWidth="1"/>
    <col min="8441" max="8441" width="9.77734375" style="8" customWidth="1"/>
    <col min="8442" max="8442" width="14.44140625" style="8" customWidth="1"/>
    <col min="8443" max="8443" width="7.21875" style="8" customWidth="1"/>
    <col min="8444" max="8444" width="5.5546875" style="8" customWidth="1"/>
    <col min="8445" max="8445" width="9" style="8" customWidth="1"/>
    <col min="8446" max="8447" width="9.77734375" style="8" customWidth="1"/>
    <col min="8448" max="8448" width="11.21875" style="8" customWidth="1"/>
    <col min="8449" max="8449" width="2.77734375" style="8" customWidth="1"/>
    <col min="8450" max="8450" width="3.5546875" style="8" customWidth="1"/>
    <col min="8451" max="8695" width="9.21875" style="8"/>
    <col min="8696" max="8696" width="8.77734375" style="8" customWidth="1"/>
    <col min="8697" max="8697" width="9.77734375" style="8" customWidth="1"/>
    <col min="8698" max="8698" width="14.44140625" style="8" customWidth="1"/>
    <col min="8699" max="8699" width="7.21875" style="8" customWidth="1"/>
    <col min="8700" max="8700" width="5.5546875" style="8" customWidth="1"/>
    <col min="8701" max="8701" width="9" style="8" customWidth="1"/>
    <col min="8702" max="8703" width="9.77734375" style="8" customWidth="1"/>
    <col min="8704" max="8704" width="11.21875" style="8" customWidth="1"/>
    <col min="8705" max="8705" width="2.77734375" style="8" customWidth="1"/>
    <col min="8706" max="8706" width="3.5546875" style="8" customWidth="1"/>
    <col min="8707" max="8951" width="9.21875" style="8"/>
    <col min="8952" max="8952" width="8.77734375" style="8" customWidth="1"/>
    <col min="8953" max="8953" width="9.77734375" style="8" customWidth="1"/>
    <col min="8954" max="8954" width="14.44140625" style="8" customWidth="1"/>
    <col min="8955" max="8955" width="7.21875" style="8" customWidth="1"/>
    <col min="8956" max="8956" width="5.5546875" style="8" customWidth="1"/>
    <col min="8957" max="8957" width="9" style="8" customWidth="1"/>
    <col min="8958" max="8959" width="9.77734375" style="8" customWidth="1"/>
    <col min="8960" max="8960" width="11.21875" style="8" customWidth="1"/>
    <col min="8961" max="8961" width="2.77734375" style="8" customWidth="1"/>
    <col min="8962" max="8962" width="3.5546875" style="8" customWidth="1"/>
    <col min="8963" max="9207" width="9.21875" style="8"/>
    <col min="9208" max="9208" width="8.77734375" style="8" customWidth="1"/>
    <col min="9209" max="9209" width="9.77734375" style="8" customWidth="1"/>
    <col min="9210" max="9210" width="14.44140625" style="8" customWidth="1"/>
    <col min="9211" max="9211" width="7.21875" style="8" customWidth="1"/>
    <col min="9212" max="9212" width="5.5546875" style="8" customWidth="1"/>
    <col min="9213" max="9213" width="9" style="8" customWidth="1"/>
    <col min="9214" max="9215" width="9.77734375" style="8" customWidth="1"/>
    <col min="9216" max="9216" width="11.21875" style="8" customWidth="1"/>
    <col min="9217" max="9217" width="2.77734375" style="8" customWidth="1"/>
    <col min="9218" max="9218" width="3.5546875" style="8" customWidth="1"/>
    <col min="9219" max="9463" width="9.21875" style="8"/>
    <col min="9464" max="9464" width="8.77734375" style="8" customWidth="1"/>
    <col min="9465" max="9465" width="9.77734375" style="8" customWidth="1"/>
    <col min="9466" max="9466" width="14.44140625" style="8" customWidth="1"/>
    <col min="9467" max="9467" width="7.21875" style="8" customWidth="1"/>
    <col min="9468" max="9468" width="5.5546875" style="8" customWidth="1"/>
    <col min="9469" max="9469" width="9" style="8" customWidth="1"/>
    <col min="9470" max="9471" width="9.77734375" style="8" customWidth="1"/>
    <col min="9472" max="9472" width="11.21875" style="8" customWidth="1"/>
    <col min="9473" max="9473" width="2.77734375" style="8" customWidth="1"/>
    <col min="9474" max="9474" width="3.5546875" style="8" customWidth="1"/>
    <col min="9475" max="9719" width="9.21875" style="8"/>
    <col min="9720" max="9720" width="8.77734375" style="8" customWidth="1"/>
    <col min="9721" max="9721" width="9.77734375" style="8" customWidth="1"/>
    <col min="9722" max="9722" width="14.44140625" style="8" customWidth="1"/>
    <col min="9723" max="9723" width="7.21875" style="8" customWidth="1"/>
    <col min="9724" max="9724" width="5.5546875" style="8" customWidth="1"/>
    <col min="9725" max="9725" width="9" style="8" customWidth="1"/>
    <col min="9726" max="9727" width="9.77734375" style="8" customWidth="1"/>
    <col min="9728" max="9728" width="11.21875" style="8" customWidth="1"/>
    <col min="9729" max="9729" width="2.77734375" style="8" customWidth="1"/>
    <col min="9730" max="9730" width="3.5546875" style="8" customWidth="1"/>
    <col min="9731" max="9975" width="9.21875" style="8"/>
    <col min="9976" max="9976" width="8.77734375" style="8" customWidth="1"/>
    <col min="9977" max="9977" width="9.77734375" style="8" customWidth="1"/>
    <col min="9978" max="9978" width="14.44140625" style="8" customWidth="1"/>
    <col min="9979" max="9979" width="7.21875" style="8" customWidth="1"/>
    <col min="9980" max="9980" width="5.5546875" style="8" customWidth="1"/>
    <col min="9981" max="9981" width="9" style="8" customWidth="1"/>
    <col min="9982" max="9983" width="9.77734375" style="8" customWidth="1"/>
    <col min="9984" max="9984" width="11.21875" style="8" customWidth="1"/>
    <col min="9985" max="9985" width="2.77734375" style="8" customWidth="1"/>
    <col min="9986" max="9986" width="3.5546875" style="8" customWidth="1"/>
    <col min="9987" max="10231" width="9.21875" style="8"/>
    <col min="10232" max="10232" width="8.77734375" style="8" customWidth="1"/>
    <col min="10233" max="10233" width="9.77734375" style="8" customWidth="1"/>
    <col min="10234" max="10234" width="14.44140625" style="8" customWidth="1"/>
    <col min="10235" max="10235" width="7.21875" style="8" customWidth="1"/>
    <col min="10236" max="10236" width="5.5546875" style="8" customWidth="1"/>
    <col min="10237" max="10237" width="9" style="8" customWidth="1"/>
    <col min="10238" max="10239" width="9.77734375" style="8" customWidth="1"/>
    <col min="10240" max="10240" width="11.21875" style="8" customWidth="1"/>
    <col min="10241" max="10241" width="2.77734375" style="8" customWidth="1"/>
    <col min="10242" max="10242" width="3.5546875" style="8" customWidth="1"/>
    <col min="10243" max="10487" width="9.21875" style="8"/>
    <col min="10488" max="10488" width="8.77734375" style="8" customWidth="1"/>
    <col min="10489" max="10489" width="9.77734375" style="8" customWidth="1"/>
    <col min="10490" max="10490" width="14.44140625" style="8" customWidth="1"/>
    <col min="10491" max="10491" width="7.21875" style="8" customWidth="1"/>
    <col min="10492" max="10492" width="5.5546875" style="8" customWidth="1"/>
    <col min="10493" max="10493" width="9" style="8" customWidth="1"/>
    <col min="10494" max="10495" width="9.77734375" style="8" customWidth="1"/>
    <col min="10496" max="10496" width="11.21875" style="8" customWidth="1"/>
    <col min="10497" max="10497" width="2.77734375" style="8" customWidth="1"/>
    <col min="10498" max="10498" width="3.5546875" style="8" customWidth="1"/>
    <col min="10499" max="10743" width="9.21875" style="8"/>
    <col min="10744" max="10744" width="8.77734375" style="8" customWidth="1"/>
    <col min="10745" max="10745" width="9.77734375" style="8" customWidth="1"/>
    <col min="10746" max="10746" width="14.44140625" style="8" customWidth="1"/>
    <col min="10747" max="10747" width="7.21875" style="8" customWidth="1"/>
    <col min="10748" max="10748" width="5.5546875" style="8" customWidth="1"/>
    <col min="10749" max="10749" width="9" style="8" customWidth="1"/>
    <col min="10750" max="10751" width="9.77734375" style="8" customWidth="1"/>
    <col min="10752" max="10752" width="11.21875" style="8" customWidth="1"/>
    <col min="10753" max="10753" width="2.77734375" style="8" customWidth="1"/>
    <col min="10754" max="10754" width="3.5546875" style="8" customWidth="1"/>
    <col min="10755" max="10999" width="9.21875" style="8"/>
    <col min="11000" max="11000" width="8.77734375" style="8" customWidth="1"/>
    <col min="11001" max="11001" width="9.77734375" style="8" customWidth="1"/>
    <col min="11002" max="11002" width="14.44140625" style="8" customWidth="1"/>
    <col min="11003" max="11003" width="7.21875" style="8" customWidth="1"/>
    <col min="11004" max="11004" width="5.5546875" style="8" customWidth="1"/>
    <col min="11005" max="11005" width="9" style="8" customWidth="1"/>
    <col min="11006" max="11007" width="9.77734375" style="8" customWidth="1"/>
    <col min="11008" max="11008" width="11.21875" style="8" customWidth="1"/>
    <col min="11009" max="11009" width="2.77734375" style="8" customWidth="1"/>
    <col min="11010" max="11010" width="3.5546875" style="8" customWidth="1"/>
    <col min="11011" max="11255" width="9.21875" style="8"/>
    <col min="11256" max="11256" width="8.77734375" style="8" customWidth="1"/>
    <col min="11257" max="11257" width="9.77734375" style="8" customWidth="1"/>
    <col min="11258" max="11258" width="14.44140625" style="8" customWidth="1"/>
    <col min="11259" max="11259" width="7.21875" style="8" customWidth="1"/>
    <col min="11260" max="11260" width="5.5546875" style="8" customWidth="1"/>
    <col min="11261" max="11261" width="9" style="8" customWidth="1"/>
    <col min="11262" max="11263" width="9.77734375" style="8" customWidth="1"/>
    <col min="11264" max="11264" width="11.21875" style="8" customWidth="1"/>
    <col min="11265" max="11265" width="2.77734375" style="8" customWidth="1"/>
    <col min="11266" max="11266" width="3.5546875" style="8" customWidth="1"/>
    <col min="11267" max="11511" width="9.21875" style="8"/>
    <col min="11512" max="11512" width="8.77734375" style="8" customWidth="1"/>
    <col min="11513" max="11513" width="9.77734375" style="8" customWidth="1"/>
    <col min="11514" max="11514" width="14.44140625" style="8" customWidth="1"/>
    <col min="11515" max="11515" width="7.21875" style="8" customWidth="1"/>
    <col min="11516" max="11516" width="5.5546875" style="8" customWidth="1"/>
    <col min="11517" max="11517" width="9" style="8" customWidth="1"/>
    <col min="11518" max="11519" width="9.77734375" style="8" customWidth="1"/>
    <col min="11520" max="11520" width="11.21875" style="8" customWidth="1"/>
    <col min="11521" max="11521" width="2.77734375" style="8" customWidth="1"/>
    <col min="11522" max="11522" width="3.5546875" style="8" customWidth="1"/>
    <col min="11523" max="11767" width="9.21875" style="8"/>
    <col min="11768" max="11768" width="8.77734375" style="8" customWidth="1"/>
    <col min="11769" max="11769" width="9.77734375" style="8" customWidth="1"/>
    <col min="11770" max="11770" width="14.44140625" style="8" customWidth="1"/>
    <col min="11771" max="11771" width="7.21875" style="8" customWidth="1"/>
    <col min="11772" max="11772" width="5.5546875" style="8" customWidth="1"/>
    <col min="11773" max="11773" width="9" style="8" customWidth="1"/>
    <col min="11774" max="11775" width="9.77734375" style="8" customWidth="1"/>
    <col min="11776" max="11776" width="11.21875" style="8" customWidth="1"/>
    <col min="11777" max="11777" width="2.77734375" style="8" customWidth="1"/>
    <col min="11778" max="11778" width="3.5546875" style="8" customWidth="1"/>
    <col min="11779" max="12023" width="9.21875" style="8"/>
    <col min="12024" max="12024" width="8.77734375" style="8" customWidth="1"/>
    <col min="12025" max="12025" width="9.77734375" style="8" customWidth="1"/>
    <col min="12026" max="12026" width="14.44140625" style="8" customWidth="1"/>
    <col min="12027" max="12027" width="7.21875" style="8" customWidth="1"/>
    <col min="12028" max="12028" width="5.5546875" style="8" customWidth="1"/>
    <col min="12029" max="12029" width="9" style="8" customWidth="1"/>
    <col min="12030" max="12031" width="9.77734375" style="8" customWidth="1"/>
    <col min="12032" max="12032" width="11.21875" style="8" customWidth="1"/>
    <col min="12033" max="12033" width="2.77734375" style="8" customWidth="1"/>
    <col min="12034" max="12034" width="3.5546875" style="8" customWidth="1"/>
    <col min="12035" max="12279" width="9.21875" style="8"/>
    <col min="12280" max="12280" width="8.77734375" style="8" customWidth="1"/>
    <col min="12281" max="12281" width="9.77734375" style="8" customWidth="1"/>
    <col min="12282" max="12282" width="14.44140625" style="8" customWidth="1"/>
    <col min="12283" max="12283" width="7.21875" style="8" customWidth="1"/>
    <col min="12284" max="12284" width="5.5546875" style="8" customWidth="1"/>
    <col min="12285" max="12285" width="9" style="8" customWidth="1"/>
    <col min="12286" max="12287" width="9.77734375" style="8" customWidth="1"/>
    <col min="12288" max="12288" width="11.21875" style="8" customWidth="1"/>
    <col min="12289" max="12289" width="2.77734375" style="8" customWidth="1"/>
    <col min="12290" max="12290" width="3.5546875" style="8" customWidth="1"/>
    <col min="12291" max="12535" width="9.21875" style="8"/>
    <col min="12536" max="12536" width="8.77734375" style="8" customWidth="1"/>
    <col min="12537" max="12537" width="9.77734375" style="8" customWidth="1"/>
    <col min="12538" max="12538" width="14.44140625" style="8" customWidth="1"/>
    <col min="12539" max="12539" width="7.21875" style="8" customWidth="1"/>
    <col min="12540" max="12540" width="5.5546875" style="8" customWidth="1"/>
    <col min="12541" max="12541" width="9" style="8" customWidth="1"/>
    <col min="12542" max="12543" width="9.77734375" style="8" customWidth="1"/>
    <col min="12544" max="12544" width="11.21875" style="8" customWidth="1"/>
    <col min="12545" max="12545" width="2.77734375" style="8" customWidth="1"/>
    <col min="12546" max="12546" width="3.5546875" style="8" customWidth="1"/>
    <col min="12547" max="12791" width="9.21875" style="8"/>
    <col min="12792" max="12792" width="8.77734375" style="8" customWidth="1"/>
    <col min="12793" max="12793" width="9.77734375" style="8" customWidth="1"/>
    <col min="12794" max="12794" width="14.44140625" style="8" customWidth="1"/>
    <col min="12795" max="12795" width="7.21875" style="8" customWidth="1"/>
    <col min="12796" max="12796" width="5.5546875" style="8" customWidth="1"/>
    <col min="12797" max="12797" width="9" style="8" customWidth="1"/>
    <col min="12798" max="12799" width="9.77734375" style="8" customWidth="1"/>
    <col min="12800" max="12800" width="11.21875" style="8" customWidth="1"/>
    <col min="12801" max="12801" width="2.77734375" style="8" customWidth="1"/>
    <col min="12802" max="12802" width="3.5546875" style="8" customWidth="1"/>
    <col min="12803" max="13047" width="9.21875" style="8"/>
    <col min="13048" max="13048" width="8.77734375" style="8" customWidth="1"/>
    <col min="13049" max="13049" width="9.77734375" style="8" customWidth="1"/>
    <col min="13050" max="13050" width="14.44140625" style="8" customWidth="1"/>
    <col min="13051" max="13051" width="7.21875" style="8" customWidth="1"/>
    <col min="13052" max="13052" width="5.5546875" style="8" customWidth="1"/>
    <col min="13053" max="13053" width="9" style="8" customWidth="1"/>
    <col min="13054" max="13055" width="9.77734375" style="8" customWidth="1"/>
    <col min="13056" max="13056" width="11.21875" style="8" customWidth="1"/>
    <col min="13057" max="13057" width="2.77734375" style="8" customWidth="1"/>
    <col min="13058" max="13058" width="3.5546875" style="8" customWidth="1"/>
    <col min="13059" max="13303" width="9.21875" style="8"/>
    <col min="13304" max="13304" width="8.77734375" style="8" customWidth="1"/>
    <col min="13305" max="13305" width="9.77734375" style="8" customWidth="1"/>
    <col min="13306" max="13306" width="14.44140625" style="8" customWidth="1"/>
    <col min="13307" max="13307" width="7.21875" style="8" customWidth="1"/>
    <col min="13308" max="13308" width="5.5546875" style="8" customWidth="1"/>
    <col min="13309" max="13309" width="9" style="8" customWidth="1"/>
    <col min="13310" max="13311" width="9.77734375" style="8" customWidth="1"/>
    <col min="13312" max="13312" width="11.21875" style="8" customWidth="1"/>
    <col min="13313" max="13313" width="2.77734375" style="8" customWidth="1"/>
    <col min="13314" max="13314" width="3.5546875" style="8" customWidth="1"/>
    <col min="13315" max="13559" width="9.21875" style="8"/>
    <col min="13560" max="13560" width="8.77734375" style="8" customWidth="1"/>
    <col min="13561" max="13561" width="9.77734375" style="8" customWidth="1"/>
    <col min="13562" max="13562" width="14.44140625" style="8" customWidth="1"/>
    <col min="13563" max="13563" width="7.21875" style="8" customWidth="1"/>
    <col min="13564" max="13564" width="5.5546875" style="8" customWidth="1"/>
    <col min="13565" max="13565" width="9" style="8" customWidth="1"/>
    <col min="13566" max="13567" width="9.77734375" style="8" customWidth="1"/>
    <col min="13568" max="13568" width="11.21875" style="8" customWidth="1"/>
    <col min="13569" max="13569" width="2.77734375" style="8" customWidth="1"/>
    <col min="13570" max="13570" width="3.5546875" style="8" customWidth="1"/>
    <col min="13571" max="13815" width="9.21875" style="8"/>
    <col min="13816" max="13816" width="8.77734375" style="8" customWidth="1"/>
    <col min="13817" max="13817" width="9.77734375" style="8" customWidth="1"/>
    <col min="13818" max="13818" width="14.44140625" style="8" customWidth="1"/>
    <col min="13819" max="13819" width="7.21875" style="8" customWidth="1"/>
    <col min="13820" max="13820" width="5.5546875" style="8" customWidth="1"/>
    <col min="13821" max="13821" width="9" style="8" customWidth="1"/>
    <col min="13822" max="13823" width="9.77734375" style="8" customWidth="1"/>
    <col min="13824" max="13824" width="11.21875" style="8" customWidth="1"/>
    <col min="13825" max="13825" width="2.77734375" style="8" customWidth="1"/>
    <col min="13826" max="13826" width="3.5546875" style="8" customWidth="1"/>
    <col min="13827" max="14071" width="9.21875" style="8"/>
    <col min="14072" max="14072" width="8.77734375" style="8" customWidth="1"/>
    <col min="14073" max="14073" width="9.77734375" style="8" customWidth="1"/>
    <col min="14074" max="14074" width="14.44140625" style="8" customWidth="1"/>
    <col min="14075" max="14075" width="7.21875" style="8" customWidth="1"/>
    <col min="14076" max="14076" width="5.5546875" style="8" customWidth="1"/>
    <col min="14077" max="14077" width="9" style="8" customWidth="1"/>
    <col min="14078" max="14079" width="9.77734375" style="8" customWidth="1"/>
    <col min="14080" max="14080" width="11.21875" style="8" customWidth="1"/>
    <col min="14081" max="14081" width="2.77734375" style="8" customWidth="1"/>
    <col min="14082" max="14082" width="3.5546875" style="8" customWidth="1"/>
    <col min="14083" max="14327" width="9.21875" style="8"/>
    <col min="14328" max="14328" width="8.77734375" style="8" customWidth="1"/>
    <col min="14329" max="14329" width="9.77734375" style="8" customWidth="1"/>
    <col min="14330" max="14330" width="14.44140625" style="8" customWidth="1"/>
    <col min="14331" max="14331" width="7.21875" style="8" customWidth="1"/>
    <col min="14332" max="14332" width="5.5546875" style="8" customWidth="1"/>
    <col min="14333" max="14333" width="9" style="8" customWidth="1"/>
    <col min="14334" max="14335" width="9.77734375" style="8" customWidth="1"/>
    <col min="14336" max="14336" width="11.21875" style="8" customWidth="1"/>
    <col min="14337" max="14337" width="2.77734375" style="8" customWidth="1"/>
    <col min="14338" max="14338" width="3.5546875" style="8" customWidth="1"/>
    <col min="14339" max="14583" width="9.21875" style="8"/>
    <col min="14584" max="14584" width="8.77734375" style="8" customWidth="1"/>
    <col min="14585" max="14585" width="9.77734375" style="8" customWidth="1"/>
    <col min="14586" max="14586" width="14.44140625" style="8" customWidth="1"/>
    <col min="14587" max="14587" width="7.21875" style="8" customWidth="1"/>
    <col min="14588" max="14588" width="5.5546875" style="8" customWidth="1"/>
    <col min="14589" max="14589" width="9" style="8" customWidth="1"/>
    <col min="14590" max="14591" width="9.77734375" style="8" customWidth="1"/>
    <col min="14592" max="14592" width="11.21875" style="8" customWidth="1"/>
    <col min="14593" max="14593" width="2.77734375" style="8" customWidth="1"/>
    <col min="14594" max="14594" width="3.5546875" style="8" customWidth="1"/>
    <col min="14595" max="14839" width="9.21875" style="8"/>
    <col min="14840" max="14840" width="8.77734375" style="8" customWidth="1"/>
    <col min="14841" max="14841" width="9.77734375" style="8" customWidth="1"/>
    <col min="14842" max="14842" width="14.44140625" style="8" customWidth="1"/>
    <col min="14843" max="14843" width="7.21875" style="8" customWidth="1"/>
    <col min="14844" max="14844" width="5.5546875" style="8" customWidth="1"/>
    <col min="14845" max="14845" width="9" style="8" customWidth="1"/>
    <col min="14846" max="14847" width="9.77734375" style="8" customWidth="1"/>
    <col min="14848" max="14848" width="11.21875" style="8" customWidth="1"/>
    <col min="14849" max="14849" width="2.77734375" style="8" customWidth="1"/>
    <col min="14850" max="14850" width="3.5546875" style="8" customWidth="1"/>
    <col min="14851" max="15095" width="9.21875" style="8"/>
    <col min="15096" max="15096" width="8.77734375" style="8" customWidth="1"/>
    <col min="15097" max="15097" width="9.77734375" style="8" customWidth="1"/>
    <col min="15098" max="15098" width="14.44140625" style="8" customWidth="1"/>
    <col min="15099" max="15099" width="7.21875" style="8" customWidth="1"/>
    <col min="15100" max="15100" width="5.5546875" style="8" customWidth="1"/>
    <col min="15101" max="15101" width="9" style="8" customWidth="1"/>
    <col min="15102" max="15103" width="9.77734375" style="8" customWidth="1"/>
    <col min="15104" max="15104" width="11.21875" style="8" customWidth="1"/>
    <col min="15105" max="15105" width="2.77734375" style="8" customWidth="1"/>
    <col min="15106" max="15106" width="3.5546875" style="8" customWidth="1"/>
    <col min="15107" max="15351" width="9.21875" style="8"/>
    <col min="15352" max="15352" width="8.77734375" style="8" customWidth="1"/>
    <col min="15353" max="15353" width="9.77734375" style="8" customWidth="1"/>
    <col min="15354" max="15354" width="14.44140625" style="8" customWidth="1"/>
    <col min="15355" max="15355" width="7.21875" style="8" customWidth="1"/>
    <col min="15356" max="15356" width="5.5546875" style="8" customWidth="1"/>
    <col min="15357" max="15357" width="9" style="8" customWidth="1"/>
    <col min="15358" max="15359" width="9.77734375" style="8" customWidth="1"/>
    <col min="15360" max="15360" width="11.21875" style="8" customWidth="1"/>
    <col min="15361" max="15361" width="2.77734375" style="8" customWidth="1"/>
    <col min="15362" max="15362" width="3.5546875" style="8" customWidth="1"/>
    <col min="15363" max="15607" width="9.21875" style="8"/>
    <col min="15608" max="15608" width="8.77734375" style="8" customWidth="1"/>
    <col min="15609" max="15609" width="9.77734375" style="8" customWidth="1"/>
    <col min="15610" max="15610" width="14.44140625" style="8" customWidth="1"/>
    <col min="15611" max="15611" width="7.21875" style="8" customWidth="1"/>
    <col min="15612" max="15612" width="5.5546875" style="8" customWidth="1"/>
    <col min="15613" max="15613" width="9" style="8" customWidth="1"/>
    <col min="15614" max="15615" width="9.77734375" style="8" customWidth="1"/>
    <col min="15616" max="15616" width="11.21875" style="8" customWidth="1"/>
    <col min="15617" max="15617" width="2.77734375" style="8" customWidth="1"/>
    <col min="15618" max="15618" width="3.5546875" style="8" customWidth="1"/>
    <col min="15619" max="15863" width="9.21875" style="8"/>
    <col min="15864" max="15864" width="8.77734375" style="8" customWidth="1"/>
    <col min="15865" max="15865" width="9.77734375" style="8" customWidth="1"/>
    <col min="15866" max="15866" width="14.44140625" style="8" customWidth="1"/>
    <col min="15867" max="15867" width="7.21875" style="8" customWidth="1"/>
    <col min="15868" max="15868" width="5.5546875" style="8" customWidth="1"/>
    <col min="15869" max="15869" width="9" style="8" customWidth="1"/>
    <col min="15870" max="15871" width="9.77734375" style="8" customWidth="1"/>
    <col min="15872" max="15872" width="11.21875" style="8" customWidth="1"/>
    <col min="15873" max="15873" width="2.77734375" style="8" customWidth="1"/>
    <col min="15874" max="15874" width="3.5546875" style="8" customWidth="1"/>
    <col min="15875" max="16119" width="9.21875" style="8"/>
    <col min="16120" max="16120" width="8.77734375" style="8" customWidth="1"/>
    <col min="16121" max="16121" width="9.77734375" style="8" customWidth="1"/>
    <col min="16122" max="16122" width="14.44140625" style="8" customWidth="1"/>
    <col min="16123" max="16123" width="7.21875" style="8" customWidth="1"/>
    <col min="16124" max="16124" width="5.5546875" style="8" customWidth="1"/>
    <col min="16125" max="16125" width="9" style="8" customWidth="1"/>
    <col min="16126" max="16127" width="9.77734375" style="8" customWidth="1"/>
    <col min="16128" max="16128" width="11.21875" style="8" customWidth="1"/>
    <col min="16129" max="16129" width="2.77734375" style="8" customWidth="1"/>
    <col min="16130" max="16130" width="3.5546875" style="8" customWidth="1"/>
    <col min="16131" max="16384" width="9.21875" style="8"/>
  </cols>
  <sheetData>
    <row r="1" spans="1:8" ht="46.5" customHeight="1" x14ac:dyDescent="0.3">
      <c r="A1" s="136" t="s">
        <v>208</v>
      </c>
      <c r="B1" s="136"/>
      <c r="C1" s="136"/>
      <c r="D1" s="136"/>
      <c r="E1" s="136"/>
      <c r="F1" s="136"/>
      <c r="G1" s="136"/>
      <c r="H1" s="136"/>
    </row>
    <row r="2" spans="1:8" ht="16.5" customHeight="1" x14ac:dyDescent="0.3">
      <c r="A2" s="64" t="s">
        <v>0</v>
      </c>
      <c r="B2" s="64"/>
      <c r="C2" s="64"/>
      <c r="D2" s="64"/>
      <c r="E2" s="64"/>
      <c r="F2" s="64"/>
      <c r="G2" s="64"/>
      <c r="H2" s="64"/>
    </row>
    <row r="3" spans="1:8" x14ac:dyDescent="0.3">
      <c r="A3" s="95" t="s">
        <v>1</v>
      </c>
      <c r="B3" s="95"/>
      <c r="C3" s="95"/>
      <c r="D3" s="95"/>
      <c r="E3" s="135" t="str">
        <f ca="1">TEXT(TODAY(),"DD/MM/YYYY")</f>
        <v>14/07/2025</v>
      </c>
      <c r="F3" s="135"/>
      <c r="G3" s="135"/>
      <c r="H3" s="135"/>
    </row>
    <row r="4" spans="1:8" ht="15" customHeight="1" x14ac:dyDescent="0.3">
      <c r="A4" s="95" t="s">
        <v>2</v>
      </c>
      <c r="B4" s="95"/>
      <c r="C4" s="95"/>
      <c r="D4" s="95"/>
      <c r="E4" s="138" t="s">
        <v>175</v>
      </c>
      <c r="F4" s="138"/>
      <c r="G4" s="138"/>
      <c r="H4" s="138"/>
    </row>
    <row r="5" spans="1:8" x14ac:dyDescent="0.3">
      <c r="A5" s="95" t="s">
        <v>3</v>
      </c>
      <c r="B5" s="95"/>
      <c r="C5" s="95"/>
      <c r="D5" s="95"/>
      <c r="E5" s="135">
        <v>45847</v>
      </c>
      <c r="F5" s="135"/>
      <c r="G5" s="135"/>
      <c r="H5" s="135"/>
    </row>
    <row r="6" spans="1:8" ht="16.5" customHeight="1" x14ac:dyDescent="0.3">
      <c r="A6" s="95" t="s">
        <v>4</v>
      </c>
      <c r="B6" s="95"/>
      <c r="C6" s="95"/>
      <c r="D6" s="95"/>
      <c r="E6" s="127" t="s">
        <v>176</v>
      </c>
      <c r="F6" s="127"/>
      <c r="G6" s="127"/>
      <c r="H6" s="127"/>
    </row>
    <row r="7" spans="1:8" ht="15" customHeight="1" x14ac:dyDescent="0.3">
      <c r="A7" s="95" t="s">
        <v>5</v>
      </c>
      <c r="B7" s="95"/>
      <c r="C7" s="95"/>
      <c r="D7" s="95"/>
      <c r="E7" s="127" t="str">
        <f>E6</f>
        <v>M/s.Shreeji Construction</v>
      </c>
      <c r="F7" s="127"/>
      <c r="G7" s="127"/>
      <c r="H7" s="127"/>
    </row>
    <row r="8" spans="1:8" x14ac:dyDescent="0.3">
      <c r="A8" s="95" t="s">
        <v>6</v>
      </c>
      <c r="B8" s="95"/>
      <c r="C8" s="95"/>
      <c r="D8" s="95"/>
      <c r="E8" s="137" t="s">
        <v>182</v>
      </c>
      <c r="F8" s="137"/>
      <c r="G8" s="137"/>
      <c r="H8" s="137"/>
    </row>
    <row r="9" spans="1:8" x14ac:dyDescent="0.3">
      <c r="A9" s="95" t="s">
        <v>148</v>
      </c>
      <c r="B9" s="95"/>
      <c r="C9" s="95"/>
      <c r="D9" s="95"/>
      <c r="E9" s="95">
        <v>9833371110</v>
      </c>
      <c r="F9" s="95"/>
      <c r="G9" s="95"/>
      <c r="H9" s="95"/>
    </row>
    <row r="10" spans="1:8" x14ac:dyDescent="0.3">
      <c r="A10" s="95" t="s">
        <v>203</v>
      </c>
      <c r="B10" s="95"/>
      <c r="C10" s="95"/>
      <c r="D10" s="95"/>
      <c r="E10" s="95" t="s">
        <v>257</v>
      </c>
      <c r="F10" s="95"/>
      <c r="G10" s="95"/>
      <c r="H10" s="95"/>
    </row>
    <row r="11" spans="1:8" x14ac:dyDescent="0.3">
      <c r="A11" s="98" t="s">
        <v>7</v>
      </c>
      <c r="B11" s="98"/>
      <c r="C11" s="98"/>
      <c r="D11" s="98"/>
      <c r="E11" s="98" t="s">
        <v>218</v>
      </c>
      <c r="F11" s="98"/>
      <c r="G11" s="98"/>
      <c r="H11" s="98"/>
    </row>
    <row r="12" spans="1:8" ht="32.25" customHeight="1" x14ac:dyDescent="0.3">
      <c r="A12" s="95" t="s">
        <v>8</v>
      </c>
      <c r="B12" s="95"/>
      <c r="C12" s="95"/>
      <c r="D12" s="95"/>
      <c r="E12" s="99" t="s">
        <v>200</v>
      </c>
      <c r="F12" s="99"/>
      <c r="G12" s="99"/>
      <c r="H12" s="99"/>
    </row>
    <row r="13" spans="1:8" x14ac:dyDescent="0.3">
      <c r="A13" s="95" t="s">
        <v>9</v>
      </c>
      <c r="B13" s="95"/>
      <c r="C13" s="95"/>
      <c r="D13" s="95"/>
      <c r="E13" s="131" t="s">
        <v>210</v>
      </c>
      <c r="F13" s="132"/>
      <c r="G13" s="132"/>
      <c r="H13" s="132"/>
    </row>
    <row r="14" spans="1:8" ht="51" customHeight="1" x14ac:dyDescent="0.3">
      <c r="A14" s="127" t="s">
        <v>10</v>
      </c>
      <c r="B14" s="127"/>
      <c r="C14" s="127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Shreeji Plaza Wing B, CTS No.1(Pt), 2(Pt), 264, 265, 266, 216/1A, 216A/1A/1, 216A/1/4 to 10, 216A(pt), 216A/11 to 14, near Shreeji Aspire, Gautam Buddh Marg, Valnai, Malad West, Borivali, Mumbai.</v>
      </c>
      <c r="D14" s="127"/>
      <c r="E14" s="127"/>
      <c r="F14" s="127"/>
      <c r="G14" s="127"/>
      <c r="H14" s="127"/>
    </row>
    <row r="15" spans="1:8" ht="31.5" customHeight="1" x14ac:dyDescent="0.3">
      <c r="A15" s="131" t="s">
        <v>177</v>
      </c>
      <c r="B15" s="131"/>
      <c r="C15" s="99" t="s">
        <v>189</v>
      </c>
      <c r="D15" s="99"/>
      <c r="E15" s="99"/>
      <c r="F15" s="99"/>
      <c r="G15" s="99"/>
      <c r="H15" s="99"/>
    </row>
    <row r="16" spans="1:8" ht="15.75" customHeight="1" x14ac:dyDescent="0.3">
      <c r="A16" s="127" t="s">
        <v>11</v>
      </c>
      <c r="B16" s="127"/>
      <c r="C16" s="98" t="s">
        <v>179</v>
      </c>
      <c r="D16" s="98"/>
      <c r="E16" s="99" t="s">
        <v>95</v>
      </c>
      <c r="F16" s="99"/>
      <c r="G16" s="99" t="s">
        <v>178</v>
      </c>
      <c r="H16" s="99"/>
    </row>
    <row r="17" spans="1:8" x14ac:dyDescent="0.3">
      <c r="A17" s="95" t="s">
        <v>13</v>
      </c>
      <c r="B17" s="95"/>
      <c r="C17" s="99" t="s">
        <v>190</v>
      </c>
      <c r="D17" s="99"/>
      <c r="E17" s="99" t="s">
        <v>12</v>
      </c>
      <c r="F17" s="99"/>
      <c r="G17" s="133" t="s">
        <v>191</v>
      </c>
      <c r="H17" s="133"/>
    </row>
    <row r="18" spans="1:8" x14ac:dyDescent="0.3">
      <c r="A18" s="95" t="s">
        <v>96</v>
      </c>
      <c r="B18" s="95"/>
      <c r="C18" s="99" t="s">
        <v>188</v>
      </c>
      <c r="D18" s="99"/>
      <c r="E18" s="99" t="s">
        <v>14</v>
      </c>
      <c r="F18" s="99"/>
      <c r="G18" s="99">
        <v>400064</v>
      </c>
      <c r="H18" s="99"/>
    </row>
    <row r="19" spans="1:8" ht="32.25" customHeight="1" x14ac:dyDescent="0.3">
      <c r="A19" s="95" t="s">
        <v>149</v>
      </c>
      <c r="B19" s="95"/>
      <c r="C19" s="134" t="s">
        <v>180</v>
      </c>
      <c r="D19" s="134"/>
      <c r="E19" s="99" t="s">
        <v>15</v>
      </c>
      <c r="F19" s="99"/>
      <c r="G19" s="99" t="s">
        <v>192</v>
      </c>
      <c r="H19" s="99"/>
    </row>
    <row r="20" spans="1:8" ht="15" customHeight="1" x14ac:dyDescent="0.3">
      <c r="A20" s="127" t="s">
        <v>99</v>
      </c>
      <c r="B20" s="127"/>
      <c r="C20" s="127"/>
      <c r="D20" s="127"/>
      <c r="E20" s="98" t="s">
        <v>16</v>
      </c>
      <c r="F20" s="98"/>
      <c r="G20" s="98"/>
      <c r="H20" s="98"/>
    </row>
    <row r="21" spans="1:8" ht="18.75" customHeight="1" x14ac:dyDescent="0.3">
      <c r="A21" s="127"/>
      <c r="B21" s="127"/>
      <c r="C21" s="127"/>
      <c r="D21" s="127"/>
      <c r="E21" s="98"/>
      <c r="F21" s="98"/>
      <c r="G21" s="98"/>
      <c r="H21" s="98"/>
    </row>
    <row r="22" spans="1:8" ht="15" customHeight="1" x14ac:dyDescent="0.3">
      <c r="A22" s="127" t="s">
        <v>17</v>
      </c>
      <c r="B22" s="127"/>
      <c r="C22" s="127"/>
      <c r="D22" s="127"/>
      <c r="E22" s="99" t="s">
        <v>18</v>
      </c>
      <c r="F22" s="99"/>
      <c r="G22" s="99"/>
      <c r="H22" s="99"/>
    </row>
    <row r="23" spans="1:8" ht="15" customHeight="1" x14ac:dyDescent="0.3">
      <c r="A23" s="95" t="s">
        <v>19</v>
      </c>
      <c r="B23" s="95"/>
      <c r="C23" s="95"/>
      <c r="D23" s="95"/>
      <c r="E23" s="99" t="str">
        <f>IF(AND(G17="Mumbai"),"Upper Class","Middle Class")</f>
        <v>Upper Class</v>
      </c>
      <c r="F23" s="99"/>
      <c r="G23" s="99"/>
      <c r="H23" s="99"/>
    </row>
    <row r="24" spans="1:8" x14ac:dyDescent="0.3">
      <c r="A24" s="95" t="s">
        <v>20</v>
      </c>
      <c r="B24" s="95"/>
      <c r="C24" s="95"/>
      <c r="D24" s="95"/>
      <c r="E24" s="99" t="s">
        <v>21</v>
      </c>
      <c r="F24" s="99"/>
      <c r="G24" s="99"/>
      <c r="H24" s="99"/>
    </row>
    <row r="25" spans="1:8" ht="15.75" customHeight="1" x14ac:dyDescent="0.3">
      <c r="A25" s="95" t="s">
        <v>22</v>
      </c>
      <c r="B25" s="95"/>
      <c r="C25" s="95"/>
      <c r="D25" s="95"/>
      <c r="E25" s="99" t="str">
        <f>IF(AND(G17="Mumbai"),"Developed","Developing")</f>
        <v>Developed</v>
      </c>
      <c r="F25" s="99"/>
      <c r="G25" s="99"/>
      <c r="H25" s="99"/>
    </row>
    <row r="26" spans="1:8" x14ac:dyDescent="0.3">
      <c r="A26" s="95" t="s">
        <v>23</v>
      </c>
      <c r="B26" s="95"/>
      <c r="C26" s="95"/>
      <c r="D26" s="95"/>
      <c r="E26" s="99" t="s">
        <v>24</v>
      </c>
      <c r="F26" s="99"/>
      <c r="G26" s="99"/>
      <c r="H26" s="99"/>
    </row>
    <row r="27" spans="1:8" x14ac:dyDescent="0.3">
      <c r="A27" s="95" t="s">
        <v>106</v>
      </c>
      <c r="B27" s="95"/>
      <c r="C27" s="95"/>
      <c r="D27" s="95"/>
      <c r="E27" s="99" t="s">
        <v>107</v>
      </c>
      <c r="F27" s="99"/>
      <c r="G27" s="99"/>
      <c r="H27" s="99"/>
    </row>
    <row r="28" spans="1:8" ht="15" customHeight="1" x14ac:dyDescent="0.3">
      <c r="A28" s="127" t="s">
        <v>32</v>
      </c>
      <c r="B28" s="127"/>
      <c r="C28" s="127"/>
      <c r="D28" s="127"/>
      <c r="E28" s="128" t="s">
        <v>103</v>
      </c>
      <c r="F28" s="128"/>
      <c r="G28" s="128"/>
      <c r="H28" s="128"/>
    </row>
    <row r="29" spans="1:8" x14ac:dyDescent="0.3">
      <c r="A29" s="127" t="s">
        <v>117</v>
      </c>
      <c r="B29" s="127"/>
      <c r="C29" s="127"/>
      <c r="D29" s="127"/>
      <c r="E29" s="127" t="s">
        <v>33</v>
      </c>
      <c r="F29" s="127"/>
      <c r="G29" s="127"/>
      <c r="H29" s="127"/>
    </row>
    <row r="30" spans="1:8" s="11" customFormat="1" x14ac:dyDescent="0.3">
      <c r="A30" s="130" t="s">
        <v>118</v>
      </c>
      <c r="B30" s="130"/>
      <c r="C30" s="129" t="s">
        <v>219</v>
      </c>
      <c r="D30" s="129"/>
      <c r="E30" s="129"/>
      <c r="F30" s="129" t="s">
        <v>30</v>
      </c>
      <c r="G30" s="129"/>
      <c r="H30" s="129"/>
    </row>
    <row r="31" spans="1:8" s="11" customFormat="1" x14ac:dyDescent="0.3">
      <c r="A31" s="119" t="s">
        <v>25</v>
      </c>
      <c r="B31" s="119" t="s">
        <v>29</v>
      </c>
      <c r="C31" s="120" t="s">
        <v>220</v>
      </c>
      <c r="D31" s="120"/>
      <c r="E31" s="120"/>
      <c r="F31" s="120" t="s">
        <v>181</v>
      </c>
      <c r="G31" s="120"/>
      <c r="H31" s="120"/>
    </row>
    <row r="32" spans="1:8" x14ac:dyDescent="0.3">
      <c r="A32" s="119" t="s">
        <v>26</v>
      </c>
      <c r="B32" s="119" t="s">
        <v>29</v>
      </c>
      <c r="C32" s="120" t="s">
        <v>221</v>
      </c>
      <c r="D32" s="120"/>
      <c r="E32" s="120"/>
      <c r="F32" s="120" t="s">
        <v>179</v>
      </c>
      <c r="G32" s="120"/>
      <c r="H32" s="120"/>
    </row>
    <row r="33" spans="1:8" s="11" customFormat="1" x14ac:dyDescent="0.3">
      <c r="A33" s="119" t="s">
        <v>28</v>
      </c>
      <c r="B33" s="119" t="s">
        <v>29</v>
      </c>
      <c r="C33" s="120" t="s">
        <v>220</v>
      </c>
      <c r="D33" s="120"/>
      <c r="E33" s="120"/>
      <c r="F33" s="120" t="s">
        <v>181</v>
      </c>
      <c r="G33" s="120"/>
      <c r="H33" s="120"/>
    </row>
    <row r="34" spans="1:8" x14ac:dyDescent="0.3">
      <c r="A34" s="119" t="s">
        <v>27</v>
      </c>
      <c r="B34" s="119" t="s">
        <v>29</v>
      </c>
      <c r="C34" s="120" t="s">
        <v>222</v>
      </c>
      <c r="D34" s="120"/>
      <c r="E34" s="120"/>
      <c r="F34" s="120" t="s">
        <v>180</v>
      </c>
      <c r="G34" s="120"/>
      <c r="H34" s="120"/>
    </row>
    <row r="35" spans="1:8" x14ac:dyDescent="0.3">
      <c r="A35" s="95" t="s">
        <v>31</v>
      </c>
      <c r="B35" s="95"/>
      <c r="C35" s="95"/>
      <c r="D35" s="95"/>
      <c r="E35" s="95"/>
      <c r="F35" s="95"/>
      <c r="G35" s="95"/>
      <c r="H35" s="95"/>
    </row>
    <row r="36" spans="1:8" ht="15.75" customHeight="1" x14ac:dyDescent="0.3">
      <c r="A36" s="95" t="s">
        <v>206</v>
      </c>
      <c r="B36" s="95"/>
      <c r="C36" s="121" t="s">
        <v>223</v>
      </c>
      <c r="D36" s="121"/>
      <c r="E36" s="121"/>
      <c r="F36" s="121"/>
      <c r="G36" s="121"/>
      <c r="H36" s="121"/>
    </row>
    <row r="37" spans="1:8" ht="15.75" customHeight="1" x14ac:dyDescent="0.3">
      <c r="A37" s="95" t="s">
        <v>207</v>
      </c>
      <c r="B37" s="95"/>
      <c r="C37" s="174" t="s">
        <v>224</v>
      </c>
      <c r="D37" s="175"/>
      <c r="E37" s="175"/>
      <c r="F37" s="175"/>
      <c r="G37" s="175"/>
      <c r="H37" s="175"/>
    </row>
    <row r="38" spans="1:8" x14ac:dyDescent="0.3">
      <c r="A38" s="124" t="s">
        <v>34</v>
      </c>
      <c r="B38" s="124"/>
      <c r="C38" s="124"/>
      <c r="D38" s="124"/>
      <c r="E38" s="124"/>
      <c r="F38" s="124"/>
      <c r="G38" s="124"/>
      <c r="H38" s="124"/>
    </row>
    <row r="39" spans="1:8" x14ac:dyDescent="0.3">
      <c r="A39" s="98" t="s">
        <v>35</v>
      </c>
      <c r="B39" s="98"/>
      <c r="C39" s="98"/>
      <c r="D39" s="98"/>
      <c r="E39" s="176">
        <v>17306.84</v>
      </c>
      <c r="F39" s="176"/>
      <c r="G39" s="176"/>
      <c r="H39" s="176"/>
    </row>
    <row r="40" spans="1:8" x14ac:dyDescent="0.3">
      <c r="A40" s="98" t="s">
        <v>36</v>
      </c>
      <c r="B40" s="98"/>
      <c r="C40" s="98"/>
      <c r="D40" s="98"/>
      <c r="E40" s="122">
        <v>1</v>
      </c>
      <c r="F40" s="122"/>
      <c r="G40" s="122"/>
      <c r="H40" s="122"/>
    </row>
    <row r="41" spans="1:8" x14ac:dyDescent="0.3">
      <c r="A41" s="98" t="s">
        <v>37</v>
      </c>
      <c r="B41" s="98"/>
      <c r="C41" s="98"/>
      <c r="D41" s="98"/>
      <c r="E41" s="122">
        <f>E43/E39-E40</f>
        <v>4.4734018457442257</v>
      </c>
      <c r="F41" s="122"/>
      <c r="G41" s="122"/>
      <c r="H41" s="122"/>
    </row>
    <row r="42" spans="1:8" x14ac:dyDescent="0.3">
      <c r="A42" s="98" t="s">
        <v>38</v>
      </c>
      <c r="B42" s="98"/>
      <c r="C42" s="98"/>
      <c r="D42" s="98"/>
      <c r="E42" s="122">
        <f>E40+E41</f>
        <v>5.4734018457442257</v>
      </c>
      <c r="F42" s="122"/>
      <c r="G42" s="122"/>
      <c r="H42" s="122"/>
    </row>
    <row r="43" spans="1:8" x14ac:dyDescent="0.3">
      <c r="A43" s="98" t="s">
        <v>116</v>
      </c>
      <c r="B43" s="98"/>
      <c r="C43" s="98"/>
      <c r="D43" s="98"/>
      <c r="E43" s="123">
        <v>94727.29</v>
      </c>
      <c r="F43" s="123"/>
      <c r="G43" s="123"/>
      <c r="H43" s="123"/>
    </row>
    <row r="44" spans="1:8" x14ac:dyDescent="0.3">
      <c r="A44" s="98" t="s">
        <v>39</v>
      </c>
      <c r="B44" s="98"/>
      <c r="C44" s="98"/>
      <c r="D44" s="98"/>
      <c r="E44" s="98" t="s">
        <v>225</v>
      </c>
      <c r="F44" s="98"/>
      <c r="G44" s="98"/>
      <c r="H44" s="98"/>
    </row>
    <row r="45" spans="1:8" x14ac:dyDescent="0.3">
      <c r="A45" s="124" t="s">
        <v>40</v>
      </c>
      <c r="B45" s="124"/>
      <c r="C45" s="124"/>
      <c r="D45" s="124"/>
      <c r="E45" s="124"/>
      <c r="F45" s="124"/>
      <c r="G45" s="124"/>
      <c r="H45" s="124"/>
    </row>
    <row r="46" spans="1:8" ht="31.5" customHeight="1" x14ac:dyDescent="0.3">
      <c r="A46" s="141" t="s">
        <v>227</v>
      </c>
      <c r="B46" s="143"/>
      <c r="C46" s="180" t="s">
        <v>228</v>
      </c>
      <c r="D46" s="181"/>
      <c r="E46" s="181"/>
      <c r="F46" s="181"/>
      <c r="G46" s="181"/>
      <c r="H46" s="182"/>
    </row>
    <row r="47" spans="1:8" x14ac:dyDescent="0.3">
      <c r="A47" s="99" t="s">
        <v>41</v>
      </c>
      <c r="B47" s="99"/>
      <c r="C47" s="134" t="s">
        <v>226</v>
      </c>
      <c r="D47" s="134"/>
      <c r="E47" s="134"/>
      <c r="F47" s="56" t="s">
        <v>42</v>
      </c>
      <c r="G47" s="125">
        <v>45645</v>
      </c>
      <c r="H47" s="125"/>
    </row>
    <row r="48" spans="1:8" s="10" customFormat="1" x14ac:dyDescent="0.3">
      <c r="A48" s="98" t="s">
        <v>43</v>
      </c>
      <c r="B48" s="98"/>
      <c r="C48" s="134" t="str">
        <f>C47</f>
        <v>PN/MCGM/0009/20060623/AP/S2</v>
      </c>
      <c r="D48" s="134"/>
      <c r="E48" s="134"/>
      <c r="F48" s="56" t="s">
        <v>42</v>
      </c>
      <c r="G48" s="125">
        <f>G47</f>
        <v>45645</v>
      </c>
      <c r="H48" s="125"/>
    </row>
    <row r="49" spans="1:14" s="10" customFormat="1" x14ac:dyDescent="0.3">
      <c r="A49" s="99" t="s">
        <v>211</v>
      </c>
      <c r="B49" s="99"/>
      <c r="C49" s="134" t="s">
        <v>226</v>
      </c>
      <c r="D49" s="79"/>
      <c r="E49" s="79"/>
      <c r="F49" s="13" t="s">
        <v>42</v>
      </c>
      <c r="G49" s="125">
        <v>45645</v>
      </c>
      <c r="H49" s="125"/>
    </row>
    <row r="50" spans="1:14" ht="66.75" customHeight="1" x14ac:dyDescent="0.3">
      <c r="A50" s="99"/>
      <c r="B50" s="99"/>
      <c r="C50" s="177" t="s">
        <v>213</v>
      </c>
      <c r="D50" s="178"/>
      <c r="E50" s="178"/>
      <c r="F50" s="178"/>
      <c r="G50" s="178"/>
      <c r="H50" s="179"/>
    </row>
    <row r="51" spans="1:14" x14ac:dyDescent="0.3">
      <c r="A51" s="183" t="s">
        <v>44</v>
      </c>
      <c r="B51" s="183"/>
      <c r="C51" s="184" t="s">
        <v>129</v>
      </c>
      <c r="D51" s="185"/>
      <c r="E51" s="185" t="s">
        <v>45</v>
      </c>
      <c r="F51" s="14" t="s">
        <v>42</v>
      </c>
      <c r="G51" s="126" t="s">
        <v>29</v>
      </c>
      <c r="H51" s="126"/>
    </row>
    <row r="52" spans="1:14" x14ac:dyDescent="0.3">
      <c r="A52" s="186" t="s">
        <v>47</v>
      </c>
      <c r="B52" s="186"/>
      <c r="C52" s="186"/>
      <c r="D52" s="186"/>
      <c r="E52" s="186"/>
      <c r="F52" s="186"/>
      <c r="G52" s="186"/>
      <c r="H52" s="186"/>
    </row>
    <row r="53" spans="1:14" ht="34.5" customHeight="1" x14ac:dyDescent="0.3">
      <c r="A53" s="127" t="s">
        <v>229</v>
      </c>
      <c r="B53" s="127"/>
      <c r="C53" s="127"/>
      <c r="D53" s="95">
        <v>21338.080000000002</v>
      </c>
      <c r="E53" s="95"/>
      <c r="F53" s="95"/>
      <c r="G53" s="95"/>
      <c r="H53" s="95"/>
      <c r="I53" s="41"/>
    </row>
    <row r="54" spans="1:14" ht="15.75" customHeight="1" x14ac:dyDescent="0.3">
      <c r="A54" s="99" t="s">
        <v>48</v>
      </c>
      <c r="B54" s="98"/>
      <c r="C54" s="98"/>
      <c r="D54" s="98" t="s">
        <v>247</v>
      </c>
      <c r="E54" s="98"/>
      <c r="F54" s="98"/>
      <c r="G54" s="98"/>
      <c r="H54" s="98"/>
    </row>
    <row r="55" spans="1:14" ht="15.75" customHeight="1" x14ac:dyDescent="0.3">
      <c r="A55" s="187" t="s">
        <v>49</v>
      </c>
      <c r="B55" s="188"/>
      <c r="C55" s="189"/>
      <c r="D55" s="190" t="s">
        <v>243</v>
      </c>
      <c r="E55" s="190"/>
      <c r="F55" s="190"/>
      <c r="G55" s="190"/>
      <c r="H55" s="190"/>
    </row>
    <row r="56" spans="1:14" ht="15.75" customHeight="1" x14ac:dyDescent="0.3">
      <c r="A56" s="187" t="s">
        <v>114</v>
      </c>
      <c r="B56" s="188"/>
      <c r="C56" s="188"/>
      <c r="D56" s="190" t="s">
        <v>243</v>
      </c>
      <c r="E56" s="190"/>
      <c r="F56" s="190"/>
      <c r="G56" s="190"/>
      <c r="H56" s="190"/>
      <c r="J56" s="40"/>
      <c r="K56" s="41"/>
      <c r="N56" s="41"/>
    </row>
    <row r="57" spans="1:14" ht="15.75" customHeight="1" x14ac:dyDescent="0.3">
      <c r="A57" s="98" t="s">
        <v>46</v>
      </c>
      <c r="B57" s="98"/>
      <c r="C57" s="98"/>
      <c r="D57" s="99" t="s">
        <v>260</v>
      </c>
      <c r="E57" s="99"/>
      <c r="F57" s="99"/>
      <c r="G57" s="99"/>
      <c r="H57" s="99"/>
      <c r="N57" s="41"/>
    </row>
    <row r="58" spans="1:14" ht="15.75" customHeight="1" x14ac:dyDescent="0.3">
      <c r="A58" s="95" t="s">
        <v>112</v>
      </c>
      <c r="B58" s="95"/>
      <c r="C58" s="95"/>
      <c r="D58" s="113" t="str">
        <f>(IF(G51="NA","60 Years After Completion",IF(G51&lt;&gt;"NA",""&amp;60-ROUNDDOWN((E3-G51)/360,0)&amp;" Years"," ")))</f>
        <v>60 Years After Completion</v>
      </c>
      <c r="E58" s="113"/>
      <c r="F58" s="113"/>
      <c r="G58" s="113"/>
      <c r="H58" s="113"/>
      <c r="J58" s="19"/>
      <c r="K58" s="19"/>
    </row>
    <row r="59" spans="1:14" ht="15.75" customHeight="1" thickBot="1" x14ac:dyDescent="0.35">
      <c r="A59" s="95" t="s">
        <v>113</v>
      </c>
      <c r="B59" s="95"/>
      <c r="C59" s="95"/>
      <c r="D59" s="127" t="s">
        <v>29</v>
      </c>
      <c r="E59" s="127"/>
      <c r="F59" s="127"/>
      <c r="G59" s="127"/>
      <c r="H59" s="127"/>
      <c r="J59" s="19"/>
    </row>
    <row r="60" spans="1:14" ht="15.75" customHeight="1" thickBot="1" x14ac:dyDescent="0.35">
      <c r="A60" s="193" t="s">
        <v>111</v>
      </c>
      <c r="B60" s="193"/>
      <c r="C60" s="193"/>
      <c r="D60" s="194" t="str">
        <f ca="1">(IF(G65&gt;95%,"Nothing",IF(G65&gt;0%,"Cement, Aggregate, Steel, etc",IF(G65=0%,"Work not yet Started"))))</f>
        <v>Cement, Aggregate, Steel, etc</v>
      </c>
      <c r="E60" s="194"/>
      <c r="F60" s="194"/>
      <c r="G60" s="194"/>
      <c r="H60" s="194"/>
      <c r="I60" s="43" t="str">
        <f ca="1">(IF(E65&gt;99%,"All work completed. Please provide OC.",IF(E65&gt;89.8%,"Plinth, RCC, Brick, Plaster, Flooring, Painting work Completed. Finishing work is in process.",IF(E65&lt;94%,(IF(C65=0,"Work not yet Started.",IF(D65=25%,"Piling work in process",IF(D65=50%,"Excavation work in process",IF(D65=100%,"Excavation work Completed. ","0")))&amp;(IF(C66=0%,"",IF(C66=J66,"Footing work is process",IF(C66=J67,"Footing work Completed",IF(C66=J68,"1st Basement Completed",IF(C66=J69,"1st &amp; 2nd Basement Completed",IF(C66=J70,"1st to 3rd Basement Completed",IF(C66=J71,"1st to 4th Basement Completed",IF(C66=J72,"Plinth work is process",IF(C66=J73,"Plinth work completed","0")))))))))))&amp;(IF(C67=(D62+F62+H62),", RCC Slab",IF(C67&gt;0,", RCC upto "&amp;C67&amp;" Slab",""))&amp;(IF(C68=H62,", Brickwork",IF(C68&gt;0,", Brickwork upto "&amp;C68&amp;" Floor",""))&amp;(IF(C69=H62,", Internal Plaster",IF(C69&gt;0,", Internal Plaster upto "&amp;C69&amp;" Floor",""))&amp;(IF(C70=H62,", External Plaster",IF(C70&gt;0,", External Plaster upto "&amp;C70&amp;" Floor",""))&amp;(IF(C71=H62,", Flooring",IF(C71&gt;0,", Flooring upto "&amp;C71&amp;" Floor",""))&amp;(IF(C72=H62,", Painting",IF(C72&gt;0,", Painting upto "&amp;C72&amp;" Floor",""))&amp;(IF(C73&gt;0,", Finishing upto "&amp;C73&amp;" Floor","")&amp;(IF(C67&gt;0.5," Completed",""))))))))))))))</f>
        <v>Excavation work Completed. Plinth work completed, RCC Slab, Brickwork, Internal Plaster upto 25 Floor, External Plaster upto 25 Floor, Flooring upto 18 Floor, Painting upto 10 Floor Completed</v>
      </c>
      <c r="J60" s="21"/>
    </row>
    <row r="61" spans="1:14" ht="15.75" customHeight="1" x14ac:dyDescent="0.3">
      <c r="A61" s="195" t="s">
        <v>167</v>
      </c>
      <c r="B61" s="196"/>
      <c r="C61" s="197" t="str">
        <f>D56</f>
        <v>Wing B = B + G + 1st to 4th Podium + 5th to 38th Floor</v>
      </c>
      <c r="D61" s="198"/>
      <c r="E61" s="198"/>
      <c r="F61" s="198"/>
      <c r="G61" s="198"/>
      <c r="H61" s="199"/>
      <c r="I61" s="19"/>
      <c r="J61" s="22"/>
    </row>
    <row r="62" spans="1:14" x14ac:dyDescent="0.3">
      <c r="A62" s="48" t="s">
        <v>169</v>
      </c>
      <c r="B62" s="58">
        <v>1</v>
      </c>
      <c r="C62" s="58" t="s">
        <v>94</v>
      </c>
      <c r="D62" s="58">
        <v>1</v>
      </c>
      <c r="E62" s="58" t="s">
        <v>93</v>
      </c>
      <c r="F62" s="58">
        <v>0</v>
      </c>
      <c r="G62" s="58" t="s">
        <v>105</v>
      </c>
      <c r="H62" s="49">
        <f ca="1">--TRIM(RIGHT(SUBSTITUTE(LEFT(C61,_xlfn.AGGREGATE(16,6,FIND({0,1,2,3,4,5,6,7,8,9},C61,ROW(INDIRECT("1:"&amp;LEN(C61)))),1))," ",REPT(" ",LEN(C61))),LEN(C61)))</f>
        <v>38</v>
      </c>
      <c r="I62" s="19" t="s">
        <v>128</v>
      </c>
      <c r="J62" s="22"/>
    </row>
    <row r="63" spans="1:14" ht="51" customHeight="1" x14ac:dyDescent="0.3">
      <c r="A63" s="191" t="s">
        <v>115</v>
      </c>
      <c r="B63" s="192"/>
      <c r="C63" s="200" t="str">
        <f ca="1">I60</f>
        <v>Excavation work Completed. Plinth work completed, RCC Slab, Brickwork, Internal Plaster upto 25 Floor, External Plaster upto 25 Floor, Flooring upto 18 Floor, Painting upto 10 Floor Completed</v>
      </c>
      <c r="D63" s="201"/>
      <c r="E63" s="201"/>
      <c r="F63" s="201"/>
      <c r="G63" s="201"/>
      <c r="H63" s="202"/>
      <c r="I63" s="39" t="s">
        <v>168</v>
      </c>
      <c r="J63" s="23">
        <f ca="1">H62*25%</f>
        <v>9.5</v>
      </c>
    </row>
    <row r="64" spans="1:14" ht="15.75" customHeight="1" x14ac:dyDescent="0.3">
      <c r="A64" s="109" t="s">
        <v>50</v>
      </c>
      <c r="B64" s="110"/>
      <c r="C64" s="57" t="s">
        <v>166</v>
      </c>
      <c r="D64" s="57" t="s">
        <v>108</v>
      </c>
      <c r="E64" s="156" t="s">
        <v>110</v>
      </c>
      <c r="F64" s="110"/>
      <c r="G64" s="156" t="s">
        <v>109</v>
      </c>
      <c r="H64" s="157"/>
      <c r="I64" s="39" t="s">
        <v>123</v>
      </c>
      <c r="J64" s="42">
        <f ca="1">H62*50%</f>
        <v>19</v>
      </c>
    </row>
    <row r="65" spans="1:10" x14ac:dyDescent="0.3">
      <c r="A65" s="109" t="s">
        <v>155</v>
      </c>
      <c r="B65" s="110"/>
      <c r="C65" s="51">
        <f ca="1">J65</f>
        <v>38</v>
      </c>
      <c r="D65" s="59">
        <f ca="1">((100/H62)*C65)/100</f>
        <v>1</v>
      </c>
      <c r="E65" s="100">
        <f ca="1">(((C66/H62*10)+(40/(D62+F62+H62)*C67)+(7.5/(H62)*C68)+(7.5/(H62)*C69)+(10/H62*C70)+(10/H62*C71)+(5/H62*C72)+(5/H62*C73)+(5/H62*C74))/100)</f>
        <v>0.75065789473684208</v>
      </c>
      <c r="F65" s="101"/>
      <c r="G65" s="100">
        <f ca="1">((((C65/H62)*20)+((C66/H62)*25)+(30/(H62+F62+D62)*C67)+(5/H62*C68)+(5/H62*C69)+(5/H62*C70)+(5/H62*C71)+(0/H62*C72)+(0/H62*C73)+(5/H62*C74))/100)</f>
        <v>0.88947368421052619</v>
      </c>
      <c r="H65" s="106"/>
      <c r="I65" s="39" t="s">
        <v>124</v>
      </c>
      <c r="J65" s="42">
        <f ca="1">H62</f>
        <v>38</v>
      </c>
    </row>
    <row r="66" spans="1:10" ht="15.75" customHeight="1" x14ac:dyDescent="0.3">
      <c r="A66" s="109" t="s">
        <v>51</v>
      </c>
      <c r="B66" s="110"/>
      <c r="C66" s="52">
        <f ca="1">J73</f>
        <v>38</v>
      </c>
      <c r="D66" s="59">
        <f ca="1">((100/H62)*C66)/100</f>
        <v>1</v>
      </c>
      <c r="E66" s="102"/>
      <c r="F66" s="103"/>
      <c r="G66" s="102"/>
      <c r="H66" s="107"/>
      <c r="I66" s="39" t="s">
        <v>125</v>
      </c>
      <c r="J66" s="45">
        <f ca="1">(IF(B62&gt;1,(H62/(B62+2)),H62/4))</f>
        <v>9.5</v>
      </c>
    </row>
    <row r="67" spans="1:10" ht="15.75" customHeight="1" x14ac:dyDescent="0.3">
      <c r="A67" s="109" t="s">
        <v>156</v>
      </c>
      <c r="B67" s="110"/>
      <c r="C67" s="52">
        <v>39</v>
      </c>
      <c r="D67" s="59">
        <f ca="1">((100/(D62+F62+H62))*C67)/100</f>
        <v>1.0000000000000002</v>
      </c>
      <c r="E67" s="102"/>
      <c r="F67" s="103"/>
      <c r="G67" s="102"/>
      <c r="H67" s="107"/>
      <c r="I67" s="39" t="s">
        <v>126</v>
      </c>
      <c r="J67" s="45">
        <f ca="1">(IF(B62&gt;1,(H62/(B62+2)+J66),H62/4+J66))</f>
        <v>19</v>
      </c>
    </row>
    <row r="68" spans="1:10" ht="15.75" customHeight="1" x14ac:dyDescent="0.3">
      <c r="A68" s="109" t="s">
        <v>163</v>
      </c>
      <c r="B68" s="110" t="s">
        <v>157</v>
      </c>
      <c r="C68" s="51">
        <v>38</v>
      </c>
      <c r="D68" s="59">
        <f ca="1">((100/H62)*C68)/100</f>
        <v>1</v>
      </c>
      <c r="E68" s="102"/>
      <c r="F68" s="103"/>
      <c r="G68" s="102"/>
      <c r="H68" s="107"/>
      <c r="I68" s="39" t="s">
        <v>173</v>
      </c>
      <c r="J68" s="45">
        <f>(IF(B62&gt;1,(H62/(B62+2)+J67),0))</f>
        <v>0</v>
      </c>
    </row>
    <row r="69" spans="1:10" ht="15" customHeight="1" x14ac:dyDescent="0.3">
      <c r="A69" s="109" t="s">
        <v>164</v>
      </c>
      <c r="B69" s="110" t="s">
        <v>157</v>
      </c>
      <c r="C69" s="51">
        <v>25</v>
      </c>
      <c r="D69" s="59">
        <f ca="1">((100/H62)*C69)/100</f>
        <v>0.65789473684210531</v>
      </c>
      <c r="E69" s="102"/>
      <c r="F69" s="103"/>
      <c r="G69" s="102"/>
      <c r="H69" s="107"/>
      <c r="I69" s="39" t="s">
        <v>170</v>
      </c>
      <c r="J69" s="45">
        <f>(IF(B62&gt;2,(H62/(B62+2)+J68),0))</f>
        <v>0</v>
      </c>
    </row>
    <row r="70" spans="1:10" ht="15.75" customHeight="1" x14ac:dyDescent="0.3">
      <c r="A70" s="109" t="s">
        <v>162</v>
      </c>
      <c r="B70" s="110" t="s">
        <v>159</v>
      </c>
      <c r="C70" s="51">
        <v>25</v>
      </c>
      <c r="D70" s="59">
        <f ca="1">((100/(H62))*C70)/100</f>
        <v>0.65789473684210531</v>
      </c>
      <c r="E70" s="102"/>
      <c r="F70" s="103"/>
      <c r="G70" s="102"/>
      <c r="H70" s="107"/>
      <c r="I70" s="39" t="s">
        <v>171</v>
      </c>
      <c r="J70" s="46">
        <f>(IF(B62&gt;3,(H62/(B62+2)+J69),0))</f>
        <v>0</v>
      </c>
    </row>
    <row r="71" spans="1:10" ht="15.75" customHeight="1" x14ac:dyDescent="0.3">
      <c r="A71" s="109" t="s">
        <v>158</v>
      </c>
      <c r="B71" s="110" t="s">
        <v>158</v>
      </c>
      <c r="C71" s="51">
        <v>18</v>
      </c>
      <c r="D71" s="59">
        <f ca="1">((100/H62)*C71)/100</f>
        <v>0.47368421052631582</v>
      </c>
      <c r="E71" s="102"/>
      <c r="F71" s="103"/>
      <c r="G71" s="102"/>
      <c r="H71" s="107"/>
      <c r="I71" s="39" t="s">
        <v>172</v>
      </c>
      <c r="J71" s="45">
        <f>(IF(B62&gt;4,(H62/(B62+2)+J70),0))</f>
        <v>0</v>
      </c>
    </row>
    <row r="72" spans="1:10" ht="15.75" customHeight="1" x14ac:dyDescent="0.3">
      <c r="A72" s="109" t="s">
        <v>165</v>
      </c>
      <c r="B72" s="110"/>
      <c r="C72" s="51">
        <v>10</v>
      </c>
      <c r="D72" s="59">
        <f ca="1">((100/H62)*C72)/100</f>
        <v>0.26315789473684215</v>
      </c>
      <c r="E72" s="102"/>
      <c r="F72" s="103"/>
      <c r="G72" s="102"/>
      <c r="H72" s="107"/>
      <c r="I72" s="39" t="s">
        <v>174</v>
      </c>
      <c r="J72" s="45">
        <f ca="1">(IF(B62=1,(H62/(B62+3)+J67),IF(B62=0,(H62/4+J67),IF(B62&gt;1,0))))</f>
        <v>28.5</v>
      </c>
    </row>
    <row r="73" spans="1:10" ht="16.5" customHeight="1" thickBot="1" x14ac:dyDescent="0.35">
      <c r="A73" s="109" t="s">
        <v>160</v>
      </c>
      <c r="B73" s="110" t="s">
        <v>160</v>
      </c>
      <c r="C73" s="51">
        <v>0</v>
      </c>
      <c r="D73" s="59">
        <f ca="1">((100/(H62))*C73)/100</f>
        <v>0</v>
      </c>
      <c r="E73" s="102"/>
      <c r="F73" s="103"/>
      <c r="G73" s="102"/>
      <c r="H73" s="107"/>
      <c r="I73" s="44" t="s">
        <v>127</v>
      </c>
      <c r="J73" s="47">
        <f ca="1">(IF(B62&gt;1.5,(H62/(B62+2)+J67+MAX(0,J68-J67)+MAX(0,J69-J68)+MAX(0,J70-J69)+MAX(0,J71-J70)+MAX(0,J72-J71)),IF(B62=1,(H62/(B62+3)+J72),IF(B62=0,H62/4+J72))))</f>
        <v>38</v>
      </c>
    </row>
    <row r="74" spans="1:10" ht="16.2" thickBot="1" x14ac:dyDescent="0.35">
      <c r="A74" s="111" t="s">
        <v>161</v>
      </c>
      <c r="B74" s="112"/>
      <c r="C74" s="53">
        <v>0</v>
      </c>
      <c r="D74" s="60">
        <f ca="1">((100/(H62))*C74)/100</f>
        <v>0</v>
      </c>
      <c r="E74" s="104"/>
      <c r="F74" s="105"/>
      <c r="G74" s="104"/>
      <c r="H74" s="108"/>
    </row>
    <row r="75" spans="1:10" s="1" customFormat="1" ht="15.75" customHeight="1" x14ac:dyDescent="0.3">
      <c r="A75" s="114" t="s">
        <v>143</v>
      </c>
      <c r="B75" s="115"/>
      <c r="C75" s="115"/>
      <c r="D75" s="115"/>
      <c r="E75" s="116"/>
      <c r="F75" s="114" t="str">
        <f ca="1">(IF(D60="Nothing","Yes",IF(D60="Cement, Aggregate, Steel, etc","Under Construction",IF(D60="Work not yet Started","Work not yet Started"))))</f>
        <v>Under Construction</v>
      </c>
      <c r="G75" s="115"/>
      <c r="H75" s="116"/>
      <c r="I75" s="8"/>
      <c r="J75" s="8"/>
    </row>
    <row r="76" spans="1:10" s="1" customFormat="1" ht="15.75" customHeight="1" x14ac:dyDescent="0.3">
      <c r="A76" s="95" t="s">
        <v>52</v>
      </c>
      <c r="B76" s="95"/>
      <c r="C76" s="95"/>
      <c r="D76" s="95"/>
      <c r="E76" s="95"/>
      <c r="F76" s="95"/>
      <c r="G76" s="95"/>
      <c r="H76" s="95"/>
      <c r="I76" s="8"/>
      <c r="J76" s="8"/>
    </row>
    <row r="77" spans="1:10" s="1" customFormat="1" ht="44.25" customHeight="1" x14ac:dyDescent="0.3">
      <c r="A77" s="124" t="s">
        <v>97</v>
      </c>
      <c r="B77" s="124"/>
      <c r="C77" s="173" t="s">
        <v>230</v>
      </c>
      <c r="D77" s="173"/>
      <c r="E77" s="173"/>
      <c r="F77" s="173"/>
      <c r="G77" s="173"/>
      <c r="H77" s="173"/>
      <c r="I77" s="8"/>
      <c r="J77" s="8"/>
    </row>
    <row r="78" spans="1:10" s="1" customFormat="1" x14ac:dyDescent="0.3">
      <c r="A78" s="137" t="s">
        <v>53</v>
      </c>
      <c r="B78" s="137"/>
      <c r="C78" s="137"/>
      <c r="D78" s="137"/>
      <c r="E78" s="137"/>
      <c r="F78" s="137"/>
      <c r="G78" s="137"/>
      <c r="H78" s="137"/>
      <c r="I78" s="8"/>
      <c r="J78" s="8"/>
    </row>
    <row r="79" spans="1:10" s="1" customFormat="1" x14ac:dyDescent="0.3">
      <c r="A79" s="95" t="s">
        <v>98</v>
      </c>
      <c r="B79" s="95"/>
      <c r="C79" s="95"/>
      <c r="D79" s="95"/>
      <c r="E79" s="95"/>
      <c r="F79" s="79">
        <v>13200</v>
      </c>
      <c r="G79" s="79"/>
      <c r="H79" s="79"/>
      <c r="I79" s="8"/>
      <c r="J79" s="8"/>
    </row>
    <row r="80" spans="1:10" s="1" customFormat="1" ht="15.75" customHeight="1" x14ac:dyDescent="0.25">
      <c r="A80" s="95" t="s">
        <v>104</v>
      </c>
      <c r="B80" s="95"/>
      <c r="C80" s="95"/>
      <c r="D80" s="95"/>
      <c r="E80" s="95"/>
      <c r="F80" s="79">
        <v>25000</v>
      </c>
      <c r="G80" s="79"/>
      <c r="H80" s="79"/>
      <c r="I80" s="12"/>
      <c r="J80" s="12"/>
    </row>
    <row r="81" spans="1:16" s="1" customFormat="1" hidden="1" x14ac:dyDescent="0.25">
      <c r="A81" s="95" t="s">
        <v>119</v>
      </c>
      <c r="B81" s="95"/>
      <c r="C81" s="95"/>
      <c r="D81" s="95"/>
      <c r="E81" s="95"/>
      <c r="F81" s="79" t="s">
        <v>29</v>
      </c>
      <c r="G81" s="79"/>
      <c r="H81" s="79"/>
      <c r="I81" s="12"/>
      <c r="J81" s="12"/>
    </row>
    <row r="82" spans="1:16" s="9" customFormat="1" hidden="1" x14ac:dyDescent="0.3">
      <c r="A82" s="95" t="s">
        <v>120</v>
      </c>
      <c r="B82" s="95"/>
      <c r="C82" s="95"/>
      <c r="D82" s="95"/>
      <c r="E82" s="95"/>
      <c r="F82" s="79" t="s">
        <v>29</v>
      </c>
      <c r="G82" s="79"/>
      <c r="H82" s="79"/>
      <c r="I82" s="12">
        <f>102675/906.53</f>
        <v>113.26155780834611</v>
      </c>
      <c r="J82" s="12"/>
    </row>
    <row r="83" spans="1:16" x14ac:dyDescent="0.3">
      <c r="A83" s="95" t="s">
        <v>205</v>
      </c>
      <c r="B83" s="95"/>
      <c r="C83" s="95"/>
      <c r="D83" s="95"/>
      <c r="E83" s="95"/>
      <c r="F83" s="79" t="s">
        <v>201</v>
      </c>
      <c r="G83" s="79"/>
      <c r="H83" s="79"/>
      <c r="I83" s="12"/>
      <c r="J83" s="12"/>
    </row>
    <row r="84" spans="1:16" s="2" customFormat="1" x14ac:dyDescent="0.25">
      <c r="A84" s="95" t="s">
        <v>198</v>
      </c>
      <c r="B84" s="95"/>
      <c r="C84" s="95"/>
      <c r="D84" s="95"/>
      <c r="E84" s="95"/>
      <c r="F84" s="79" t="s">
        <v>199</v>
      </c>
      <c r="G84" s="79"/>
      <c r="H84" s="79"/>
      <c r="I84" s="12"/>
      <c r="J84" s="12"/>
    </row>
    <row r="85" spans="1:16" s="2" customFormat="1" x14ac:dyDescent="0.25">
      <c r="A85" s="95" t="s">
        <v>122</v>
      </c>
      <c r="B85" s="95"/>
      <c r="C85" s="95"/>
      <c r="D85" s="95"/>
      <c r="E85" s="95"/>
      <c r="F85" s="79" t="s">
        <v>196</v>
      </c>
      <c r="G85" s="79"/>
      <c r="H85" s="79"/>
      <c r="I85" s="12">
        <f>28860/906.53</f>
        <v>31.835681113697287</v>
      </c>
      <c r="J85" s="12"/>
    </row>
    <row r="86" spans="1:16" s="2" customFormat="1" x14ac:dyDescent="0.3">
      <c r="A86" s="95" t="s">
        <v>204</v>
      </c>
      <c r="B86" s="95"/>
      <c r="C86" s="95"/>
      <c r="D86" s="95"/>
      <c r="E86" s="95"/>
      <c r="F86" s="79" t="s">
        <v>202</v>
      </c>
      <c r="G86" s="79"/>
      <c r="H86" s="79"/>
      <c r="I86" s="8"/>
      <c r="J86" s="8"/>
      <c r="K86" s="38"/>
    </row>
    <row r="87" spans="1:16" s="2" customFormat="1" ht="15.75" customHeight="1" x14ac:dyDescent="0.3">
      <c r="A87" s="95" t="s">
        <v>54</v>
      </c>
      <c r="B87" s="95"/>
      <c r="C87" s="95"/>
      <c r="D87" s="95"/>
      <c r="E87" s="95"/>
      <c r="F87" s="134" t="s">
        <v>195</v>
      </c>
      <c r="G87" s="134"/>
      <c r="H87" s="134"/>
      <c r="I87" s="95" t="s">
        <v>121</v>
      </c>
      <c r="J87" s="95"/>
      <c r="K87" s="95"/>
      <c r="L87" s="95"/>
      <c r="M87" s="95"/>
      <c r="N87" s="79" t="s">
        <v>197</v>
      </c>
      <c r="O87" s="79"/>
      <c r="P87" s="79"/>
    </row>
    <row r="88" spans="1:16" s="2" customFormat="1" ht="15.75" customHeight="1" x14ac:dyDescent="0.3">
      <c r="A88" s="137" t="s">
        <v>55</v>
      </c>
      <c r="B88" s="137"/>
      <c r="C88" s="137"/>
      <c r="D88" s="137"/>
      <c r="E88" s="137"/>
      <c r="F88" s="170">
        <f>F79*0.8</f>
        <v>10560</v>
      </c>
      <c r="G88" s="170"/>
      <c r="H88" s="170"/>
      <c r="I88" s="1"/>
      <c r="J88" s="1"/>
      <c r="L88" s="93"/>
      <c r="M88" s="93"/>
      <c r="N88" s="38"/>
    </row>
    <row r="89" spans="1:16" s="2" customFormat="1" ht="15.75" customHeight="1" x14ac:dyDescent="0.3">
      <c r="A89" s="169" t="s">
        <v>246</v>
      </c>
      <c r="B89" s="169"/>
      <c r="C89" s="169"/>
      <c r="D89" s="169"/>
      <c r="E89" s="169"/>
      <c r="F89" s="169"/>
      <c r="G89" s="169"/>
      <c r="H89" s="169"/>
      <c r="I89" s="1"/>
      <c r="J89" s="1"/>
      <c r="L89" s="93"/>
      <c r="M89" s="93"/>
      <c r="N89" s="38"/>
    </row>
    <row r="90" spans="1:16" s="2" customFormat="1" ht="15.75" customHeight="1" x14ac:dyDescent="0.3">
      <c r="A90" s="94" t="s">
        <v>56</v>
      </c>
      <c r="B90" s="94"/>
      <c r="C90" s="90" t="s">
        <v>101</v>
      </c>
      <c r="D90" s="90"/>
      <c r="E90" s="92" t="s">
        <v>57</v>
      </c>
      <c r="F90" s="92"/>
      <c r="G90" s="94" t="s">
        <v>58</v>
      </c>
      <c r="H90" s="94"/>
      <c r="I90" s="1"/>
      <c r="J90" s="1"/>
      <c r="L90" s="93"/>
      <c r="M90" s="93"/>
      <c r="N90" s="38"/>
    </row>
    <row r="91" spans="1:16" s="2" customFormat="1" x14ac:dyDescent="0.3">
      <c r="A91" s="171" t="s">
        <v>244</v>
      </c>
      <c r="B91" s="171"/>
      <c r="C91" s="117">
        <f>COUNT(D106:D109)</f>
        <v>4</v>
      </c>
      <c r="D91" s="118"/>
      <c r="E91" s="117">
        <f>SUM(D106:D109)</f>
        <v>905.46767999999997</v>
      </c>
      <c r="F91" s="118"/>
      <c r="G91" s="117">
        <f>SUM(F106:F109)</f>
        <v>1358.2015199999998</v>
      </c>
      <c r="H91" s="118"/>
      <c r="I91" s="1"/>
      <c r="J91" s="1"/>
      <c r="N91" s="38"/>
    </row>
    <row r="92" spans="1:16" x14ac:dyDescent="0.3">
      <c r="A92" s="88" t="s">
        <v>60</v>
      </c>
      <c r="B92" s="88"/>
      <c r="C92" s="89">
        <f t="shared" ref="C92:G92" si="0">SUM(C90:D91)</f>
        <v>4</v>
      </c>
      <c r="D92" s="90"/>
      <c r="E92" s="91">
        <f>SUM(E90:F91)</f>
        <v>905.46767999999997</v>
      </c>
      <c r="F92" s="92"/>
      <c r="G92" s="91">
        <f t="shared" si="0"/>
        <v>1358.2015199999998</v>
      </c>
      <c r="H92" s="92"/>
      <c r="I92" s="1"/>
      <c r="J92" s="1"/>
    </row>
    <row r="93" spans="1:16" s="9" customFormat="1" x14ac:dyDescent="0.3">
      <c r="A93" s="88" t="s">
        <v>245</v>
      </c>
      <c r="B93" s="88"/>
      <c r="C93" s="88"/>
      <c r="D93" s="88"/>
      <c r="E93" s="88"/>
      <c r="F93" s="88"/>
      <c r="G93" s="88"/>
      <c r="H93" s="88"/>
      <c r="I93" s="1"/>
      <c r="J93" s="1"/>
    </row>
    <row r="94" spans="1:16" s="9" customFormat="1" x14ac:dyDescent="0.3">
      <c r="A94" s="94" t="s">
        <v>56</v>
      </c>
      <c r="B94" s="94"/>
      <c r="C94" s="90" t="s">
        <v>101</v>
      </c>
      <c r="D94" s="90"/>
      <c r="E94" s="92" t="s">
        <v>57</v>
      </c>
      <c r="F94" s="92"/>
      <c r="G94" s="94" t="s">
        <v>58</v>
      </c>
      <c r="H94" s="94"/>
      <c r="I94" s="55"/>
      <c r="J94" s="1"/>
    </row>
    <row r="95" spans="1:16" s="2" customFormat="1" x14ac:dyDescent="0.3">
      <c r="A95" s="171" t="s">
        <v>244</v>
      </c>
      <c r="B95" s="171"/>
      <c r="C95" s="96">
        <f>COUNT(D117:D122)+COUNT(D124:D128)+COUNT(D131:D136)*3+COUNT(D138:D143)*11+COUNT(D145:D149)*3+COUNT(D152:D157)*14+COUNT(D159:D163)</f>
        <v>199</v>
      </c>
      <c r="D95" s="96"/>
      <c r="E95" s="97">
        <f>SUM(D117:D122)+SUM(D124:D128)+SUM(D131:D136)*3+SUM(D138:D143)*11+SUM(D145:D149)*3+SUM(D152:D157)*14+SUM(D159:D163)</f>
        <v>89736.66936</v>
      </c>
      <c r="F95" s="97"/>
      <c r="G95" s="97">
        <f>SUM(F117:F122)+SUM(F124:F128)+SUM(F131:F136)*3+SUM(F138:F143)*11+SUM(F145:F149)*3+SUM(F152:F157)*14+SUM(F159:F163)</f>
        <v>134605.00404</v>
      </c>
      <c r="H95" s="97"/>
      <c r="I95" s="9"/>
      <c r="J95" s="9"/>
    </row>
    <row r="96" spans="1:16" s="2" customFormat="1" x14ac:dyDescent="0.3">
      <c r="A96" s="88" t="s">
        <v>60</v>
      </c>
      <c r="B96" s="88"/>
      <c r="C96" s="89">
        <f t="shared" ref="C96:G96" si="1">SUM(C95)</f>
        <v>199</v>
      </c>
      <c r="D96" s="90"/>
      <c r="E96" s="91">
        <f t="shared" si="1"/>
        <v>89736.66936</v>
      </c>
      <c r="F96" s="92"/>
      <c r="G96" s="91">
        <f t="shared" si="1"/>
        <v>134605.00404</v>
      </c>
      <c r="H96" s="92"/>
      <c r="I96" s="9"/>
      <c r="J96" s="9"/>
    </row>
    <row r="97" spans="1:16" s="2" customFormat="1" x14ac:dyDescent="0.3">
      <c r="A97" s="88" t="s">
        <v>242</v>
      </c>
      <c r="B97" s="88"/>
      <c r="C97" s="89">
        <f>C92+C96</f>
        <v>203</v>
      </c>
      <c r="D97" s="90"/>
      <c r="E97" s="89">
        <f>E92+E96</f>
        <v>90642.137040000001</v>
      </c>
      <c r="F97" s="90"/>
      <c r="G97" s="89">
        <f>G92+G96</f>
        <v>135963.20556</v>
      </c>
      <c r="H97" s="90"/>
      <c r="I97" s="9"/>
      <c r="J97" s="9"/>
    </row>
    <row r="98" spans="1:16" s="2" customFormat="1" ht="15.75" customHeight="1" x14ac:dyDescent="0.3">
      <c r="A98" s="64" t="s">
        <v>253</v>
      </c>
      <c r="B98" s="64"/>
      <c r="C98" s="64"/>
      <c r="D98" s="64"/>
      <c r="E98" s="64"/>
      <c r="F98" s="64"/>
      <c r="G98" s="64"/>
      <c r="H98" s="64"/>
      <c r="I98" s="8"/>
      <c r="J98" s="8"/>
      <c r="N98" s="2" t="e">
        <f t="shared" ref="N98:N103" ca="1" si="2">O98&amp;""&amp;" to "&amp;""&amp;P98</f>
        <v>#REF!</v>
      </c>
      <c r="O98" s="2" t="e">
        <f ca="1">(SUMPRODUCT(MID(0&amp;(LEFT(#REF!,SUM(LEN(#REF!)-LEN(SUBSTITUTE(#REF!,{"0","1","2"},""))))), LARGE(INDEX(ISNUMBER(--MID((LEFT(#REF!,SUM(LEN(#REF!)-LEN(SUBSTITUTE(#REF!,{"0","1","2"},""))))), ROW(INDIRECT("1:"&amp;LEN((LEFT(#REF!,SUM(LEN(#REF!)-LEN(SUBSTITUTE(#REF!,{"0","1","2"},"")))))))), 1)) * ROW(INDIRECT("1:"&amp;LEN((LEFT(#REF!,SUM(LEN(#REF!)-LEN(SUBSTITUTE(#REF!,{"0","1","2"},"")))))))), 0), ROW(INDIRECT("1:"&amp;LEN((LEFT(#REF!,SUM(LEN(#REF!)-LEN(SUBSTITUTE(#REF!,{"0","1","2"},"")))))))))+1, 1) * 10^ROW(INDIRECT("1:"&amp;LEN((LEFT(#REF!,SUM(LEN(#REF!)-LEN(SUBSTITUTE(#REF!,{"0","1","2"},""))))))))/10))*100+1</f>
        <v>#REF!</v>
      </c>
      <c r="P98" s="2" t="e">
        <f ca="1">(SUMPRODUCT(MID(0&amp;(--TRIM(RIGHT(SUBSTITUTE(LEFT(#REF!,_xlfn.AGGREGATE(16,6,FIND({0,1,2,3,4,5,6,7,8,9},#REF!,ROW(INDIRECT("1:"&amp;LEN(#REF!)))),1))," ",REPT(" ",LEN(#REF!))),LEN(#REF!)))), LARGE(INDEX(ISNUMBER(--MID((--TRIM(RIGHT(SUBSTITUTE(LEFT(#REF!,_xlfn.AGGREGATE(16,6,FIND({0,1,2,3,4,5,6,7,8,9},#REF!,ROW(INDIRECT("1:"&amp;LEN(#REF!)))),1))," ",REPT(" ",LEN(#REF!))),LEN(#REF!)))), ROW(INDIRECT("1:"&amp;LEN((--TRIM(RIGHT(SUBSTITUTE(LEFT(#REF!,_xlfn.AGGREGATE(16,6,FIND({0,1,2,3,4,5,6,7,8,9},#REF!,ROW(INDIRECT("1:"&amp;LEN(#REF!)))),1))," ",REPT(" ",LEN(#REF!))),LEN(#REF!))))))), 1)) * ROW(INDIRECT("1:"&amp;LEN((--TRIM(RIGHT(SUBSTITUTE(LEFT(#REF!,_xlfn.AGGREGATE(16,6,FIND({0,1,2,3,4,5,6,7,8,9},#REF!,ROW(INDIRECT("1:"&amp;LEN(#REF!)))),1))," ",REPT(" ",LEN(#REF!))),LEN(#REF!))))))), 0), ROW(INDIRECT("1:"&amp;LEN((--TRIM(RIGHT(SUBSTITUTE(LEFT(#REF!,_xlfn.AGGREGATE(16,6,FIND({0,1,2,3,4,5,6,7,8,9},#REF!,ROW(INDIRECT("1:"&amp;LEN(#REF!)))),1))," ",REPT(" ",LEN(#REF!))),LEN(#REF!))))))))+1, 1) * 10^ROW(INDIRECT("1:"&amp;LEN((--TRIM(RIGHT(SUBSTITUTE(LEFT(#REF!,_xlfn.AGGREGATE(16,6,FIND({0,1,2,3,4,5,6,7,8,9},#REF!,ROW(INDIRECT("1:"&amp;LEN(#REF!)))),1))," ",REPT(" ",LEN(#REF!))),LEN(#REF!)))))))/10))*100+1</f>
        <v>#REF!</v>
      </c>
    </row>
    <row r="99" spans="1:16" s="2" customFormat="1" ht="15.75" customHeight="1" x14ac:dyDescent="0.3">
      <c r="A99" s="64" t="s">
        <v>252</v>
      </c>
      <c r="B99" s="64"/>
      <c r="C99" s="64"/>
      <c r="D99" s="64"/>
      <c r="E99" s="64"/>
      <c r="F99" s="64"/>
      <c r="G99" s="64"/>
      <c r="H99" s="64"/>
      <c r="I99" s="8"/>
      <c r="J99" s="8"/>
      <c r="N99" s="2" t="e">
        <f t="shared" ca="1" si="2"/>
        <v>#REF!</v>
      </c>
      <c r="O99" s="2" t="e">
        <f t="shared" ref="O99:P101" ca="1" si="3">O98+1</f>
        <v>#REF!</v>
      </c>
      <c r="P99" s="2" t="e">
        <f t="shared" ca="1" si="3"/>
        <v>#REF!</v>
      </c>
    </row>
    <row r="100" spans="1:16" s="2" customFormat="1" ht="45" customHeight="1" x14ac:dyDescent="0.3">
      <c r="A100" s="80" t="s">
        <v>145</v>
      </c>
      <c r="B100" s="80" t="s">
        <v>193</v>
      </c>
      <c r="C100" s="80" t="s">
        <v>61</v>
      </c>
      <c r="D100" s="80" t="s">
        <v>254</v>
      </c>
      <c r="E100" s="139" t="s">
        <v>62</v>
      </c>
      <c r="F100" s="36" t="s">
        <v>144</v>
      </c>
      <c r="G100" s="84" t="s">
        <v>63</v>
      </c>
      <c r="H100" s="85"/>
      <c r="N100" s="2" t="e">
        <f t="shared" ca="1" si="2"/>
        <v>#REF!</v>
      </c>
      <c r="O100" s="2" t="e">
        <f t="shared" ca="1" si="3"/>
        <v>#REF!</v>
      </c>
      <c r="P100" s="2" t="e">
        <f t="shared" ca="1" si="3"/>
        <v>#REF!</v>
      </c>
    </row>
    <row r="101" spans="1:16" s="2" customFormat="1" ht="15.75" customHeight="1" x14ac:dyDescent="0.3">
      <c r="A101" s="81"/>
      <c r="B101" s="81"/>
      <c r="C101" s="81"/>
      <c r="D101" s="81"/>
      <c r="E101" s="140"/>
      <c r="F101" s="37">
        <v>0.5</v>
      </c>
      <c r="G101" s="86"/>
      <c r="H101" s="87"/>
      <c r="N101" s="2" t="e">
        <f t="shared" ca="1" si="2"/>
        <v>#REF!</v>
      </c>
      <c r="O101" s="2" t="e">
        <f t="shared" ca="1" si="3"/>
        <v>#REF!</v>
      </c>
      <c r="P101" s="2" t="e">
        <f t="shared" ca="1" si="3"/>
        <v>#REF!</v>
      </c>
    </row>
    <row r="102" spans="1:16" s="2" customFormat="1" ht="15.75" customHeight="1" x14ac:dyDescent="0.3">
      <c r="A102" s="65" t="s">
        <v>231</v>
      </c>
      <c r="B102" s="66"/>
      <c r="C102" s="66"/>
      <c r="D102" s="66"/>
      <c r="E102" s="66"/>
      <c r="F102" s="66"/>
      <c r="G102" s="66"/>
      <c r="H102" s="67"/>
      <c r="N102" s="2" t="e">
        <f ca="1">O102&amp;""&amp;" to "&amp;""&amp;P102</f>
        <v>#REF!</v>
      </c>
      <c r="O102" s="2" t="e">
        <f ca="1">O100+1</f>
        <v>#REF!</v>
      </c>
      <c r="P102" s="2" t="e">
        <f ca="1">P100+1</f>
        <v>#REF!</v>
      </c>
    </row>
    <row r="103" spans="1:16" s="2" customFormat="1" ht="15.75" customHeight="1" x14ac:dyDescent="0.3">
      <c r="A103" s="65" t="s">
        <v>244</v>
      </c>
      <c r="B103" s="66"/>
      <c r="C103" s="66"/>
      <c r="D103" s="66"/>
      <c r="E103" s="66"/>
      <c r="F103" s="66"/>
      <c r="G103" s="66"/>
      <c r="H103" s="67"/>
      <c r="I103" s="54">
        <f>7.505*2.68+2.515*0.165</f>
        <v>20.528375</v>
      </c>
      <c r="N103" s="2" t="e">
        <f t="shared" ca="1" si="2"/>
        <v>#REF!</v>
      </c>
      <c r="O103" s="2" t="e">
        <f ca="1">O101+1</f>
        <v>#REF!</v>
      </c>
      <c r="P103" s="2" t="e">
        <f ca="1">P101+1</f>
        <v>#REF!</v>
      </c>
    </row>
    <row r="104" spans="1:16" s="2" customFormat="1" x14ac:dyDescent="0.3">
      <c r="A104" s="65" t="s">
        <v>232</v>
      </c>
      <c r="B104" s="66"/>
      <c r="C104" s="66"/>
      <c r="D104" s="66"/>
      <c r="E104" s="66"/>
      <c r="F104" s="66"/>
      <c r="G104" s="66"/>
      <c r="H104" s="67"/>
      <c r="I104" s="38"/>
    </row>
    <row r="105" spans="1:16" s="2" customFormat="1" x14ac:dyDescent="0.3">
      <c r="A105" s="65" t="s">
        <v>215</v>
      </c>
      <c r="B105" s="66"/>
      <c r="C105" s="66"/>
      <c r="D105" s="66"/>
      <c r="E105" s="66"/>
      <c r="F105" s="66"/>
      <c r="G105" s="66"/>
      <c r="H105" s="67"/>
      <c r="I105" s="38"/>
      <c r="N105" s="2" t="e">
        <f t="shared" ref="N105:N110" ca="1" si="4">O105&amp;""&amp;",..,"&amp;""&amp;P105</f>
        <v>#REF!</v>
      </c>
      <c r="O105" s="2" t="e">
        <f ca="1">(SUMPRODUCT(MID(0&amp;(LEFT(#REF!,SUM(LEN(#REF!)-LEN(SUBSTITUTE(#REF!,{"0","1"},""))))), LARGE(INDEX(ISNUMBER(--MID((LEFT(#REF!,SUM(LEN(#REF!)-LEN(SUBSTITUTE(#REF!,{"0","1"},""))))), ROW(INDIRECT("1:"&amp;LEN((LEFT(#REF!,SUM(LEN(#REF!)-LEN(SUBSTITUTE(#REF!,{"0","1"},"")))))))), 1)) * ROW(INDIRECT("1:"&amp;LEN((LEFT(#REF!,SUM(LEN(#REF!)-LEN(SUBSTITUTE(#REF!,{"0","1"},"")))))))), 0), ROW(INDIRECT("1:"&amp;LEN((LEFT(#REF!,SUM(LEN(#REF!)-LEN(SUBSTITUTE(#REF!,{"0","1"},"")))))))))+1, 1) * 10^ROW(INDIRECT("1:"&amp;LEN((LEFT(#REF!,SUM(LEN(#REF!)-LEN(SUBSTITUTE(#REF!,{"0","1"},""))))))))/10))*100+1</f>
        <v>#REF!</v>
      </c>
      <c r="P105" s="2" t="e">
        <f ca="1">(SUMPRODUCT(MID(0&amp;(--TRIM(RIGHT(SUBSTITUTE(LEFT(#REF!,_xlfn.AGGREGATE(16,6,FIND({0,1,2,3,4,5,6,7,8,9},#REF!,ROW(INDIRECT("1:"&amp;LEN(#REF!)))),1))," ",REPT(" ",LEN(#REF!))),LEN(#REF!)))), LARGE(INDEX(ISNUMBER(--MID((--TRIM(RIGHT(SUBSTITUTE(LEFT(#REF!,_xlfn.AGGREGATE(16,6,FIND({0,1,2,3,4,5,6,7,8,9},#REF!,ROW(INDIRECT("1:"&amp;LEN(#REF!)))),1))," ",REPT(" ",LEN(#REF!))),LEN(#REF!)))), ROW(INDIRECT("1:"&amp;LEN((--TRIM(RIGHT(SUBSTITUTE(LEFT(#REF!,_xlfn.AGGREGATE(16,6,FIND({0,1,2,3,4,5,6,7,8,9},#REF!,ROW(INDIRECT("1:"&amp;LEN(#REF!)))),1))," ",REPT(" ",LEN(#REF!))),LEN(#REF!))))))), 1)) * ROW(INDIRECT("1:"&amp;LEN((--TRIM(RIGHT(SUBSTITUTE(LEFT(#REF!,_xlfn.AGGREGATE(16,6,FIND({0,1,2,3,4,5,6,7,8,9},#REF!,ROW(INDIRECT("1:"&amp;LEN(#REF!)))),1))," ",REPT(" ",LEN(#REF!))),LEN(#REF!))))))), 0), ROW(INDIRECT("1:"&amp;LEN((--TRIM(RIGHT(SUBSTITUTE(LEFT(#REF!,_xlfn.AGGREGATE(16,6,FIND({0,1,2,3,4,5,6,7,8,9},#REF!,ROW(INDIRECT("1:"&amp;LEN(#REF!)))),1))," ",REPT(" ",LEN(#REF!))),LEN(#REF!))))))))+1, 1) * 10^ROW(INDIRECT("1:"&amp;LEN((--TRIM(RIGHT(SUBSTITUTE(LEFT(#REF!,_xlfn.AGGREGATE(16,6,FIND({0,1,2,3,4,5,6,7,8,9},#REF!,ROW(INDIRECT("1:"&amp;LEN(#REF!)))),1))," ",REPT(" ",LEN(#REF!))),LEN(#REF!)))))))/10))*100+1</f>
        <v>#REF!</v>
      </c>
    </row>
    <row r="106" spans="1:16" s="2" customFormat="1" x14ac:dyDescent="0.3">
      <c r="A106" s="50">
        <v>22</v>
      </c>
      <c r="B106" s="20" t="s">
        <v>185</v>
      </c>
      <c r="C106" s="20" t="s">
        <v>186</v>
      </c>
      <c r="D106" s="20">
        <f>20.93*10.764</f>
        <v>225.29051999999999</v>
      </c>
      <c r="E106" s="20">
        <v>0</v>
      </c>
      <c r="F106" s="20">
        <f>D106*(($F$101)+1)+E106</f>
        <v>337.93577999999997</v>
      </c>
      <c r="G106" s="68" t="str">
        <f>A105</f>
        <v>Ground Floor For Commercial, Meter Room, BMS Room And Parking</v>
      </c>
      <c r="H106" s="69"/>
      <c r="I106" s="38"/>
      <c r="N106" s="2" t="e">
        <f t="shared" ca="1" si="4"/>
        <v>#REF!</v>
      </c>
      <c r="O106" s="2" t="e">
        <f t="shared" ref="O106:P109" ca="1" si="5">O105+1</f>
        <v>#REF!</v>
      </c>
      <c r="P106" s="2" t="e">
        <f t="shared" ca="1" si="5"/>
        <v>#REF!</v>
      </c>
    </row>
    <row r="107" spans="1:16" s="2" customFormat="1" x14ac:dyDescent="0.3">
      <c r="A107" s="50">
        <v>23</v>
      </c>
      <c r="B107" s="20" t="s">
        <v>185</v>
      </c>
      <c r="C107" s="20" t="s">
        <v>186</v>
      </c>
      <c r="D107" s="20">
        <f>21.3*10.764</f>
        <v>229.2732</v>
      </c>
      <c r="E107" s="20">
        <v>0</v>
      </c>
      <c r="F107" s="20">
        <f>D107*(($F$101)+1)+E107</f>
        <v>343.90980000000002</v>
      </c>
      <c r="G107" s="70"/>
      <c r="H107" s="71"/>
      <c r="I107" s="38"/>
      <c r="N107" s="2" t="e">
        <f t="shared" ca="1" si="4"/>
        <v>#REF!</v>
      </c>
      <c r="O107" s="2" t="e">
        <f t="shared" ca="1" si="5"/>
        <v>#REF!</v>
      </c>
      <c r="P107" s="2" t="e">
        <f t="shared" ca="1" si="5"/>
        <v>#REF!</v>
      </c>
    </row>
    <row r="108" spans="1:16" s="2" customFormat="1" x14ac:dyDescent="0.3">
      <c r="A108" s="50">
        <v>24</v>
      </c>
      <c r="B108" s="20" t="s">
        <v>185</v>
      </c>
      <c r="C108" s="20" t="s">
        <v>186</v>
      </c>
      <c r="D108" s="20">
        <f>20.95*10.764</f>
        <v>225.50579999999997</v>
      </c>
      <c r="E108" s="20">
        <v>0</v>
      </c>
      <c r="F108" s="20">
        <f>D108*(($F$101)+1)+E108</f>
        <v>338.25869999999998</v>
      </c>
      <c r="G108" s="70"/>
      <c r="H108" s="71"/>
      <c r="I108" s="38"/>
      <c r="J108" s="8"/>
      <c r="N108" s="2" t="e">
        <f t="shared" ca="1" si="4"/>
        <v>#REF!</v>
      </c>
      <c r="O108" s="2" t="e">
        <f t="shared" ca="1" si="5"/>
        <v>#REF!</v>
      </c>
      <c r="P108" s="2" t="e">
        <f t="shared" ca="1" si="5"/>
        <v>#REF!</v>
      </c>
    </row>
    <row r="109" spans="1:16" s="2" customFormat="1" x14ac:dyDescent="0.3">
      <c r="A109" s="50">
        <v>25</v>
      </c>
      <c r="B109" s="20" t="s">
        <v>185</v>
      </c>
      <c r="C109" s="20" t="s">
        <v>186</v>
      </c>
      <c r="D109" s="20">
        <f>20.94*10.764</f>
        <v>225.39815999999999</v>
      </c>
      <c r="E109" s="20">
        <v>0</v>
      </c>
      <c r="F109" s="20">
        <f>D109*(($F$101)+1)+E109</f>
        <v>338.09724</v>
      </c>
      <c r="G109" s="72"/>
      <c r="H109" s="73"/>
      <c r="I109" s="9"/>
      <c r="J109" s="9"/>
      <c r="N109" s="2" t="e">
        <f t="shared" ca="1" si="4"/>
        <v>#REF!</v>
      </c>
      <c r="O109" s="2" t="e">
        <f t="shared" ca="1" si="5"/>
        <v>#REF!</v>
      </c>
      <c r="P109" s="2" t="e">
        <f t="shared" ca="1" si="5"/>
        <v>#REF!</v>
      </c>
    </row>
    <row r="110" spans="1:16" s="2" customFormat="1" x14ac:dyDescent="0.3">
      <c r="A110" s="74"/>
      <c r="B110" s="75"/>
      <c r="C110" s="75"/>
      <c r="D110" s="75"/>
      <c r="E110" s="75"/>
      <c r="F110" s="75"/>
      <c r="G110" s="75"/>
      <c r="H110" s="76"/>
      <c r="I110" s="9"/>
      <c r="J110" s="9"/>
      <c r="N110" s="2" t="e">
        <f t="shared" ca="1" si="4"/>
        <v>#REF!</v>
      </c>
      <c r="O110" s="2" t="e">
        <f ca="1">O109+1</f>
        <v>#REF!</v>
      </c>
      <c r="P110" s="2" t="e">
        <f ca="1">P109+1</f>
        <v>#REF!</v>
      </c>
    </row>
    <row r="111" spans="1:16" s="2" customFormat="1" ht="46.8" x14ac:dyDescent="0.3">
      <c r="A111" s="80" t="s">
        <v>146</v>
      </c>
      <c r="B111" s="80" t="s">
        <v>147</v>
      </c>
      <c r="C111" s="80" t="s">
        <v>61</v>
      </c>
      <c r="D111" s="80" t="s">
        <v>254</v>
      </c>
      <c r="E111" s="82" t="s">
        <v>62</v>
      </c>
      <c r="F111" s="61" t="s">
        <v>233</v>
      </c>
      <c r="G111" s="84" t="s">
        <v>63</v>
      </c>
      <c r="H111" s="85"/>
      <c r="I111" s="38">
        <v>1</v>
      </c>
    </row>
    <row r="112" spans="1:16" s="2" customFormat="1" x14ac:dyDescent="0.3">
      <c r="A112" s="81"/>
      <c r="B112" s="81"/>
      <c r="C112" s="81"/>
      <c r="D112" s="81"/>
      <c r="E112" s="83"/>
      <c r="F112" s="62">
        <v>0.5</v>
      </c>
      <c r="G112" s="86"/>
      <c r="H112" s="87"/>
      <c r="I112" s="38"/>
    </row>
    <row r="113" spans="1:16" s="2" customFormat="1" x14ac:dyDescent="0.3">
      <c r="A113" s="65" t="s">
        <v>231</v>
      </c>
      <c r="B113" s="66"/>
      <c r="C113" s="66"/>
      <c r="D113" s="66"/>
      <c r="E113" s="66"/>
      <c r="F113" s="66"/>
      <c r="G113" s="66"/>
      <c r="H113" s="67"/>
      <c r="I113" s="20">
        <f>3.02*5.1+2.3*2.85+3.2*3.03+3.2*3.05+0.08*1.85+1.2*1.93+1.2*1.95+1.43*0.95+1.35*0.95023*0.95</f>
        <v>48.794169974999996</v>
      </c>
      <c r="N113" s="2" t="e">
        <f t="shared" ref="N113:N118" ca="1" si="6">O113&amp;""&amp;",..,"&amp;""&amp;P113</f>
        <v>#REF!</v>
      </c>
      <c r="O113" s="2" t="e">
        <f ca="1">(SUMPRODUCT(MID(0&amp;(LEFT(#REF!,SUM(LEN(#REF!)-LEN(SUBSTITUTE(#REF!,{"0","1","2"},""))))), LARGE(INDEX(ISNUMBER(--MID((LEFT(#REF!,SUM(LEN(#REF!)-LEN(SUBSTITUTE(#REF!,{"0","1","2"},""))))), ROW(INDIRECT("1:"&amp;LEN((LEFT(#REF!,SUM(LEN(#REF!)-LEN(SUBSTITUTE(#REF!,{"0","1","2"},"")))))))), 1)) * ROW(INDIRECT("1:"&amp;LEN((LEFT(#REF!,SUM(LEN(#REF!)-LEN(SUBSTITUTE(#REF!,{"0","1","2"},"")))))))), 0), ROW(INDIRECT("1:"&amp;LEN((LEFT(#REF!,SUM(LEN(#REF!)-LEN(SUBSTITUTE(#REF!,{"0","1","2"},"")))))))))+1, 1) * 10^ROW(INDIRECT("1:"&amp;LEN((LEFT(#REF!,SUM(LEN(#REF!)-LEN(SUBSTITUTE(#REF!,{"0","1","2"},""))))))))/10))*100+1</f>
        <v>#REF!</v>
      </c>
      <c r="P113" s="2" t="e">
        <f ca="1">(SUMPRODUCT(MID(0&amp;(--TRIM(RIGHT(SUBSTITUTE(LEFT(#REF!,_xlfn.AGGREGATE(16,6,FIND({0,1,2,3,4,5,6,7,8,9},#REF!,ROW(INDIRECT("1:"&amp;LEN(#REF!)))),1))," ",REPT(" ",LEN(#REF!))),LEN(#REF!)))), LARGE(INDEX(ISNUMBER(--MID((--TRIM(RIGHT(SUBSTITUTE(LEFT(#REF!,_xlfn.AGGREGATE(16,6,FIND({0,1,2,3,4,5,6,7,8,9},#REF!,ROW(INDIRECT("1:"&amp;LEN(#REF!)))),1))," ",REPT(" ",LEN(#REF!))),LEN(#REF!)))), ROW(INDIRECT("1:"&amp;LEN((--TRIM(RIGHT(SUBSTITUTE(LEFT(#REF!,_xlfn.AGGREGATE(16,6,FIND({0,1,2,3,4,5,6,7,8,9},#REF!,ROW(INDIRECT("1:"&amp;LEN(#REF!)))),1))," ",REPT(" ",LEN(#REF!))),LEN(#REF!))))))), 1)) * ROW(INDIRECT("1:"&amp;LEN((--TRIM(RIGHT(SUBSTITUTE(LEFT(#REF!,_xlfn.AGGREGATE(16,6,FIND({0,1,2,3,4,5,6,7,8,9},#REF!,ROW(INDIRECT("1:"&amp;LEN(#REF!)))),1))," ",REPT(" ",LEN(#REF!))),LEN(#REF!))))))), 0), ROW(INDIRECT("1:"&amp;LEN((--TRIM(RIGHT(SUBSTITUTE(LEFT(#REF!,_xlfn.AGGREGATE(16,6,FIND({0,1,2,3,4,5,6,7,8,9},#REF!,ROW(INDIRECT("1:"&amp;LEN(#REF!)))),1))," ",REPT(" ",LEN(#REF!))),LEN(#REF!))))))))+1, 1) * 10^ROW(INDIRECT("1:"&amp;LEN((--TRIM(RIGHT(SUBSTITUTE(LEFT(#REF!,_xlfn.AGGREGATE(16,6,FIND({0,1,2,3,4,5,6,7,8,9},#REF!,ROW(INDIRECT("1:"&amp;LEN(#REF!)))),1))," ",REPT(" ",LEN(#REF!))),LEN(#REF!)))))))/10))*100+1</f>
        <v>#REF!</v>
      </c>
    </row>
    <row r="114" spans="1:16" s="2" customFormat="1" x14ac:dyDescent="0.3">
      <c r="A114" s="64" t="s">
        <v>194</v>
      </c>
      <c r="B114" s="64"/>
      <c r="C114" s="64"/>
      <c r="D114" s="64"/>
      <c r="E114" s="64"/>
      <c r="F114" s="64"/>
      <c r="G114" s="64"/>
      <c r="H114" s="64"/>
      <c r="I114" s="38">
        <f>3.02*5.1+2.3*2.85+3.05*3.5+2.1*1.2+2.1*1.2+0.23*0.95</f>
        <v>37.890500000000003</v>
      </c>
      <c r="N114" s="2" t="e">
        <f t="shared" ca="1" si="6"/>
        <v>#REF!</v>
      </c>
      <c r="O114" s="2" t="e">
        <f t="shared" ref="O114:P118" ca="1" si="7">O113+1</f>
        <v>#REF!</v>
      </c>
      <c r="P114" s="2" t="e">
        <f t="shared" ca="1" si="7"/>
        <v>#REF!</v>
      </c>
    </row>
    <row r="115" spans="1:16" s="2" customFormat="1" x14ac:dyDescent="0.3">
      <c r="A115" s="64" t="s">
        <v>251</v>
      </c>
      <c r="B115" s="64"/>
      <c r="C115" s="64"/>
      <c r="D115" s="64"/>
      <c r="E115" s="64"/>
      <c r="F115" s="64"/>
      <c r="G115" s="64"/>
      <c r="H115" s="64"/>
      <c r="I115" s="38"/>
      <c r="N115" s="2" t="e">
        <f t="shared" ca="1" si="6"/>
        <v>#REF!</v>
      </c>
      <c r="O115" s="2" t="e">
        <f t="shared" ca="1" si="7"/>
        <v>#REF!</v>
      </c>
      <c r="P115" s="2" t="e">
        <f t="shared" ca="1" si="7"/>
        <v>#REF!</v>
      </c>
    </row>
    <row r="116" spans="1:16" s="2" customFormat="1" ht="15.75" customHeight="1" x14ac:dyDescent="0.3">
      <c r="A116" s="65" t="s">
        <v>234</v>
      </c>
      <c r="B116" s="66"/>
      <c r="C116" s="66"/>
      <c r="D116" s="66"/>
      <c r="E116" s="66"/>
      <c r="F116" s="66"/>
      <c r="G116" s="66"/>
      <c r="H116" s="67"/>
      <c r="I116" s="38"/>
      <c r="N116" s="2" t="e">
        <f t="shared" ca="1" si="6"/>
        <v>#REF!</v>
      </c>
      <c r="O116" s="2" t="e">
        <f t="shared" ca="1" si="7"/>
        <v>#REF!</v>
      </c>
      <c r="P116" s="2" t="e">
        <f t="shared" ca="1" si="7"/>
        <v>#REF!</v>
      </c>
    </row>
    <row r="117" spans="1:16" s="2" customFormat="1" ht="15.75" customHeight="1" x14ac:dyDescent="0.3">
      <c r="A117" s="50">
        <v>1</v>
      </c>
      <c r="B117" s="20" t="s">
        <v>216</v>
      </c>
      <c r="C117" s="20" t="s">
        <v>183</v>
      </c>
      <c r="D117" s="20">
        <f>51.76*10.764</f>
        <v>557.14463999999998</v>
      </c>
      <c r="E117" s="20">
        <v>0</v>
      </c>
      <c r="F117" s="20">
        <f>D117*(($F$112)+1)+(IF(E117&lt;101,E117,IF(E117&lt;201,E117/2,IF(E117&lt;=301,E117/3,E117/4))))</f>
        <v>835.71695999999997</v>
      </c>
      <c r="G117" s="68" t="str">
        <f>A116</f>
        <v>5th Floor</v>
      </c>
      <c r="H117" s="69"/>
      <c r="I117" s="38"/>
      <c r="N117" s="2" t="e">
        <f t="shared" ca="1" si="6"/>
        <v>#REF!</v>
      </c>
      <c r="O117" s="2" t="e">
        <f t="shared" ca="1" si="7"/>
        <v>#REF!</v>
      </c>
      <c r="P117" s="2" t="e">
        <f t="shared" ca="1" si="7"/>
        <v>#REF!</v>
      </c>
    </row>
    <row r="118" spans="1:16" s="2" customFormat="1" x14ac:dyDescent="0.3">
      <c r="A118" s="50">
        <f>A117+1</f>
        <v>2</v>
      </c>
      <c r="B118" s="20" t="s">
        <v>216</v>
      </c>
      <c r="C118" s="20" t="s">
        <v>184</v>
      </c>
      <c r="D118" s="20">
        <f>40.12*10.764</f>
        <v>431.85167999999993</v>
      </c>
      <c r="E118" s="20">
        <v>0</v>
      </c>
      <c r="F118" s="20">
        <f t="shared" ref="F118:F122" si="8">D118*(($F$112)+1)+(IF(E118&lt;101,E118,IF(E118&lt;201,E118/2,IF(E118&lt;=301,E118/3,E118/4))))</f>
        <v>647.77751999999987</v>
      </c>
      <c r="G118" s="70"/>
      <c r="H118" s="71"/>
      <c r="I118" s="38"/>
      <c r="N118" s="2" t="e">
        <f t="shared" ca="1" si="6"/>
        <v>#REF!</v>
      </c>
      <c r="O118" s="2" t="e">
        <f t="shared" ca="1" si="7"/>
        <v>#REF!</v>
      </c>
      <c r="P118" s="2" t="e">
        <f t="shared" ca="1" si="7"/>
        <v>#REF!</v>
      </c>
    </row>
    <row r="119" spans="1:16" s="1" customFormat="1" x14ac:dyDescent="0.3">
      <c r="A119" s="50">
        <f t="shared" ref="A119:A122" si="9">A118+1</f>
        <v>3</v>
      </c>
      <c r="B119" s="20" t="s">
        <v>216</v>
      </c>
      <c r="C119" s="20" t="s">
        <v>184</v>
      </c>
      <c r="D119" s="20">
        <f>40.12*10.764</f>
        <v>431.85167999999993</v>
      </c>
      <c r="E119" s="20">
        <v>0</v>
      </c>
      <c r="F119" s="20">
        <f t="shared" si="8"/>
        <v>647.77751999999987</v>
      </c>
      <c r="G119" s="70"/>
      <c r="H119" s="71"/>
      <c r="I119" s="38">
        <f>3+3+6+2+4+6+4</f>
        <v>28</v>
      </c>
      <c r="J119" s="2"/>
    </row>
    <row r="120" spans="1:16" s="1" customFormat="1" x14ac:dyDescent="0.3">
      <c r="A120" s="50">
        <f t="shared" si="9"/>
        <v>4</v>
      </c>
      <c r="B120" s="20" t="s">
        <v>216</v>
      </c>
      <c r="C120" s="20" t="s">
        <v>183</v>
      </c>
      <c r="D120" s="20">
        <f>51.86*10.764</f>
        <v>558.22104000000002</v>
      </c>
      <c r="E120" s="20">
        <v>0</v>
      </c>
      <c r="F120" s="20">
        <f t="shared" si="8"/>
        <v>837.33156000000008</v>
      </c>
      <c r="G120" s="70"/>
      <c r="H120" s="71"/>
      <c r="I120" s="38"/>
      <c r="J120" s="2"/>
    </row>
    <row r="121" spans="1:16" s="1" customFormat="1" x14ac:dyDescent="0.3">
      <c r="A121" s="50">
        <f t="shared" si="9"/>
        <v>5</v>
      </c>
      <c r="B121" s="20" t="s">
        <v>216</v>
      </c>
      <c r="C121" s="20" t="s">
        <v>184</v>
      </c>
      <c r="D121" s="20">
        <f>32.85*10.764</f>
        <v>353.59739999999999</v>
      </c>
      <c r="E121" s="20">
        <v>0</v>
      </c>
      <c r="F121" s="20">
        <f t="shared" si="8"/>
        <v>530.39609999999993</v>
      </c>
      <c r="G121" s="70"/>
      <c r="H121" s="71"/>
      <c r="I121" s="38"/>
      <c r="J121" s="2"/>
    </row>
    <row r="122" spans="1:16" s="1" customFormat="1" ht="15.75" customHeight="1" x14ac:dyDescent="0.3">
      <c r="A122" s="50">
        <f t="shared" si="9"/>
        <v>6</v>
      </c>
      <c r="B122" s="20" t="s">
        <v>216</v>
      </c>
      <c r="C122" s="20" t="s">
        <v>184</v>
      </c>
      <c r="D122" s="20">
        <f>33.4*10.764</f>
        <v>359.51759999999996</v>
      </c>
      <c r="E122" s="20">
        <v>0</v>
      </c>
      <c r="F122" s="20">
        <f t="shared" si="8"/>
        <v>539.27639999999997</v>
      </c>
      <c r="G122" s="72"/>
      <c r="H122" s="73"/>
      <c r="I122" s="38"/>
      <c r="J122" s="2"/>
    </row>
    <row r="123" spans="1:16" s="1" customFormat="1" x14ac:dyDescent="0.3">
      <c r="A123" s="77" t="s">
        <v>235</v>
      </c>
      <c r="B123" s="77"/>
      <c r="C123" s="77"/>
      <c r="D123" s="77"/>
      <c r="E123" s="77"/>
      <c r="F123" s="77"/>
      <c r="G123" s="77"/>
      <c r="H123" s="77"/>
      <c r="I123" s="38"/>
      <c r="J123" s="2"/>
    </row>
    <row r="124" spans="1:16" s="1" customFormat="1" ht="15.75" customHeight="1" x14ac:dyDescent="0.3">
      <c r="A124" s="20">
        <v>1</v>
      </c>
      <c r="B124" s="20" t="s">
        <v>216</v>
      </c>
      <c r="C124" s="20" t="s">
        <v>183</v>
      </c>
      <c r="D124" s="20">
        <f>51.76*10.764</f>
        <v>557.14463999999998</v>
      </c>
      <c r="E124" s="20">
        <v>0</v>
      </c>
      <c r="F124" s="20">
        <f>D124*(($F$112)+1)+(IF(E124&lt;101,E124,IF(E124&lt;201,E124/2,IF(E124&lt;=301,E124/3,E124/4))))</f>
        <v>835.71695999999997</v>
      </c>
      <c r="G124" s="78" t="str">
        <f>A123</f>
        <v>6th Floor For Residential (Part Refuge Area)</v>
      </c>
      <c r="H124" s="78"/>
      <c r="I124" s="38" t="e">
        <f>7483000/#REF!</f>
        <v>#REF!</v>
      </c>
      <c r="J124" s="2"/>
    </row>
    <row r="125" spans="1:16" s="1" customFormat="1" x14ac:dyDescent="0.3">
      <c r="A125" s="20">
        <f>A124+1</f>
        <v>2</v>
      </c>
      <c r="B125" s="20" t="s">
        <v>216</v>
      </c>
      <c r="C125" s="20" t="s">
        <v>184</v>
      </c>
      <c r="D125" s="20">
        <f>40.12*10.764</f>
        <v>431.85167999999993</v>
      </c>
      <c r="E125" s="20">
        <v>0</v>
      </c>
      <c r="F125" s="20">
        <f t="shared" ref="F125:F128" si="10">D125*(($F$112)+1)+(IF(E125&lt;101,E125,IF(E125&lt;201,E125/2,IF(E125&lt;=301,E125/3,E125/4))))</f>
        <v>647.77751999999987</v>
      </c>
      <c r="G125" s="78"/>
      <c r="H125" s="78"/>
      <c r="I125" s="38"/>
      <c r="J125" s="2"/>
    </row>
    <row r="126" spans="1:16" s="1" customFormat="1" x14ac:dyDescent="0.3">
      <c r="A126" s="20">
        <f t="shared" ref="A126:A129" si="11">A125+1</f>
        <v>3</v>
      </c>
      <c r="B126" s="20" t="s">
        <v>216</v>
      </c>
      <c r="C126" s="20" t="s">
        <v>184</v>
      </c>
      <c r="D126" s="20">
        <f>40.12*10.764</f>
        <v>431.85167999999993</v>
      </c>
      <c r="E126" s="20">
        <v>0</v>
      </c>
      <c r="F126" s="20">
        <f t="shared" si="10"/>
        <v>647.77751999999987</v>
      </c>
      <c r="G126" s="78"/>
      <c r="H126" s="78"/>
      <c r="I126" s="38">
        <v>5</v>
      </c>
      <c r="J126" s="2"/>
    </row>
    <row r="127" spans="1:16" s="1" customFormat="1" x14ac:dyDescent="0.3">
      <c r="A127" s="20">
        <f t="shared" si="11"/>
        <v>4</v>
      </c>
      <c r="B127" s="20" t="s">
        <v>216</v>
      </c>
      <c r="C127" s="20" t="s">
        <v>183</v>
      </c>
      <c r="D127" s="20">
        <f>51.86*10.764</f>
        <v>558.22104000000002</v>
      </c>
      <c r="E127" s="20">
        <v>0</v>
      </c>
      <c r="F127" s="20">
        <f t="shared" si="10"/>
        <v>837.33156000000008</v>
      </c>
      <c r="G127" s="78"/>
      <c r="H127" s="78"/>
      <c r="I127" s="38"/>
      <c r="J127" s="2"/>
    </row>
    <row r="128" spans="1:16" s="1" customFormat="1" ht="15.75" customHeight="1" x14ac:dyDescent="0.3">
      <c r="A128" s="20">
        <f t="shared" si="11"/>
        <v>5</v>
      </c>
      <c r="B128" s="20" t="s">
        <v>216</v>
      </c>
      <c r="C128" s="20" t="s">
        <v>184</v>
      </c>
      <c r="D128" s="20">
        <f>32.85*10.764</f>
        <v>353.59739999999999</v>
      </c>
      <c r="E128" s="20">
        <v>0</v>
      </c>
      <c r="F128" s="20">
        <f t="shared" si="10"/>
        <v>530.39609999999993</v>
      </c>
      <c r="G128" s="78"/>
      <c r="H128" s="78"/>
      <c r="I128" s="38"/>
      <c r="J128" s="2"/>
    </row>
    <row r="129" spans="1:10" ht="15.75" customHeight="1" x14ac:dyDescent="0.3">
      <c r="A129" s="20">
        <f t="shared" si="11"/>
        <v>6</v>
      </c>
      <c r="B129" s="78" t="s">
        <v>236</v>
      </c>
      <c r="C129" s="78"/>
      <c r="D129" s="78"/>
      <c r="E129" s="78"/>
      <c r="F129" s="78"/>
      <c r="G129" s="78"/>
      <c r="H129" s="78"/>
      <c r="I129" s="38"/>
      <c r="J129" s="2"/>
    </row>
    <row r="130" spans="1:10" ht="15.75" customHeight="1" x14ac:dyDescent="0.3">
      <c r="A130" s="65" t="s">
        <v>237</v>
      </c>
      <c r="B130" s="66"/>
      <c r="C130" s="66"/>
      <c r="D130" s="66"/>
      <c r="E130" s="66"/>
      <c r="F130" s="66"/>
      <c r="G130" s="66"/>
      <c r="H130" s="67"/>
      <c r="I130" s="38"/>
      <c r="J130" s="2"/>
    </row>
    <row r="131" spans="1:10" ht="15.75" customHeight="1" x14ac:dyDescent="0.3">
      <c r="A131" s="50">
        <v>1</v>
      </c>
      <c r="B131" s="20" t="s">
        <v>216</v>
      </c>
      <c r="C131" s="20" t="s">
        <v>183</v>
      </c>
      <c r="D131" s="20">
        <f>51.76*10.764</f>
        <v>557.14463999999998</v>
      </c>
      <c r="E131" s="20">
        <v>0</v>
      </c>
      <c r="F131" s="20">
        <f>D131*(($F$112)+1)+(IF(E131&lt;101,E131,IF(E131&lt;201,E131/2,IF(E131&lt;=301,E131/3,E131/4))))</f>
        <v>835.71695999999997</v>
      </c>
      <c r="G131" s="68" t="str">
        <f>A130</f>
        <v>7th to 9th Floor</v>
      </c>
      <c r="H131" s="69"/>
      <c r="I131" s="38"/>
      <c r="J131" s="2"/>
    </row>
    <row r="132" spans="1:10" x14ac:dyDescent="0.3">
      <c r="A132" s="50">
        <f>A131+1</f>
        <v>2</v>
      </c>
      <c r="B132" s="20" t="s">
        <v>216</v>
      </c>
      <c r="C132" s="20" t="s">
        <v>184</v>
      </c>
      <c r="D132" s="20">
        <f>40.12*10.764</f>
        <v>431.85167999999993</v>
      </c>
      <c r="E132" s="20">
        <v>0</v>
      </c>
      <c r="F132" s="20">
        <f t="shared" ref="F132:F136" si="12">D132*(($F$112)+1)+(IF(E132&lt;101,E132,IF(E132&lt;201,E132/2,IF(E132&lt;=301,E132/3,E132/4))))</f>
        <v>647.77751999999987</v>
      </c>
      <c r="G132" s="70"/>
      <c r="H132" s="71"/>
      <c r="I132" s="38"/>
      <c r="J132" s="2"/>
    </row>
    <row r="133" spans="1:10" x14ac:dyDescent="0.3">
      <c r="A133" s="50">
        <f t="shared" ref="A133:A136" si="13">A132+1</f>
        <v>3</v>
      </c>
      <c r="B133" s="20" t="s">
        <v>216</v>
      </c>
      <c r="C133" s="20" t="s">
        <v>184</v>
      </c>
      <c r="D133" s="20">
        <f>40.12*10.764</f>
        <v>431.85167999999993</v>
      </c>
      <c r="E133" s="20">
        <v>0</v>
      </c>
      <c r="F133" s="20">
        <f t="shared" si="12"/>
        <v>647.77751999999987</v>
      </c>
      <c r="G133" s="70"/>
      <c r="H133" s="71"/>
      <c r="I133" s="1"/>
      <c r="J133" s="1"/>
    </row>
    <row r="134" spans="1:10" x14ac:dyDescent="0.3">
      <c r="A134" s="50">
        <f t="shared" si="13"/>
        <v>4</v>
      </c>
      <c r="B134" s="20" t="s">
        <v>216</v>
      </c>
      <c r="C134" s="20" t="s">
        <v>183</v>
      </c>
      <c r="D134" s="20">
        <f>51.86*10.764</f>
        <v>558.22104000000002</v>
      </c>
      <c r="E134" s="20">
        <v>0</v>
      </c>
      <c r="F134" s="20">
        <f t="shared" si="12"/>
        <v>837.33156000000008</v>
      </c>
      <c r="G134" s="70"/>
      <c r="H134" s="71"/>
      <c r="I134" s="1"/>
      <c r="J134" s="1"/>
    </row>
    <row r="135" spans="1:10" x14ac:dyDescent="0.3">
      <c r="A135" s="50">
        <f t="shared" si="13"/>
        <v>5</v>
      </c>
      <c r="B135" s="20" t="s">
        <v>216</v>
      </c>
      <c r="C135" s="20" t="s">
        <v>184</v>
      </c>
      <c r="D135" s="20">
        <f>32.85*10.764</f>
        <v>353.59739999999999</v>
      </c>
      <c r="E135" s="20">
        <v>0</v>
      </c>
      <c r="F135" s="20">
        <f t="shared" si="12"/>
        <v>530.39609999999993</v>
      </c>
      <c r="G135" s="70"/>
      <c r="H135" s="71"/>
      <c r="I135" s="1"/>
      <c r="J135" s="1"/>
    </row>
    <row r="136" spans="1:10" ht="15.75" customHeight="1" x14ac:dyDescent="0.3">
      <c r="A136" s="50">
        <f t="shared" si="13"/>
        <v>6</v>
      </c>
      <c r="B136" s="20" t="s">
        <v>216</v>
      </c>
      <c r="C136" s="20" t="s">
        <v>184</v>
      </c>
      <c r="D136" s="20">
        <f>33.4*10.764</f>
        <v>359.51759999999996</v>
      </c>
      <c r="E136" s="20">
        <v>0</v>
      </c>
      <c r="F136" s="20">
        <f t="shared" si="12"/>
        <v>539.27639999999997</v>
      </c>
      <c r="G136" s="72"/>
      <c r="H136" s="73"/>
      <c r="I136" s="1"/>
      <c r="J136" s="1"/>
    </row>
    <row r="137" spans="1:10" ht="15.75" customHeight="1" x14ac:dyDescent="0.3">
      <c r="A137" s="65" t="s">
        <v>238</v>
      </c>
      <c r="B137" s="66"/>
      <c r="C137" s="66"/>
      <c r="D137" s="66"/>
      <c r="E137" s="66"/>
      <c r="F137" s="66"/>
      <c r="G137" s="66"/>
      <c r="H137" s="67"/>
      <c r="I137" s="1"/>
      <c r="J137" s="1"/>
    </row>
    <row r="138" spans="1:10" ht="15.75" customHeight="1" x14ac:dyDescent="0.3">
      <c r="A138" s="50">
        <v>1</v>
      </c>
      <c r="B138" s="20" t="s">
        <v>216</v>
      </c>
      <c r="C138" s="20" t="s">
        <v>183</v>
      </c>
      <c r="D138" s="20">
        <f>51.76*10.764</f>
        <v>557.14463999999998</v>
      </c>
      <c r="E138" s="20">
        <v>0</v>
      </c>
      <c r="F138" s="20">
        <f>D138*(($F$112)+1)+(IF(E138&lt;101,E138,IF(E138&lt;201,E138/2,IF(E138&lt;=301,E138/3,E138/4))))</f>
        <v>835.71695999999997</v>
      </c>
      <c r="G138" s="68" t="str">
        <f>A137</f>
        <v>10th to 12th, 14th to 19th, 21st &amp; 22nd Floor</v>
      </c>
      <c r="H138" s="69"/>
      <c r="I138" s="1"/>
      <c r="J138" s="1"/>
    </row>
    <row r="139" spans="1:10" ht="15.75" customHeight="1" x14ac:dyDescent="0.3">
      <c r="A139" s="50">
        <f>A138+1</f>
        <v>2</v>
      </c>
      <c r="B139" s="20" t="s">
        <v>216</v>
      </c>
      <c r="C139" s="20" t="s">
        <v>184</v>
      </c>
      <c r="D139" s="20">
        <f>40.12*10.764</f>
        <v>431.85167999999993</v>
      </c>
      <c r="E139" s="20">
        <v>0</v>
      </c>
      <c r="F139" s="20">
        <f t="shared" ref="F139:F143" si="14">D139*(($F$112)+1)+(IF(E139&lt;101,E139,IF(E139&lt;201,E139/2,IF(E139&lt;=301,E139/3,E139/4))))</f>
        <v>647.77751999999987</v>
      </c>
      <c r="G139" s="70"/>
      <c r="H139" s="71"/>
      <c r="I139" s="1"/>
      <c r="J139" s="1"/>
    </row>
    <row r="140" spans="1:10" ht="15.75" customHeight="1" x14ac:dyDescent="0.3">
      <c r="A140" s="50">
        <f t="shared" ref="A140:A143" si="15">A139+1</f>
        <v>3</v>
      </c>
      <c r="B140" s="20" t="s">
        <v>216</v>
      </c>
      <c r="C140" s="20" t="s">
        <v>184</v>
      </c>
      <c r="D140" s="20">
        <f>40.12*10.764</f>
        <v>431.85167999999993</v>
      </c>
      <c r="E140" s="20">
        <v>0</v>
      </c>
      <c r="F140" s="20">
        <f t="shared" si="14"/>
        <v>647.77751999999987</v>
      </c>
      <c r="G140" s="70"/>
      <c r="H140" s="71"/>
      <c r="I140" s="1"/>
      <c r="J140" s="1"/>
    </row>
    <row r="141" spans="1:10" ht="15.75" customHeight="1" x14ac:dyDescent="0.3">
      <c r="A141" s="50">
        <f t="shared" si="15"/>
        <v>4</v>
      </c>
      <c r="B141" s="20" t="s">
        <v>216</v>
      </c>
      <c r="C141" s="20" t="s">
        <v>183</v>
      </c>
      <c r="D141" s="20">
        <f>51.86*10.764</f>
        <v>558.22104000000002</v>
      </c>
      <c r="E141" s="20">
        <v>0</v>
      </c>
      <c r="F141" s="20">
        <f t="shared" si="14"/>
        <v>837.33156000000008</v>
      </c>
      <c r="G141" s="70"/>
      <c r="H141" s="71"/>
      <c r="I141" s="1"/>
      <c r="J141" s="1"/>
    </row>
    <row r="142" spans="1:10" ht="15.75" customHeight="1" x14ac:dyDescent="0.3">
      <c r="A142" s="50">
        <f t="shared" si="15"/>
        <v>5</v>
      </c>
      <c r="B142" s="20" t="s">
        <v>216</v>
      </c>
      <c r="C142" s="20" t="s">
        <v>184</v>
      </c>
      <c r="D142" s="20">
        <f>32.85*10.764</f>
        <v>353.59739999999999</v>
      </c>
      <c r="E142" s="20">
        <v>0</v>
      </c>
      <c r="F142" s="20">
        <f t="shared" si="14"/>
        <v>530.39609999999993</v>
      </c>
      <c r="G142" s="70"/>
      <c r="H142" s="71"/>
      <c r="I142" s="1"/>
      <c r="J142" s="1"/>
    </row>
    <row r="143" spans="1:10" ht="15.75" customHeight="1" x14ac:dyDescent="0.3">
      <c r="A143" s="50">
        <f t="shared" si="15"/>
        <v>6</v>
      </c>
      <c r="B143" s="20" t="s">
        <v>216</v>
      </c>
      <c r="C143" s="20" t="s">
        <v>184</v>
      </c>
      <c r="D143" s="20">
        <f>33.4*10.764</f>
        <v>359.51759999999996</v>
      </c>
      <c r="E143" s="20">
        <v>0</v>
      </c>
      <c r="F143" s="20">
        <f t="shared" si="14"/>
        <v>539.27639999999997</v>
      </c>
      <c r="G143" s="72"/>
      <c r="H143" s="73"/>
    </row>
    <row r="144" spans="1:10" ht="15" customHeight="1" x14ac:dyDescent="0.3">
      <c r="A144" s="65" t="s">
        <v>239</v>
      </c>
      <c r="B144" s="66"/>
      <c r="C144" s="66"/>
      <c r="D144" s="66"/>
      <c r="E144" s="66"/>
      <c r="F144" s="66"/>
      <c r="G144" s="66"/>
      <c r="H144" s="67"/>
    </row>
    <row r="145" spans="1:8" ht="15.75" customHeight="1" x14ac:dyDescent="0.3">
      <c r="A145" s="50">
        <v>1</v>
      </c>
      <c r="B145" s="20" t="s">
        <v>216</v>
      </c>
      <c r="C145" s="20" t="s">
        <v>183</v>
      </c>
      <c r="D145" s="20">
        <f>51.76*10.764</f>
        <v>557.14463999999998</v>
      </c>
      <c r="E145" s="20">
        <v>0</v>
      </c>
      <c r="F145" s="20">
        <f>D145*(($F$112)+1)+(IF(E145&lt;101,E145,IF(E145&lt;201,E145/2,IF(E145&lt;=301,E145/3,E145/4))))</f>
        <v>835.71695999999997</v>
      </c>
      <c r="G145" s="68" t="str">
        <f>A144</f>
        <v>13th, 20th &amp; 27th Floor For Residential (Part Refuge Area)</v>
      </c>
      <c r="H145" s="69"/>
    </row>
    <row r="146" spans="1:8" ht="15.75" customHeight="1" x14ac:dyDescent="0.3">
      <c r="A146" s="50">
        <f>A145+1</f>
        <v>2</v>
      </c>
      <c r="B146" s="20" t="s">
        <v>216</v>
      </c>
      <c r="C146" s="20" t="s">
        <v>184</v>
      </c>
      <c r="D146" s="20">
        <f>40.12*10.764</f>
        <v>431.85167999999993</v>
      </c>
      <c r="E146" s="20">
        <v>0</v>
      </c>
      <c r="F146" s="20">
        <f t="shared" ref="F146:F149" si="16">D146*(($F$112)+1)+(IF(E146&lt;101,E146,IF(E146&lt;201,E146/2,IF(E146&lt;=301,E146/3,E146/4))))</f>
        <v>647.77751999999987</v>
      </c>
      <c r="G146" s="70"/>
      <c r="H146" s="71"/>
    </row>
    <row r="147" spans="1:8" x14ac:dyDescent="0.3">
      <c r="A147" s="50">
        <f t="shared" ref="A147:A150" si="17">A146+1</f>
        <v>3</v>
      </c>
      <c r="B147" s="20" t="s">
        <v>216</v>
      </c>
      <c r="C147" s="20" t="s">
        <v>184</v>
      </c>
      <c r="D147" s="20">
        <f>40.12*10.764</f>
        <v>431.85167999999993</v>
      </c>
      <c r="E147" s="20">
        <v>0</v>
      </c>
      <c r="F147" s="20">
        <f t="shared" si="16"/>
        <v>647.77751999999987</v>
      </c>
      <c r="G147" s="70"/>
      <c r="H147" s="71"/>
    </row>
    <row r="148" spans="1:8" x14ac:dyDescent="0.3">
      <c r="A148" s="50">
        <f t="shared" si="17"/>
        <v>4</v>
      </c>
      <c r="B148" s="20" t="s">
        <v>216</v>
      </c>
      <c r="C148" s="20" t="s">
        <v>183</v>
      </c>
      <c r="D148" s="20">
        <f>51.86*10.764</f>
        <v>558.22104000000002</v>
      </c>
      <c r="E148" s="20">
        <v>0</v>
      </c>
      <c r="F148" s="20">
        <f t="shared" si="16"/>
        <v>837.33156000000008</v>
      </c>
      <c r="G148" s="70"/>
      <c r="H148" s="71"/>
    </row>
    <row r="149" spans="1:8" x14ac:dyDescent="0.3">
      <c r="A149" s="50">
        <f t="shared" si="17"/>
        <v>5</v>
      </c>
      <c r="B149" s="20" t="s">
        <v>216</v>
      </c>
      <c r="C149" s="20" t="s">
        <v>184</v>
      </c>
      <c r="D149" s="20">
        <f>32.85*10.764</f>
        <v>353.59739999999999</v>
      </c>
      <c r="E149" s="20">
        <v>0</v>
      </c>
      <c r="F149" s="20">
        <f t="shared" si="16"/>
        <v>530.39609999999993</v>
      </c>
      <c r="G149" s="70"/>
      <c r="H149" s="71"/>
    </row>
    <row r="150" spans="1:8" ht="15.75" customHeight="1" x14ac:dyDescent="0.3">
      <c r="A150" s="50">
        <f t="shared" si="17"/>
        <v>6</v>
      </c>
      <c r="B150" s="74" t="s">
        <v>236</v>
      </c>
      <c r="C150" s="75"/>
      <c r="D150" s="75"/>
      <c r="E150" s="75"/>
      <c r="F150" s="76"/>
      <c r="G150" s="72"/>
      <c r="H150" s="73"/>
    </row>
    <row r="151" spans="1:8" ht="15.75" customHeight="1" x14ac:dyDescent="0.3">
      <c r="A151" s="65" t="s">
        <v>240</v>
      </c>
      <c r="B151" s="66"/>
      <c r="C151" s="66"/>
      <c r="D151" s="66"/>
      <c r="E151" s="66"/>
      <c r="F151" s="66"/>
      <c r="G151" s="66"/>
      <c r="H151" s="67"/>
    </row>
    <row r="152" spans="1:8" x14ac:dyDescent="0.3">
      <c r="A152" s="50">
        <v>1</v>
      </c>
      <c r="B152" s="20" t="s">
        <v>216</v>
      </c>
      <c r="C152" s="20" t="s">
        <v>183</v>
      </c>
      <c r="D152" s="20">
        <f>51.76*10.764</f>
        <v>557.14463999999998</v>
      </c>
      <c r="E152" s="20">
        <v>0</v>
      </c>
      <c r="F152" s="20">
        <f>D152*(($F$112)+1)+(IF(E152&lt;101,E152,IF(E152&lt;201,E152/2,IF(E152&lt;=301,E152/3,E152/4))))</f>
        <v>835.71695999999997</v>
      </c>
      <c r="G152" s="68" t="str">
        <f>A151</f>
        <v>23rd to 26th, 28th to 33rd, 35th to 38th Floor</v>
      </c>
      <c r="H152" s="69"/>
    </row>
    <row r="153" spans="1:8" ht="15.75" customHeight="1" x14ac:dyDescent="0.3">
      <c r="A153" s="50">
        <f>A152+1</f>
        <v>2</v>
      </c>
      <c r="B153" s="20" t="s">
        <v>216</v>
      </c>
      <c r="C153" s="20" t="s">
        <v>184</v>
      </c>
      <c r="D153" s="20">
        <f>40.12*10.764</f>
        <v>431.85167999999993</v>
      </c>
      <c r="E153" s="20">
        <v>0</v>
      </c>
      <c r="F153" s="20">
        <f t="shared" ref="F153:F157" si="18">D153*(($F$112)+1)+(IF(E153&lt;101,E153,IF(E153&lt;201,E153/2,IF(E153&lt;=301,E153/3,E153/4))))</f>
        <v>647.77751999999987</v>
      </c>
      <c r="G153" s="70"/>
      <c r="H153" s="71"/>
    </row>
    <row r="154" spans="1:8" ht="15.75" customHeight="1" x14ac:dyDescent="0.3">
      <c r="A154" s="50">
        <f t="shared" ref="A154:A157" si="19">A153+1</f>
        <v>3</v>
      </c>
      <c r="B154" s="20" t="s">
        <v>216</v>
      </c>
      <c r="C154" s="20" t="s">
        <v>184</v>
      </c>
      <c r="D154" s="20">
        <f>40.12*10.764</f>
        <v>431.85167999999993</v>
      </c>
      <c r="E154" s="20">
        <v>0</v>
      </c>
      <c r="F154" s="20">
        <f t="shared" si="18"/>
        <v>647.77751999999987</v>
      </c>
      <c r="G154" s="70"/>
      <c r="H154" s="71"/>
    </row>
    <row r="155" spans="1:8" ht="15.75" customHeight="1" x14ac:dyDescent="0.3">
      <c r="A155" s="50">
        <f t="shared" si="19"/>
        <v>4</v>
      </c>
      <c r="B155" s="20" t="s">
        <v>216</v>
      </c>
      <c r="C155" s="20" t="s">
        <v>183</v>
      </c>
      <c r="D155" s="20">
        <f>51.86*10.764</f>
        <v>558.22104000000002</v>
      </c>
      <c r="E155" s="20">
        <v>0</v>
      </c>
      <c r="F155" s="20">
        <f t="shared" si="18"/>
        <v>837.33156000000008</v>
      </c>
      <c r="G155" s="70"/>
      <c r="H155" s="71"/>
    </row>
    <row r="156" spans="1:8" x14ac:dyDescent="0.3">
      <c r="A156" s="50">
        <f t="shared" si="19"/>
        <v>5</v>
      </c>
      <c r="B156" s="20" t="s">
        <v>216</v>
      </c>
      <c r="C156" s="20" t="s">
        <v>184</v>
      </c>
      <c r="D156" s="20">
        <f>32.85*10.764</f>
        <v>353.59739999999999</v>
      </c>
      <c r="E156" s="20">
        <v>0</v>
      </c>
      <c r="F156" s="20">
        <f t="shared" si="18"/>
        <v>530.39609999999993</v>
      </c>
      <c r="G156" s="70"/>
      <c r="H156" s="71"/>
    </row>
    <row r="157" spans="1:8" ht="15.75" customHeight="1" x14ac:dyDescent="0.3">
      <c r="A157" s="50">
        <f t="shared" si="19"/>
        <v>6</v>
      </c>
      <c r="B157" s="20" t="s">
        <v>216</v>
      </c>
      <c r="C157" s="20" t="s">
        <v>184</v>
      </c>
      <c r="D157" s="20">
        <f>33.4*10.764</f>
        <v>359.51759999999996</v>
      </c>
      <c r="E157" s="20">
        <v>0</v>
      </c>
      <c r="F157" s="20">
        <f t="shared" si="18"/>
        <v>539.27639999999997</v>
      </c>
      <c r="G157" s="72"/>
      <c r="H157" s="73"/>
    </row>
    <row r="158" spans="1:8" ht="15.75" customHeight="1" x14ac:dyDescent="0.3">
      <c r="A158" s="65" t="s">
        <v>241</v>
      </c>
      <c r="B158" s="66"/>
      <c r="C158" s="66"/>
      <c r="D158" s="66"/>
      <c r="E158" s="66"/>
      <c r="F158" s="66"/>
      <c r="G158" s="66"/>
      <c r="H158" s="67"/>
    </row>
    <row r="159" spans="1:8" x14ac:dyDescent="0.3">
      <c r="A159" s="50">
        <v>1</v>
      </c>
      <c r="B159" s="20" t="s">
        <v>216</v>
      </c>
      <c r="C159" s="20" t="s">
        <v>183</v>
      </c>
      <c r="D159" s="20">
        <f>51.76*10.764</f>
        <v>557.14463999999998</v>
      </c>
      <c r="E159" s="20">
        <v>0</v>
      </c>
      <c r="F159" s="20">
        <f>D159*(($F$112)+1)+(IF(E159&lt;101,E159,IF(E159&lt;201,E159/2,IF(E159&lt;=301,E159/3,E159/4))))</f>
        <v>835.71695999999997</v>
      </c>
      <c r="G159" s="68" t="str">
        <f>A158</f>
        <v>34th Floor For Residential (Part Refuge Area)</v>
      </c>
      <c r="H159" s="69"/>
    </row>
    <row r="160" spans="1:8" x14ac:dyDescent="0.3">
      <c r="A160" s="50">
        <f>A159+1</f>
        <v>2</v>
      </c>
      <c r="B160" s="20" t="s">
        <v>216</v>
      </c>
      <c r="C160" s="20" t="s">
        <v>184</v>
      </c>
      <c r="D160" s="20">
        <f>40.12*10.764</f>
        <v>431.85167999999993</v>
      </c>
      <c r="E160" s="20">
        <v>0</v>
      </c>
      <c r="F160" s="20">
        <f t="shared" ref="F160:F163" si="20">D160*(($F$112)+1)+(IF(E160&lt;101,E160,IF(E160&lt;201,E160/2,IF(E160&lt;=301,E160/3,E160/4))))</f>
        <v>647.77751999999987</v>
      </c>
      <c r="G160" s="70"/>
      <c r="H160" s="71"/>
    </row>
    <row r="161" spans="1:8" x14ac:dyDescent="0.3">
      <c r="A161" s="50">
        <f t="shared" ref="A161:A163" si="21">A160+1</f>
        <v>3</v>
      </c>
      <c r="B161" s="20" t="s">
        <v>216</v>
      </c>
      <c r="C161" s="20" t="s">
        <v>184</v>
      </c>
      <c r="D161" s="20">
        <f>40.12*10.764</f>
        <v>431.85167999999993</v>
      </c>
      <c r="E161" s="20">
        <v>0</v>
      </c>
      <c r="F161" s="20">
        <f t="shared" si="20"/>
        <v>647.77751999999987</v>
      </c>
      <c r="G161" s="70"/>
      <c r="H161" s="71"/>
    </row>
    <row r="162" spans="1:8" x14ac:dyDescent="0.3">
      <c r="A162" s="50">
        <f t="shared" si="21"/>
        <v>4</v>
      </c>
      <c r="B162" s="20" t="s">
        <v>216</v>
      </c>
      <c r="C162" s="20" t="s">
        <v>183</v>
      </c>
      <c r="D162" s="20">
        <f>51.86*10.764</f>
        <v>558.22104000000002</v>
      </c>
      <c r="E162" s="20">
        <v>0</v>
      </c>
      <c r="F162" s="20">
        <f t="shared" si="20"/>
        <v>837.33156000000008</v>
      </c>
      <c r="G162" s="70"/>
      <c r="H162" s="71"/>
    </row>
    <row r="163" spans="1:8" x14ac:dyDescent="0.3">
      <c r="A163" s="50">
        <f t="shared" si="21"/>
        <v>5</v>
      </c>
      <c r="B163" s="20" t="s">
        <v>216</v>
      </c>
      <c r="C163" s="20" t="s">
        <v>184</v>
      </c>
      <c r="D163" s="20">
        <f>32.85*10.764</f>
        <v>353.59739999999999</v>
      </c>
      <c r="E163" s="20">
        <v>0</v>
      </c>
      <c r="F163" s="20">
        <f t="shared" si="20"/>
        <v>530.39609999999993</v>
      </c>
      <c r="G163" s="70"/>
      <c r="H163" s="71"/>
    </row>
    <row r="164" spans="1:8" x14ac:dyDescent="0.3">
      <c r="A164" s="74" t="s">
        <v>236</v>
      </c>
      <c r="B164" s="75"/>
      <c r="C164" s="75"/>
      <c r="D164" s="75"/>
      <c r="E164" s="75"/>
      <c r="F164" s="76"/>
      <c r="G164" s="72"/>
      <c r="H164" s="73"/>
    </row>
    <row r="165" spans="1:8" x14ac:dyDescent="0.3">
      <c r="A165" s="150" t="s">
        <v>187</v>
      </c>
      <c r="B165" s="150"/>
      <c r="C165" s="150"/>
      <c r="D165" s="150"/>
      <c r="E165" s="150"/>
      <c r="F165" s="150"/>
      <c r="G165" s="150"/>
      <c r="H165" s="150"/>
    </row>
    <row r="166" spans="1:8" x14ac:dyDescent="0.3">
      <c r="A166" s="63">
        <v>1</v>
      </c>
      <c r="B166" s="154" t="s">
        <v>214</v>
      </c>
      <c r="C166" s="154"/>
      <c r="D166" s="154"/>
      <c r="E166" s="154"/>
      <c r="F166" s="154"/>
      <c r="G166" s="154"/>
      <c r="H166" s="154"/>
    </row>
    <row r="167" spans="1:8" x14ac:dyDescent="0.3">
      <c r="A167" s="63">
        <f t="shared" ref="A167:A168" si="22">A166+1</f>
        <v>2</v>
      </c>
      <c r="B167" s="154" t="s">
        <v>248</v>
      </c>
      <c r="C167" s="154"/>
      <c r="D167" s="154"/>
      <c r="E167" s="154"/>
      <c r="F167" s="154"/>
      <c r="G167" s="154"/>
      <c r="H167" s="154"/>
    </row>
    <row r="168" spans="1:8" x14ac:dyDescent="0.3">
      <c r="A168" s="63">
        <f t="shared" si="22"/>
        <v>3</v>
      </c>
      <c r="B168" s="154" t="s">
        <v>249</v>
      </c>
      <c r="C168" s="154"/>
      <c r="D168" s="154"/>
      <c r="E168" s="154"/>
      <c r="F168" s="154"/>
      <c r="G168" s="154"/>
      <c r="H168" s="154"/>
    </row>
    <row r="169" spans="1:8" x14ac:dyDescent="0.3">
      <c r="A169" s="63">
        <v>4</v>
      </c>
      <c r="B169" s="155" t="s">
        <v>150</v>
      </c>
      <c r="C169" s="155"/>
      <c r="D169" s="155"/>
      <c r="E169" s="155"/>
      <c r="F169" s="155"/>
      <c r="G169" s="155"/>
      <c r="H169" s="155"/>
    </row>
    <row r="170" spans="1:8" x14ac:dyDescent="0.3">
      <c r="A170" s="63">
        <f t="shared" ref="A170:A176" si="23">A169+1</f>
        <v>5</v>
      </c>
      <c r="B170" s="155" t="s">
        <v>255</v>
      </c>
      <c r="C170" s="155"/>
      <c r="D170" s="155"/>
      <c r="E170" s="155"/>
      <c r="F170" s="155"/>
      <c r="G170" s="155"/>
      <c r="H170" s="155"/>
    </row>
    <row r="171" spans="1:8" x14ac:dyDescent="0.3">
      <c r="A171" s="63">
        <f t="shared" si="23"/>
        <v>6</v>
      </c>
      <c r="B171" s="155" t="s">
        <v>151</v>
      </c>
      <c r="C171" s="155"/>
      <c r="D171" s="155"/>
      <c r="E171" s="155"/>
      <c r="F171" s="155"/>
      <c r="G171" s="155"/>
      <c r="H171" s="155"/>
    </row>
    <row r="172" spans="1:8" x14ac:dyDescent="0.3">
      <c r="A172" s="63">
        <f t="shared" si="23"/>
        <v>7</v>
      </c>
      <c r="B172" s="155" t="s">
        <v>152</v>
      </c>
      <c r="C172" s="155"/>
      <c r="D172" s="155"/>
      <c r="E172" s="155"/>
      <c r="F172" s="155"/>
      <c r="G172" s="155"/>
      <c r="H172" s="155"/>
    </row>
    <row r="173" spans="1:8" x14ac:dyDescent="0.3">
      <c r="A173" s="63">
        <f t="shared" si="23"/>
        <v>8</v>
      </c>
      <c r="B173" s="172" t="s">
        <v>209</v>
      </c>
      <c r="C173" s="172"/>
      <c r="D173" s="172"/>
      <c r="E173" s="172"/>
      <c r="F173" s="172"/>
      <c r="G173" s="172"/>
      <c r="H173" s="172"/>
    </row>
    <row r="174" spans="1:8" x14ac:dyDescent="0.3">
      <c r="A174" s="63">
        <f t="shared" si="23"/>
        <v>9</v>
      </c>
      <c r="B174" s="154" t="s">
        <v>212</v>
      </c>
      <c r="C174" s="154"/>
      <c r="D174" s="154"/>
      <c r="E174" s="154"/>
      <c r="F174" s="154"/>
      <c r="G174" s="154"/>
      <c r="H174" s="154"/>
    </row>
    <row r="175" spans="1:8" x14ac:dyDescent="0.3">
      <c r="A175" s="63">
        <f t="shared" si="23"/>
        <v>10</v>
      </c>
      <c r="B175" s="154" t="s">
        <v>256</v>
      </c>
      <c r="C175" s="154"/>
      <c r="D175" s="154"/>
      <c r="E175" s="154"/>
      <c r="F175" s="154"/>
      <c r="G175" s="154"/>
      <c r="H175" s="154"/>
    </row>
    <row r="176" spans="1:8" x14ac:dyDescent="0.3">
      <c r="A176" s="63">
        <f t="shared" si="23"/>
        <v>11</v>
      </c>
      <c r="B176" s="154" t="s">
        <v>250</v>
      </c>
      <c r="C176" s="154"/>
      <c r="D176" s="154"/>
      <c r="E176" s="154"/>
      <c r="F176" s="154"/>
      <c r="G176" s="154"/>
      <c r="H176" s="154"/>
    </row>
    <row r="177" spans="1:8" x14ac:dyDescent="0.3">
      <c r="A177" s="151" t="s">
        <v>64</v>
      </c>
      <c r="B177" s="152"/>
      <c r="C177" s="152"/>
      <c r="D177" s="152"/>
      <c r="E177" s="152"/>
      <c r="F177" s="152"/>
      <c r="G177" s="152"/>
      <c r="H177" s="153"/>
    </row>
    <row r="178" spans="1:8" x14ac:dyDescent="0.3">
      <c r="A178" s="144" t="s">
        <v>65</v>
      </c>
      <c r="B178" s="145"/>
      <c r="C178" s="145"/>
      <c r="D178" s="145"/>
      <c r="E178" s="145"/>
      <c r="F178" s="145"/>
      <c r="G178" s="145"/>
      <c r="H178" s="146"/>
    </row>
    <row r="179" spans="1:8" x14ac:dyDescent="0.3">
      <c r="A179" s="147" t="s">
        <v>66</v>
      </c>
      <c r="B179" s="148"/>
      <c r="C179" s="148"/>
      <c r="D179" s="148"/>
      <c r="E179" s="148"/>
      <c r="F179" s="148"/>
      <c r="G179" s="148"/>
      <c r="H179" s="149"/>
    </row>
    <row r="180" spans="1:8" x14ac:dyDescent="0.3">
      <c r="A180" s="144" t="s">
        <v>67</v>
      </c>
      <c r="B180" s="145"/>
      <c r="C180" s="145"/>
      <c r="D180" s="145"/>
      <c r="E180" s="145"/>
      <c r="F180" s="145"/>
      <c r="G180" s="145"/>
      <c r="H180" s="146"/>
    </row>
    <row r="181" spans="1:8" x14ac:dyDescent="0.3">
      <c r="A181" s="144" t="s">
        <v>68</v>
      </c>
      <c r="B181" s="145"/>
      <c r="C181" s="145"/>
      <c r="D181" s="145"/>
      <c r="E181" s="145"/>
      <c r="F181" s="145"/>
      <c r="G181" s="145"/>
      <c r="H181" s="146"/>
    </row>
    <row r="182" spans="1:8" x14ac:dyDescent="0.3">
      <c r="A182" s="144" t="s">
        <v>153</v>
      </c>
      <c r="B182" s="145"/>
      <c r="C182" s="145"/>
      <c r="D182" s="145"/>
      <c r="E182" s="145"/>
      <c r="F182" s="145"/>
      <c r="G182" s="145"/>
      <c r="H182" s="146"/>
    </row>
    <row r="183" spans="1:8" x14ac:dyDescent="0.3">
      <c r="A183" s="141" t="s">
        <v>154</v>
      </c>
      <c r="B183" s="142"/>
      <c r="C183" s="142"/>
      <c r="D183" s="142"/>
      <c r="E183" s="142"/>
      <c r="F183" s="142"/>
      <c r="G183" s="142"/>
      <c r="H183" s="143"/>
    </row>
    <row r="184" spans="1:8" x14ac:dyDescent="0.3">
      <c r="A184" s="167" t="s">
        <v>100</v>
      </c>
      <c r="B184" s="168"/>
      <c r="C184" s="167" t="s">
        <v>259</v>
      </c>
      <c r="D184" s="168"/>
      <c r="E184" s="167" t="s">
        <v>130</v>
      </c>
      <c r="F184" s="168"/>
      <c r="G184" s="167" t="s">
        <v>258</v>
      </c>
      <c r="H184" s="168"/>
    </row>
    <row r="185" spans="1:8" x14ac:dyDescent="0.3">
      <c r="A185" s="158" t="s">
        <v>102</v>
      </c>
      <c r="B185" s="159"/>
      <c r="C185" s="159"/>
      <c r="D185" s="159"/>
      <c r="E185" s="159"/>
      <c r="F185" s="159"/>
      <c r="G185" s="159"/>
      <c r="H185" s="160"/>
    </row>
    <row r="186" spans="1:8" x14ac:dyDescent="0.3">
      <c r="A186" s="161"/>
      <c r="B186" s="162"/>
      <c r="C186" s="162"/>
      <c r="D186" s="162"/>
      <c r="E186" s="162"/>
      <c r="F186" s="162"/>
      <c r="G186" s="162"/>
      <c r="H186" s="163"/>
    </row>
    <row r="187" spans="1:8" x14ac:dyDescent="0.3">
      <c r="A187" s="161"/>
      <c r="B187" s="162"/>
      <c r="C187" s="162"/>
      <c r="D187" s="162"/>
      <c r="E187" s="162"/>
      <c r="F187" s="162"/>
      <c r="G187" s="162"/>
      <c r="H187" s="163"/>
    </row>
    <row r="188" spans="1:8" x14ac:dyDescent="0.3">
      <c r="A188" s="164"/>
      <c r="B188" s="165"/>
      <c r="C188" s="165"/>
      <c r="D188" s="165"/>
      <c r="E188" s="165"/>
      <c r="F188" s="165"/>
      <c r="G188" s="165"/>
      <c r="H188" s="166"/>
    </row>
    <row r="189" spans="1:8" x14ac:dyDescent="0.3">
      <c r="A189" s="15" t="s">
        <v>69</v>
      </c>
      <c r="B189" s="16"/>
      <c r="C189" s="16"/>
      <c r="D189" s="15" t="str">
        <f>E8</f>
        <v>Shreeji Plaza Wing B</v>
      </c>
      <c r="F189" s="16"/>
      <c r="G189" s="16"/>
      <c r="H189" s="16"/>
    </row>
    <row r="190" spans="1:8" x14ac:dyDescent="0.3">
      <c r="A190" s="16"/>
      <c r="B190" s="16"/>
      <c r="C190" s="16"/>
      <c r="D190" s="16"/>
      <c r="E190" s="16"/>
      <c r="F190" s="16"/>
      <c r="G190" s="16"/>
      <c r="H190" s="16"/>
    </row>
    <row r="191" spans="1:8" x14ac:dyDescent="0.3">
      <c r="A191" s="16"/>
      <c r="B191" s="16"/>
      <c r="C191" s="16"/>
      <c r="D191" s="16"/>
      <c r="E191" s="16"/>
      <c r="F191" s="16"/>
      <c r="G191" s="16"/>
      <c r="H191" s="16"/>
    </row>
    <row r="224" spans="1:1" x14ac:dyDescent="0.3">
      <c r="A224" s="18" t="s">
        <v>217</v>
      </c>
    </row>
    <row r="267" spans="1:1" x14ac:dyDescent="0.3">
      <c r="A267" s="18" t="s">
        <v>70</v>
      </c>
    </row>
  </sheetData>
  <mergeCells count="272">
    <mergeCell ref="A54:C54"/>
    <mergeCell ref="D54:H54"/>
    <mergeCell ref="A55:C55"/>
    <mergeCell ref="D55:H55"/>
    <mergeCell ref="A63:B63"/>
    <mergeCell ref="A60:C60"/>
    <mergeCell ref="D60:H60"/>
    <mergeCell ref="A61:B61"/>
    <mergeCell ref="C61:H61"/>
    <mergeCell ref="A59:C59"/>
    <mergeCell ref="D59:H59"/>
    <mergeCell ref="C63:H63"/>
    <mergeCell ref="A56:C56"/>
    <mergeCell ref="D56:H56"/>
    <mergeCell ref="C37:H37"/>
    <mergeCell ref="E40:H40"/>
    <mergeCell ref="A40:D40"/>
    <mergeCell ref="A47:B47"/>
    <mergeCell ref="C47:E47"/>
    <mergeCell ref="G47:H47"/>
    <mergeCell ref="G49:H49"/>
    <mergeCell ref="D53:H53"/>
    <mergeCell ref="C49:E49"/>
    <mergeCell ref="A39:D39"/>
    <mergeCell ref="E39:H39"/>
    <mergeCell ref="A38:H38"/>
    <mergeCell ref="A37:B37"/>
    <mergeCell ref="C50:H50"/>
    <mergeCell ref="A46:B46"/>
    <mergeCell ref="C46:H46"/>
    <mergeCell ref="C48:E48"/>
    <mergeCell ref="A51:B51"/>
    <mergeCell ref="C51:E51"/>
    <mergeCell ref="A48:B48"/>
    <mergeCell ref="A52:H52"/>
    <mergeCell ref="A53:C53"/>
    <mergeCell ref="F75:H75"/>
    <mergeCell ref="A76:H76"/>
    <mergeCell ref="A77:B77"/>
    <mergeCell ref="A78:H78"/>
    <mergeCell ref="F81:H81"/>
    <mergeCell ref="F79:H79"/>
    <mergeCell ref="A66:B66"/>
    <mergeCell ref="A68:B68"/>
    <mergeCell ref="A67:B67"/>
    <mergeCell ref="A69:B69"/>
    <mergeCell ref="F80:H80"/>
    <mergeCell ref="A81:E81"/>
    <mergeCell ref="C77:H77"/>
    <mergeCell ref="E64:F64"/>
    <mergeCell ref="A70:B70"/>
    <mergeCell ref="A72:B72"/>
    <mergeCell ref="A65:B65"/>
    <mergeCell ref="G64:H64"/>
    <mergeCell ref="A71:B71"/>
    <mergeCell ref="A64:B64"/>
    <mergeCell ref="A185:H188"/>
    <mergeCell ref="A184:B184"/>
    <mergeCell ref="E184:F184"/>
    <mergeCell ref="C184:D184"/>
    <mergeCell ref="G184:H184"/>
    <mergeCell ref="A89:H89"/>
    <mergeCell ref="A87:E87"/>
    <mergeCell ref="F87:H87"/>
    <mergeCell ref="A88:E88"/>
    <mergeCell ref="F88:H88"/>
    <mergeCell ref="A95:B95"/>
    <mergeCell ref="A91:B91"/>
    <mergeCell ref="A180:H180"/>
    <mergeCell ref="A93:H93"/>
    <mergeCell ref="B175:H175"/>
    <mergeCell ref="B173:H173"/>
    <mergeCell ref="A83:E83"/>
    <mergeCell ref="A183:H183"/>
    <mergeCell ref="A182:H182"/>
    <mergeCell ref="A179:H179"/>
    <mergeCell ref="A181:H181"/>
    <mergeCell ref="A165:H165"/>
    <mergeCell ref="A177:H177"/>
    <mergeCell ref="A178:H178"/>
    <mergeCell ref="B166:H166"/>
    <mergeCell ref="B174:H174"/>
    <mergeCell ref="B172:H172"/>
    <mergeCell ref="B169:H169"/>
    <mergeCell ref="B170:H170"/>
    <mergeCell ref="B171:H171"/>
    <mergeCell ref="B167:H167"/>
    <mergeCell ref="B168:H168"/>
    <mergeCell ref="B176:H176"/>
    <mergeCell ref="E100:E101"/>
    <mergeCell ref="G100:H101"/>
    <mergeCell ref="D100:D101"/>
    <mergeCell ref="C100:C101"/>
    <mergeCell ref="A103:H103"/>
    <mergeCell ref="B100:B101"/>
    <mergeCell ref="A100:A101"/>
    <mergeCell ref="A110:H110"/>
    <mergeCell ref="A114:H11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F31:H31"/>
    <mergeCell ref="F32:H32"/>
    <mergeCell ref="C30:E30"/>
    <mergeCell ref="F33:H33"/>
    <mergeCell ref="F30:H30"/>
    <mergeCell ref="A31:B31"/>
    <mergeCell ref="A30:B30"/>
    <mergeCell ref="C31:E31"/>
    <mergeCell ref="A32:B32"/>
    <mergeCell ref="C32:E32"/>
    <mergeCell ref="A35:H35"/>
    <mergeCell ref="A34:B34"/>
    <mergeCell ref="C34:E34"/>
    <mergeCell ref="A90:B90"/>
    <mergeCell ref="C90:D90"/>
    <mergeCell ref="G91:H91"/>
    <mergeCell ref="E91:F91"/>
    <mergeCell ref="F34:H34"/>
    <mergeCell ref="A36:B36"/>
    <mergeCell ref="C36:H36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G48:H48"/>
    <mergeCell ref="A49:B50"/>
    <mergeCell ref="G51:H51"/>
    <mergeCell ref="I87:M87"/>
    <mergeCell ref="A57:C57"/>
    <mergeCell ref="A58:C58"/>
    <mergeCell ref="A80:E80"/>
    <mergeCell ref="G94:H94"/>
    <mergeCell ref="A82:E82"/>
    <mergeCell ref="F82:H82"/>
    <mergeCell ref="F85:H85"/>
    <mergeCell ref="D57:H57"/>
    <mergeCell ref="E65:F74"/>
    <mergeCell ref="G65:H74"/>
    <mergeCell ref="A73:B73"/>
    <mergeCell ref="A74:B74"/>
    <mergeCell ref="D58:H58"/>
    <mergeCell ref="E94:F94"/>
    <mergeCell ref="E90:F90"/>
    <mergeCell ref="A75:E75"/>
    <mergeCell ref="A86:E86"/>
    <mergeCell ref="F86:H86"/>
    <mergeCell ref="F84:H84"/>
    <mergeCell ref="G90:H90"/>
    <mergeCell ref="A85:E85"/>
    <mergeCell ref="C91:D91"/>
    <mergeCell ref="C94:D94"/>
    <mergeCell ref="F83:H83"/>
    <mergeCell ref="A84:E84"/>
    <mergeCell ref="A99:H99"/>
    <mergeCell ref="A98:H98"/>
    <mergeCell ref="C95:D95"/>
    <mergeCell ref="E95:F95"/>
    <mergeCell ref="G95:H95"/>
    <mergeCell ref="A79:E79"/>
    <mergeCell ref="A92:B92"/>
    <mergeCell ref="C92:D92"/>
    <mergeCell ref="E92:F92"/>
    <mergeCell ref="G92:H92"/>
    <mergeCell ref="N87:P87"/>
    <mergeCell ref="A102:H102"/>
    <mergeCell ref="A113:H113"/>
    <mergeCell ref="A104:H104"/>
    <mergeCell ref="A111:A112"/>
    <mergeCell ref="B111:B112"/>
    <mergeCell ref="C111:C112"/>
    <mergeCell ref="D111:D112"/>
    <mergeCell ref="E111:E112"/>
    <mergeCell ref="G111:H112"/>
    <mergeCell ref="A96:B96"/>
    <mergeCell ref="C96:D96"/>
    <mergeCell ref="E96:F96"/>
    <mergeCell ref="G96:H96"/>
    <mergeCell ref="A97:B97"/>
    <mergeCell ref="C97:D97"/>
    <mergeCell ref="E97:F97"/>
    <mergeCell ref="G97:H97"/>
    <mergeCell ref="L89:M89"/>
    <mergeCell ref="L90:M90"/>
    <mergeCell ref="L88:M88"/>
    <mergeCell ref="A105:H105"/>
    <mergeCell ref="G106:H109"/>
    <mergeCell ref="A94:B94"/>
    <mergeCell ref="A115:H115"/>
    <mergeCell ref="A158:H158"/>
    <mergeCell ref="G159:H164"/>
    <mergeCell ref="A164:F164"/>
    <mergeCell ref="A116:H116"/>
    <mergeCell ref="A137:H137"/>
    <mergeCell ref="G138:H143"/>
    <mergeCell ref="A144:H144"/>
    <mergeCell ref="G145:H150"/>
    <mergeCell ref="B150:F150"/>
    <mergeCell ref="A151:H151"/>
    <mergeCell ref="G152:H157"/>
    <mergeCell ref="G117:H122"/>
    <mergeCell ref="A123:H123"/>
    <mergeCell ref="G124:H129"/>
    <mergeCell ref="B129:F129"/>
    <mergeCell ref="A130:H130"/>
    <mergeCell ref="G131:H136"/>
  </mergeCells>
  <dataValidations count="1">
    <dataValidation type="list" allowBlank="1" showInputMessage="1" showErrorMessage="1" sqref="F112" xr:uid="{00000000-0002-0000-0000-000000000000}">
      <formula1>".45,.50,.55,.60"</formula1>
    </dataValidation>
  </dataValidations>
  <hyperlinks>
    <hyperlink ref="C37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9" scale="97" fitToHeight="0" orientation="portrait" r:id="rId2"/>
  <headerFooter>
    <oddHeader>&amp;C&amp;G</oddHeader>
    <oddFooter>&amp;L&amp;"Times New Roman,Bold"&amp;12Ref No: &amp;F&amp;C&amp;G&amp;R&amp;"Times New Roman,Bold"&amp;12                                         &amp;P</oddFooter>
  </headerFooter>
  <rowBreaks count="3" manualBreakCount="3">
    <brk id="188" max="7" man="1"/>
    <brk id="223" max="7" man="1"/>
    <brk id="266" max="7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L36"/>
  <sheetViews>
    <sheetView topLeftCell="A4" workbookViewId="0">
      <selection activeCell="F21" sqref="F21"/>
    </sheetView>
  </sheetViews>
  <sheetFormatPr defaultRowHeight="14.4" x14ac:dyDescent="0.3"/>
  <cols>
    <col min="2" max="2" width="12.21875" customWidth="1"/>
  </cols>
  <sheetData>
    <row r="2" spans="1:12" x14ac:dyDescent="0.3">
      <c r="B2" s="3" t="s">
        <v>71</v>
      </c>
      <c r="C2" s="203"/>
      <c r="D2" s="203"/>
    </row>
    <row r="3" spans="1:12" x14ac:dyDescent="0.3">
      <c r="D3" s="4"/>
      <c r="E3" s="4"/>
      <c r="F3" s="4"/>
      <c r="G3" s="4"/>
      <c r="H3" s="4"/>
      <c r="I3" s="4"/>
    </row>
    <row r="4" spans="1:12" x14ac:dyDescent="0.3">
      <c r="A4" s="3" t="s">
        <v>72</v>
      </c>
      <c r="B4" s="5" t="s">
        <v>73</v>
      </c>
      <c r="C4" s="204" t="s">
        <v>74</v>
      </c>
      <c r="D4" s="204"/>
      <c r="E4" s="204"/>
      <c r="F4" s="6"/>
      <c r="G4" s="204" t="s">
        <v>75</v>
      </c>
      <c r="H4" s="204"/>
      <c r="I4" s="204"/>
      <c r="J4" s="204" t="s">
        <v>76</v>
      </c>
      <c r="K4" s="204"/>
      <c r="L4" s="204"/>
    </row>
    <row r="5" spans="1:12" x14ac:dyDescent="0.3">
      <c r="A5" s="3">
        <v>202</v>
      </c>
      <c r="B5" s="5"/>
      <c r="C5" s="5" t="s">
        <v>77</v>
      </c>
      <c r="D5" s="5" t="s">
        <v>78</v>
      </c>
      <c r="E5" s="5" t="s">
        <v>59</v>
      </c>
      <c r="F5" s="5"/>
      <c r="G5" s="5" t="s">
        <v>77</v>
      </c>
      <c r="H5" s="5" t="s">
        <v>78</v>
      </c>
      <c r="I5" s="5" t="s">
        <v>59</v>
      </c>
      <c r="J5" s="5" t="s">
        <v>77</v>
      </c>
      <c r="K5" s="5" t="s">
        <v>78</v>
      </c>
      <c r="L5" s="5" t="s">
        <v>59</v>
      </c>
    </row>
    <row r="6" spans="1:12" x14ac:dyDescent="0.3">
      <c r="B6" s="7" t="s">
        <v>79</v>
      </c>
      <c r="C6" s="7"/>
      <c r="D6" s="7"/>
      <c r="E6" s="7">
        <f>C6*D6</f>
        <v>0</v>
      </c>
      <c r="F6" s="7" t="s">
        <v>80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">
      <c r="B7" s="7"/>
      <c r="C7" s="7"/>
      <c r="D7" s="7"/>
      <c r="E7" s="7">
        <f t="shared" ref="E7:E33" si="0">C7*D7</f>
        <v>0</v>
      </c>
      <c r="F7" s="7" t="s">
        <v>81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">
      <c r="B9" s="7" t="s">
        <v>82</v>
      </c>
      <c r="C9" s="7"/>
      <c r="D9" s="7"/>
      <c r="E9" s="7">
        <f t="shared" si="0"/>
        <v>0</v>
      </c>
      <c r="F9" s="7" t="s">
        <v>80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">
      <c r="B10" s="7"/>
      <c r="C10" s="7"/>
      <c r="D10" s="7"/>
      <c r="E10" s="7">
        <f t="shared" si="0"/>
        <v>0</v>
      </c>
      <c r="F10" s="7" t="s">
        <v>81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">
      <c r="B13" s="7" t="s">
        <v>83</v>
      </c>
      <c r="C13" s="7"/>
      <c r="D13" s="7"/>
      <c r="E13" s="7">
        <f t="shared" si="0"/>
        <v>0</v>
      </c>
      <c r="F13" s="7" t="s">
        <v>80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">
      <c r="B14" s="7"/>
      <c r="C14" s="7"/>
      <c r="D14" s="7"/>
      <c r="E14" s="7">
        <f t="shared" si="0"/>
        <v>0</v>
      </c>
      <c r="F14" s="7" t="s">
        <v>81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">
      <c r="B17" s="7" t="s">
        <v>84</v>
      </c>
      <c r="C17" s="7"/>
      <c r="D17" s="7"/>
      <c r="E17" s="7">
        <f t="shared" si="0"/>
        <v>0</v>
      </c>
      <c r="F17" s="7" t="s">
        <v>80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">
      <c r="B18" s="7"/>
      <c r="C18" s="7"/>
      <c r="D18" s="7"/>
      <c r="E18" s="7">
        <f t="shared" si="0"/>
        <v>0</v>
      </c>
      <c r="F18" s="7" t="s">
        <v>81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">
      <c r="B20" s="7" t="s">
        <v>84</v>
      </c>
      <c r="C20" s="7"/>
      <c r="D20" s="7"/>
      <c r="E20" s="7">
        <f t="shared" si="0"/>
        <v>0</v>
      </c>
      <c r="F20" s="7" t="s">
        <v>80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">
      <c r="B21" s="7"/>
      <c r="C21" s="7"/>
      <c r="D21" s="7"/>
      <c r="E21" s="7">
        <f t="shared" si="0"/>
        <v>0</v>
      </c>
      <c r="F21" s="7" t="s">
        <v>81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">
      <c r="B23" s="7" t="s">
        <v>85</v>
      </c>
      <c r="C23" s="7"/>
      <c r="D23" s="7"/>
      <c r="E23" s="7">
        <f t="shared" si="0"/>
        <v>0</v>
      </c>
      <c r="F23" s="7" t="s">
        <v>86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">
      <c r="B24" s="7" t="s">
        <v>87</v>
      </c>
      <c r="C24" s="7"/>
      <c r="D24" s="7"/>
      <c r="E24" s="7">
        <f t="shared" si="0"/>
        <v>0</v>
      </c>
      <c r="F24" s="7" t="s">
        <v>86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">
      <c r="B25" s="7" t="s">
        <v>88</v>
      </c>
      <c r="C25" s="7"/>
      <c r="D25" s="7"/>
      <c r="E25" s="7">
        <f t="shared" si="0"/>
        <v>0</v>
      </c>
      <c r="F25" s="7" t="s">
        <v>86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">
      <c r="B27" s="7" t="s">
        <v>89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">
      <c r="B28" s="7" t="s">
        <v>90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">
      <c r="B29" s="7" t="s">
        <v>91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">
      <c r="B30" s="7" t="s">
        <v>92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">
      <c r="B34" s="7" t="s">
        <v>60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zoomScale="115" zoomScaleNormal="115" workbookViewId="0">
      <selection activeCell="D13" sqref="D13"/>
    </sheetView>
  </sheetViews>
  <sheetFormatPr defaultColWidth="8.77734375" defaultRowHeight="14.4" x14ac:dyDescent="0.3"/>
  <cols>
    <col min="1" max="1" width="8.77734375" style="24"/>
    <col min="2" max="2" width="22.21875" style="24" customWidth="1"/>
    <col min="3" max="3" width="37" style="24" customWidth="1"/>
    <col min="4" max="5" width="11.44140625" style="24" customWidth="1"/>
    <col min="6" max="6" width="14" style="24" customWidth="1"/>
    <col min="7" max="7" width="20" style="24" customWidth="1"/>
    <col min="8" max="8" width="16.44140625" style="24" customWidth="1"/>
    <col min="9" max="16384" width="8.77734375" style="24"/>
  </cols>
  <sheetData>
    <row r="1" spans="1:9" ht="15" customHeight="1" x14ac:dyDescent="0.3"/>
    <row r="2" spans="1:9" ht="15" customHeight="1" x14ac:dyDescent="0.3">
      <c r="A2" s="25"/>
      <c r="B2" s="25"/>
      <c r="C2" s="25"/>
      <c r="D2" s="25"/>
      <c r="E2" s="25"/>
      <c r="F2" s="25"/>
      <c r="G2" s="25"/>
      <c r="H2" s="25"/>
    </row>
    <row r="3" spans="1:9" ht="15.75" customHeight="1" x14ac:dyDescent="0.3">
      <c r="A3" s="25"/>
      <c r="B3" s="205" t="s">
        <v>131</v>
      </c>
      <c r="C3" s="205"/>
      <c r="D3" s="205"/>
      <c r="E3" s="205"/>
      <c r="F3" s="205"/>
      <c r="G3" s="205"/>
      <c r="H3" s="205"/>
    </row>
    <row r="4" spans="1:9" x14ac:dyDescent="0.3">
      <c r="A4" s="25"/>
      <c r="B4" s="26" t="s">
        <v>132</v>
      </c>
      <c r="C4" s="26" t="s">
        <v>133</v>
      </c>
      <c r="D4" s="26" t="s">
        <v>72</v>
      </c>
      <c r="E4" s="26" t="s">
        <v>134</v>
      </c>
      <c r="F4" s="26" t="s">
        <v>141</v>
      </c>
      <c r="G4" s="26" t="s">
        <v>142</v>
      </c>
      <c r="H4" s="26" t="s">
        <v>135</v>
      </c>
    </row>
    <row r="5" spans="1:9" ht="15" customHeight="1" x14ac:dyDescent="0.3">
      <c r="A5" s="25"/>
      <c r="B5" s="28" t="s">
        <v>136</v>
      </c>
      <c r="C5" s="29"/>
      <c r="D5" s="28" t="s">
        <v>137</v>
      </c>
      <c r="E5" s="28">
        <v>1106</v>
      </c>
      <c r="F5" s="30">
        <f>E5*1.6</f>
        <v>1769.6000000000001</v>
      </c>
      <c r="G5" s="30">
        <f>H5/F5</f>
        <v>31532.549728752259</v>
      </c>
      <c r="H5" s="31">
        <v>55800000</v>
      </c>
    </row>
    <row r="6" spans="1:9" x14ac:dyDescent="0.3">
      <c r="A6" s="25"/>
      <c r="B6" s="28" t="s">
        <v>136</v>
      </c>
      <c r="C6" s="32"/>
      <c r="D6" s="28"/>
      <c r="E6" s="28"/>
      <c r="F6" s="30">
        <f t="shared" ref="F6:F11" si="0">E6*1.6</f>
        <v>0</v>
      </c>
      <c r="G6" s="30" t="e">
        <f t="shared" ref="G6:G11" si="1">H6/F6</f>
        <v>#DIV/0!</v>
      </c>
      <c r="H6" s="31"/>
    </row>
    <row r="7" spans="1:9" ht="15" customHeight="1" x14ac:dyDescent="0.3">
      <c r="A7" s="25"/>
      <c r="B7" s="28" t="s">
        <v>136</v>
      </c>
      <c r="C7" s="29"/>
      <c r="D7" s="28"/>
      <c r="E7" s="28"/>
      <c r="F7" s="30">
        <f t="shared" si="0"/>
        <v>0</v>
      </c>
      <c r="G7" s="30" t="e">
        <f t="shared" si="1"/>
        <v>#DIV/0!</v>
      </c>
      <c r="H7" s="31"/>
    </row>
    <row r="8" spans="1:9" x14ac:dyDescent="0.3">
      <c r="A8" s="25"/>
      <c r="B8" s="28" t="s">
        <v>136</v>
      </c>
      <c r="C8" s="32"/>
      <c r="D8" s="28"/>
      <c r="E8" s="28"/>
      <c r="F8" s="30">
        <f t="shared" si="0"/>
        <v>0</v>
      </c>
      <c r="G8" s="30" t="e">
        <f t="shared" si="1"/>
        <v>#DIV/0!</v>
      </c>
      <c r="H8" s="31"/>
    </row>
    <row r="9" spans="1:9" ht="15" customHeight="1" x14ac:dyDescent="0.3">
      <c r="A9" s="25"/>
      <c r="B9" s="28" t="s">
        <v>136</v>
      </c>
      <c r="C9" s="32"/>
      <c r="D9" s="28"/>
      <c r="E9" s="28"/>
      <c r="F9" s="30">
        <f t="shared" si="0"/>
        <v>0</v>
      </c>
      <c r="G9" s="30" t="e">
        <f t="shared" si="1"/>
        <v>#DIV/0!</v>
      </c>
      <c r="H9" s="31"/>
    </row>
    <row r="10" spans="1:9" ht="15" customHeight="1" x14ac:dyDescent="0.3">
      <c r="A10" s="25"/>
      <c r="B10" s="28" t="s">
        <v>138</v>
      </c>
      <c r="C10" s="29"/>
      <c r="D10" s="28"/>
      <c r="E10" s="28"/>
      <c r="F10" s="30">
        <f t="shared" si="0"/>
        <v>0</v>
      </c>
      <c r="G10" s="30" t="e">
        <f t="shared" si="1"/>
        <v>#DIV/0!</v>
      </c>
      <c r="H10" s="31"/>
    </row>
    <row r="11" spans="1:9" ht="15" customHeight="1" x14ac:dyDescent="0.3">
      <c r="A11" s="25"/>
      <c r="B11" s="28" t="s">
        <v>138</v>
      </c>
      <c r="C11" s="29"/>
      <c r="D11" s="28"/>
      <c r="E11" s="28"/>
      <c r="F11" s="30">
        <f t="shared" si="0"/>
        <v>0</v>
      </c>
      <c r="G11" s="30" t="e">
        <f t="shared" si="1"/>
        <v>#DIV/0!</v>
      </c>
      <c r="H11" s="31"/>
    </row>
    <row r="12" spans="1:9" ht="15" customHeight="1" x14ac:dyDescent="0.3">
      <c r="A12" s="25"/>
      <c r="B12" s="33" t="s">
        <v>139</v>
      </c>
      <c r="C12" s="28"/>
      <c r="D12" s="28"/>
      <c r="E12" s="28"/>
      <c r="F12" s="28"/>
      <c r="G12" s="34" t="e">
        <f>AVERAGE(G5:G11)</f>
        <v>#DIV/0!</v>
      </c>
      <c r="H12" s="28"/>
    </row>
    <row r="13" spans="1:9" ht="15" customHeight="1" x14ac:dyDescent="0.3">
      <c r="B13" s="33" t="s">
        <v>140</v>
      </c>
      <c r="C13" s="28"/>
      <c r="D13" s="28"/>
      <c r="E13" s="28"/>
      <c r="F13" s="35"/>
      <c r="G13" s="33"/>
      <c r="H13" s="33"/>
      <c r="I13" s="27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34"/>
  <sheetViews>
    <sheetView topLeftCell="A13" workbookViewId="0">
      <selection activeCell="B34" sqref="B34"/>
    </sheetView>
  </sheetViews>
  <sheetFormatPr defaultRowHeight="14.4" x14ac:dyDescent="0.3"/>
  <sheetData>
    <row r="1" spans="1:2" x14ac:dyDescent="0.3">
      <c r="A1">
        <v>5</v>
      </c>
      <c r="B1">
        <v>1</v>
      </c>
    </row>
    <row r="2" spans="1:2" x14ac:dyDescent="0.3">
      <c r="A2">
        <v>6</v>
      </c>
      <c r="B2">
        <v>2</v>
      </c>
    </row>
    <row r="3" spans="1:2" x14ac:dyDescent="0.3">
      <c r="A3">
        <v>7</v>
      </c>
      <c r="B3">
        <v>3</v>
      </c>
    </row>
    <row r="4" spans="1:2" x14ac:dyDescent="0.3">
      <c r="A4">
        <v>8</v>
      </c>
      <c r="B4">
        <v>4</v>
      </c>
    </row>
    <row r="5" spans="1:2" x14ac:dyDescent="0.3">
      <c r="A5">
        <v>9</v>
      </c>
      <c r="B5">
        <v>5</v>
      </c>
    </row>
    <row r="6" spans="1:2" x14ac:dyDescent="0.3">
      <c r="A6">
        <v>10</v>
      </c>
      <c r="B6">
        <v>6</v>
      </c>
    </row>
    <row r="7" spans="1:2" x14ac:dyDescent="0.3">
      <c r="A7">
        <v>11</v>
      </c>
      <c r="B7">
        <v>7</v>
      </c>
    </row>
    <row r="8" spans="1:2" x14ac:dyDescent="0.3">
      <c r="A8">
        <v>12</v>
      </c>
      <c r="B8">
        <v>8</v>
      </c>
    </row>
    <row r="9" spans="1:2" x14ac:dyDescent="0.3">
      <c r="A9">
        <v>13</v>
      </c>
      <c r="B9">
        <v>9</v>
      </c>
    </row>
    <row r="10" spans="1:2" x14ac:dyDescent="0.3">
      <c r="A10">
        <v>14</v>
      </c>
      <c r="B10">
        <v>10</v>
      </c>
    </row>
    <row r="11" spans="1:2" x14ac:dyDescent="0.3">
      <c r="A11">
        <v>15</v>
      </c>
      <c r="B11">
        <v>11</v>
      </c>
    </row>
    <row r="12" spans="1:2" x14ac:dyDescent="0.3">
      <c r="A12">
        <v>16</v>
      </c>
      <c r="B12">
        <v>12</v>
      </c>
    </row>
    <row r="13" spans="1:2" x14ac:dyDescent="0.3">
      <c r="A13">
        <v>17</v>
      </c>
      <c r="B13">
        <v>13</v>
      </c>
    </row>
    <row r="14" spans="1:2" x14ac:dyDescent="0.3">
      <c r="A14">
        <v>18</v>
      </c>
      <c r="B14">
        <v>14</v>
      </c>
    </row>
    <row r="15" spans="1:2" x14ac:dyDescent="0.3">
      <c r="A15">
        <v>19</v>
      </c>
      <c r="B15">
        <v>15</v>
      </c>
    </row>
    <row r="16" spans="1:2" x14ac:dyDescent="0.3">
      <c r="A16">
        <v>20</v>
      </c>
      <c r="B16">
        <v>16</v>
      </c>
    </row>
    <row r="17" spans="1:2" x14ac:dyDescent="0.3">
      <c r="A17">
        <v>21</v>
      </c>
      <c r="B17">
        <v>17</v>
      </c>
    </row>
    <row r="18" spans="1:2" x14ac:dyDescent="0.3">
      <c r="A18">
        <v>22</v>
      </c>
      <c r="B18">
        <v>18</v>
      </c>
    </row>
    <row r="19" spans="1:2" x14ac:dyDescent="0.3">
      <c r="A19">
        <v>23</v>
      </c>
      <c r="B19">
        <v>19</v>
      </c>
    </row>
    <row r="20" spans="1:2" x14ac:dyDescent="0.3">
      <c r="A20">
        <v>24</v>
      </c>
      <c r="B20">
        <v>20</v>
      </c>
    </row>
    <row r="21" spans="1:2" x14ac:dyDescent="0.3">
      <c r="A21">
        <v>25</v>
      </c>
      <c r="B21">
        <v>21</v>
      </c>
    </row>
    <row r="22" spans="1:2" x14ac:dyDescent="0.3">
      <c r="A22">
        <v>26</v>
      </c>
      <c r="B22">
        <v>22</v>
      </c>
    </row>
    <row r="23" spans="1:2" x14ac:dyDescent="0.3">
      <c r="A23">
        <v>27</v>
      </c>
      <c r="B23">
        <v>23</v>
      </c>
    </row>
    <row r="24" spans="1:2" x14ac:dyDescent="0.3">
      <c r="A24">
        <v>28</v>
      </c>
      <c r="B24">
        <v>24</v>
      </c>
    </row>
    <row r="25" spans="1:2" x14ac:dyDescent="0.3">
      <c r="A25">
        <v>29</v>
      </c>
      <c r="B25">
        <v>25</v>
      </c>
    </row>
    <row r="26" spans="1:2" x14ac:dyDescent="0.3">
      <c r="A26">
        <v>30</v>
      </c>
      <c r="B26">
        <v>26</v>
      </c>
    </row>
    <row r="27" spans="1:2" x14ac:dyDescent="0.3">
      <c r="A27">
        <v>31</v>
      </c>
      <c r="B27">
        <v>27</v>
      </c>
    </row>
    <row r="28" spans="1:2" x14ac:dyDescent="0.3">
      <c r="A28">
        <v>32</v>
      </c>
      <c r="B28">
        <v>28</v>
      </c>
    </row>
    <row r="29" spans="1:2" x14ac:dyDescent="0.3">
      <c r="A29">
        <v>33</v>
      </c>
      <c r="B29">
        <v>29</v>
      </c>
    </row>
    <row r="30" spans="1:2" x14ac:dyDescent="0.3">
      <c r="A30">
        <v>34</v>
      </c>
      <c r="B30">
        <v>30</v>
      </c>
    </row>
    <row r="31" spans="1:2" x14ac:dyDescent="0.3">
      <c r="A31">
        <v>35</v>
      </c>
      <c r="B31">
        <v>31</v>
      </c>
    </row>
    <row r="32" spans="1:2" x14ac:dyDescent="0.3">
      <c r="A32">
        <v>36</v>
      </c>
      <c r="B32">
        <v>32</v>
      </c>
    </row>
    <row r="33" spans="1:2" x14ac:dyDescent="0.3">
      <c r="A33">
        <v>37</v>
      </c>
      <c r="B33">
        <v>33</v>
      </c>
    </row>
    <row r="34" spans="1:2" x14ac:dyDescent="0.3">
      <c r="A34">
        <v>38</v>
      </c>
      <c r="B34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2025-07-14T12:50:24Z</cp:lastPrinted>
  <dcterms:created xsi:type="dcterms:W3CDTF">2019-07-16T09:29:46Z</dcterms:created>
  <dcterms:modified xsi:type="dcterms:W3CDTF">2025-07-14T12:52:16Z</dcterms:modified>
</cp:coreProperties>
</file>