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8C146BBA-2073-409F-A474-0EDD9127D8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C%" sheetId="6" r:id="rId2"/>
    <sheet name="Flat detail" sheetId="3" r:id="rId3"/>
    <sheet name="Note" sheetId="4" r:id="rId4"/>
    <sheet name="valuation" sheetId="5" r:id="rId5"/>
  </sheets>
  <definedNames>
    <definedName name="_xlnm.Print_Area" localSheetId="0">Report!$A$1:$H$209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60" i="1"/>
  <c r="J72" i="1" l="1"/>
  <c r="J71" i="1"/>
  <c r="J70" i="1"/>
  <c r="J69" i="1"/>
  <c r="H61" i="1"/>
  <c r="D67" i="1" l="1"/>
  <c r="J65" i="1"/>
  <c r="D74" i="1"/>
  <c r="D72" i="1"/>
  <c r="D70" i="1"/>
  <c r="D68" i="1"/>
  <c r="J66" i="1"/>
  <c r="J64" i="1"/>
  <c r="J67" i="1"/>
  <c r="J68" i="1" s="1"/>
  <c r="J73" i="1" s="1"/>
  <c r="J74" i="1" s="1"/>
  <c r="C66" i="1" s="1"/>
  <c r="D73" i="1"/>
  <c r="D71" i="1"/>
  <c r="D69" i="1"/>
  <c r="C65" i="1" l="1"/>
  <c r="D65" i="1" s="1"/>
  <c r="E65" i="1"/>
  <c r="I60" i="1" s="1"/>
  <c r="D66" i="1"/>
  <c r="G65" i="1" l="1"/>
  <c r="C62" i="1"/>
  <c r="D59" i="1"/>
  <c r="V97" i="1" l="1"/>
  <c r="D118" i="1"/>
  <c r="D116" i="1"/>
  <c r="D115" i="1"/>
  <c r="D114" i="1"/>
  <c r="D113" i="1"/>
  <c r="D112" i="1"/>
  <c r="D111" i="1"/>
  <c r="D110" i="1"/>
  <c r="D108" i="1"/>
  <c r="D107" i="1"/>
  <c r="D106" i="1"/>
  <c r="D105" i="1"/>
  <c r="D104" i="1"/>
  <c r="D103" i="1"/>
  <c r="D102" i="1"/>
  <c r="D100" i="1"/>
  <c r="D101" i="1"/>
  <c r="V98" i="1"/>
  <c r="E92" i="1" l="1"/>
  <c r="C92" i="1"/>
  <c r="D11" i="6"/>
  <c r="D10" i="6"/>
  <c r="D9" i="6"/>
  <c r="D8" i="6"/>
  <c r="D7" i="6"/>
  <c r="D6" i="6"/>
  <c r="G5" i="6"/>
  <c r="G13" i="6" s="1"/>
  <c r="D5" i="6"/>
  <c r="I1" i="6"/>
  <c r="C3" i="6" s="1"/>
  <c r="E5" i="6" s="1"/>
  <c r="E13" i="6" s="1"/>
  <c r="C14" i="1" l="1"/>
  <c r="G47" i="1" l="1"/>
  <c r="E41" i="1"/>
  <c r="E42" i="1" s="1"/>
  <c r="F108" i="1" l="1"/>
  <c r="F107" i="1"/>
  <c r="F106" i="1"/>
  <c r="F105" i="1"/>
  <c r="I105" i="1" s="1"/>
  <c r="F104" i="1"/>
  <c r="I104" i="1" s="1"/>
  <c r="F103" i="1"/>
  <c r="F102" i="1"/>
  <c r="F101" i="1"/>
  <c r="F100" i="1"/>
  <c r="F111" i="1"/>
  <c r="F112" i="1"/>
  <c r="F113" i="1"/>
  <c r="F114" i="1"/>
  <c r="F115" i="1"/>
  <c r="F116" i="1"/>
  <c r="F118" i="1"/>
  <c r="F110" i="1"/>
  <c r="V99" i="1"/>
  <c r="W99" i="1"/>
  <c r="V100" i="1"/>
  <c r="G92" i="1" l="1"/>
  <c r="U101" i="1"/>
  <c r="U102" i="1" s="1"/>
  <c r="U103" i="1" s="1"/>
  <c r="U104" i="1" s="1"/>
  <c r="U105" i="1" s="1"/>
  <c r="U106" i="1" s="1"/>
  <c r="U107" i="1" s="1"/>
  <c r="U108" i="1" s="1"/>
  <c r="V101" i="1"/>
  <c r="W100" i="1"/>
  <c r="W101" i="1" l="1"/>
  <c r="W102" i="1" s="1"/>
  <c r="W103" i="1" s="1"/>
  <c r="W104" i="1" s="1"/>
  <c r="W105" i="1" s="1"/>
  <c r="W106" i="1" s="1"/>
  <c r="W107" i="1" s="1"/>
  <c r="W108" i="1" s="1"/>
  <c r="S100" i="1"/>
  <c r="A100" i="1" s="1"/>
  <c r="V102" i="1"/>
  <c r="U111" i="1"/>
  <c r="U112" i="1" s="1"/>
  <c r="U113" i="1" s="1"/>
  <c r="U114" i="1" s="1"/>
  <c r="U115" i="1" s="1"/>
  <c r="U116" i="1" s="1"/>
  <c r="U117" i="1" s="1"/>
  <c r="U118" i="1" s="1"/>
  <c r="G100" i="1"/>
  <c r="V109" i="1"/>
  <c r="G110" i="1"/>
  <c r="E25" i="1"/>
  <c r="E23" i="1"/>
  <c r="V110" i="1"/>
  <c r="S102" i="1" l="1"/>
  <c r="A102" i="1" s="1"/>
  <c r="S101" i="1"/>
  <c r="A101" i="1" s="1"/>
  <c r="V103" i="1"/>
  <c r="S110" i="1"/>
  <c r="A110" i="1" s="1"/>
  <c r="V111" i="1"/>
  <c r="S111" i="1" s="1"/>
  <c r="A111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S103" i="1" l="1"/>
  <c r="A103" i="1" s="1"/>
  <c r="V104" i="1"/>
  <c r="S104" i="1" s="1"/>
  <c r="V112" i="1"/>
  <c r="S112" i="1" s="1"/>
  <c r="A112" i="1" s="1"/>
  <c r="G12" i="5"/>
  <c r="A104" i="1" l="1"/>
  <c r="V105" i="1"/>
  <c r="S105" i="1" s="1"/>
  <c r="V113" i="1"/>
  <c r="S113" i="1" s="1"/>
  <c r="A113" i="1" s="1"/>
  <c r="A105" i="1" l="1"/>
  <c r="V106" i="1"/>
  <c r="S106" i="1" s="1"/>
  <c r="V114" i="1"/>
  <c r="V107" i="1" l="1"/>
  <c r="S107" i="1" s="1"/>
  <c r="A106" i="1"/>
  <c r="S114" i="1"/>
  <c r="A114" i="1" s="1"/>
  <c r="V115" i="1"/>
  <c r="E7" i="1"/>
  <c r="V108" i="1" l="1"/>
  <c r="S108" i="1" s="1"/>
  <c r="A107" i="1"/>
  <c r="S115" i="1"/>
  <c r="A115" i="1" s="1"/>
  <c r="V116" i="1"/>
  <c r="D133" i="1"/>
  <c r="F89" i="1"/>
  <c r="C47" i="1"/>
  <c r="A108" i="1" l="1"/>
  <c r="V117" i="1"/>
  <c r="S116" i="1"/>
  <c r="A116" i="1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V118" i="1" l="1"/>
  <c r="S117" i="1"/>
  <c r="A117" i="1" s="1"/>
  <c r="L34" i="3"/>
  <c r="K34" i="3" s="1"/>
  <c r="E34" i="3"/>
  <c r="I34" i="3"/>
  <c r="H34" i="3" s="1"/>
  <c r="S118" i="1" l="1"/>
  <c r="A118" i="1" s="1"/>
  <c r="D34" i="3"/>
  <c r="D36" i="3" s="1"/>
  <c r="E36" i="3"/>
</calcChain>
</file>

<file path=xl/sharedStrings.xml><?xml version="1.0" encoding="utf-8"?>
<sst xmlns="http://schemas.openxmlformats.org/spreadsheetml/2006/main" count="321" uniqueCount="237">
  <si>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</si>
  <si>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</si>
  <si>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</si>
  <si>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</si>
  <si>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</si>
  <si>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</si>
  <si>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</si>
  <si>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</si>
  <si>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</si>
  <si>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</si>
  <si>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</si>
  <si>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</si>
  <si>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</si>
  <si>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</si>
  <si>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</si>
  <si>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</si>
  <si>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</si>
  <si>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</si>
  <si>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</si>
  <si>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</si>
  <si>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</si>
  <si>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</si>
  <si>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</si>
  <si>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</si>
  <si>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</si>
  <si>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</si>
  <si>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</si>
  <si>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</si>
  <si>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</si>
  <si>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</si>
  <si>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</si>
  <si>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</si>
  <si>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</si>
  <si>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</si>
  <si>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</si>
  <si>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</si>
  <si>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</si>
  <si>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</si>
  <si>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</si>
  <si>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</si>
  <si>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</si>
  <si>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</si>
  <si>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</si>
  <si>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</si>
  <si>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</si>
  <si>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</si>
  <si>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</si>
  <si>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</si>
  <si>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</si>
  <si>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</si>
  <si>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</si>
  <si>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</si>
  <si>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</si>
  <si>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</si>
  <si>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</si>
  <si>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</si>
  <si>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Brick</t>
  </si>
  <si>
    <t>Plaster</t>
  </si>
  <si>
    <t>Flooring</t>
  </si>
  <si>
    <t>Painting &amp; Wooden Work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</si>
  <si>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</si>
  <si>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</si>
  <si>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</si>
  <si>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</si>
  <si>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</si>
  <si>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</si>
  <si>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</si>
  <si>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</si>
  <si>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</si>
  <si>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</si>
  <si>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</si>
  <si>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</si>
  <si>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</si>
  <si>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</si>
  <si>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</si>
  <si>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</si>
  <si>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</si>
  <si>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</si>
  <si>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</si>
  <si>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</si>
  <si>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</si>
  <si>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</si>
  <si>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</si>
  <si>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</si>
  <si>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</si>
  <si>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</si>
  <si>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</si>
  <si>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</si>
  <si>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</si>
  <si>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</si>
  <si>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</si>
  <si>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</si>
  <si>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</si>
  <si>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</si>
  <si>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</si>
  <si>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</si>
  <si>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</si>
  <si>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</si>
  <si>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</si>
  <si>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</si>
  <si>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</si>
  <si>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</si>
  <si>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</si>
  <si>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</si>
  <si>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</si>
  <si>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</si>
  <si>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</si>
  <si>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</si>
  <si>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</si>
  <si>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</si>
  <si>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</si>
  <si>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</si>
  <si>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</si>
  <si>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</si>
  <si>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</si>
  <si>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</si>
  <si>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</si>
  <si>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</si>
  <si>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</si>
  <si>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</si>
  <si>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</si>
  <si>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</si>
  <si>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</si>
  <si>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Completed Slab/Floor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</si>
  <si>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</si>
  <si>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</si>
  <si>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</si>
  <si>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</si>
  <si>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</si>
  <si>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</si>
  <si>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</si>
  <si>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</si>
  <si>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</si>
  <si>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</si>
  <si>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</si>
  <si>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</si>
  <si>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</si>
  <si>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</si>
  <si>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</si>
  <si>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</si>
  <si>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</si>
  <si>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</si>
  <si>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</si>
  <si>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</si>
  <si>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</si>
  <si>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</si>
  <si>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</si>
  <si>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</si>
  <si>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</si>
  <si>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</si>
  <si>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RCC Slab</t>
  </si>
  <si>
    <t>All work Completed. Wait For OC.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</si>
  <si>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</si>
  <si>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</si>
  <si>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</si>
  <si>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</si>
  <si>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</si>
  <si>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</si>
  <si>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</si>
  <si>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</si>
  <si>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</si>
  <si>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</si>
  <si>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</si>
  <si>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</si>
  <si>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</si>
  <si>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</si>
  <si>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</si>
  <si>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</si>
  <si>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</si>
  <si>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</si>
  <si>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,..,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</si>
  <si>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</si>
  <si>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r>
      <t xml:space="preserve">Construction details: </t>
    </r>
    <r>
      <rPr>
        <b/>
        <sz val="12"/>
        <color rgb="FFFF0000"/>
        <rFont val="Times New Roman"/>
        <family val="1"/>
      </rPr>
      <t>Building No.  =</t>
    </r>
  </si>
  <si>
    <t>Contact Details ( Name &amp; Contact No.)</t>
  </si>
  <si>
    <t>01 Building</t>
  </si>
  <si>
    <t>Nearby Landmark</t>
  </si>
  <si>
    <t>Axis Sanpada</t>
  </si>
  <si>
    <t>M/s.Giriraj Realtors</t>
  </si>
  <si>
    <t>Sarvoday Greens</t>
  </si>
  <si>
    <t>Sonale Bhadwad Road</t>
  </si>
  <si>
    <t xml:space="preserve">P51700026551
</t>
  </si>
  <si>
    <t xml:space="preserve"> 89/2/1, 90/3, 90/4, 110/1, 110/1/2, 110/2, 110/1/6, 110/1/7, 107/1, 107/2</t>
  </si>
  <si>
    <t>CTS No</t>
  </si>
  <si>
    <t>Temghar</t>
  </si>
  <si>
    <t>Thane</t>
  </si>
  <si>
    <t>Bhiwandi</t>
  </si>
  <si>
    <t>Amrutvani Complex D Type</t>
  </si>
  <si>
    <t>Krishnai wani complex</t>
  </si>
  <si>
    <t>Building</t>
  </si>
  <si>
    <t>Open</t>
  </si>
  <si>
    <t>Amrutvani Complex</t>
  </si>
  <si>
    <t>4.1 KM from Bhiwandi Road Railway Station</t>
  </si>
  <si>
    <t>B.P.No./39/2019-2020/NRV/2506</t>
  </si>
  <si>
    <t>20/08/2019.</t>
  </si>
  <si>
    <t>Building No.1</t>
  </si>
  <si>
    <t>Ground Floor for Parking</t>
  </si>
  <si>
    <t>1st to 7th, 9th to 12th, 13th Floor</t>
  </si>
  <si>
    <t>1BHK</t>
  </si>
  <si>
    <t>2BHK</t>
  </si>
  <si>
    <t>8th Floor</t>
  </si>
  <si>
    <t>Refuge Area</t>
  </si>
  <si>
    <t>Residential</t>
  </si>
  <si>
    <t>Approved Plans, CC</t>
  </si>
  <si>
    <t>2,00,000/-</t>
  </si>
  <si>
    <t>Flats - 116</t>
  </si>
  <si>
    <t>Construction details:</t>
  </si>
  <si>
    <t>Basement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</si>
  <si>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</si>
  <si>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</si>
  <si>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</si>
  <si>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</si>
  <si>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</si>
  <si>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</si>
  <si>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</si>
  <si>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</si>
  <si>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</si>
  <si>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</si>
  <si>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</si>
  <si>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</si>
  <si>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</si>
  <si>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</si>
  <si>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</si>
  <si>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</si>
  <si>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</si>
  <si>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B.P.K/68/2021-2022/J.K.N.R.V/3008</t>
  </si>
  <si>
    <t>Valid Up to: Gr + 1st to 15th Floor</t>
  </si>
  <si>
    <t>Building No.1 = Gr + 1st to 15th Floor</t>
  </si>
  <si>
    <t>Location Link</t>
  </si>
  <si>
    <t>https://goo.gl/maps/BvCnZGwMpW2CZgwU8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</si>
  <si>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E mail : vsjcapf@gmail.com. Web site : www.vsjadon.com</t>
  </si>
  <si>
    <t>Completed</t>
  </si>
  <si>
    <t>60 Years</t>
  </si>
  <si>
    <t>Site Person - Contact Details ( Name &amp; Contact No.)</t>
  </si>
  <si>
    <t>Mr. Vishal 9324480570</t>
  </si>
  <si>
    <t>Mr. Mangesh Bapardekar</t>
  </si>
  <si>
    <t>1. All work completed. Please provide OC.
2. We considered  Saleable area  as per our calculation.
3. We considered Carpet area as per Approved Plan.
4. We considered Gross carpet area = Net carpet + Enclose balcony + D.B Area + F.B Area.
5. We have considered rate by verifying it from market inquire.
6. Recommended rate should be considered as all inclusive rate if other charges are not mentioned. (Excluding GST &amp; other government Taxes).
7. Car parking is subjected to authentic documentation.
8. We have update latest approved C.C taken from RERA site. (on 16/06/2022).
8. On Site, we meet Mr. Chetan - 8291401555 &amp; Jayant Patil : 9892377815.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</si>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</sst>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15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wrapText="1"/>
      <protection locked="0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 applyProtection="1">
      <alignment horizontal="center" vertical="top"/>
      <protection locked="0"/>
    </xf>
    <xf numFmtId="0" fontId="15" fillId="0" borderId="10" xfId="1" applyFont="1" applyBorder="1" applyAlignment="1" applyProtection="1">
      <alignment horizontal="center" wrapText="1"/>
      <protection locked="0"/>
    </xf>
    <xf numFmtId="0" fontId="7" fillId="0" borderId="14" xfId="1" applyFont="1" applyBorder="1" applyProtection="1">
      <protection hidden="1"/>
    </xf>
    <xf numFmtId="0" fontId="7" fillId="0" borderId="15" xfId="1" applyFont="1" applyBorder="1" applyProtection="1">
      <protection hidden="1"/>
    </xf>
    <xf numFmtId="0" fontId="7" fillId="0" borderId="16" xfId="1" applyFont="1" applyBorder="1" applyProtection="1">
      <protection hidden="1"/>
    </xf>
    <xf numFmtId="0" fontId="7" fillId="0" borderId="17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7" fillId="0" borderId="18" xfId="1" applyFont="1" applyBorder="1"/>
    <xf numFmtId="0" fontId="7" fillId="0" borderId="17" xfId="1" applyFont="1" applyBorder="1"/>
    <xf numFmtId="0" fontId="18" fillId="0" borderId="17" xfId="0" applyFont="1" applyBorder="1" applyProtection="1">
      <protection hidden="1"/>
    </xf>
    <xf numFmtId="9" fontId="18" fillId="0" borderId="0" xfId="0" applyNumberFormat="1" applyFont="1" applyProtection="1">
      <protection hidden="1"/>
    </xf>
    <xf numFmtId="9" fontId="18" fillId="0" borderId="18" xfId="0" applyNumberFormat="1" applyFont="1" applyBorder="1" applyProtection="1">
      <protection hidden="1"/>
    </xf>
    <xf numFmtId="0" fontId="18" fillId="0" borderId="19" xfId="0" applyFont="1" applyBorder="1" applyProtection="1">
      <protection hidden="1"/>
    </xf>
    <xf numFmtId="9" fontId="18" fillId="0" borderId="20" xfId="0" applyNumberFormat="1" applyFont="1" applyBorder="1" applyProtection="1">
      <protection hidden="1"/>
    </xf>
    <xf numFmtId="9" fontId="18" fillId="0" borderId="21" xfId="0" applyNumberFormat="1" applyFont="1" applyBorder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25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0" fontId="7" fillId="0" borderId="0" xfId="1" applyFont="1" applyAlignment="1" applyProtection="1">
      <alignment horizontal="center" vertical="top" wrapText="1"/>
      <protection locked="0"/>
    </xf>
    <xf numFmtId="0" fontId="15" fillId="0" borderId="0" xfId="1" applyFont="1" applyAlignment="1" applyProtection="1">
      <alignment horizontal="center" wrapText="1"/>
      <protection locked="0"/>
    </xf>
    <xf numFmtId="9" fontId="7" fillId="2" borderId="0" xfId="1" applyNumberFormat="1" applyFont="1" applyFill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10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8" xfId="0" applyFont="1" applyBorder="1" applyProtection="1">
      <protection hidden="1"/>
    </xf>
    <xf numFmtId="1" fontId="0" fillId="0" borderId="18" xfId="0" applyNumberFormat="1" applyBorder="1"/>
    <xf numFmtId="1" fontId="0" fillId="0" borderId="18" xfId="0" applyNumberFormat="1" applyBorder="1" applyAlignment="1">
      <alignment horizontal="right"/>
    </xf>
    <xf numFmtId="0" fontId="18" fillId="0" borderId="20" xfId="0" applyFont="1" applyBorder="1" applyProtection="1">
      <protection hidden="1"/>
    </xf>
    <xf numFmtId="1" fontId="0" fillId="0" borderId="21" xfId="0" applyNumberFormat="1" applyBorder="1"/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12" fillId="0" borderId="38" xfId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12" fillId="0" borderId="39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30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32" xfId="1" applyNumberFormat="1" applyFont="1" applyBorder="1" applyAlignment="1" applyProtection="1">
      <alignment horizontal="center" vertical="center" wrapText="1"/>
      <protection locked="0"/>
    </xf>
    <xf numFmtId="1" fontId="6" fillId="0" borderId="33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8" fillId="0" borderId="26" xfId="1" applyNumberFormat="1" applyFont="1" applyBorder="1" applyAlignment="1" applyProtection="1">
      <alignment horizontal="center" vertical="top" wrapText="1"/>
      <protection locked="0"/>
    </xf>
    <xf numFmtId="1" fontId="8" fillId="0" borderId="27" xfId="1" applyNumberFormat="1" applyFont="1" applyBorder="1" applyAlignment="1" applyProtection="1">
      <alignment horizontal="center" vertical="top" wrapText="1"/>
      <protection locked="0"/>
    </xf>
    <xf numFmtId="1" fontId="8" fillId="0" borderId="28" xfId="1" applyNumberFormat="1" applyFont="1" applyBorder="1" applyAlignment="1" applyProtection="1">
      <alignment horizontal="center" vertical="top" wrapText="1"/>
      <protection locked="0"/>
    </xf>
    <xf numFmtId="1" fontId="8" fillId="0" borderId="2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36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3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2" borderId="12" xfId="1" applyFont="1" applyFill="1" applyBorder="1" applyAlignment="1" applyProtection="1">
      <alignment horizontal="left" vertical="top" wrapText="1"/>
      <protection locked="0"/>
    </xf>
    <xf numFmtId="0" fontId="12" fillId="2" borderId="30" xfId="1" applyFont="1" applyFill="1" applyBorder="1" applyAlignment="1" applyProtection="1">
      <alignment horizontal="left" vertical="top" wrapText="1"/>
      <protection locked="0"/>
    </xf>
    <xf numFmtId="0" fontId="12" fillId="2" borderId="13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center" wrapText="1"/>
      <protection locked="0"/>
    </xf>
    <xf numFmtId="1" fontId="8" fillId="0" borderId="30" xfId="1" applyNumberFormat="1" applyFont="1" applyBorder="1" applyAlignment="1" applyProtection="1">
      <alignment horizontal="center" vertical="center" wrapText="1"/>
      <protection locked="0"/>
    </xf>
    <xf numFmtId="1" fontId="8" fillId="0" borderId="13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12" xfId="9" applyBorder="1" applyAlignment="1" applyProtection="1">
      <alignment horizontal="left" vertical="top"/>
      <protection locked="0"/>
    </xf>
    <xf numFmtId="0" fontId="12" fillId="0" borderId="30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25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25" xfId="1" applyNumberFormat="1" applyFont="1" applyBorder="1" applyAlignment="1" applyProtection="1">
      <alignment horizontal="center" vertical="top" wrapText="1"/>
      <protection locked="0"/>
    </xf>
    <xf numFmtId="0" fontId="13" fillId="0" borderId="9" xfId="1" applyFont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center" vertical="top" wrapText="1"/>
      <protection locked="0"/>
    </xf>
    <xf numFmtId="9" fontId="13" fillId="0" borderId="40" xfId="1" applyNumberFormat="1" applyFont="1" applyBorder="1" applyAlignment="1" applyProtection="1">
      <alignment horizontal="center" vertical="top" wrapText="1"/>
      <protection locked="0"/>
    </xf>
    <xf numFmtId="0" fontId="13" fillId="0" borderId="41" xfId="1" applyFont="1" applyBorder="1" applyAlignment="1" applyProtection="1">
      <alignment horizontal="center" vertical="top" wrapText="1"/>
      <protection locked="0"/>
    </xf>
    <xf numFmtId="0" fontId="13" fillId="0" borderId="11" xfId="1" applyFont="1" applyBorder="1" applyAlignment="1" applyProtection="1">
      <alignment horizontal="center" vertical="top" wrapText="1"/>
      <protection locked="0"/>
    </xf>
    <xf numFmtId="0" fontId="13" fillId="0" borderId="42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center" vertical="top"/>
      <protection locked="0"/>
    </xf>
    <xf numFmtId="0" fontId="6" fillId="0" borderId="13" xfId="1" applyFont="1" applyBorder="1" applyAlignment="1" applyProtection="1">
      <alignment horizontal="center" vertical="top"/>
      <protection locked="0"/>
    </xf>
    <xf numFmtId="0" fontId="15" fillId="0" borderId="12" xfId="1" applyFont="1" applyBorder="1" applyAlignment="1" applyProtection="1">
      <alignment horizontal="center" vertical="top"/>
      <protection locked="0"/>
    </xf>
    <xf numFmtId="0" fontId="15" fillId="0" borderId="13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9" fontId="7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4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8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9" xfId="1" applyFont="1" applyBorder="1" applyAlignment="1" applyProtection="1">
      <alignment horizontal="center" vertical="top" wrapText="1"/>
      <protection locked="0"/>
    </xf>
    <xf numFmtId="0" fontId="7" fillId="0" borderId="10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257739</xdr:colOff>
      <xdr:row>192</xdr:row>
      <xdr:rowOff>40762</xdr:rowOff>
    </xdr:from>
    <xdr:to>
      <xdr:col>6</xdr:col>
      <xdr:colOff>566389</xdr:colOff>
      <xdr:row>206</xdr:row>
      <xdr:rowOff>96878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5768" y="40404350"/>
          <a:ext cx="4622915" cy="287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268944</xdr:colOff>
      <xdr:row>177</xdr:row>
      <xdr:rowOff>0</xdr:rowOff>
    </xdr:from>
    <xdr:to>
      <xdr:col>6</xdr:col>
      <xdr:colOff>600449</xdr:colOff>
      <xdr:row>191</xdr:row>
      <xdr:rowOff>56119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973" y="37338000"/>
          <a:ext cx="4645770" cy="2880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1280160</xdr:colOff>
      <xdr:row>130</xdr:row>
      <xdr:rowOff>89535</xdr:rowOff>
    </xdr:from>
    <xdr:to>
      <xdr:col>23</xdr:col>
      <xdr:colOff>401955</xdr:colOff>
      <xdr:row>163</xdr:row>
      <xdr:rowOff>118110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932420" y="24732615"/>
          <a:ext cx="6299835" cy="6558915"/>
          <a:chOff x="863499" y="298579"/>
          <a:chExt cx="5225142" cy="5556343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863499" y="298579"/>
            <a:ext cx="5225142" cy="5556343"/>
            <a:chOff x="863499" y="298579"/>
            <a:chExt cx="5225142" cy="5556343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973957" y="298579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6528" y="298579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63499" y="3694922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66914" y="3694922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70329" y="3694922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3" name="TextBox 139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91406" y="298579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Bldg No. 1</a:t>
            </a:r>
          </a:p>
        </xdr:txBody>
      </xdr:sp>
      <xdr:sp macro="" textlink="">
        <xdr:nvSpPr>
          <xdr:cNvPr id="14" name="TextBox 7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3637764" y="371277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Bldg No. 1</a:t>
            </a:r>
          </a:p>
        </xdr:txBody>
      </xdr:sp>
    </xdr:grpSp>
    <xdr:clientData/>
  </xdr:twoCellAnchor>
  <xdr:twoCellAnchor>
    <xdr:from>
      <xdr:col>0</xdr:col>
      <xdr:colOff>358140</xdr:colOff>
      <xdr:row>134</xdr:row>
      <xdr:rowOff>15240</xdr:rowOff>
    </xdr:from>
    <xdr:to>
      <xdr:col>7</xdr:col>
      <xdr:colOff>620685</xdr:colOff>
      <xdr:row>167</xdr:row>
      <xdr:rowOff>41324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5F94DA3-0E6C-289A-EBC5-5CD05EC2649E}"/>
            </a:ext>
          </a:extLst>
        </xdr:cNvPr>
        <xdr:cNvGrpSpPr/>
      </xdr:nvGrpSpPr>
      <xdr:grpSpPr>
        <a:xfrm>
          <a:off x="358140" y="25450800"/>
          <a:ext cx="5962305" cy="6556424"/>
          <a:chOff x="346695" y="91440"/>
          <a:chExt cx="5962305" cy="655642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874E650-7ACA-0FD5-0B37-7E965DD47B29}"/>
              </a:ext>
            </a:extLst>
          </xdr:cNvPr>
          <xdr:cNvGrpSpPr/>
        </xdr:nvGrpSpPr>
        <xdr:grpSpPr>
          <a:xfrm>
            <a:off x="346695" y="91440"/>
            <a:ext cx="5962305" cy="3844005"/>
            <a:chOff x="346695" y="91440"/>
            <a:chExt cx="5962305" cy="3844005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C1646A8C-4956-6279-713B-128D38F1F6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6695" y="9144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350A8579-DFF1-41CC-74BC-0508D3805C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9144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E64E98E-771C-7772-2A9F-B5BD738D1F80}"/>
              </a:ext>
            </a:extLst>
          </xdr:cNvPr>
          <xdr:cNvGrpSpPr/>
        </xdr:nvGrpSpPr>
        <xdr:grpSpPr>
          <a:xfrm>
            <a:off x="346695" y="4127864"/>
            <a:ext cx="5962305" cy="2520000"/>
            <a:chOff x="346695" y="4140927"/>
            <a:chExt cx="5962305" cy="252000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30C6EB7C-EABF-34A4-BC9A-70B389D7F7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20969" y="414092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A82345FF-A8B7-B3CA-E7EF-22EFDC9F3E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83832" y="414092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EA43A829-BE0F-23E7-B67A-00678A9BC6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6695" y="414092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vCnZGwMpW2CZgwU8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76"/>
  <sheetViews>
    <sheetView tabSelected="1" view="pageBreakPreview" zoomScaleNormal="100" zoomScaleSheetLayoutView="100" zoomScalePageLayoutView="85" workbookViewId="0">
      <selection activeCell="I11" sqref="I11"/>
    </sheetView>
  </sheetViews>
  <sheetFormatPr defaultColWidth="9.109375" defaultRowHeight="15.6" x14ac:dyDescent="0.3"/>
  <cols>
    <col min="1" max="1" width="11.44140625" style="21" customWidth="1"/>
    <col min="2" max="2" width="11.109375" style="21" customWidth="1"/>
    <col min="3" max="3" width="12.6640625" style="21" customWidth="1"/>
    <col min="4" max="4" width="12.88671875" style="21" customWidth="1"/>
    <col min="5" max="7" width="11.6640625" style="21" customWidth="1"/>
    <col min="8" max="8" width="13.88671875" style="21" customWidth="1"/>
    <col min="9" max="9" width="20.44140625" style="8" customWidth="1"/>
    <col min="10" max="10" width="9.88671875" style="8" bestFit="1" customWidth="1"/>
    <col min="11" max="11" width="10.5546875" style="8" bestFit="1" customWidth="1"/>
    <col min="12" max="18" width="9.109375" style="8"/>
    <col min="19" max="19" width="11.109375" style="8" hidden="1" customWidth="1"/>
    <col min="20" max="21" width="9.109375" style="8" hidden="1" customWidth="1"/>
    <col min="22" max="22" width="10.6640625" style="8" hidden="1" customWidth="1"/>
    <col min="23" max="23" width="13.44140625" style="8" hidden="1" customWidth="1"/>
    <col min="24" max="254" width="9.109375" style="8"/>
    <col min="255" max="255" width="8.6640625" style="8" customWidth="1"/>
    <col min="256" max="256" width="9.88671875" style="8" customWidth="1"/>
    <col min="257" max="257" width="14.44140625" style="8" customWidth="1"/>
    <col min="258" max="258" width="7.33203125" style="8" customWidth="1"/>
    <col min="259" max="259" width="5.5546875" style="8" customWidth="1"/>
    <col min="260" max="260" width="9" style="8" customWidth="1"/>
    <col min="261" max="262" width="9.88671875" style="8" customWidth="1"/>
    <col min="263" max="263" width="11.109375" style="8" customWidth="1"/>
    <col min="264" max="264" width="2.88671875" style="8" customWidth="1"/>
    <col min="265" max="265" width="3.5546875" style="8" customWidth="1"/>
    <col min="266" max="510" width="9.109375" style="8"/>
    <col min="511" max="511" width="8.6640625" style="8" customWidth="1"/>
    <col min="512" max="512" width="9.88671875" style="8" customWidth="1"/>
    <col min="513" max="513" width="14.44140625" style="8" customWidth="1"/>
    <col min="514" max="514" width="7.33203125" style="8" customWidth="1"/>
    <col min="515" max="515" width="5.5546875" style="8" customWidth="1"/>
    <col min="516" max="516" width="9" style="8" customWidth="1"/>
    <col min="517" max="518" width="9.88671875" style="8" customWidth="1"/>
    <col min="519" max="519" width="11.109375" style="8" customWidth="1"/>
    <col min="520" max="520" width="2.88671875" style="8" customWidth="1"/>
    <col min="521" max="521" width="3.5546875" style="8" customWidth="1"/>
    <col min="522" max="766" width="9.109375" style="8"/>
    <col min="767" max="767" width="8.6640625" style="8" customWidth="1"/>
    <col min="768" max="768" width="9.88671875" style="8" customWidth="1"/>
    <col min="769" max="769" width="14.44140625" style="8" customWidth="1"/>
    <col min="770" max="770" width="7.33203125" style="8" customWidth="1"/>
    <col min="771" max="771" width="5.5546875" style="8" customWidth="1"/>
    <col min="772" max="772" width="9" style="8" customWidth="1"/>
    <col min="773" max="774" width="9.88671875" style="8" customWidth="1"/>
    <col min="775" max="775" width="11.109375" style="8" customWidth="1"/>
    <col min="776" max="776" width="2.88671875" style="8" customWidth="1"/>
    <col min="777" max="777" width="3.5546875" style="8" customWidth="1"/>
    <col min="778" max="1022" width="9.109375" style="8"/>
    <col min="1023" max="1023" width="8.6640625" style="8" customWidth="1"/>
    <col min="1024" max="1024" width="9.88671875" style="8" customWidth="1"/>
    <col min="1025" max="1025" width="14.44140625" style="8" customWidth="1"/>
    <col min="1026" max="1026" width="7.33203125" style="8" customWidth="1"/>
    <col min="1027" max="1027" width="5.5546875" style="8" customWidth="1"/>
    <col min="1028" max="1028" width="9" style="8" customWidth="1"/>
    <col min="1029" max="1030" width="9.88671875" style="8" customWidth="1"/>
    <col min="1031" max="1031" width="11.109375" style="8" customWidth="1"/>
    <col min="1032" max="1032" width="2.88671875" style="8" customWidth="1"/>
    <col min="1033" max="1033" width="3.5546875" style="8" customWidth="1"/>
    <col min="1034" max="1278" width="9.109375" style="8"/>
    <col min="1279" max="1279" width="8.6640625" style="8" customWidth="1"/>
    <col min="1280" max="1280" width="9.88671875" style="8" customWidth="1"/>
    <col min="1281" max="1281" width="14.44140625" style="8" customWidth="1"/>
    <col min="1282" max="1282" width="7.33203125" style="8" customWidth="1"/>
    <col min="1283" max="1283" width="5.5546875" style="8" customWidth="1"/>
    <col min="1284" max="1284" width="9" style="8" customWidth="1"/>
    <col min="1285" max="1286" width="9.88671875" style="8" customWidth="1"/>
    <col min="1287" max="1287" width="11.109375" style="8" customWidth="1"/>
    <col min="1288" max="1288" width="2.88671875" style="8" customWidth="1"/>
    <col min="1289" max="1289" width="3.5546875" style="8" customWidth="1"/>
    <col min="1290" max="1534" width="9.109375" style="8"/>
    <col min="1535" max="1535" width="8.6640625" style="8" customWidth="1"/>
    <col min="1536" max="1536" width="9.88671875" style="8" customWidth="1"/>
    <col min="1537" max="1537" width="14.44140625" style="8" customWidth="1"/>
    <col min="1538" max="1538" width="7.33203125" style="8" customWidth="1"/>
    <col min="1539" max="1539" width="5.5546875" style="8" customWidth="1"/>
    <col min="1540" max="1540" width="9" style="8" customWidth="1"/>
    <col min="1541" max="1542" width="9.88671875" style="8" customWidth="1"/>
    <col min="1543" max="1543" width="11.109375" style="8" customWidth="1"/>
    <col min="1544" max="1544" width="2.88671875" style="8" customWidth="1"/>
    <col min="1545" max="1545" width="3.5546875" style="8" customWidth="1"/>
    <col min="1546" max="1790" width="9.109375" style="8"/>
    <col min="1791" max="1791" width="8.6640625" style="8" customWidth="1"/>
    <col min="1792" max="1792" width="9.88671875" style="8" customWidth="1"/>
    <col min="1793" max="1793" width="14.44140625" style="8" customWidth="1"/>
    <col min="1794" max="1794" width="7.33203125" style="8" customWidth="1"/>
    <col min="1795" max="1795" width="5.5546875" style="8" customWidth="1"/>
    <col min="1796" max="1796" width="9" style="8" customWidth="1"/>
    <col min="1797" max="1798" width="9.88671875" style="8" customWidth="1"/>
    <col min="1799" max="1799" width="11.109375" style="8" customWidth="1"/>
    <col min="1800" max="1800" width="2.88671875" style="8" customWidth="1"/>
    <col min="1801" max="1801" width="3.5546875" style="8" customWidth="1"/>
    <col min="1802" max="2046" width="9.109375" style="8"/>
    <col min="2047" max="2047" width="8.6640625" style="8" customWidth="1"/>
    <col min="2048" max="2048" width="9.88671875" style="8" customWidth="1"/>
    <col min="2049" max="2049" width="14.44140625" style="8" customWidth="1"/>
    <col min="2050" max="2050" width="7.33203125" style="8" customWidth="1"/>
    <col min="2051" max="2051" width="5.5546875" style="8" customWidth="1"/>
    <col min="2052" max="2052" width="9" style="8" customWidth="1"/>
    <col min="2053" max="2054" width="9.88671875" style="8" customWidth="1"/>
    <col min="2055" max="2055" width="11.109375" style="8" customWidth="1"/>
    <col min="2056" max="2056" width="2.88671875" style="8" customWidth="1"/>
    <col min="2057" max="2057" width="3.5546875" style="8" customWidth="1"/>
    <col min="2058" max="2302" width="9.109375" style="8"/>
    <col min="2303" max="2303" width="8.6640625" style="8" customWidth="1"/>
    <col min="2304" max="2304" width="9.88671875" style="8" customWidth="1"/>
    <col min="2305" max="2305" width="14.44140625" style="8" customWidth="1"/>
    <col min="2306" max="2306" width="7.33203125" style="8" customWidth="1"/>
    <col min="2307" max="2307" width="5.5546875" style="8" customWidth="1"/>
    <col min="2308" max="2308" width="9" style="8" customWidth="1"/>
    <col min="2309" max="2310" width="9.88671875" style="8" customWidth="1"/>
    <col min="2311" max="2311" width="11.109375" style="8" customWidth="1"/>
    <col min="2312" max="2312" width="2.88671875" style="8" customWidth="1"/>
    <col min="2313" max="2313" width="3.5546875" style="8" customWidth="1"/>
    <col min="2314" max="2558" width="9.109375" style="8"/>
    <col min="2559" max="2559" width="8.6640625" style="8" customWidth="1"/>
    <col min="2560" max="2560" width="9.88671875" style="8" customWidth="1"/>
    <col min="2561" max="2561" width="14.44140625" style="8" customWidth="1"/>
    <col min="2562" max="2562" width="7.33203125" style="8" customWidth="1"/>
    <col min="2563" max="2563" width="5.5546875" style="8" customWidth="1"/>
    <col min="2564" max="2564" width="9" style="8" customWidth="1"/>
    <col min="2565" max="2566" width="9.88671875" style="8" customWidth="1"/>
    <col min="2567" max="2567" width="11.109375" style="8" customWidth="1"/>
    <col min="2568" max="2568" width="2.88671875" style="8" customWidth="1"/>
    <col min="2569" max="2569" width="3.5546875" style="8" customWidth="1"/>
    <col min="2570" max="2814" width="9.109375" style="8"/>
    <col min="2815" max="2815" width="8.6640625" style="8" customWidth="1"/>
    <col min="2816" max="2816" width="9.88671875" style="8" customWidth="1"/>
    <col min="2817" max="2817" width="14.44140625" style="8" customWidth="1"/>
    <col min="2818" max="2818" width="7.33203125" style="8" customWidth="1"/>
    <col min="2819" max="2819" width="5.5546875" style="8" customWidth="1"/>
    <col min="2820" max="2820" width="9" style="8" customWidth="1"/>
    <col min="2821" max="2822" width="9.88671875" style="8" customWidth="1"/>
    <col min="2823" max="2823" width="11.109375" style="8" customWidth="1"/>
    <col min="2824" max="2824" width="2.88671875" style="8" customWidth="1"/>
    <col min="2825" max="2825" width="3.5546875" style="8" customWidth="1"/>
    <col min="2826" max="3070" width="9.109375" style="8"/>
    <col min="3071" max="3071" width="8.6640625" style="8" customWidth="1"/>
    <col min="3072" max="3072" width="9.88671875" style="8" customWidth="1"/>
    <col min="3073" max="3073" width="14.44140625" style="8" customWidth="1"/>
    <col min="3074" max="3074" width="7.33203125" style="8" customWidth="1"/>
    <col min="3075" max="3075" width="5.5546875" style="8" customWidth="1"/>
    <col min="3076" max="3076" width="9" style="8" customWidth="1"/>
    <col min="3077" max="3078" width="9.88671875" style="8" customWidth="1"/>
    <col min="3079" max="3079" width="11.109375" style="8" customWidth="1"/>
    <col min="3080" max="3080" width="2.88671875" style="8" customWidth="1"/>
    <col min="3081" max="3081" width="3.5546875" style="8" customWidth="1"/>
    <col min="3082" max="3326" width="9.109375" style="8"/>
    <col min="3327" max="3327" width="8.6640625" style="8" customWidth="1"/>
    <col min="3328" max="3328" width="9.88671875" style="8" customWidth="1"/>
    <col min="3329" max="3329" width="14.44140625" style="8" customWidth="1"/>
    <col min="3330" max="3330" width="7.33203125" style="8" customWidth="1"/>
    <col min="3331" max="3331" width="5.5546875" style="8" customWidth="1"/>
    <col min="3332" max="3332" width="9" style="8" customWidth="1"/>
    <col min="3333" max="3334" width="9.88671875" style="8" customWidth="1"/>
    <col min="3335" max="3335" width="11.109375" style="8" customWidth="1"/>
    <col min="3336" max="3336" width="2.88671875" style="8" customWidth="1"/>
    <col min="3337" max="3337" width="3.5546875" style="8" customWidth="1"/>
    <col min="3338" max="3582" width="9.109375" style="8"/>
    <col min="3583" max="3583" width="8.6640625" style="8" customWidth="1"/>
    <col min="3584" max="3584" width="9.88671875" style="8" customWidth="1"/>
    <col min="3585" max="3585" width="14.44140625" style="8" customWidth="1"/>
    <col min="3586" max="3586" width="7.33203125" style="8" customWidth="1"/>
    <col min="3587" max="3587" width="5.5546875" style="8" customWidth="1"/>
    <col min="3588" max="3588" width="9" style="8" customWidth="1"/>
    <col min="3589" max="3590" width="9.88671875" style="8" customWidth="1"/>
    <col min="3591" max="3591" width="11.109375" style="8" customWidth="1"/>
    <col min="3592" max="3592" width="2.88671875" style="8" customWidth="1"/>
    <col min="3593" max="3593" width="3.5546875" style="8" customWidth="1"/>
    <col min="3594" max="3838" width="9.109375" style="8"/>
    <col min="3839" max="3839" width="8.6640625" style="8" customWidth="1"/>
    <col min="3840" max="3840" width="9.88671875" style="8" customWidth="1"/>
    <col min="3841" max="3841" width="14.44140625" style="8" customWidth="1"/>
    <col min="3842" max="3842" width="7.33203125" style="8" customWidth="1"/>
    <col min="3843" max="3843" width="5.5546875" style="8" customWidth="1"/>
    <col min="3844" max="3844" width="9" style="8" customWidth="1"/>
    <col min="3845" max="3846" width="9.88671875" style="8" customWidth="1"/>
    <col min="3847" max="3847" width="11.109375" style="8" customWidth="1"/>
    <col min="3848" max="3848" width="2.88671875" style="8" customWidth="1"/>
    <col min="3849" max="3849" width="3.5546875" style="8" customWidth="1"/>
    <col min="3850" max="4094" width="9.109375" style="8"/>
    <col min="4095" max="4095" width="8.6640625" style="8" customWidth="1"/>
    <col min="4096" max="4096" width="9.88671875" style="8" customWidth="1"/>
    <col min="4097" max="4097" width="14.44140625" style="8" customWidth="1"/>
    <col min="4098" max="4098" width="7.33203125" style="8" customWidth="1"/>
    <col min="4099" max="4099" width="5.5546875" style="8" customWidth="1"/>
    <col min="4100" max="4100" width="9" style="8" customWidth="1"/>
    <col min="4101" max="4102" width="9.88671875" style="8" customWidth="1"/>
    <col min="4103" max="4103" width="11.109375" style="8" customWidth="1"/>
    <col min="4104" max="4104" width="2.88671875" style="8" customWidth="1"/>
    <col min="4105" max="4105" width="3.5546875" style="8" customWidth="1"/>
    <col min="4106" max="4350" width="9.109375" style="8"/>
    <col min="4351" max="4351" width="8.6640625" style="8" customWidth="1"/>
    <col min="4352" max="4352" width="9.88671875" style="8" customWidth="1"/>
    <col min="4353" max="4353" width="14.44140625" style="8" customWidth="1"/>
    <col min="4354" max="4354" width="7.33203125" style="8" customWidth="1"/>
    <col min="4355" max="4355" width="5.5546875" style="8" customWidth="1"/>
    <col min="4356" max="4356" width="9" style="8" customWidth="1"/>
    <col min="4357" max="4358" width="9.88671875" style="8" customWidth="1"/>
    <col min="4359" max="4359" width="11.109375" style="8" customWidth="1"/>
    <col min="4360" max="4360" width="2.88671875" style="8" customWidth="1"/>
    <col min="4361" max="4361" width="3.5546875" style="8" customWidth="1"/>
    <col min="4362" max="4606" width="9.109375" style="8"/>
    <col min="4607" max="4607" width="8.6640625" style="8" customWidth="1"/>
    <col min="4608" max="4608" width="9.88671875" style="8" customWidth="1"/>
    <col min="4609" max="4609" width="14.44140625" style="8" customWidth="1"/>
    <col min="4610" max="4610" width="7.33203125" style="8" customWidth="1"/>
    <col min="4611" max="4611" width="5.5546875" style="8" customWidth="1"/>
    <col min="4612" max="4612" width="9" style="8" customWidth="1"/>
    <col min="4613" max="4614" width="9.88671875" style="8" customWidth="1"/>
    <col min="4615" max="4615" width="11.109375" style="8" customWidth="1"/>
    <col min="4616" max="4616" width="2.88671875" style="8" customWidth="1"/>
    <col min="4617" max="4617" width="3.5546875" style="8" customWidth="1"/>
    <col min="4618" max="4862" width="9.109375" style="8"/>
    <col min="4863" max="4863" width="8.6640625" style="8" customWidth="1"/>
    <col min="4864" max="4864" width="9.88671875" style="8" customWidth="1"/>
    <col min="4865" max="4865" width="14.44140625" style="8" customWidth="1"/>
    <col min="4866" max="4866" width="7.33203125" style="8" customWidth="1"/>
    <col min="4867" max="4867" width="5.5546875" style="8" customWidth="1"/>
    <col min="4868" max="4868" width="9" style="8" customWidth="1"/>
    <col min="4869" max="4870" width="9.88671875" style="8" customWidth="1"/>
    <col min="4871" max="4871" width="11.109375" style="8" customWidth="1"/>
    <col min="4872" max="4872" width="2.88671875" style="8" customWidth="1"/>
    <col min="4873" max="4873" width="3.5546875" style="8" customWidth="1"/>
    <col min="4874" max="5118" width="9.109375" style="8"/>
    <col min="5119" max="5119" width="8.6640625" style="8" customWidth="1"/>
    <col min="5120" max="5120" width="9.88671875" style="8" customWidth="1"/>
    <col min="5121" max="5121" width="14.44140625" style="8" customWidth="1"/>
    <col min="5122" max="5122" width="7.33203125" style="8" customWidth="1"/>
    <col min="5123" max="5123" width="5.5546875" style="8" customWidth="1"/>
    <col min="5124" max="5124" width="9" style="8" customWidth="1"/>
    <col min="5125" max="5126" width="9.88671875" style="8" customWidth="1"/>
    <col min="5127" max="5127" width="11.109375" style="8" customWidth="1"/>
    <col min="5128" max="5128" width="2.88671875" style="8" customWidth="1"/>
    <col min="5129" max="5129" width="3.5546875" style="8" customWidth="1"/>
    <col min="5130" max="5374" width="9.109375" style="8"/>
    <col min="5375" max="5375" width="8.6640625" style="8" customWidth="1"/>
    <col min="5376" max="5376" width="9.88671875" style="8" customWidth="1"/>
    <col min="5377" max="5377" width="14.44140625" style="8" customWidth="1"/>
    <col min="5378" max="5378" width="7.33203125" style="8" customWidth="1"/>
    <col min="5379" max="5379" width="5.5546875" style="8" customWidth="1"/>
    <col min="5380" max="5380" width="9" style="8" customWidth="1"/>
    <col min="5381" max="5382" width="9.88671875" style="8" customWidth="1"/>
    <col min="5383" max="5383" width="11.109375" style="8" customWidth="1"/>
    <col min="5384" max="5384" width="2.88671875" style="8" customWidth="1"/>
    <col min="5385" max="5385" width="3.5546875" style="8" customWidth="1"/>
    <col min="5386" max="5630" width="9.109375" style="8"/>
    <col min="5631" max="5631" width="8.6640625" style="8" customWidth="1"/>
    <col min="5632" max="5632" width="9.88671875" style="8" customWidth="1"/>
    <col min="5633" max="5633" width="14.44140625" style="8" customWidth="1"/>
    <col min="5634" max="5634" width="7.33203125" style="8" customWidth="1"/>
    <col min="5635" max="5635" width="5.5546875" style="8" customWidth="1"/>
    <col min="5636" max="5636" width="9" style="8" customWidth="1"/>
    <col min="5637" max="5638" width="9.88671875" style="8" customWidth="1"/>
    <col min="5639" max="5639" width="11.109375" style="8" customWidth="1"/>
    <col min="5640" max="5640" width="2.88671875" style="8" customWidth="1"/>
    <col min="5641" max="5641" width="3.5546875" style="8" customWidth="1"/>
    <col min="5642" max="5886" width="9.109375" style="8"/>
    <col min="5887" max="5887" width="8.6640625" style="8" customWidth="1"/>
    <col min="5888" max="5888" width="9.88671875" style="8" customWidth="1"/>
    <col min="5889" max="5889" width="14.44140625" style="8" customWidth="1"/>
    <col min="5890" max="5890" width="7.33203125" style="8" customWidth="1"/>
    <col min="5891" max="5891" width="5.5546875" style="8" customWidth="1"/>
    <col min="5892" max="5892" width="9" style="8" customWidth="1"/>
    <col min="5893" max="5894" width="9.88671875" style="8" customWidth="1"/>
    <col min="5895" max="5895" width="11.109375" style="8" customWidth="1"/>
    <col min="5896" max="5896" width="2.88671875" style="8" customWidth="1"/>
    <col min="5897" max="5897" width="3.5546875" style="8" customWidth="1"/>
    <col min="5898" max="6142" width="9.109375" style="8"/>
    <col min="6143" max="6143" width="8.6640625" style="8" customWidth="1"/>
    <col min="6144" max="6144" width="9.88671875" style="8" customWidth="1"/>
    <col min="6145" max="6145" width="14.44140625" style="8" customWidth="1"/>
    <col min="6146" max="6146" width="7.33203125" style="8" customWidth="1"/>
    <col min="6147" max="6147" width="5.5546875" style="8" customWidth="1"/>
    <col min="6148" max="6148" width="9" style="8" customWidth="1"/>
    <col min="6149" max="6150" width="9.88671875" style="8" customWidth="1"/>
    <col min="6151" max="6151" width="11.109375" style="8" customWidth="1"/>
    <col min="6152" max="6152" width="2.88671875" style="8" customWidth="1"/>
    <col min="6153" max="6153" width="3.5546875" style="8" customWidth="1"/>
    <col min="6154" max="6398" width="9.109375" style="8"/>
    <col min="6399" max="6399" width="8.6640625" style="8" customWidth="1"/>
    <col min="6400" max="6400" width="9.88671875" style="8" customWidth="1"/>
    <col min="6401" max="6401" width="14.44140625" style="8" customWidth="1"/>
    <col min="6402" max="6402" width="7.33203125" style="8" customWidth="1"/>
    <col min="6403" max="6403" width="5.5546875" style="8" customWidth="1"/>
    <col min="6404" max="6404" width="9" style="8" customWidth="1"/>
    <col min="6405" max="6406" width="9.88671875" style="8" customWidth="1"/>
    <col min="6407" max="6407" width="11.109375" style="8" customWidth="1"/>
    <col min="6408" max="6408" width="2.88671875" style="8" customWidth="1"/>
    <col min="6409" max="6409" width="3.5546875" style="8" customWidth="1"/>
    <col min="6410" max="6654" width="9.109375" style="8"/>
    <col min="6655" max="6655" width="8.6640625" style="8" customWidth="1"/>
    <col min="6656" max="6656" width="9.88671875" style="8" customWidth="1"/>
    <col min="6657" max="6657" width="14.44140625" style="8" customWidth="1"/>
    <col min="6658" max="6658" width="7.33203125" style="8" customWidth="1"/>
    <col min="6659" max="6659" width="5.5546875" style="8" customWidth="1"/>
    <col min="6660" max="6660" width="9" style="8" customWidth="1"/>
    <col min="6661" max="6662" width="9.88671875" style="8" customWidth="1"/>
    <col min="6663" max="6663" width="11.109375" style="8" customWidth="1"/>
    <col min="6664" max="6664" width="2.88671875" style="8" customWidth="1"/>
    <col min="6665" max="6665" width="3.5546875" style="8" customWidth="1"/>
    <col min="6666" max="6910" width="9.109375" style="8"/>
    <col min="6911" max="6911" width="8.6640625" style="8" customWidth="1"/>
    <col min="6912" max="6912" width="9.88671875" style="8" customWidth="1"/>
    <col min="6913" max="6913" width="14.44140625" style="8" customWidth="1"/>
    <col min="6914" max="6914" width="7.33203125" style="8" customWidth="1"/>
    <col min="6915" max="6915" width="5.5546875" style="8" customWidth="1"/>
    <col min="6916" max="6916" width="9" style="8" customWidth="1"/>
    <col min="6917" max="6918" width="9.88671875" style="8" customWidth="1"/>
    <col min="6919" max="6919" width="11.109375" style="8" customWidth="1"/>
    <col min="6920" max="6920" width="2.88671875" style="8" customWidth="1"/>
    <col min="6921" max="6921" width="3.5546875" style="8" customWidth="1"/>
    <col min="6922" max="7166" width="9.109375" style="8"/>
    <col min="7167" max="7167" width="8.6640625" style="8" customWidth="1"/>
    <col min="7168" max="7168" width="9.88671875" style="8" customWidth="1"/>
    <col min="7169" max="7169" width="14.44140625" style="8" customWidth="1"/>
    <col min="7170" max="7170" width="7.33203125" style="8" customWidth="1"/>
    <col min="7171" max="7171" width="5.5546875" style="8" customWidth="1"/>
    <col min="7172" max="7172" width="9" style="8" customWidth="1"/>
    <col min="7173" max="7174" width="9.88671875" style="8" customWidth="1"/>
    <col min="7175" max="7175" width="11.109375" style="8" customWidth="1"/>
    <col min="7176" max="7176" width="2.88671875" style="8" customWidth="1"/>
    <col min="7177" max="7177" width="3.5546875" style="8" customWidth="1"/>
    <col min="7178" max="7422" width="9.109375" style="8"/>
    <col min="7423" max="7423" width="8.6640625" style="8" customWidth="1"/>
    <col min="7424" max="7424" width="9.88671875" style="8" customWidth="1"/>
    <col min="7425" max="7425" width="14.44140625" style="8" customWidth="1"/>
    <col min="7426" max="7426" width="7.33203125" style="8" customWidth="1"/>
    <col min="7427" max="7427" width="5.5546875" style="8" customWidth="1"/>
    <col min="7428" max="7428" width="9" style="8" customWidth="1"/>
    <col min="7429" max="7430" width="9.88671875" style="8" customWidth="1"/>
    <col min="7431" max="7431" width="11.109375" style="8" customWidth="1"/>
    <col min="7432" max="7432" width="2.88671875" style="8" customWidth="1"/>
    <col min="7433" max="7433" width="3.5546875" style="8" customWidth="1"/>
    <col min="7434" max="7678" width="9.109375" style="8"/>
    <col min="7679" max="7679" width="8.6640625" style="8" customWidth="1"/>
    <col min="7680" max="7680" width="9.88671875" style="8" customWidth="1"/>
    <col min="7681" max="7681" width="14.44140625" style="8" customWidth="1"/>
    <col min="7682" max="7682" width="7.33203125" style="8" customWidth="1"/>
    <col min="7683" max="7683" width="5.5546875" style="8" customWidth="1"/>
    <col min="7684" max="7684" width="9" style="8" customWidth="1"/>
    <col min="7685" max="7686" width="9.88671875" style="8" customWidth="1"/>
    <col min="7687" max="7687" width="11.109375" style="8" customWidth="1"/>
    <col min="7688" max="7688" width="2.88671875" style="8" customWidth="1"/>
    <col min="7689" max="7689" width="3.5546875" style="8" customWidth="1"/>
    <col min="7690" max="7934" width="9.109375" style="8"/>
    <col min="7935" max="7935" width="8.6640625" style="8" customWidth="1"/>
    <col min="7936" max="7936" width="9.88671875" style="8" customWidth="1"/>
    <col min="7937" max="7937" width="14.44140625" style="8" customWidth="1"/>
    <col min="7938" max="7938" width="7.33203125" style="8" customWidth="1"/>
    <col min="7939" max="7939" width="5.5546875" style="8" customWidth="1"/>
    <col min="7940" max="7940" width="9" style="8" customWidth="1"/>
    <col min="7941" max="7942" width="9.88671875" style="8" customWidth="1"/>
    <col min="7943" max="7943" width="11.109375" style="8" customWidth="1"/>
    <col min="7944" max="7944" width="2.88671875" style="8" customWidth="1"/>
    <col min="7945" max="7945" width="3.5546875" style="8" customWidth="1"/>
    <col min="7946" max="8190" width="9.109375" style="8"/>
    <col min="8191" max="8191" width="8.6640625" style="8" customWidth="1"/>
    <col min="8192" max="8192" width="9.88671875" style="8" customWidth="1"/>
    <col min="8193" max="8193" width="14.44140625" style="8" customWidth="1"/>
    <col min="8194" max="8194" width="7.33203125" style="8" customWidth="1"/>
    <col min="8195" max="8195" width="5.5546875" style="8" customWidth="1"/>
    <col min="8196" max="8196" width="9" style="8" customWidth="1"/>
    <col min="8197" max="8198" width="9.88671875" style="8" customWidth="1"/>
    <col min="8199" max="8199" width="11.109375" style="8" customWidth="1"/>
    <col min="8200" max="8200" width="2.88671875" style="8" customWidth="1"/>
    <col min="8201" max="8201" width="3.5546875" style="8" customWidth="1"/>
    <col min="8202" max="8446" width="9.109375" style="8"/>
    <col min="8447" max="8447" width="8.6640625" style="8" customWidth="1"/>
    <col min="8448" max="8448" width="9.88671875" style="8" customWidth="1"/>
    <col min="8449" max="8449" width="14.44140625" style="8" customWidth="1"/>
    <col min="8450" max="8450" width="7.33203125" style="8" customWidth="1"/>
    <col min="8451" max="8451" width="5.5546875" style="8" customWidth="1"/>
    <col min="8452" max="8452" width="9" style="8" customWidth="1"/>
    <col min="8453" max="8454" width="9.88671875" style="8" customWidth="1"/>
    <col min="8455" max="8455" width="11.109375" style="8" customWidth="1"/>
    <col min="8456" max="8456" width="2.88671875" style="8" customWidth="1"/>
    <col min="8457" max="8457" width="3.5546875" style="8" customWidth="1"/>
    <col min="8458" max="8702" width="9.109375" style="8"/>
    <col min="8703" max="8703" width="8.6640625" style="8" customWidth="1"/>
    <col min="8704" max="8704" width="9.88671875" style="8" customWidth="1"/>
    <col min="8705" max="8705" width="14.44140625" style="8" customWidth="1"/>
    <col min="8706" max="8706" width="7.33203125" style="8" customWidth="1"/>
    <col min="8707" max="8707" width="5.5546875" style="8" customWidth="1"/>
    <col min="8708" max="8708" width="9" style="8" customWidth="1"/>
    <col min="8709" max="8710" width="9.88671875" style="8" customWidth="1"/>
    <col min="8711" max="8711" width="11.109375" style="8" customWidth="1"/>
    <col min="8712" max="8712" width="2.88671875" style="8" customWidth="1"/>
    <col min="8713" max="8713" width="3.5546875" style="8" customWidth="1"/>
    <col min="8714" max="8958" width="9.109375" style="8"/>
    <col min="8959" max="8959" width="8.6640625" style="8" customWidth="1"/>
    <col min="8960" max="8960" width="9.88671875" style="8" customWidth="1"/>
    <col min="8961" max="8961" width="14.44140625" style="8" customWidth="1"/>
    <col min="8962" max="8962" width="7.33203125" style="8" customWidth="1"/>
    <col min="8963" max="8963" width="5.5546875" style="8" customWidth="1"/>
    <col min="8964" max="8964" width="9" style="8" customWidth="1"/>
    <col min="8965" max="8966" width="9.88671875" style="8" customWidth="1"/>
    <col min="8967" max="8967" width="11.109375" style="8" customWidth="1"/>
    <col min="8968" max="8968" width="2.88671875" style="8" customWidth="1"/>
    <col min="8969" max="8969" width="3.5546875" style="8" customWidth="1"/>
    <col min="8970" max="9214" width="9.109375" style="8"/>
    <col min="9215" max="9215" width="8.6640625" style="8" customWidth="1"/>
    <col min="9216" max="9216" width="9.88671875" style="8" customWidth="1"/>
    <col min="9217" max="9217" width="14.44140625" style="8" customWidth="1"/>
    <col min="9218" max="9218" width="7.33203125" style="8" customWidth="1"/>
    <col min="9219" max="9219" width="5.5546875" style="8" customWidth="1"/>
    <col min="9220" max="9220" width="9" style="8" customWidth="1"/>
    <col min="9221" max="9222" width="9.88671875" style="8" customWidth="1"/>
    <col min="9223" max="9223" width="11.109375" style="8" customWidth="1"/>
    <col min="9224" max="9224" width="2.88671875" style="8" customWidth="1"/>
    <col min="9225" max="9225" width="3.5546875" style="8" customWidth="1"/>
    <col min="9226" max="9470" width="9.109375" style="8"/>
    <col min="9471" max="9471" width="8.6640625" style="8" customWidth="1"/>
    <col min="9472" max="9472" width="9.88671875" style="8" customWidth="1"/>
    <col min="9473" max="9473" width="14.44140625" style="8" customWidth="1"/>
    <col min="9474" max="9474" width="7.33203125" style="8" customWidth="1"/>
    <col min="9475" max="9475" width="5.5546875" style="8" customWidth="1"/>
    <col min="9476" max="9476" width="9" style="8" customWidth="1"/>
    <col min="9477" max="9478" width="9.88671875" style="8" customWidth="1"/>
    <col min="9479" max="9479" width="11.109375" style="8" customWidth="1"/>
    <col min="9480" max="9480" width="2.88671875" style="8" customWidth="1"/>
    <col min="9481" max="9481" width="3.5546875" style="8" customWidth="1"/>
    <col min="9482" max="9726" width="9.109375" style="8"/>
    <col min="9727" max="9727" width="8.6640625" style="8" customWidth="1"/>
    <col min="9728" max="9728" width="9.88671875" style="8" customWidth="1"/>
    <col min="9729" max="9729" width="14.44140625" style="8" customWidth="1"/>
    <col min="9730" max="9730" width="7.33203125" style="8" customWidth="1"/>
    <col min="9731" max="9731" width="5.5546875" style="8" customWidth="1"/>
    <col min="9732" max="9732" width="9" style="8" customWidth="1"/>
    <col min="9733" max="9734" width="9.88671875" style="8" customWidth="1"/>
    <col min="9735" max="9735" width="11.109375" style="8" customWidth="1"/>
    <col min="9736" max="9736" width="2.88671875" style="8" customWidth="1"/>
    <col min="9737" max="9737" width="3.5546875" style="8" customWidth="1"/>
    <col min="9738" max="9982" width="9.109375" style="8"/>
    <col min="9983" max="9983" width="8.6640625" style="8" customWidth="1"/>
    <col min="9984" max="9984" width="9.88671875" style="8" customWidth="1"/>
    <col min="9985" max="9985" width="14.44140625" style="8" customWidth="1"/>
    <col min="9986" max="9986" width="7.33203125" style="8" customWidth="1"/>
    <col min="9987" max="9987" width="5.5546875" style="8" customWidth="1"/>
    <col min="9988" max="9988" width="9" style="8" customWidth="1"/>
    <col min="9989" max="9990" width="9.88671875" style="8" customWidth="1"/>
    <col min="9991" max="9991" width="11.109375" style="8" customWidth="1"/>
    <col min="9992" max="9992" width="2.88671875" style="8" customWidth="1"/>
    <col min="9993" max="9993" width="3.5546875" style="8" customWidth="1"/>
    <col min="9994" max="10238" width="9.109375" style="8"/>
    <col min="10239" max="10239" width="8.6640625" style="8" customWidth="1"/>
    <col min="10240" max="10240" width="9.88671875" style="8" customWidth="1"/>
    <col min="10241" max="10241" width="14.44140625" style="8" customWidth="1"/>
    <col min="10242" max="10242" width="7.33203125" style="8" customWidth="1"/>
    <col min="10243" max="10243" width="5.5546875" style="8" customWidth="1"/>
    <col min="10244" max="10244" width="9" style="8" customWidth="1"/>
    <col min="10245" max="10246" width="9.88671875" style="8" customWidth="1"/>
    <col min="10247" max="10247" width="11.109375" style="8" customWidth="1"/>
    <col min="10248" max="10248" width="2.88671875" style="8" customWidth="1"/>
    <col min="10249" max="10249" width="3.5546875" style="8" customWidth="1"/>
    <col min="10250" max="10494" width="9.109375" style="8"/>
    <col min="10495" max="10495" width="8.6640625" style="8" customWidth="1"/>
    <col min="10496" max="10496" width="9.88671875" style="8" customWidth="1"/>
    <col min="10497" max="10497" width="14.44140625" style="8" customWidth="1"/>
    <col min="10498" max="10498" width="7.33203125" style="8" customWidth="1"/>
    <col min="10499" max="10499" width="5.5546875" style="8" customWidth="1"/>
    <col min="10500" max="10500" width="9" style="8" customWidth="1"/>
    <col min="10501" max="10502" width="9.88671875" style="8" customWidth="1"/>
    <col min="10503" max="10503" width="11.109375" style="8" customWidth="1"/>
    <col min="10504" max="10504" width="2.88671875" style="8" customWidth="1"/>
    <col min="10505" max="10505" width="3.5546875" style="8" customWidth="1"/>
    <col min="10506" max="10750" width="9.109375" style="8"/>
    <col min="10751" max="10751" width="8.6640625" style="8" customWidth="1"/>
    <col min="10752" max="10752" width="9.88671875" style="8" customWidth="1"/>
    <col min="10753" max="10753" width="14.44140625" style="8" customWidth="1"/>
    <col min="10754" max="10754" width="7.33203125" style="8" customWidth="1"/>
    <col min="10755" max="10755" width="5.5546875" style="8" customWidth="1"/>
    <col min="10756" max="10756" width="9" style="8" customWidth="1"/>
    <col min="10757" max="10758" width="9.88671875" style="8" customWidth="1"/>
    <col min="10759" max="10759" width="11.109375" style="8" customWidth="1"/>
    <col min="10760" max="10760" width="2.88671875" style="8" customWidth="1"/>
    <col min="10761" max="10761" width="3.5546875" style="8" customWidth="1"/>
    <col min="10762" max="11006" width="9.109375" style="8"/>
    <col min="11007" max="11007" width="8.6640625" style="8" customWidth="1"/>
    <col min="11008" max="11008" width="9.88671875" style="8" customWidth="1"/>
    <col min="11009" max="11009" width="14.44140625" style="8" customWidth="1"/>
    <col min="11010" max="11010" width="7.33203125" style="8" customWidth="1"/>
    <col min="11011" max="11011" width="5.5546875" style="8" customWidth="1"/>
    <col min="11012" max="11012" width="9" style="8" customWidth="1"/>
    <col min="11013" max="11014" width="9.88671875" style="8" customWidth="1"/>
    <col min="11015" max="11015" width="11.109375" style="8" customWidth="1"/>
    <col min="11016" max="11016" width="2.88671875" style="8" customWidth="1"/>
    <col min="11017" max="11017" width="3.5546875" style="8" customWidth="1"/>
    <col min="11018" max="11262" width="9.109375" style="8"/>
    <col min="11263" max="11263" width="8.6640625" style="8" customWidth="1"/>
    <col min="11264" max="11264" width="9.88671875" style="8" customWidth="1"/>
    <col min="11265" max="11265" width="14.44140625" style="8" customWidth="1"/>
    <col min="11266" max="11266" width="7.33203125" style="8" customWidth="1"/>
    <col min="11267" max="11267" width="5.5546875" style="8" customWidth="1"/>
    <col min="11268" max="11268" width="9" style="8" customWidth="1"/>
    <col min="11269" max="11270" width="9.88671875" style="8" customWidth="1"/>
    <col min="11271" max="11271" width="11.109375" style="8" customWidth="1"/>
    <col min="11272" max="11272" width="2.88671875" style="8" customWidth="1"/>
    <col min="11273" max="11273" width="3.5546875" style="8" customWidth="1"/>
    <col min="11274" max="11518" width="9.109375" style="8"/>
    <col min="11519" max="11519" width="8.6640625" style="8" customWidth="1"/>
    <col min="11520" max="11520" width="9.88671875" style="8" customWidth="1"/>
    <col min="11521" max="11521" width="14.44140625" style="8" customWidth="1"/>
    <col min="11522" max="11522" width="7.33203125" style="8" customWidth="1"/>
    <col min="11523" max="11523" width="5.5546875" style="8" customWidth="1"/>
    <col min="11524" max="11524" width="9" style="8" customWidth="1"/>
    <col min="11525" max="11526" width="9.88671875" style="8" customWidth="1"/>
    <col min="11527" max="11527" width="11.109375" style="8" customWidth="1"/>
    <col min="11528" max="11528" width="2.88671875" style="8" customWidth="1"/>
    <col min="11529" max="11529" width="3.5546875" style="8" customWidth="1"/>
    <col min="11530" max="11774" width="9.109375" style="8"/>
    <col min="11775" max="11775" width="8.6640625" style="8" customWidth="1"/>
    <col min="11776" max="11776" width="9.88671875" style="8" customWidth="1"/>
    <col min="11777" max="11777" width="14.44140625" style="8" customWidth="1"/>
    <col min="11778" max="11778" width="7.33203125" style="8" customWidth="1"/>
    <col min="11779" max="11779" width="5.5546875" style="8" customWidth="1"/>
    <col min="11780" max="11780" width="9" style="8" customWidth="1"/>
    <col min="11781" max="11782" width="9.88671875" style="8" customWidth="1"/>
    <col min="11783" max="11783" width="11.109375" style="8" customWidth="1"/>
    <col min="11784" max="11784" width="2.88671875" style="8" customWidth="1"/>
    <col min="11785" max="11785" width="3.5546875" style="8" customWidth="1"/>
    <col min="11786" max="12030" width="9.109375" style="8"/>
    <col min="12031" max="12031" width="8.6640625" style="8" customWidth="1"/>
    <col min="12032" max="12032" width="9.88671875" style="8" customWidth="1"/>
    <col min="12033" max="12033" width="14.44140625" style="8" customWidth="1"/>
    <col min="12034" max="12034" width="7.33203125" style="8" customWidth="1"/>
    <col min="12035" max="12035" width="5.5546875" style="8" customWidth="1"/>
    <col min="12036" max="12036" width="9" style="8" customWidth="1"/>
    <col min="12037" max="12038" width="9.88671875" style="8" customWidth="1"/>
    <col min="12039" max="12039" width="11.109375" style="8" customWidth="1"/>
    <col min="12040" max="12040" width="2.88671875" style="8" customWidth="1"/>
    <col min="12041" max="12041" width="3.5546875" style="8" customWidth="1"/>
    <col min="12042" max="12286" width="9.109375" style="8"/>
    <col min="12287" max="12287" width="8.6640625" style="8" customWidth="1"/>
    <col min="12288" max="12288" width="9.88671875" style="8" customWidth="1"/>
    <col min="12289" max="12289" width="14.44140625" style="8" customWidth="1"/>
    <col min="12290" max="12290" width="7.33203125" style="8" customWidth="1"/>
    <col min="12291" max="12291" width="5.5546875" style="8" customWidth="1"/>
    <col min="12292" max="12292" width="9" style="8" customWidth="1"/>
    <col min="12293" max="12294" width="9.88671875" style="8" customWidth="1"/>
    <col min="12295" max="12295" width="11.109375" style="8" customWidth="1"/>
    <col min="12296" max="12296" width="2.88671875" style="8" customWidth="1"/>
    <col min="12297" max="12297" width="3.5546875" style="8" customWidth="1"/>
    <col min="12298" max="12542" width="9.109375" style="8"/>
    <col min="12543" max="12543" width="8.6640625" style="8" customWidth="1"/>
    <col min="12544" max="12544" width="9.88671875" style="8" customWidth="1"/>
    <col min="12545" max="12545" width="14.44140625" style="8" customWidth="1"/>
    <col min="12546" max="12546" width="7.33203125" style="8" customWidth="1"/>
    <col min="12547" max="12547" width="5.5546875" style="8" customWidth="1"/>
    <col min="12548" max="12548" width="9" style="8" customWidth="1"/>
    <col min="12549" max="12550" width="9.88671875" style="8" customWidth="1"/>
    <col min="12551" max="12551" width="11.109375" style="8" customWidth="1"/>
    <col min="12552" max="12552" width="2.88671875" style="8" customWidth="1"/>
    <col min="12553" max="12553" width="3.5546875" style="8" customWidth="1"/>
    <col min="12554" max="12798" width="9.109375" style="8"/>
    <col min="12799" max="12799" width="8.6640625" style="8" customWidth="1"/>
    <col min="12800" max="12800" width="9.88671875" style="8" customWidth="1"/>
    <col min="12801" max="12801" width="14.44140625" style="8" customWidth="1"/>
    <col min="12802" max="12802" width="7.33203125" style="8" customWidth="1"/>
    <col min="12803" max="12803" width="5.5546875" style="8" customWidth="1"/>
    <col min="12804" max="12804" width="9" style="8" customWidth="1"/>
    <col min="12805" max="12806" width="9.88671875" style="8" customWidth="1"/>
    <col min="12807" max="12807" width="11.109375" style="8" customWidth="1"/>
    <col min="12808" max="12808" width="2.88671875" style="8" customWidth="1"/>
    <col min="12809" max="12809" width="3.5546875" style="8" customWidth="1"/>
    <col min="12810" max="13054" width="9.109375" style="8"/>
    <col min="13055" max="13055" width="8.6640625" style="8" customWidth="1"/>
    <col min="13056" max="13056" width="9.88671875" style="8" customWidth="1"/>
    <col min="13057" max="13057" width="14.44140625" style="8" customWidth="1"/>
    <col min="13058" max="13058" width="7.33203125" style="8" customWidth="1"/>
    <col min="13059" max="13059" width="5.5546875" style="8" customWidth="1"/>
    <col min="13060" max="13060" width="9" style="8" customWidth="1"/>
    <col min="13061" max="13062" width="9.88671875" style="8" customWidth="1"/>
    <col min="13063" max="13063" width="11.109375" style="8" customWidth="1"/>
    <col min="13064" max="13064" width="2.88671875" style="8" customWidth="1"/>
    <col min="13065" max="13065" width="3.5546875" style="8" customWidth="1"/>
    <col min="13066" max="13310" width="9.109375" style="8"/>
    <col min="13311" max="13311" width="8.6640625" style="8" customWidth="1"/>
    <col min="13312" max="13312" width="9.88671875" style="8" customWidth="1"/>
    <col min="13313" max="13313" width="14.44140625" style="8" customWidth="1"/>
    <col min="13314" max="13314" width="7.33203125" style="8" customWidth="1"/>
    <col min="13315" max="13315" width="5.5546875" style="8" customWidth="1"/>
    <col min="13316" max="13316" width="9" style="8" customWidth="1"/>
    <col min="13317" max="13318" width="9.88671875" style="8" customWidth="1"/>
    <col min="13319" max="13319" width="11.109375" style="8" customWidth="1"/>
    <col min="13320" max="13320" width="2.88671875" style="8" customWidth="1"/>
    <col min="13321" max="13321" width="3.5546875" style="8" customWidth="1"/>
    <col min="13322" max="13566" width="9.109375" style="8"/>
    <col min="13567" max="13567" width="8.6640625" style="8" customWidth="1"/>
    <col min="13568" max="13568" width="9.88671875" style="8" customWidth="1"/>
    <col min="13569" max="13569" width="14.44140625" style="8" customWidth="1"/>
    <col min="13570" max="13570" width="7.33203125" style="8" customWidth="1"/>
    <col min="13571" max="13571" width="5.5546875" style="8" customWidth="1"/>
    <col min="13572" max="13572" width="9" style="8" customWidth="1"/>
    <col min="13573" max="13574" width="9.88671875" style="8" customWidth="1"/>
    <col min="13575" max="13575" width="11.109375" style="8" customWidth="1"/>
    <col min="13576" max="13576" width="2.88671875" style="8" customWidth="1"/>
    <col min="13577" max="13577" width="3.5546875" style="8" customWidth="1"/>
    <col min="13578" max="13822" width="9.109375" style="8"/>
    <col min="13823" max="13823" width="8.6640625" style="8" customWidth="1"/>
    <col min="13824" max="13824" width="9.88671875" style="8" customWidth="1"/>
    <col min="13825" max="13825" width="14.44140625" style="8" customWidth="1"/>
    <col min="13826" max="13826" width="7.33203125" style="8" customWidth="1"/>
    <col min="13827" max="13827" width="5.5546875" style="8" customWidth="1"/>
    <col min="13828" max="13828" width="9" style="8" customWidth="1"/>
    <col min="13829" max="13830" width="9.88671875" style="8" customWidth="1"/>
    <col min="13831" max="13831" width="11.109375" style="8" customWidth="1"/>
    <col min="13832" max="13832" width="2.88671875" style="8" customWidth="1"/>
    <col min="13833" max="13833" width="3.5546875" style="8" customWidth="1"/>
    <col min="13834" max="14078" width="9.109375" style="8"/>
    <col min="14079" max="14079" width="8.6640625" style="8" customWidth="1"/>
    <col min="14080" max="14080" width="9.88671875" style="8" customWidth="1"/>
    <col min="14081" max="14081" width="14.44140625" style="8" customWidth="1"/>
    <col min="14082" max="14082" width="7.33203125" style="8" customWidth="1"/>
    <col min="14083" max="14083" width="5.5546875" style="8" customWidth="1"/>
    <col min="14084" max="14084" width="9" style="8" customWidth="1"/>
    <col min="14085" max="14086" width="9.88671875" style="8" customWidth="1"/>
    <col min="14087" max="14087" width="11.109375" style="8" customWidth="1"/>
    <col min="14088" max="14088" width="2.88671875" style="8" customWidth="1"/>
    <col min="14089" max="14089" width="3.5546875" style="8" customWidth="1"/>
    <col min="14090" max="14334" width="9.109375" style="8"/>
    <col min="14335" max="14335" width="8.6640625" style="8" customWidth="1"/>
    <col min="14336" max="14336" width="9.88671875" style="8" customWidth="1"/>
    <col min="14337" max="14337" width="14.44140625" style="8" customWidth="1"/>
    <col min="14338" max="14338" width="7.33203125" style="8" customWidth="1"/>
    <col min="14339" max="14339" width="5.5546875" style="8" customWidth="1"/>
    <col min="14340" max="14340" width="9" style="8" customWidth="1"/>
    <col min="14341" max="14342" width="9.88671875" style="8" customWidth="1"/>
    <col min="14343" max="14343" width="11.109375" style="8" customWidth="1"/>
    <col min="14344" max="14344" width="2.88671875" style="8" customWidth="1"/>
    <col min="14345" max="14345" width="3.5546875" style="8" customWidth="1"/>
    <col min="14346" max="14590" width="9.109375" style="8"/>
    <col min="14591" max="14591" width="8.6640625" style="8" customWidth="1"/>
    <col min="14592" max="14592" width="9.88671875" style="8" customWidth="1"/>
    <col min="14593" max="14593" width="14.44140625" style="8" customWidth="1"/>
    <col min="14594" max="14594" width="7.33203125" style="8" customWidth="1"/>
    <col min="14595" max="14595" width="5.5546875" style="8" customWidth="1"/>
    <col min="14596" max="14596" width="9" style="8" customWidth="1"/>
    <col min="14597" max="14598" width="9.88671875" style="8" customWidth="1"/>
    <col min="14599" max="14599" width="11.109375" style="8" customWidth="1"/>
    <col min="14600" max="14600" width="2.88671875" style="8" customWidth="1"/>
    <col min="14601" max="14601" width="3.5546875" style="8" customWidth="1"/>
    <col min="14602" max="14846" width="9.109375" style="8"/>
    <col min="14847" max="14847" width="8.6640625" style="8" customWidth="1"/>
    <col min="14848" max="14848" width="9.88671875" style="8" customWidth="1"/>
    <col min="14849" max="14849" width="14.44140625" style="8" customWidth="1"/>
    <col min="14850" max="14850" width="7.33203125" style="8" customWidth="1"/>
    <col min="14851" max="14851" width="5.5546875" style="8" customWidth="1"/>
    <col min="14852" max="14852" width="9" style="8" customWidth="1"/>
    <col min="14853" max="14854" width="9.88671875" style="8" customWidth="1"/>
    <col min="14855" max="14855" width="11.109375" style="8" customWidth="1"/>
    <col min="14856" max="14856" width="2.88671875" style="8" customWidth="1"/>
    <col min="14857" max="14857" width="3.5546875" style="8" customWidth="1"/>
    <col min="14858" max="15102" width="9.109375" style="8"/>
    <col min="15103" max="15103" width="8.6640625" style="8" customWidth="1"/>
    <col min="15104" max="15104" width="9.88671875" style="8" customWidth="1"/>
    <col min="15105" max="15105" width="14.44140625" style="8" customWidth="1"/>
    <col min="15106" max="15106" width="7.33203125" style="8" customWidth="1"/>
    <col min="15107" max="15107" width="5.5546875" style="8" customWidth="1"/>
    <col min="15108" max="15108" width="9" style="8" customWidth="1"/>
    <col min="15109" max="15110" width="9.88671875" style="8" customWidth="1"/>
    <col min="15111" max="15111" width="11.109375" style="8" customWidth="1"/>
    <col min="15112" max="15112" width="2.88671875" style="8" customWidth="1"/>
    <col min="15113" max="15113" width="3.5546875" style="8" customWidth="1"/>
    <col min="15114" max="15358" width="9.109375" style="8"/>
    <col min="15359" max="15359" width="8.6640625" style="8" customWidth="1"/>
    <col min="15360" max="15360" width="9.88671875" style="8" customWidth="1"/>
    <col min="15361" max="15361" width="14.44140625" style="8" customWidth="1"/>
    <col min="15362" max="15362" width="7.33203125" style="8" customWidth="1"/>
    <col min="15363" max="15363" width="5.5546875" style="8" customWidth="1"/>
    <col min="15364" max="15364" width="9" style="8" customWidth="1"/>
    <col min="15365" max="15366" width="9.88671875" style="8" customWidth="1"/>
    <col min="15367" max="15367" width="11.109375" style="8" customWidth="1"/>
    <col min="15368" max="15368" width="2.88671875" style="8" customWidth="1"/>
    <col min="15369" max="15369" width="3.5546875" style="8" customWidth="1"/>
    <col min="15370" max="15614" width="9.109375" style="8"/>
    <col min="15615" max="15615" width="8.6640625" style="8" customWidth="1"/>
    <col min="15616" max="15616" width="9.88671875" style="8" customWidth="1"/>
    <col min="15617" max="15617" width="14.44140625" style="8" customWidth="1"/>
    <col min="15618" max="15618" width="7.33203125" style="8" customWidth="1"/>
    <col min="15619" max="15619" width="5.5546875" style="8" customWidth="1"/>
    <col min="15620" max="15620" width="9" style="8" customWidth="1"/>
    <col min="15621" max="15622" width="9.88671875" style="8" customWidth="1"/>
    <col min="15623" max="15623" width="11.109375" style="8" customWidth="1"/>
    <col min="15624" max="15624" width="2.88671875" style="8" customWidth="1"/>
    <col min="15625" max="15625" width="3.5546875" style="8" customWidth="1"/>
    <col min="15626" max="15870" width="9.109375" style="8"/>
    <col min="15871" max="15871" width="8.6640625" style="8" customWidth="1"/>
    <col min="15872" max="15872" width="9.88671875" style="8" customWidth="1"/>
    <col min="15873" max="15873" width="14.44140625" style="8" customWidth="1"/>
    <col min="15874" max="15874" width="7.33203125" style="8" customWidth="1"/>
    <col min="15875" max="15875" width="5.5546875" style="8" customWidth="1"/>
    <col min="15876" max="15876" width="9" style="8" customWidth="1"/>
    <col min="15877" max="15878" width="9.88671875" style="8" customWidth="1"/>
    <col min="15879" max="15879" width="11.109375" style="8" customWidth="1"/>
    <col min="15880" max="15880" width="2.88671875" style="8" customWidth="1"/>
    <col min="15881" max="15881" width="3.5546875" style="8" customWidth="1"/>
    <col min="15882" max="16126" width="9.109375" style="8"/>
    <col min="16127" max="16127" width="8.6640625" style="8" customWidth="1"/>
    <col min="16128" max="16128" width="9.88671875" style="8" customWidth="1"/>
    <col min="16129" max="16129" width="14.44140625" style="8" customWidth="1"/>
    <col min="16130" max="16130" width="7.33203125" style="8" customWidth="1"/>
    <col min="16131" max="16131" width="5.5546875" style="8" customWidth="1"/>
    <col min="16132" max="16132" width="9" style="8" customWidth="1"/>
    <col min="16133" max="16134" width="9.88671875" style="8" customWidth="1"/>
    <col min="16135" max="16135" width="11.109375" style="8" customWidth="1"/>
    <col min="16136" max="16136" width="2.88671875" style="8" customWidth="1"/>
    <col min="16137" max="16137" width="3.5546875" style="8" customWidth="1"/>
    <col min="16138" max="16384" width="9.109375" style="8"/>
  </cols>
  <sheetData>
    <row r="1" spans="1:8" ht="46.5" customHeight="1" x14ac:dyDescent="0.3">
      <c r="A1" s="146" t="s">
        <v>229</v>
      </c>
      <c r="B1" s="146"/>
      <c r="C1" s="146"/>
      <c r="D1" s="146"/>
      <c r="E1" s="146"/>
      <c r="F1" s="146"/>
      <c r="G1" s="146"/>
      <c r="H1" s="146"/>
    </row>
    <row r="2" spans="1:8" ht="16.5" customHeight="1" x14ac:dyDescent="0.3">
      <c r="A2" s="147" t="s">
        <v>0</v>
      </c>
      <c r="B2" s="147"/>
      <c r="C2" s="147"/>
      <c r="D2" s="147"/>
      <c r="E2" s="147"/>
      <c r="F2" s="147"/>
      <c r="G2" s="147"/>
      <c r="H2" s="147"/>
    </row>
    <row r="3" spans="1:8" x14ac:dyDescent="0.3">
      <c r="A3" s="120" t="s">
        <v>1</v>
      </c>
      <c r="B3" s="120"/>
      <c r="C3" s="120"/>
      <c r="D3" s="120"/>
      <c r="E3" s="148" t="str">
        <f ca="1">TEXT(TODAY(),"DD/MM/YYYY")</f>
        <v>13/07/2025</v>
      </c>
      <c r="F3" s="148"/>
      <c r="G3" s="148"/>
      <c r="H3" s="148"/>
    </row>
    <row r="4" spans="1:8" ht="15" customHeight="1" x14ac:dyDescent="0.3">
      <c r="A4" s="120" t="s">
        <v>2</v>
      </c>
      <c r="B4" s="120"/>
      <c r="C4" s="120"/>
      <c r="D4" s="120"/>
      <c r="E4" s="144" t="s">
        <v>176</v>
      </c>
      <c r="F4" s="144"/>
      <c r="G4" s="144"/>
      <c r="H4" s="144"/>
    </row>
    <row r="5" spans="1:8" x14ac:dyDescent="0.3">
      <c r="A5" s="120" t="s">
        <v>3</v>
      </c>
      <c r="B5" s="120"/>
      <c r="C5" s="120"/>
      <c r="D5" s="120"/>
      <c r="E5" s="148">
        <v>45848</v>
      </c>
      <c r="F5" s="148"/>
      <c r="G5" s="148"/>
      <c r="H5" s="148"/>
    </row>
    <row r="6" spans="1:8" ht="16.5" customHeight="1" x14ac:dyDescent="0.3">
      <c r="A6" s="120" t="s">
        <v>4</v>
      </c>
      <c r="B6" s="120"/>
      <c r="C6" s="120"/>
      <c r="D6" s="120"/>
      <c r="E6" s="113" t="s">
        <v>177</v>
      </c>
      <c r="F6" s="113"/>
      <c r="G6" s="113"/>
      <c r="H6" s="113"/>
    </row>
    <row r="7" spans="1:8" ht="15" customHeight="1" x14ac:dyDescent="0.3">
      <c r="A7" s="120" t="s">
        <v>5</v>
      </c>
      <c r="B7" s="120"/>
      <c r="C7" s="120"/>
      <c r="D7" s="120"/>
      <c r="E7" s="113" t="str">
        <f>E6</f>
        <v>M/s.Giriraj Realtors</v>
      </c>
      <c r="F7" s="113"/>
      <c r="G7" s="113"/>
      <c r="H7" s="113"/>
    </row>
    <row r="8" spans="1:8" x14ac:dyDescent="0.3">
      <c r="A8" s="120" t="s">
        <v>6</v>
      </c>
      <c r="B8" s="120"/>
      <c r="C8" s="120"/>
      <c r="D8" s="120"/>
      <c r="E8" s="101" t="s">
        <v>178</v>
      </c>
      <c r="F8" s="101"/>
      <c r="G8" s="101"/>
      <c r="H8" s="101"/>
    </row>
    <row r="9" spans="1:8" x14ac:dyDescent="0.3">
      <c r="A9" s="120" t="s">
        <v>173</v>
      </c>
      <c r="B9" s="120"/>
      <c r="C9" s="120"/>
      <c r="D9" s="120"/>
      <c r="E9" s="120">
        <v>9923001101</v>
      </c>
      <c r="F9" s="120"/>
      <c r="G9" s="120"/>
      <c r="H9" s="120"/>
    </row>
    <row r="10" spans="1:8" x14ac:dyDescent="0.3">
      <c r="A10" s="120" t="s">
        <v>232</v>
      </c>
      <c r="B10" s="120"/>
      <c r="C10" s="120"/>
      <c r="D10" s="120"/>
      <c r="E10" s="120" t="s">
        <v>233</v>
      </c>
      <c r="F10" s="120"/>
      <c r="G10" s="120"/>
      <c r="H10" s="120"/>
    </row>
    <row r="11" spans="1:8" x14ac:dyDescent="0.3">
      <c r="A11" s="120" t="s">
        <v>7</v>
      </c>
      <c r="B11" s="120"/>
      <c r="C11" s="120"/>
      <c r="D11" s="120"/>
      <c r="E11" s="120" t="s">
        <v>194</v>
      </c>
      <c r="F11" s="120"/>
      <c r="G11" s="120"/>
      <c r="H11" s="120"/>
    </row>
    <row r="12" spans="1:8" x14ac:dyDescent="0.3">
      <c r="A12" s="120" t="s">
        <v>8</v>
      </c>
      <c r="B12" s="120"/>
      <c r="C12" s="120"/>
      <c r="D12" s="120"/>
      <c r="E12" s="113" t="s">
        <v>202</v>
      </c>
      <c r="F12" s="113"/>
      <c r="G12" s="113"/>
      <c r="H12" s="113"/>
    </row>
    <row r="13" spans="1:8" x14ac:dyDescent="0.3">
      <c r="A13" s="120" t="s">
        <v>9</v>
      </c>
      <c r="B13" s="120"/>
      <c r="C13" s="120"/>
      <c r="D13" s="120"/>
      <c r="E13" s="113" t="s">
        <v>180</v>
      </c>
      <c r="F13" s="120"/>
      <c r="G13" s="120"/>
      <c r="H13" s="120"/>
    </row>
    <row r="14" spans="1:8" ht="48" customHeight="1" x14ac:dyDescent="0.3">
      <c r="A14" s="113" t="s">
        <v>10</v>
      </c>
      <c r="B14" s="113"/>
      <c r="C14" s="113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Sarvoday Greens, CTS No. 89/2/1, 90/3, 90/4, 110/1, 110/1/2, 110/2, 110/1/6, 110/1/7, 107/1, 107/2, near Amrutvani Complex, Sonale Bhadwad Road, Temghar, Bhiwandi, Bhiwandi, Thane.</v>
      </c>
      <c r="D14" s="113"/>
      <c r="E14" s="113"/>
      <c r="F14" s="113"/>
      <c r="G14" s="113"/>
      <c r="H14" s="113"/>
    </row>
    <row r="15" spans="1:8" x14ac:dyDescent="0.3">
      <c r="A15" s="113" t="s">
        <v>182</v>
      </c>
      <c r="B15" s="113"/>
      <c r="C15" s="113" t="s">
        <v>181</v>
      </c>
      <c r="D15" s="113"/>
      <c r="E15" s="113"/>
      <c r="F15" s="113"/>
      <c r="G15" s="113"/>
      <c r="H15" s="113"/>
    </row>
    <row r="16" spans="1:8" ht="15.75" customHeight="1" x14ac:dyDescent="0.3">
      <c r="A16" s="113" t="s">
        <v>11</v>
      </c>
      <c r="B16" s="113"/>
      <c r="C16" s="120" t="s">
        <v>179</v>
      </c>
      <c r="D16" s="120"/>
      <c r="E16" s="113" t="s">
        <v>111</v>
      </c>
      <c r="F16" s="113"/>
      <c r="G16" s="113" t="s">
        <v>183</v>
      </c>
      <c r="H16" s="113"/>
    </row>
    <row r="17" spans="1:8" x14ac:dyDescent="0.3">
      <c r="A17" s="120" t="s">
        <v>13</v>
      </c>
      <c r="B17" s="120"/>
      <c r="C17" s="113" t="s">
        <v>185</v>
      </c>
      <c r="D17" s="113"/>
      <c r="E17" s="113" t="s">
        <v>12</v>
      </c>
      <c r="F17" s="113"/>
      <c r="G17" s="141" t="s">
        <v>184</v>
      </c>
      <c r="H17" s="141"/>
    </row>
    <row r="18" spans="1:8" x14ac:dyDescent="0.3">
      <c r="A18" s="120" t="s">
        <v>112</v>
      </c>
      <c r="B18" s="120"/>
      <c r="C18" s="113" t="s">
        <v>185</v>
      </c>
      <c r="D18" s="113"/>
      <c r="E18" s="113" t="s">
        <v>14</v>
      </c>
      <c r="F18" s="113"/>
      <c r="G18" s="113">
        <v>421302</v>
      </c>
      <c r="H18" s="113"/>
    </row>
    <row r="19" spans="1:8" ht="32.25" customHeight="1" x14ac:dyDescent="0.3">
      <c r="A19" s="120" t="s">
        <v>175</v>
      </c>
      <c r="B19" s="120"/>
      <c r="C19" s="114" t="s">
        <v>190</v>
      </c>
      <c r="D19" s="114"/>
      <c r="E19" s="113" t="s">
        <v>15</v>
      </c>
      <c r="F19" s="113"/>
      <c r="G19" s="113" t="s">
        <v>191</v>
      </c>
      <c r="H19" s="113"/>
    </row>
    <row r="20" spans="1:8" ht="15" customHeight="1" x14ac:dyDescent="0.3">
      <c r="A20" s="113" t="s">
        <v>116</v>
      </c>
      <c r="B20" s="113"/>
      <c r="C20" s="113"/>
      <c r="D20" s="113"/>
      <c r="E20" s="120" t="s">
        <v>16</v>
      </c>
      <c r="F20" s="120"/>
      <c r="G20" s="120"/>
      <c r="H20" s="120"/>
    </row>
    <row r="21" spans="1:8" ht="18.75" customHeight="1" x14ac:dyDescent="0.3">
      <c r="A21" s="113"/>
      <c r="B21" s="113"/>
      <c r="C21" s="113"/>
      <c r="D21" s="113"/>
      <c r="E21" s="120"/>
      <c r="F21" s="120"/>
      <c r="G21" s="120"/>
      <c r="H21" s="120"/>
    </row>
    <row r="22" spans="1:8" ht="15" customHeight="1" x14ac:dyDescent="0.3">
      <c r="A22" s="113" t="s">
        <v>17</v>
      </c>
      <c r="B22" s="113"/>
      <c r="C22" s="113"/>
      <c r="D22" s="113"/>
      <c r="E22" s="113" t="s">
        <v>18</v>
      </c>
      <c r="F22" s="113"/>
      <c r="G22" s="113"/>
      <c r="H22" s="113"/>
    </row>
    <row r="23" spans="1:8" ht="15" customHeight="1" x14ac:dyDescent="0.3">
      <c r="A23" s="120" t="s">
        <v>19</v>
      </c>
      <c r="B23" s="120"/>
      <c r="C23" s="120"/>
      <c r="D23" s="120"/>
      <c r="E23" s="113" t="str">
        <f>IF(AND(G17="Mumbai"),"Upper Class","Middle Class")</f>
        <v>Middle Class</v>
      </c>
      <c r="F23" s="113"/>
      <c r="G23" s="113"/>
      <c r="H23" s="113"/>
    </row>
    <row r="24" spans="1:8" x14ac:dyDescent="0.3">
      <c r="A24" s="120" t="s">
        <v>20</v>
      </c>
      <c r="B24" s="120"/>
      <c r="C24" s="120"/>
      <c r="D24" s="120"/>
      <c r="E24" s="113" t="s">
        <v>21</v>
      </c>
      <c r="F24" s="113"/>
      <c r="G24" s="113"/>
      <c r="H24" s="113"/>
    </row>
    <row r="25" spans="1:8" ht="15.75" customHeight="1" x14ac:dyDescent="0.3">
      <c r="A25" s="120" t="s">
        <v>22</v>
      </c>
      <c r="B25" s="120"/>
      <c r="C25" s="120"/>
      <c r="D25" s="120"/>
      <c r="E25" s="113" t="str">
        <f>IF(AND(G17="Mumbai"),"Developed","Developing")</f>
        <v>Developing</v>
      </c>
      <c r="F25" s="113"/>
      <c r="G25" s="113"/>
      <c r="H25" s="113"/>
    </row>
    <row r="26" spans="1:8" x14ac:dyDescent="0.3">
      <c r="A26" s="120" t="s">
        <v>23</v>
      </c>
      <c r="B26" s="120"/>
      <c r="C26" s="120"/>
      <c r="D26" s="120"/>
      <c r="E26" s="113" t="s">
        <v>24</v>
      </c>
      <c r="F26" s="113"/>
      <c r="G26" s="113"/>
      <c r="H26" s="113"/>
    </row>
    <row r="27" spans="1:8" x14ac:dyDescent="0.3">
      <c r="A27" s="120" t="s">
        <v>121</v>
      </c>
      <c r="B27" s="120"/>
      <c r="C27" s="120"/>
      <c r="D27" s="120"/>
      <c r="E27" s="113" t="s">
        <v>122</v>
      </c>
      <c r="F27" s="113"/>
      <c r="G27" s="113"/>
      <c r="H27" s="113"/>
    </row>
    <row r="28" spans="1:8" ht="15" customHeight="1" x14ac:dyDescent="0.3">
      <c r="A28" s="113" t="s">
        <v>35</v>
      </c>
      <c r="B28" s="113"/>
      <c r="C28" s="113"/>
      <c r="D28" s="113"/>
      <c r="E28" s="144" t="s">
        <v>201</v>
      </c>
      <c r="F28" s="144"/>
      <c r="G28" s="144"/>
      <c r="H28" s="144"/>
    </row>
    <row r="29" spans="1:8" x14ac:dyDescent="0.3">
      <c r="A29" s="113" t="s">
        <v>134</v>
      </c>
      <c r="B29" s="113"/>
      <c r="C29" s="113"/>
      <c r="D29" s="113"/>
      <c r="E29" s="113" t="s">
        <v>36</v>
      </c>
      <c r="F29" s="113"/>
      <c r="G29" s="113"/>
      <c r="H29" s="113"/>
    </row>
    <row r="30" spans="1:8" s="12" customFormat="1" x14ac:dyDescent="0.3">
      <c r="A30" s="150" t="s">
        <v>135</v>
      </c>
      <c r="B30" s="150"/>
      <c r="C30" s="149" t="s">
        <v>29</v>
      </c>
      <c r="D30" s="149"/>
      <c r="E30" s="149"/>
      <c r="F30" s="149" t="s">
        <v>31</v>
      </c>
      <c r="G30" s="149"/>
      <c r="H30" s="149"/>
    </row>
    <row r="31" spans="1:8" s="12" customFormat="1" x14ac:dyDescent="0.3">
      <c r="A31" s="143" t="s">
        <v>25</v>
      </c>
      <c r="B31" s="143" t="s">
        <v>30</v>
      </c>
      <c r="C31" s="142" t="s">
        <v>30</v>
      </c>
      <c r="D31" s="142"/>
      <c r="E31" s="142"/>
      <c r="F31" s="142" t="s">
        <v>187</v>
      </c>
      <c r="G31" s="142"/>
      <c r="H31" s="142"/>
    </row>
    <row r="32" spans="1:8" x14ac:dyDescent="0.3">
      <c r="A32" s="143" t="s">
        <v>26</v>
      </c>
      <c r="B32" s="143" t="s">
        <v>30</v>
      </c>
      <c r="C32" s="142" t="s">
        <v>30</v>
      </c>
      <c r="D32" s="142"/>
      <c r="E32" s="142"/>
      <c r="F32" s="142" t="s">
        <v>189</v>
      </c>
      <c r="G32" s="142"/>
      <c r="H32" s="142"/>
    </row>
    <row r="33" spans="1:8" s="12" customFormat="1" x14ac:dyDescent="0.3">
      <c r="A33" s="143" t="s">
        <v>28</v>
      </c>
      <c r="B33" s="143" t="s">
        <v>30</v>
      </c>
      <c r="C33" s="142" t="s">
        <v>30</v>
      </c>
      <c r="D33" s="142"/>
      <c r="E33" s="142"/>
      <c r="F33" s="142" t="s">
        <v>186</v>
      </c>
      <c r="G33" s="142"/>
      <c r="H33" s="142"/>
    </row>
    <row r="34" spans="1:8" x14ac:dyDescent="0.3">
      <c r="A34" s="143" t="s">
        <v>27</v>
      </c>
      <c r="B34" s="143" t="s">
        <v>30</v>
      </c>
      <c r="C34" s="142" t="s">
        <v>30</v>
      </c>
      <c r="D34" s="142"/>
      <c r="E34" s="142"/>
      <c r="F34" s="142" t="s">
        <v>188</v>
      </c>
      <c r="G34" s="142"/>
      <c r="H34" s="142"/>
    </row>
    <row r="35" spans="1:8" x14ac:dyDescent="0.3">
      <c r="A35" s="120" t="s">
        <v>32</v>
      </c>
      <c r="B35" s="120"/>
      <c r="C35" s="120"/>
      <c r="D35" s="120"/>
      <c r="E35" s="120"/>
      <c r="F35" s="120"/>
      <c r="G35" s="120"/>
      <c r="H35" s="120"/>
    </row>
    <row r="36" spans="1:8" ht="15.75" customHeight="1" x14ac:dyDescent="0.3">
      <c r="A36" s="149" t="s">
        <v>33</v>
      </c>
      <c r="B36" s="149"/>
      <c r="C36" s="143">
        <v>19.283007099999999</v>
      </c>
      <c r="D36" s="143"/>
      <c r="E36" s="149" t="s">
        <v>34</v>
      </c>
      <c r="F36" s="149"/>
      <c r="G36" s="142">
        <v>73.073298399999999</v>
      </c>
      <c r="H36" s="142"/>
    </row>
    <row r="37" spans="1:8" ht="15.75" customHeight="1" x14ac:dyDescent="0.3">
      <c r="A37" s="149" t="s">
        <v>227</v>
      </c>
      <c r="B37" s="149"/>
      <c r="C37" s="151" t="s">
        <v>228</v>
      </c>
      <c r="D37" s="152"/>
      <c r="E37" s="152"/>
      <c r="F37" s="152"/>
      <c r="G37" s="152"/>
      <c r="H37" s="153"/>
    </row>
    <row r="38" spans="1:8" x14ac:dyDescent="0.3">
      <c r="A38" s="98" t="s">
        <v>37</v>
      </c>
      <c r="B38" s="98"/>
      <c r="C38" s="98"/>
      <c r="D38" s="98"/>
      <c r="E38" s="98"/>
      <c r="F38" s="98"/>
      <c r="G38" s="98"/>
      <c r="H38" s="98"/>
    </row>
    <row r="39" spans="1:8" x14ac:dyDescent="0.3">
      <c r="A39" s="99" t="s">
        <v>38</v>
      </c>
      <c r="B39" s="99"/>
      <c r="C39" s="99"/>
      <c r="D39" s="99"/>
      <c r="E39" s="145">
        <v>10163.959999999999</v>
      </c>
      <c r="F39" s="145"/>
      <c r="G39" s="145"/>
      <c r="H39" s="145"/>
    </row>
    <row r="40" spans="1:8" x14ac:dyDescent="0.3">
      <c r="A40" s="99" t="s">
        <v>39</v>
      </c>
      <c r="B40" s="99"/>
      <c r="C40" s="99"/>
      <c r="D40" s="99"/>
      <c r="E40" s="139">
        <v>1</v>
      </c>
      <c r="F40" s="139"/>
      <c r="G40" s="139"/>
      <c r="H40" s="139"/>
    </row>
    <row r="41" spans="1:8" x14ac:dyDescent="0.3">
      <c r="A41" s="99" t="s">
        <v>40</v>
      </c>
      <c r="B41" s="99"/>
      <c r="C41" s="99"/>
      <c r="D41" s="99"/>
      <c r="E41" s="139">
        <f>E43/E39-E40</f>
        <v>0</v>
      </c>
      <c r="F41" s="139"/>
      <c r="G41" s="139"/>
      <c r="H41" s="139"/>
    </row>
    <row r="42" spans="1:8" x14ac:dyDescent="0.3">
      <c r="A42" s="99" t="s">
        <v>41</v>
      </c>
      <c r="B42" s="99"/>
      <c r="C42" s="99"/>
      <c r="D42" s="99"/>
      <c r="E42" s="139">
        <f>E40+E41</f>
        <v>1</v>
      </c>
      <c r="F42" s="139"/>
      <c r="G42" s="139"/>
      <c r="H42" s="139"/>
    </row>
    <row r="43" spans="1:8" x14ac:dyDescent="0.3">
      <c r="A43" s="99" t="s">
        <v>133</v>
      </c>
      <c r="B43" s="99"/>
      <c r="C43" s="99"/>
      <c r="D43" s="99"/>
      <c r="E43" s="140">
        <v>10163.959999999999</v>
      </c>
      <c r="F43" s="140"/>
      <c r="G43" s="140"/>
      <c r="H43" s="140"/>
    </row>
    <row r="44" spans="1:8" x14ac:dyDescent="0.3">
      <c r="A44" s="120" t="s">
        <v>42</v>
      </c>
      <c r="B44" s="120"/>
      <c r="C44" s="120"/>
      <c r="D44" s="120"/>
      <c r="E44" s="120" t="s">
        <v>174</v>
      </c>
      <c r="F44" s="120"/>
      <c r="G44" s="120"/>
      <c r="H44" s="120"/>
    </row>
    <row r="45" spans="1:8" x14ac:dyDescent="0.3">
      <c r="A45" s="98" t="s">
        <v>43</v>
      </c>
      <c r="B45" s="98"/>
      <c r="C45" s="98"/>
      <c r="D45" s="98"/>
      <c r="E45" s="98"/>
      <c r="F45" s="98"/>
      <c r="G45" s="98"/>
      <c r="H45" s="98"/>
    </row>
    <row r="46" spans="1:8" x14ac:dyDescent="0.3">
      <c r="A46" s="113" t="s">
        <v>44</v>
      </c>
      <c r="B46" s="113"/>
      <c r="C46" s="114" t="s">
        <v>192</v>
      </c>
      <c r="D46" s="114"/>
      <c r="E46" s="114"/>
      <c r="F46" s="65" t="s">
        <v>45</v>
      </c>
      <c r="G46" s="115" t="s">
        <v>193</v>
      </c>
      <c r="H46" s="115"/>
    </row>
    <row r="47" spans="1:8" x14ac:dyDescent="0.3">
      <c r="A47" s="120" t="s">
        <v>46</v>
      </c>
      <c r="B47" s="120"/>
      <c r="C47" s="114" t="str">
        <f>C46</f>
        <v>B.P.No./39/2019-2020/NRV/2506</v>
      </c>
      <c r="D47" s="114"/>
      <c r="E47" s="114"/>
      <c r="F47" s="65" t="s">
        <v>45</v>
      </c>
      <c r="G47" s="115" t="str">
        <f>G46</f>
        <v>20/08/2019.</v>
      </c>
      <c r="H47" s="115"/>
    </row>
    <row r="48" spans="1:8" s="11" customFormat="1" x14ac:dyDescent="0.3">
      <c r="A48" s="113" t="s">
        <v>47</v>
      </c>
      <c r="B48" s="113"/>
      <c r="C48" s="114" t="s">
        <v>224</v>
      </c>
      <c r="D48" s="116"/>
      <c r="E48" s="116"/>
      <c r="F48" s="14" t="s">
        <v>45</v>
      </c>
      <c r="G48" s="115">
        <v>44488</v>
      </c>
      <c r="H48" s="115"/>
    </row>
    <row r="49" spans="1:11" s="11" customFormat="1" x14ac:dyDescent="0.3">
      <c r="A49" s="113"/>
      <c r="B49" s="113"/>
      <c r="C49" s="124" t="s">
        <v>225</v>
      </c>
      <c r="D49" s="125"/>
      <c r="E49" s="125"/>
      <c r="F49" s="125"/>
      <c r="G49" s="125"/>
      <c r="H49" s="126"/>
    </row>
    <row r="50" spans="1:11" x14ac:dyDescent="0.3">
      <c r="A50" s="102" t="s">
        <v>48</v>
      </c>
      <c r="B50" s="102"/>
      <c r="C50" s="122" t="s">
        <v>153</v>
      </c>
      <c r="D50" s="100"/>
      <c r="E50" s="100" t="s">
        <v>49</v>
      </c>
      <c r="F50" s="66" t="s">
        <v>45</v>
      </c>
      <c r="G50" s="121" t="s">
        <v>30</v>
      </c>
      <c r="H50" s="121"/>
    </row>
    <row r="51" spans="1:11" x14ac:dyDescent="0.3">
      <c r="A51" s="123" t="s">
        <v>51</v>
      </c>
      <c r="B51" s="123"/>
      <c r="C51" s="123"/>
      <c r="D51" s="123"/>
      <c r="E51" s="123"/>
      <c r="F51" s="123"/>
      <c r="G51" s="123"/>
      <c r="H51" s="123"/>
    </row>
    <row r="52" spans="1:11" x14ac:dyDescent="0.3">
      <c r="A52" s="103" t="s">
        <v>132</v>
      </c>
      <c r="B52" s="103"/>
      <c r="C52" s="103"/>
      <c r="D52" s="99">
        <v>5711.42</v>
      </c>
      <c r="E52" s="99"/>
      <c r="F52" s="99"/>
      <c r="G52" s="99"/>
      <c r="H52" s="99"/>
    </row>
    <row r="53" spans="1:11" x14ac:dyDescent="0.3">
      <c r="A53" s="113" t="s">
        <v>52</v>
      </c>
      <c r="B53" s="120"/>
      <c r="C53" s="120"/>
      <c r="D53" s="120" t="s">
        <v>204</v>
      </c>
      <c r="E53" s="120"/>
      <c r="F53" s="120"/>
      <c r="G53" s="120"/>
      <c r="H53" s="120"/>
    </row>
    <row r="54" spans="1:11" x14ac:dyDescent="0.3">
      <c r="A54" s="113" t="s">
        <v>53</v>
      </c>
      <c r="B54" s="120"/>
      <c r="C54" s="120"/>
      <c r="D54" s="120" t="s">
        <v>226</v>
      </c>
      <c r="E54" s="120"/>
      <c r="F54" s="120"/>
      <c r="G54" s="120"/>
      <c r="H54" s="120"/>
    </row>
    <row r="55" spans="1:11" x14ac:dyDescent="0.3">
      <c r="A55" s="113" t="s">
        <v>130</v>
      </c>
      <c r="B55" s="120"/>
      <c r="C55" s="120"/>
      <c r="D55" s="120" t="s">
        <v>226</v>
      </c>
      <c r="E55" s="120"/>
      <c r="F55" s="120"/>
      <c r="G55" s="120"/>
      <c r="H55" s="120"/>
    </row>
    <row r="56" spans="1:11" ht="15.75" customHeight="1" x14ac:dyDescent="0.3">
      <c r="A56" s="99" t="s">
        <v>50</v>
      </c>
      <c r="B56" s="99"/>
      <c r="C56" s="99"/>
      <c r="D56" s="103" t="s">
        <v>230</v>
      </c>
      <c r="E56" s="103"/>
      <c r="F56" s="103"/>
      <c r="G56" s="103"/>
      <c r="H56" s="103"/>
    </row>
    <row r="57" spans="1:11" ht="15.75" customHeight="1" x14ac:dyDescent="0.3">
      <c r="A57" s="99" t="s">
        <v>128</v>
      </c>
      <c r="B57" s="99"/>
      <c r="C57" s="99"/>
      <c r="D57" s="103" t="s">
        <v>231</v>
      </c>
      <c r="E57" s="103"/>
      <c r="F57" s="103"/>
      <c r="G57" s="103"/>
      <c r="H57" s="103"/>
    </row>
    <row r="58" spans="1:11" ht="15.75" customHeight="1" x14ac:dyDescent="0.3">
      <c r="A58" s="99" t="s">
        <v>129</v>
      </c>
      <c r="B58" s="99"/>
      <c r="C58" s="99"/>
      <c r="D58" s="103" t="s">
        <v>24</v>
      </c>
      <c r="E58" s="103"/>
      <c r="F58" s="103"/>
      <c r="G58" s="103"/>
      <c r="H58" s="103"/>
      <c r="J58" s="23"/>
      <c r="K58" s="23"/>
    </row>
    <row r="59" spans="1:11" ht="15.75" customHeight="1" thickBot="1" x14ac:dyDescent="0.35">
      <c r="A59" s="104" t="s">
        <v>127</v>
      </c>
      <c r="B59" s="104"/>
      <c r="C59" s="104"/>
      <c r="D59" s="105" t="str">
        <f ca="1">(IF(E65&gt;95%,"Nothing",IF(E65&gt;0%,"Cement, Aggregate, Steel, etc",IF(E65=0%,"Work not yet Started"))))</f>
        <v>Nothing</v>
      </c>
      <c r="E59" s="105"/>
      <c r="F59" s="105"/>
      <c r="G59" s="105"/>
      <c r="H59" s="105"/>
      <c r="J59" s="23"/>
      <c r="K59" s="23"/>
    </row>
    <row r="60" spans="1:11" ht="15.75" customHeight="1" x14ac:dyDescent="0.3">
      <c r="A60" s="108" t="s">
        <v>205</v>
      </c>
      <c r="B60" s="109"/>
      <c r="C60" s="110" t="str">
        <f>D55</f>
        <v>Building No.1 = Gr + 1st to 15th Floor</v>
      </c>
      <c r="D60" s="111"/>
      <c r="E60" s="111"/>
      <c r="F60" s="111"/>
      <c r="G60" s="111"/>
      <c r="H60" s="112"/>
      <c r="I60" s="28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completed","0")))))))))))&amp;(IF(C67=(D61+F61+H61),", RCC Slab",IF(C67&gt;0,", RCC upto "&amp;C67&amp;" Slab",""))&amp;(IF(C68=H61,", Brickwork",IF(C68&gt;0,", Brickwork upto "&amp;C68&amp;" Floor",""))&amp;(IF(C69=H61,", Internal Plaster",IF(C69&gt;0,", Internal Plaster upto "&amp;C69&amp;" Floor",""))&amp;(IF(C70=H61,", External Plaster",IF(C70&gt;0,", External Plaster upto "&amp;C70&amp;" Floor",""))&amp;(IF(C71=H61,", Flooring",IF(C71&gt;0,", Flooring upto "&amp;C71&amp;" Floor",""))&amp;(IF(C72=H61,", Painting",IF(C72&gt;0,", Painting upto "&amp;C72&amp;" Floor",""))&amp;(IF(C73&gt;0,", Finishing upto "&amp;C73&amp;" Floor","")&amp;(IF(C67&gt;0.5," Completed",""))))))))))))))</f>
        <v>All work completed. Please provide OC.</v>
      </c>
      <c r="J60" s="29"/>
      <c r="K60" s="23"/>
    </row>
    <row r="61" spans="1:11" ht="15.75" customHeight="1" x14ac:dyDescent="0.3">
      <c r="A61" s="78" t="s">
        <v>206</v>
      </c>
      <c r="B61" s="55">
        <v>0</v>
      </c>
      <c r="C61" s="55" t="s">
        <v>110</v>
      </c>
      <c r="D61" s="55">
        <v>1</v>
      </c>
      <c r="E61" s="55" t="s">
        <v>109</v>
      </c>
      <c r="F61" s="55">
        <v>0</v>
      </c>
      <c r="G61" s="55" t="s">
        <v>120</v>
      </c>
      <c r="H61" s="67">
        <f ca="1">--TRIM(RIGHT(SUBSTITUTE(LEFT(C60,_xlfn.AGGREGATE(16,6,FIND({0,1,2,3,4,5,6,7,8,9},C60,ROW(INDIRECT("1:"&amp;LEN(C60)))),1))," ",REPT(" ",LEN(C60))),LEN(C60)))</f>
        <v>15</v>
      </c>
      <c r="I61" s="23"/>
      <c r="J61" s="31"/>
      <c r="K61" s="23"/>
    </row>
    <row r="62" spans="1:11" x14ac:dyDescent="0.3">
      <c r="A62" s="106" t="s">
        <v>131</v>
      </c>
      <c r="B62" s="101"/>
      <c r="C62" s="102" t="str">
        <f ca="1">I60</f>
        <v>All work completed. Please provide OC.</v>
      </c>
      <c r="D62" s="102"/>
      <c r="E62" s="102"/>
      <c r="F62" s="102"/>
      <c r="G62" s="102"/>
      <c r="H62" s="107"/>
      <c r="I62" s="23" t="s">
        <v>152</v>
      </c>
      <c r="J62" s="31"/>
      <c r="K62" s="23"/>
    </row>
    <row r="63" spans="1:11" ht="16.2" thickBot="1" x14ac:dyDescent="0.35">
      <c r="A63" s="162" t="s">
        <v>126</v>
      </c>
      <c r="B63" s="163"/>
      <c r="C63" s="164">
        <v>1</v>
      </c>
      <c r="D63" s="165"/>
      <c r="E63" s="163" t="s">
        <v>125</v>
      </c>
      <c r="F63" s="166"/>
      <c r="G63" s="164">
        <v>1</v>
      </c>
      <c r="H63" s="167"/>
      <c r="I63" s="23"/>
      <c r="J63" s="31"/>
      <c r="K63" s="23"/>
    </row>
    <row r="64" spans="1:11" ht="15.75" hidden="1" customHeight="1" x14ac:dyDescent="0.3">
      <c r="A64" s="80" t="s">
        <v>54</v>
      </c>
      <c r="B64" s="81"/>
      <c r="C64" s="79" t="s">
        <v>207</v>
      </c>
      <c r="D64" s="79" t="s">
        <v>124</v>
      </c>
      <c r="E64" s="81" t="s">
        <v>126</v>
      </c>
      <c r="F64" s="81"/>
      <c r="G64" s="81" t="s">
        <v>125</v>
      </c>
      <c r="H64" s="82"/>
      <c r="I64" s="64" t="s">
        <v>208</v>
      </c>
      <c r="J64" s="32">
        <f ca="1">H61*25%</f>
        <v>3.75</v>
      </c>
      <c r="K64" s="23"/>
    </row>
    <row r="65" spans="1:11" ht="15.75" hidden="1" customHeight="1" x14ac:dyDescent="0.3">
      <c r="A65" s="168" t="s">
        <v>209</v>
      </c>
      <c r="B65" s="169"/>
      <c r="C65" s="68">
        <f ca="1">J66</f>
        <v>15</v>
      </c>
      <c r="D65" s="71">
        <f ca="1">((100/H61)*C65)/100</f>
        <v>1</v>
      </c>
      <c r="E65" s="170">
        <f ca="1">(((C66/H61*10)+(40/(D61+F61+H61)*C67)+(7.5/(H61)*C68)+(7.5/(H61)*C69)+(10/H61*C70)+(10/H61*C71)+(5/H61*C72)+(5/H61*C73)+(5/H61*C74))/100)</f>
        <v>1</v>
      </c>
      <c r="F65" s="170"/>
      <c r="G65" s="170">
        <f ca="1">((((C65/H61)*20)+((C66/H61)*25)+(30/(H61+F61+D61)*C67)+(5/H61*C68)+(5/H61*C69)+(5/H61*C70)+(5/H61*C71)+(0/H61*C72)+(0/H61*C73)+(5/H61*C74))/100)</f>
        <v>1</v>
      </c>
      <c r="H65" s="172"/>
      <c r="I65" s="64" t="s">
        <v>144</v>
      </c>
      <c r="J65" s="73">
        <f ca="1">H61*50%</f>
        <v>7.5</v>
      </c>
      <c r="K65" s="23"/>
    </row>
    <row r="66" spans="1:11" ht="15.75" hidden="1" customHeight="1" x14ac:dyDescent="0.3">
      <c r="A66" s="168" t="s">
        <v>55</v>
      </c>
      <c r="B66" s="169"/>
      <c r="C66" s="69">
        <f ca="1">J74</f>
        <v>15</v>
      </c>
      <c r="D66" s="71">
        <f ca="1">((100/H61)*C66)/100</f>
        <v>1</v>
      </c>
      <c r="E66" s="170"/>
      <c r="F66" s="170"/>
      <c r="G66" s="170"/>
      <c r="H66" s="172"/>
      <c r="I66" s="64" t="s">
        <v>145</v>
      </c>
      <c r="J66" s="73">
        <f ca="1">H61</f>
        <v>15</v>
      </c>
      <c r="K66" s="23"/>
    </row>
    <row r="67" spans="1:11" ht="15.75" hidden="1" customHeight="1" x14ac:dyDescent="0.3">
      <c r="A67" s="174" t="s">
        <v>210</v>
      </c>
      <c r="B67" s="142"/>
      <c r="C67" s="69">
        <v>16</v>
      </c>
      <c r="D67" s="71">
        <f ca="1">((100/(D61+F61+H61))*C67)/100</f>
        <v>1</v>
      </c>
      <c r="E67" s="170"/>
      <c r="F67" s="170"/>
      <c r="G67" s="170"/>
      <c r="H67" s="172"/>
      <c r="I67" s="64" t="s">
        <v>146</v>
      </c>
      <c r="J67" s="74">
        <f ca="1">(IF(B61&gt;1,(H61/(B61+2)),H61/4))</f>
        <v>3.75</v>
      </c>
      <c r="K67" s="23"/>
    </row>
    <row r="68" spans="1:11" ht="15.75" hidden="1" customHeight="1" x14ac:dyDescent="0.3">
      <c r="A68" s="168" t="s">
        <v>211</v>
      </c>
      <c r="B68" s="169" t="s">
        <v>212</v>
      </c>
      <c r="C68" s="68">
        <v>15</v>
      </c>
      <c r="D68" s="71">
        <f ca="1">((100/H61)*C68)/100</f>
        <v>1</v>
      </c>
      <c r="E68" s="170"/>
      <c r="F68" s="170"/>
      <c r="G68" s="170"/>
      <c r="H68" s="172"/>
      <c r="I68" s="64" t="s">
        <v>147</v>
      </c>
      <c r="J68" s="74">
        <f ca="1">(IF(B61&gt;1,(H61/(B61+2)+J67),H61/4+J67))</f>
        <v>7.5</v>
      </c>
      <c r="K68" s="23"/>
    </row>
    <row r="69" spans="1:11" ht="15.75" hidden="1" customHeight="1" x14ac:dyDescent="0.3">
      <c r="A69" s="168" t="s">
        <v>213</v>
      </c>
      <c r="B69" s="169" t="s">
        <v>212</v>
      </c>
      <c r="C69" s="68">
        <v>15</v>
      </c>
      <c r="D69" s="71">
        <f ca="1">((100/H61)*C69)/100</f>
        <v>1</v>
      </c>
      <c r="E69" s="170"/>
      <c r="F69" s="170"/>
      <c r="G69" s="170"/>
      <c r="H69" s="172"/>
      <c r="I69" s="64" t="s">
        <v>214</v>
      </c>
      <c r="J69" s="74">
        <f>(IF(B61&gt;1,(H61/(B61+2)+J68),0))</f>
        <v>0</v>
      </c>
      <c r="K69" s="23"/>
    </row>
    <row r="70" spans="1:11" ht="15.75" hidden="1" customHeight="1" x14ac:dyDescent="0.3">
      <c r="A70" s="168" t="s">
        <v>215</v>
      </c>
      <c r="B70" s="169" t="s">
        <v>216</v>
      </c>
      <c r="C70" s="68">
        <v>15</v>
      </c>
      <c r="D70" s="71">
        <f ca="1">((100/(H61))*C70)/100</f>
        <v>1</v>
      </c>
      <c r="E70" s="170"/>
      <c r="F70" s="170"/>
      <c r="G70" s="170"/>
      <c r="H70" s="172"/>
      <c r="I70" s="64" t="s">
        <v>217</v>
      </c>
      <c r="J70" s="74">
        <f>(IF(B61&gt;2,(H61/(B61+2)+J69),0))</f>
        <v>0</v>
      </c>
      <c r="K70" s="23"/>
    </row>
    <row r="71" spans="1:11" ht="15.75" hidden="1" customHeight="1" x14ac:dyDescent="0.3">
      <c r="A71" s="168" t="s">
        <v>218</v>
      </c>
      <c r="B71" s="169" t="s">
        <v>218</v>
      </c>
      <c r="C71" s="68">
        <v>15</v>
      </c>
      <c r="D71" s="71">
        <f ca="1">((100/H61)*C71)/100</f>
        <v>1</v>
      </c>
      <c r="E71" s="170"/>
      <c r="F71" s="170"/>
      <c r="G71" s="170"/>
      <c r="H71" s="172"/>
      <c r="I71" s="64" t="s">
        <v>219</v>
      </c>
      <c r="J71" s="75">
        <f>(IF(B61&gt;3,(H61/(B61+2)+J70),0))</f>
        <v>0</v>
      </c>
      <c r="K71" s="23"/>
    </row>
    <row r="72" spans="1:11" ht="15.75" hidden="1" customHeight="1" x14ac:dyDescent="0.3">
      <c r="A72" s="168" t="s">
        <v>220</v>
      </c>
      <c r="B72" s="169"/>
      <c r="C72" s="68">
        <v>15</v>
      </c>
      <c r="D72" s="71">
        <f ca="1">((100/H61)*C72)/100</f>
        <v>1</v>
      </c>
      <c r="E72" s="170"/>
      <c r="F72" s="170"/>
      <c r="G72" s="170"/>
      <c r="H72" s="172"/>
      <c r="I72" s="64" t="s">
        <v>221</v>
      </c>
      <c r="J72" s="74">
        <f>(IF(B61&gt;4,(H61/(B61+2)+J71),0))</f>
        <v>0</v>
      </c>
      <c r="K72" s="23"/>
    </row>
    <row r="73" spans="1:11" ht="15.75" hidden="1" customHeight="1" x14ac:dyDescent="0.3">
      <c r="A73" s="168" t="s">
        <v>222</v>
      </c>
      <c r="B73" s="169" t="s">
        <v>222</v>
      </c>
      <c r="C73" s="68">
        <v>15</v>
      </c>
      <c r="D73" s="71">
        <f ca="1">((100/(H61))*C73)/100</f>
        <v>1</v>
      </c>
      <c r="E73" s="170"/>
      <c r="F73" s="170"/>
      <c r="G73" s="170"/>
      <c r="H73" s="172"/>
      <c r="I73" s="64" t="s">
        <v>148</v>
      </c>
      <c r="J73" s="74">
        <f ca="1">(IF(B61=1,(H61/(B61+3)+J68),IF(B61=0,(H61/4+J68),IF(B61&gt;1,0))))</f>
        <v>11.25</v>
      </c>
      <c r="K73" s="23"/>
    </row>
    <row r="74" spans="1:11" ht="15.75" hidden="1" customHeight="1" thickBot="1" x14ac:dyDescent="0.35">
      <c r="A74" s="175" t="s">
        <v>223</v>
      </c>
      <c r="B74" s="176"/>
      <c r="C74" s="70">
        <v>15</v>
      </c>
      <c r="D74" s="72">
        <f ca="1">((100/(H61))*C74)/100</f>
        <v>1</v>
      </c>
      <c r="E74" s="171"/>
      <c r="F74" s="171"/>
      <c r="G74" s="171"/>
      <c r="H74" s="173"/>
      <c r="I74" s="76" t="s">
        <v>149</v>
      </c>
      <c r="J74" s="77">
        <f ca="1">(IF(B61&gt;1.5,(H61/(B61+2)+J68+MAX(0,J69-J68)+MAX(0,J70-J69)+MAX(0,J71-J70)+MAX(0,J72-J71)+MAX(0,J73-J72)),IF(B61=1,(H61/(B61+3)+J73),IF(B61=0,H61/4+J73))))</f>
        <v>15</v>
      </c>
      <c r="K74" s="23"/>
    </row>
    <row r="75" spans="1:11" x14ac:dyDescent="0.3">
      <c r="A75" s="117" t="s">
        <v>168</v>
      </c>
      <c r="B75" s="118"/>
      <c r="C75" s="118"/>
      <c r="D75" s="118"/>
      <c r="E75" s="119"/>
      <c r="F75" s="117" t="s">
        <v>18</v>
      </c>
      <c r="G75" s="118"/>
      <c r="H75" s="119"/>
    </row>
    <row r="76" spans="1:11" x14ac:dyDescent="0.3">
      <c r="A76" s="99" t="s">
        <v>61</v>
      </c>
      <c r="B76" s="99"/>
      <c r="C76" s="99"/>
      <c r="D76" s="99"/>
      <c r="E76" s="99"/>
      <c r="F76" s="99"/>
      <c r="G76" s="99"/>
      <c r="H76" s="99"/>
    </row>
    <row r="77" spans="1:11" ht="15" customHeight="1" x14ac:dyDescent="0.3">
      <c r="A77" s="101" t="s">
        <v>113</v>
      </c>
      <c r="B77" s="101"/>
      <c r="C77" s="102" t="s">
        <v>114</v>
      </c>
      <c r="D77" s="102"/>
      <c r="E77" s="102"/>
      <c r="F77" s="102"/>
      <c r="G77" s="102"/>
      <c r="H77" s="102"/>
    </row>
    <row r="78" spans="1:11" x14ac:dyDescent="0.3">
      <c r="A78" s="98" t="s">
        <v>62</v>
      </c>
      <c r="B78" s="98"/>
      <c r="C78" s="98"/>
      <c r="D78" s="98"/>
      <c r="E78" s="98"/>
      <c r="F78" s="98"/>
      <c r="G78" s="98"/>
      <c r="H78" s="98"/>
    </row>
    <row r="79" spans="1:11" x14ac:dyDescent="0.3">
      <c r="A79" s="99" t="s">
        <v>115</v>
      </c>
      <c r="B79" s="99"/>
      <c r="C79" s="99"/>
      <c r="D79" s="99"/>
      <c r="E79" s="99"/>
      <c r="F79" s="100">
        <v>5800</v>
      </c>
      <c r="G79" s="100"/>
      <c r="H79" s="100"/>
    </row>
    <row r="80" spans="1:11" s="13" customFormat="1" hidden="1" x14ac:dyDescent="0.25">
      <c r="A80" s="99" t="s">
        <v>136</v>
      </c>
      <c r="B80" s="99"/>
      <c r="C80" s="99"/>
      <c r="D80" s="99"/>
      <c r="E80" s="99"/>
      <c r="F80" s="116" t="s">
        <v>30</v>
      </c>
      <c r="G80" s="116"/>
      <c r="H80" s="116"/>
    </row>
    <row r="81" spans="1:9" s="13" customFormat="1" hidden="1" x14ac:dyDescent="0.25">
      <c r="A81" s="99" t="s">
        <v>137</v>
      </c>
      <c r="B81" s="99"/>
      <c r="C81" s="99"/>
      <c r="D81" s="99"/>
      <c r="E81" s="99"/>
      <c r="F81" s="116" t="s">
        <v>30</v>
      </c>
      <c r="G81" s="116"/>
      <c r="H81" s="116"/>
    </row>
    <row r="82" spans="1:9" s="13" customFormat="1" hidden="1" x14ac:dyDescent="0.25">
      <c r="A82" s="99" t="s">
        <v>138</v>
      </c>
      <c r="B82" s="99"/>
      <c r="C82" s="99"/>
      <c r="D82" s="99"/>
      <c r="E82" s="99"/>
      <c r="F82" s="116" t="s">
        <v>30</v>
      </c>
      <c r="G82" s="116"/>
      <c r="H82" s="116"/>
    </row>
    <row r="83" spans="1:9" s="13" customFormat="1" hidden="1" x14ac:dyDescent="0.25">
      <c r="A83" s="99" t="s">
        <v>139</v>
      </c>
      <c r="B83" s="99"/>
      <c r="C83" s="99"/>
      <c r="D83" s="99"/>
      <c r="E83" s="99"/>
      <c r="F83" s="116" t="s">
        <v>30</v>
      </c>
      <c r="G83" s="116"/>
      <c r="H83" s="116"/>
    </row>
    <row r="84" spans="1:9" s="13" customFormat="1" hidden="1" x14ac:dyDescent="0.25">
      <c r="A84" s="99" t="s">
        <v>140</v>
      </c>
      <c r="B84" s="99"/>
      <c r="C84" s="99"/>
      <c r="D84" s="99"/>
      <c r="E84" s="99"/>
      <c r="F84" s="116" t="s">
        <v>30</v>
      </c>
      <c r="G84" s="116"/>
      <c r="H84" s="116"/>
    </row>
    <row r="85" spans="1:9" s="13" customFormat="1" hidden="1" x14ac:dyDescent="0.25">
      <c r="A85" s="99" t="s">
        <v>141</v>
      </c>
      <c r="B85" s="99"/>
      <c r="C85" s="99"/>
      <c r="D85" s="99"/>
      <c r="E85" s="99"/>
      <c r="F85" s="116" t="s">
        <v>30</v>
      </c>
      <c r="G85" s="116"/>
      <c r="H85" s="116"/>
    </row>
    <row r="86" spans="1:9" s="13" customFormat="1" hidden="1" x14ac:dyDescent="0.25">
      <c r="A86" s="99" t="s">
        <v>142</v>
      </c>
      <c r="B86" s="99"/>
      <c r="C86" s="99"/>
      <c r="D86" s="99"/>
      <c r="E86" s="99"/>
      <c r="F86" s="116" t="s">
        <v>30</v>
      </c>
      <c r="G86" s="116"/>
      <c r="H86" s="116"/>
    </row>
    <row r="87" spans="1:9" s="13" customFormat="1" hidden="1" x14ac:dyDescent="0.25">
      <c r="A87" s="99" t="s">
        <v>143</v>
      </c>
      <c r="B87" s="99"/>
      <c r="C87" s="99"/>
      <c r="D87" s="99"/>
      <c r="E87" s="99"/>
      <c r="F87" s="116" t="s">
        <v>30</v>
      </c>
      <c r="G87" s="116"/>
      <c r="H87" s="116"/>
    </row>
    <row r="88" spans="1:9" x14ac:dyDescent="0.3">
      <c r="A88" s="99" t="s">
        <v>63</v>
      </c>
      <c r="B88" s="99"/>
      <c r="C88" s="99"/>
      <c r="D88" s="99"/>
      <c r="E88" s="99"/>
      <c r="F88" s="114" t="s">
        <v>203</v>
      </c>
      <c r="G88" s="114"/>
      <c r="H88" s="114"/>
    </row>
    <row r="89" spans="1:9" s="9" customFormat="1" x14ac:dyDescent="0.3">
      <c r="A89" s="98" t="s">
        <v>64</v>
      </c>
      <c r="B89" s="98"/>
      <c r="C89" s="98"/>
      <c r="D89" s="98"/>
      <c r="E89" s="98"/>
      <c r="F89" s="116">
        <f>F79*0.8</f>
        <v>4640</v>
      </c>
      <c r="G89" s="116"/>
      <c r="H89" s="116"/>
    </row>
    <row r="90" spans="1:9" s="1" customFormat="1" x14ac:dyDescent="0.3">
      <c r="A90" s="130" t="s">
        <v>108</v>
      </c>
      <c r="B90" s="130"/>
      <c r="C90" s="130"/>
      <c r="D90" s="130"/>
      <c r="E90" s="130"/>
      <c r="F90" s="130"/>
      <c r="G90" s="130"/>
      <c r="H90" s="130"/>
    </row>
    <row r="91" spans="1:9" s="1" customFormat="1" ht="15.75" customHeight="1" x14ac:dyDescent="0.3">
      <c r="A91" s="155" t="s">
        <v>65</v>
      </c>
      <c r="B91" s="155"/>
      <c r="C91" s="156" t="s">
        <v>118</v>
      </c>
      <c r="D91" s="156"/>
      <c r="E91" s="157" t="s">
        <v>66</v>
      </c>
      <c r="F91" s="157"/>
      <c r="G91" s="155" t="s">
        <v>67</v>
      </c>
      <c r="H91" s="155"/>
    </row>
    <row r="92" spans="1:9" s="1" customFormat="1" x14ac:dyDescent="0.3">
      <c r="A92" s="129" t="s">
        <v>194</v>
      </c>
      <c r="B92" s="129"/>
      <c r="C92" s="131">
        <f>COUNT(D100:D108)*12+COUNT(D110:D118)</f>
        <v>116</v>
      </c>
      <c r="D92" s="131"/>
      <c r="E92" s="132">
        <f>SUM(D100:D108)*12+SUM(D110:D118)</f>
        <v>47710.39665599999</v>
      </c>
      <c r="F92" s="132"/>
      <c r="G92" s="132">
        <f>SUM(F100:F108)*12+SUM(F110:F118)</f>
        <v>71565.594983999996</v>
      </c>
      <c r="H92" s="132"/>
    </row>
    <row r="93" spans="1:9" s="9" customFormat="1" x14ac:dyDescent="0.3">
      <c r="A93" s="147" t="s">
        <v>70</v>
      </c>
      <c r="B93" s="147"/>
      <c r="C93" s="147"/>
      <c r="D93" s="147"/>
      <c r="E93" s="147"/>
      <c r="F93" s="147"/>
      <c r="G93" s="147"/>
      <c r="H93" s="147"/>
    </row>
    <row r="94" spans="1:9" x14ac:dyDescent="0.3">
      <c r="A94" s="147" t="s">
        <v>71</v>
      </c>
      <c r="B94" s="147"/>
      <c r="C94" s="147"/>
      <c r="D94" s="147"/>
      <c r="E94" s="147"/>
      <c r="F94" s="147"/>
      <c r="G94" s="147"/>
      <c r="H94" s="147"/>
    </row>
    <row r="95" spans="1:9" ht="47.25" customHeight="1" x14ac:dyDescent="0.3">
      <c r="A95" s="94" t="s">
        <v>171</v>
      </c>
      <c r="B95" s="95"/>
      <c r="C95" s="158" t="s">
        <v>72</v>
      </c>
      <c r="D95" s="158" t="s">
        <v>73</v>
      </c>
      <c r="E95" s="160" t="s">
        <v>74</v>
      </c>
      <c r="F95" s="54" t="s">
        <v>169</v>
      </c>
      <c r="G95" s="94" t="s">
        <v>75</v>
      </c>
      <c r="H95" s="95"/>
      <c r="I95" s="53"/>
    </row>
    <row r="96" spans="1:9" s="2" customFormat="1" x14ac:dyDescent="0.3">
      <c r="A96" s="96"/>
      <c r="B96" s="97"/>
      <c r="C96" s="159"/>
      <c r="D96" s="159"/>
      <c r="E96" s="161"/>
      <c r="F96" s="52">
        <v>0.5</v>
      </c>
      <c r="G96" s="96"/>
      <c r="H96" s="97"/>
      <c r="I96" s="53"/>
    </row>
    <row r="97" spans="1:23" s="2" customFormat="1" x14ac:dyDescent="0.3">
      <c r="A97" s="87" t="s">
        <v>194</v>
      </c>
      <c r="B97" s="87"/>
      <c r="C97" s="87"/>
      <c r="D97" s="87"/>
      <c r="E97" s="87"/>
      <c r="F97" s="87"/>
      <c r="G97" s="87"/>
      <c r="H97" s="87"/>
      <c r="I97" s="53"/>
      <c r="S97" s="83"/>
      <c r="T97" s="83"/>
      <c r="V97" s="2" t="str">
        <f>LEFT(A97,SUM(LEN(A97)-LEN(SUBSTITUTE(A97,{"0","1","2","3","4","5","6","7","8","9"},""))))</f>
        <v>B</v>
      </c>
    </row>
    <row r="98" spans="1:23" s="2" customFormat="1" x14ac:dyDescent="0.3">
      <c r="A98" s="87" t="s">
        <v>195</v>
      </c>
      <c r="B98" s="87"/>
      <c r="C98" s="87"/>
      <c r="D98" s="87"/>
      <c r="E98" s="87"/>
      <c r="F98" s="87"/>
      <c r="G98" s="87"/>
      <c r="H98" s="87"/>
      <c r="I98" s="53"/>
      <c r="S98" s="83"/>
      <c r="T98" s="83"/>
      <c r="V98" s="2" t="str">
        <f>LEFT(A98,SUM(LEN(A98)-LEN(SUBSTITUTE(A98,{"0","1","2","3","4","5","6","7","8","9"},""))))</f>
        <v/>
      </c>
    </row>
    <row r="99" spans="1:23" s="2" customFormat="1" ht="15.75" customHeight="1" x14ac:dyDescent="0.3">
      <c r="A99" s="133" t="s">
        <v>196</v>
      </c>
      <c r="B99" s="134"/>
      <c r="C99" s="134"/>
      <c r="D99" s="134"/>
      <c r="E99" s="134"/>
      <c r="F99" s="134"/>
      <c r="G99" s="134"/>
      <c r="H99" s="135"/>
      <c r="I99" s="53"/>
      <c r="S99" s="83" t="s">
        <v>170</v>
      </c>
      <c r="T99" s="83"/>
      <c r="V99" s="2" t="str">
        <f>LEFT(A99,SUM(LEN(A99)-LEN(SUBSTITUTE(A99,{"0","1","2","3","4","5","6","7","8","9"},""))))</f>
        <v xml:space="preserve">1st to </v>
      </c>
      <c r="W99" s="2">
        <f ca="1">--TRIM(RIGHT(SUBSTITUTE(LEFT(A99,_xlfn.AGGREGATE(16,6,FIND({0,1,2,3,4,5,6,7,8,9},A99,ROW(INDIRECT("1:"&amp;LEN(A99)))),1))," ",REPT(" ",LEN(A99))),LEN(A99)))</f>
        <v>13</v>
      </c>
    </row>
    <row r="100" spans="1:23" s="2" customFormat="1" ht="15.75" customHeight="1" x14ac:dyDescent="0.3">
      <c r="A100" s="84" t="str">
        <f t="shared" ref="A100:A108" ca="1" si="0">S100</f>
        <v>101,..,1301</v>
      </c>
      <c r="B100" s="86"/>
      <c r="C100" s="24" t="s">
        <v>197</v>
      </c>
      <c r="D100" s="24">
        <f>(31+(2+2.75)*1.2)*10.764</f>
        <v>395.03879999999998</v>
      </c>
      <c r="E100" s="24">
        <v>0</v>
      </c>
      <c r="F100" s="24">
        <f t="shared" ref="F100:F104" si="1">D100*(($F$96)+1)+E100</f>
        <v>592.55819999999994</v>
      </c>
      <c r="G100" s="88" t="str">
        <f>A99</f>
        <v>1st to 7th, 9th to 12th, 13th Floor</v>
      </c>
      <c r="H100" s="89"/>
      <c r="I100" s="53"/>
      <c r="S100" s="83" t="str">
        <f t="shared" ref="S100:S108" ca="1" si="2">V100&amp;""&amp;$S$99&amp;""&amp;W100</f>
        <v>101,..,1301</v>
      </c>
      <c r="T100" s="83"/>
      <c r="U100" s="53">
        <v>1</v>
      </c>
      <c r="V100" s="2">
        <f ca="1">(SUMPRODUCT(MID(0&amp;V99, LARGE(INDEX(ISNUMBER(--MID(V99, ROW(INDIRECT("1:"&amp;LEN(V99))), 1)) * ROW(INDIRECT("1:"&amp;LEN(V99))), 0), ROW(INDIRECT("1:"&amp;LEN(V99))))+1, 1) * 10^ROW(INDIRECT("1:"&amp;LEN(V99)))/10))*U100*100+1</f>
        <v>101</v>
      </c>
      <c r="W100" s="2">
        <f ca="1">(SUMPRODUCT(MID(0&amp;W99, LARGE(INDEX(ISNUMBER(--MID(W99, ROW(INDIRECT("1:"&amp;LEN(W99))), 1)) * ROW(INDIRECT("1:"&amp;LEN(W99))), 0), ROW(INDIRECT("1:"&amp;LEN(W99))))+1, 1) * 10^ROW(INDIRECT("1:"&amp;LEN(W99)))/10))*U100*100+1</f>
        <v>1301</v>
      </c>
    </row>
    <row r="101" spans="1:23" s="2" customFormat="1" ht="15.75" customHeight="1" x14ac:dyDescent="0.3">
      <c r="A101" s="84" t="str">
        <f t="shared" ca="1" si="0"/>
        <v>102,..,1302</v>
      </c>
      <c r="B101" s="86"/>
      <c r="C101" s="24" t="s">
        <v>197</v>
      </c>
      <c r="D101" s="24">
        <f>(29.81+(2+2.75+1.53)*1.2)*10.764</f>
        <v>401.99234399999995</v>
      </c>
      <c r="E101" s="24">
        <v>0</v>
      </c>
      <c r="F101" s="24">
        <f t="shared" si="1"/>
        <v>602.98851599999989</v>
      </c>
      <c r="G101" s="90"/>
      <c r="H101" s="91"/>
      <c r="I101" s="53"/>
      <c r="S101" s="83" t="str">
        <f t="shared" ca="1" si="2"/>
        <v>102,..,1302</v>
      </c>
      <c r="T101" s="83"/>
      <c r="U101" s="53">
        <f t="shared" ref="U101:W104" si="3">U100+1</f>
        <v>2</v>
      </c>
      <c r="V101" s="2">
        <f t="shared" ca="1" si="3"/>
        <v>102</v>
      </c>
      <c r="W101" s="2">
        <f t="shared" ca="1" si="3"/>
        <v>1302</v>
      </c>
    </row>
    <row r="102" spans="1:23" s="2" customFormat="1" ht="15.75" customHeight="1" x14ac:dyDescent="0.3">
      <c r="A102" s="84" t="str">
        <f t="shared" ca="1" si="0"/>
        <v>103,..,1303</v>
      </c>
      <c r="B102" s="86"/>
      <c r="C102" s="24" t="s">
        <v>197</v>
      </c>
      <c r="D102" s="24">
        <f>(29.81+(2+1.53)*1.2)*10.764</f>
        <v>366.47114399999998</v>
      </c>
      <c r="E102" s="24">
        <v>0</v>
      </c>
      <c r="F102" s="24">
        <f t="shared" si="1"/>
        <v>549.70671599999991</v>
      </c>
      <c r="G102" s="90"/>
      <c r="H102" s="91"/>
      <c r="I102" s="53"/>
      <c r="S102" s="83" t="str">
        <f t="shared" ca="1" si="2"/>
        <v>103,..,1303</v>
      </c>
      <c r="T102" s="83"/>
      <c r="U102" s="53">
        <f t="shared" si="3"/>
        <v>3</v>
      </c>
      <c r="V102" s="2">
        <f t="shared" ca="1" si="3"/>
        <v>103</v>
      </c>
      <c r="W102" s="2">
        <f t="shared" ca="1" si="3"/>
        <v>1303</v>
      </c>
    </row>
    <row r="103" spans="1:23" s="2" customFormat="1" ht="15.75" customHeight="1" x14ac:dyDescent="0.3">
      <c r="A103" s="84" t="str">
        <f t="shared" ca="1" si="0"/>
        <v>104,..,1304</v>
      </c>
      <c r="B103" s="86"/>
      <c r="C103" s="24" t="s">
        <v>197</v>
      </c>
      <c r="D103" s="24">
        <f>(31.65+(2.75+2.75)*1.2)*10.764</f>
        <v>411.72299999999996</v>
      </c>
      <c r="E103" s="24">
        <v>0</v>
      </c>
      <c r="F103" s="24">
        <f t="shared" si="1"/>
        <v>617.58449999999993</v>
      </c>
      <c r="G103" s="90"/>
      <c r="H103" s="91"/>
      <c r="I103" s="53"/>
      <c r="S103" s="83" t="str">
        <f t="shared" ca="1" si="2"/>
        <v>104,..,1304</v>
      </c>
      <c r="T103" s="83"/>
      <c r="U103" s="53">
        <f t="shared" si="3"/>
        <v>4</v>
      </c>
      <c r="V103" s="2">
        <f t="shared" ca="1" si="3"/>
        <v>104</v>
      </c>
      <c r="W103" s="2">
        <f t="shared" ca="1" si="3"/>
        <v>1304</v>
      </c>
    </row>
    <row r="104" spans="1:23" s="2" customFormat="1" ht="15.75" customHeight="1" x14ac:dyDescent="0.3">
      <c r="A104" s="84" t="str">
        <f t="shared" ca="1" si="0"/>
        <v>105,..,1305</v>
      </c>
      <c r="B104" s="86"/>
      <c r="C104" s="24" t="s">
        <v>197</v>
      </c>
      <c r="D104" s="24">
        <f>(32.8+(2.75+2.75)*1.2)*10.764</f>
        <v>424.10159999999996</v>
      </c>
      <c r="E104" s="24">
        <v>0</v>
      </c>
      <c r="F104" s="24">
        <f t="shared" si="1"/>
        <v>636.15239999999994</v>
      </c>
      <c r="G104" s="90"/>
      <c r="H104" s="91"/>
      <c r="I104" s="53">
        <f>3630000/F104</f>
        <v>5706.1798399251502</v>
      </c>
      <c r="S104" s="83" t="str">
        <f t="shared" ca="1" si="2"/>
        <v>105,..,1305</v>
      </c>
      <c r="T104" s="83"/>
      <c r="U104" s="53">
        <f t="shared" si="3"/>
        <v>5</v>
      </c>
      <c r="V104" s="2">
        <f t="shared" ca="1" si="3"/>
        <v>105</v>
      </c>
      <c r="W104" s="2">
        <f t="shared" ca="1" si="3"/>
        <v>1305</v>
      </c>
    </row>
    <row r="105" spans="1:23" s="2" customFormat="1" ht="15.75" customHeight="1" x14ac:dyDescent="0.3">
      <c r="A105" s="84" t="str">
        <f t="shared" ca="1" si="0"/>
        <v>106,..,1306</v>
      </c>
      <c r="B105" s="86"/>
      <c r="C105" s="24" t="s">
        <v>198</v>
      </c>
      <c r="D105" s="24">
        <f>(42.08+(2.75+2.75+1.53)*1.2)*10.764</f>
        <v>543.75422399999991</v>
      </c>
      <c r="E105" s="24">
        <v>0</v>
      </c>
      <c r="F105" s="24">
        <f t="shared" ref="F105:F108" si="4">D105*(($F$96)+1)+E105</f>
        <v>815.63133599999992</v>
      </c>
      <c r="G105" s="90"/>
      <c r="H105" s="91"/>
      <c r="I105" s="53">
        <f>4700000/F105</f>
        <v>5762.407343309822</v>
      </c>
      <c r="S105" s="83" t="str">
        <f t="shared" ca="1" si="2"/>
        <v>106,..,1306</v>
      </c>
      <c r="T105" s="83"/>
      <c r="U105" s="53">
        <f t="shared" ref="U105:W105" si="5">U104+1</f>
        <v>6</v>
      </c>
      <c r="V105" s="2">
        <f t="shared" ca="1" si="5"/>
        <v>106</v>
      </c>
      <c r="W105" s="2">
        <f t="shared" ca="1" si="5"/>
        <v>1306</v>
      </c>
    </row>
    <row r="106" spans="1:23" s="2" customFormat="1" ht="15.75" customHeight="1" x14ac:dyDescent="0.3">
      <c r="A106" s="84" t="str">
        <f t="shared" ca="1" si="0"/>
        <v>107,..,1307</v>
      </c>
      <c r="B106" s="86"/>
      <c r="C106" s="24" t="s">
        <v>197</v>
      </c>
      <c r="D106" s="24">
        <f>(29.81+(2+3.2)*1.2)*10.764</f>
        <v>388.04219999999992</v>
      </c>
      <c r="E106" s="24">
        <v>0</v>
      </c>
      <c r="F106" s="24">
        <f t="shared" si="4"/>
        <v>582.06329999999991</v>
      </c>
      <c r="G106" s="90"/>
      <c r="H106" s="91"/>
      <c r="I106" s="53"/>
      <c r="S106" s="83" t="str">
        <f t="shared" ca="1" si="2"/>
        <v>107,..,1307</v>
      </c>
      <c r="T106" s="83"/>
      <c r="U106" s="53">
        <f t="shared" ref="U106:W106" si="6">U105+1</f>
        <v>7</v>
      </c>
      <c r="V106" s="2">
        <f t="shared" ca="1" si="6"/>
        <v>107</v>
      </c>
      <c r="W106" s="2">
        <f t="shared" ca="1" si="6"/>
        <v>1307</v>
      </c>
    </row>
    <row r="107" spans="1:23" s="2" customFormat="1" ht="15.75" customHeight="1" x14ac:dyDescent="0.3">
      <c r="A107" s="84" t="str">
        <f t="shared" ca="1" si="0"/>
        <v>108,..,1308</v>
      </c>
      <c r="B107" s="86"/>
      <c r="C107" s="24" t="s">
        <v>197</v>
      </c>
      <c r="D107" s="24">
        <f>(28.16+(2+2.75+1.53)*1.2)*10.764</f>
        <v>384.23174399999994</v>
      </c>
      <c r="E107" s="24">
        <v>0</v>
      </c>
      <c r="F107" s="24">
        <f t="shared" si="4"/>
        <v>576.3476159999999</v>
      </c>
      <c r="G107" s="90"/>
      <c r="H107" s="91"/>
      <c r="I107" s="53"/>
      <c r="S107" s="83" t="str">
        <f t="shared" ca="1" si="2"/>
        <v>108,..,1308</v>
      </c>
      <c r="T107" s="83"/>
      <c r="U107" s="53">
        <f t="shared" ref="U107:W107" si="7">U106+1</f>
        <v>8</v>
      </c>
      <c r="V107" s="2">
        <f t="shared" ca="1" si="7"/>
        <v>108</v>
      </c>
      <c r="W107" s="2">
        <f t="shared" ca="1" si="7"/>
        <v>1308</v>
      </c>
    </row>
    <row r="108" spans="1:23" s="2" customFormat="1" ht="15.75" customHeight="1" x14ac:dyDescent="0.3">
      <c r="A108" s="84" t="str">
        <f t="shared" ca="1" si="0"/>
        <v>109,..,1309</v>
      </c>
      <c r="B108" s="86"/>
      <c r="C108" s="24" t="s">
        <v>197</v>
      </c>
      <c r="D108" s="24">
        <f>(28.16+(2+2.75+1.53)*1.2)*10.764</f>
        <v>384.23174399999994</v>
      </c>
      <c r="E108" s="24">
        <v>0</v>
      </c>
      <c r="F108" s="24">
        <f t="shared" si="4"/>
        <v>576.3476159999999</v>
      </c>
      <c r="G108" s="92"/>
      <c r="H108" s="93"/>
      <c r="I108" s="53"/>
      <c r="S108" s="83" t="str">
        <f t="shared" ca="1" si="2"/>
        <v>109,..,1309</v>
      </c>
      <c r="T108" s="83"/>
      <c r="U108" s="53">
        <f t="shared" ref="U108:W108" si="8">U107+1</f>
        <v>9</v>
      </c>
      <c r="V108" s="2">
        <f t="shared" ca="1" si="8"/>
        <v>109</v>
      </c>
      <c r="W108" s="2">
        <f t="shared" ca="1" si="8"/>
        <v>1309</v>
      </c>
    </row>
    <row r="109" spans="1:23" s="2" customFormat="1" x14ac:dyDescent="0.3">
      <c r="A109" s="87" t="s">
        <v>199</v>
      </c>
      <c r="B109" s="87"/>
      <c r="C109" s="87"/>
      <c r="D109" s="87"/>
      <c r="E109" s="87"/>
      <c r="F109" s="87"/>
      <c r="G109" s="87"/>
      <c r="H109" s="87"/>
      <c r="I109" s="53"/>
      <c r="S109" s="83"/>
      <c r="T109" s="83"/>
      <c r="V109" s="2" t="str">
        <f>LEFT(A109,SUM(LEN(A109)-LEN(SUBSTITUTE(A109,{"0","1","2","3","4","5","6","7","8","9"},""))))</f>
        <v>8</v>
      </c>
    </row>
    <row r="110" spans="1:23" s="2" customFormat="1" x14ac:dyDescent="0.3">
      <c r="A110" s="154">
        <f t="shared" ref="A110:A118" ca="1" si="9">S110</f>
        <v>801</v>
      </c>
      <c r="B110" s="154"/>
      <c r="C110" s="24" t="s">
        <v>197</v>
      </c>
      <c r="D110" s="24">
        <f>(31+(2+2.75)*1.2)*10.764</f>
        <v>395.03879999999998</v>
      </c>
      <c r="E110" s="24">
        <v>0</v>
      </c>
      <c r="F110" s="24">
        <f t="shared" ref="F110:F116" si="10">D110*(($F$96)+1)+E110</f>
        <v>592.55819999999994</v>
      </c>
      <c r="G110" s="88" t="str">
        <f>A109</f>
        <v>8th Floor</v>
      </c>
      <c r="H110" s="89"/>
      <c r="I110" s="53"/>
      <c r="S110" s="83">
        <f t="shared" ref="S110:S118" ca="1" si="11">V110</f>
        <v>801</v>
      </c>
      <c r="T110" s="83"/>
      <c r="U110" s="53">
        <v>1</v>
      </c>
      <c r="V110" s="2">
        <f ca="1">(SUMPRODUCT(MID(0&amp;V109, LARGE(INDEX(ISNUMBER(--MID(V109, ROW(INDIRECT("1:"&amp;LEN(V109))), 1)) * ROW(INDIRECT("1:"&amp;LEN(V109))), 0), ROW(INDIRECT("1:"&amp;LEN(V109))))+1, 1) * 10^ROW(INDIRECT("1:"&amp;LEN(V109)))/10))*U110*100+1</f>
        <v>801</v>
      </c>
    </row>
    <row r="111" spans="1:23" s="2" customFormat="1" x14ac:dyDescent="0.3">
      <c r="A111" s="154">
        <f t="shared" ca="1" si="9"/>
        <v>802</v>
      </c>
      <c r="B111" s="154"/>
      <c r="C111" s="24" t="s">
        <v>197</v>
      </c>
      <c r="D111" s="24">
        <f>(29.81+(2+2.75+1.53)*1.2)*10.764</f>
        <v>401.99234399999995</v>
      </c>
      <c r="E111" s="24">
        <v>0</v>
      </c>
      <c r="F111" s="24">
        <f t="shared" si="10"/>
        <v>602.98851599999989</v>
      </c>
      <c r="G111" s="90"/>
      <c r="H111" s="91"/>
      <c r="I111" s="53"/>
      <c r="S111" s="83">
        <f t="shared" ca="1" si="11"/>
        <v>802</v>
      </c>
      <c r="T111" s="83"/>
      <c r="U111" s="53">
        <f>U110+1</f>
        <v>2</v>
      </c>
      <c r="V111" s="2">
        <f ca="1">V110+1</f>
        <v>802</v>
      </c>
    </row>
    <row r="112" spans="1:23" s="2" customFormat="1" x14ac:dyDescent="0.3">
      <c r="A112" s="154">
        <f t="shared" ca="1" si="9"/>
        <v>803</v>
      </c>
      <c r="B112" s="154"/>
      <c r="C112" s="24" t="s">
        <v>197</v>
      </c>
      <c r="D112" s="24">
        <f>(29.81+(2+1.53)*1.2)*10.764</f>
        <v>366.47114399999998</v>
      </c>
      <c r="E112" s="24">
        <v>0</v>
      </c>
      <c r="F112" s="24">
        <f t="shared" si="10"/>
        <v>549.70671599999991</v>
      </c>
      <c r="G112" s="90"/>
      <c r="H112" s="91"/>
      <c r="I112" s="53"/>
      <c r="S112" s="83">
        <f t="shared" ca="1" si="11"/>
        <v>803</v>
      </c>
      <c r="T112" s="83"/>
      <c r="U112" s="53">
        <f>U111+1</f>
        <v>3</v>
      </c>
      <c r="V112" s="2">
        <f ca="1">V111+1</f>
        <v>803</v>
      </c>
    </row>
    <row r="113" spans="1:22" s="2" customFormat="1" x14ac:dyDescent="0.3">
      <c r="A113" s="154">
        <f t="shared" ca="1" si="9"/>
        <v>804</v>
      </c>
      <c r="B113" s="154"/>
      <c r="C113" s="24" t="s">
        <v>197</v>
      </c>
      <c r="D113" s="24">
        <f>(31.65+(2.75+2.75)*1.2)*10.764</f>
        <v>411.72299999999996</v>
      </c>
      <c r="E113" s="24">
        <v>0</v>
      </c>
      <c r="F113" s="24">
        <f t="shared" si="10"/>
        <v>617.58449999999993</v>
      </c>
      <c r="G113" s="90"/>
      <c r="H113" s="91"/>
      <c r="I113" s="53"/>
      <c r="S113" s="83">
        <f t="shared" ca="1" si="11"/>
        <v>804</v>
      </c>
      <c r="T113" s="83"/>
      <c r="U113" s="53">
        <f t="shared" ref="U113:U114" si="12">U112+1</f>
        <v>4</v>
      </c>
      <c r="V113" s="2">
        <f t="shared" ref="V113:V118" ca="1" si="13">V112+1</f>
        <v>804</v>
      </c>
    </row>
    <row r="114" spans="1:22" s="2" customFormat="1" x14ac:dyDescent="0.3">
      <c r="A114" s="154">
        <f t="shared" ca="1" si="9"/>
        <v>805</v>
      </c>
      <c r="B114" s="154"/>
      <c r="C114" s="24" t="s">
        <v>197</v>
      </c>
      <c r="D114" s="24">
        <f>(32.8+(2.75+2.75)*1.2)*10.764</f>
        <v>424.10159999999996</v>
      </c>
      <c r="E114" s="24">
        <v>0</v>
      </c>
      <c r="F114" s="24">
        <f t="shared" si="10"/>
        <v>636.15239999999994</v>
      </c>
      <c r="G114" s="90"/>
      <c r="H114" s="91"/>
      <c r="I114" s="53"/>
      <c r="S114" s="83">
        <f t="shared" ca="1" si="11"/>
        <v>805</v>
      </c>
      <c r="T114" s="83"/>
      <c r="U114" s="53">
        <f t="shared" si="12"/>
        <v>5</v>
      </c>
      <c r="V114" s="2">
        <f t="shared" ca="1" si="13"/>
        <v>805</v>
      </c>
    </row>
    <row r="115" spans="1:22" s="2" customFormat="1" x14ac:dyDescent="0.3">
      <c r="A115" s="154">
        <f t="shared" ca="1" si="9"/>
        <v>806</v>
      </c>
      <c r="B115" s="154"/>
      <c r="C115" s="24" t="s">
        <v>198</v>
      </c>
      <c r="D115" s="24">
        <f>(42.08+(2.75+2.75+1.53)*1.2)*10.764</f>
        <v>543.75422399999991</v>
      </c>
      <c r="E115" s="24">
        <v>0</v>
      </c>
      <c r="F115" s="24">
        <f t="shared" si="10"/>
        <v>815.63133599999992</v>
      </c>
      <c r="G115" s="90"/>
      <c r="H115" s="91"/>
      <c r="I115" s="53"/>
      <c r="S115" s="83">
        <f t="shared" ca="1" si="11"/>
        <v>806</v>
      </c>
      <c r="T115" s="83"/>
      <c r="U115" s="53">
        <f>U114+1</f>
        <v>6</v>
      </c>
      <c r="V115" s="2">
        <f t="shared" ca="1" si="13"/>
        <v>806</v>
      </c>
    </row>
    <row r="116" spans="1:22" s="2" customFormat="1" x14ac:dyDescent="0.3">
      <c r="A116" s="154">
        <f t="shared" ca="1" si="9"/>
        <v>807</v>
      </c>
      <c r="B116" s="154"/>
      <c r="C116" s="24" t="s">
        <v>197</v>
      </c>
      <c r="D116" s="24">
        <f>(29.81+(2+3.2)*1.2)*10.764</f>
        <v>388.04219999999992</v>
      </c>
      <c r="E116" s="24">
        <v>0</v>
      </c>
      <c r="F116" s="24">
        <f t="shared" si="10"/>
        <v>582.06329999999991</v>
      </c>
      <c r="G116" s="90"/>
      <c r="H116" s="91"/>
      <c r="I116" s="53"/>
      <c r="S116" s="83">
        <f t="shared" ca="1" si="11"/>
        <v>807</v>
      </c>
      <c r="T116" s="83"/>
      <c r="U116" s="53">
        <f>U115+1</f>
        <v>7</v>
      </c>
      <c r="V116" s="2">
        <f t="shared" ca="1" si="13"/>
        <v>807</v>
      </c>
    </row>
    <row r="117" spans="1:22" s="2" customFormat="1" x14ac:dyDescent="0.3">
      <c r="A117" s="154">
        <f t="shared" ca="1" si="9"/>
        <v>808</v>
      </c>
      <c r="B117" s="154"/>
      <c r="C117" s="84" t="s">
        <v>200</v>
      </c>
      <c r="D117" s="85"/>
      <c r="E117" s="85"/>
      <c r="F117" s="86"/>
      <c r="G117" s="90"/>
      <c r="H117" s="91"/>
      <c r="I117" s="53"/>
      <c r="S117" s="83">
        <f t="shared" ca="1" si="11"/>
        <v>808</v>
      </c>
      <c r="T117" s="83"/>
      <c r="U117" s="53">
        <f t="shared" ref="U117:U118" si="14">U116+1</f>
        <v>8</v>
      </c>
      <c r="V117" s="2">
        <f t="shared" ca="1" si="13"/>
        <v>808</v>
      </c>
    </row>
    <row r="118" spans="1:22" s="2" customFormat="1" x14ac:dyDescent="0.3">
      <c r="A118" s="154">
        <f t="shared" ca="1" si="9"/>
        <v>809</v>
      </c>
      <c r="B118" s="154"/>
      <c r="C118" s="24" t="s">
        <v>197</v>
      </c>
      <c r="D118" s="24">
        <f>(28.16+(2+2.75+1.53)*1.2)*10.764</f>
        <v>384.23174399999994</v>
      </c>
      <c r="E118" s="24">
        <v>0</v>
      </c>
      <c r="F118" s="24">
        <f>D118*(($F$96)+1)+E118</f>
        <v>576.3476159999999</v>
      </c>
      <c r="G118" s="92"/>
      <c r="H118" s="93"/>
      <c r="I118" s="53"/>
      <c r="S118" s="83">
        <f t="shared" ca="1" si="11"/>
        <v>809</v>
      </c>
      <c r="T118" s="83"/>
      <c r="U118" s="53">
        <f t="shared" si="14"/>
        <v>9</v>
      </c>
      <c r="V118" s="2">
        <f t="shared" ca="1" si="13"/>
        <v>809</v>
      </c>
    </row>
    <row r="119" spans="1:22" s="1" customFormat="1" x14ac:dyDescent="0.3">
      <c r="A119" s="136" t="s">
        <v>85</v>
      </c>
      <c r="B119" s="136"/>
      <c r="C119" s="136"/>
      <c r="D119" s="136"/>
      <c r="E119" s="136"/>
      <c r="F119" s="136"/>
      <c r="G119" s="136"/>
      <c r="H119" s="136"/>
    </row>
    <row r="120" spans="1:22" s="10" customFormat="1" ht="144.75" customHeight="1" x14ac:dyDescent="0.3">
      <c r="A120" s="137" t="s">
        <v>235</v>
      </c>
      <c r="B120" s="137"/>
      <c r="C120" s="137"/>
      <c r="D120" s="137"/>
      <c r="E120" s="137"/>
      <c r="F120" s="137"/>
      <c r="G120" s="137"/>
      <c r="H120" s="137"/>
    </row>
    <row r="121" spans="1:22" x14ac:dyDescent="0.3">
      <c r="A121" s="138" t="s">
        <v>76</v>
      </c>
      <c r="B121" s="138"/>
      <c r="C121" s="138"/>
      <c r="D121" s="138"/>
      <c r="E121" s="138"/>
      <c r="F121" s="138"/>
      <c r="G121" s="138"/>
      <c r="H121" s="138"/>
    </row>
    <row r="122" spans="1:22" x14ac:dyDescent="0.3">
      <c r="A122" s="99" t="s">
        <v>77</v>
      </c>
      <c r="B122" s="99"/>
      <c r="C122" s="99"/>
      <c r="D122" s="99"/>
      <c r="E122" s="99"/>
      <c r="F122" s="99"/>
      <c r="G122" s="99"/>
      <c r="H122" s="99"/>
    </row>
    <row r="123" spans="1:22" ht="15.75" customHeight="1" x14ac:dyDescent="0.3">
      <c r="A123" s="138" t="s">
        <v>78</v>
      </c>
      <c r="B123" s="138"/>
      <c r="C123" s="138"/>
      <c r="D123" s="138"/>
      <c r="E123" s="138"/>
      <c r="F123" s="138"/>
      <c r="G123" s="138"/>
      <c r="H123" s="138"/>
    </row>
    <row r="124" spans="1:22" x14ac:dyDescent="0.3">
      <c r="A124" s="99" t="s">
        <v>79</v>
      </c>
      <c r="B124" s="99"/>
      <c r="C124" s="99"/>
      <c r="D124" s="99"/>
      <c r="E124" s="99"/>
      <c r="F124" s="99"/>
      <c r="G124" s="99"/>
      <c r="H124" s="99"/>
    </row>
    <row r="125" spans="1:22" x14ac:dyDescent="0.3">
      <c r="A125" s="99" t="s">
        <v>80</v>
      </c>
      <c r="B125" s="99"/>
      <c r="C125" s="99"/>
      <c r="D125" s="99"/>
      <c r="E125" s="99"/>
      <c r="F125" s="99"/>
      <c r="G125" s="99"/>
      <c r="H125" s="99"/>
    </row>
    <row r="126" spans="1:22" hidden="1" x14ac:dyDescent="0.3">
      <c r="A126" s="99" t="s">
        <v>81</v>
      </c>
      <c r="B126" s="99"/>
      <c r="C126" s="99"/>
      <c r="D126" s="99"/>
      <c r="E126" s="99"/>
      <c r="F126" s="99"/>
      <c r="G126" s="99"/>
      <c r="H126" s="99"/>
    </row>
    <row r="127" spans="1:22" ht="31.5" hidden="1" customHeight="1" x14ac:dyDescent="0.3">
      <c r="A127" s="103" t="s">
        <v>82</v>
      </c>
      <c r="B127" s="103"/>
      <c r="C127" s="103"/>
      <c r="D127" s="103"/>
      <c r="E127" s="103"/>
      <c r="F127" s="103"/>
      <c r="G127" s="103"/>
      <c r="H127" s="103"/>
    </row>
    <row r="128" spans="1:22" x14ac:dyDescent="0.3">
      <c r="A128" s="128" t="s">
        <v>117</v>
      </c>
      <c r="B128" s="128"/>
      <c r="C128" s="128" t="s">
        <v>234</v>
      </c>
      <c r="D128" s="128"/>
      <c r="E128" s="128" t="s">
        <v>154</v>
      </c>
      <c r="F128" s="128"/>
      <c r="G128" s="128" t="s">
        <v>236</v>
      </c>
      <c r="H128" s="128"/>
    </row>
    <row r="129" spans="1:8" x14ac:dyDescent="0.3">
      <c r="A129" s="127" t="s">
        <v>119</v>
      </c>
      <c r="B129" s="127"/>
      <c r="C129" s="127"/>
      <c r="D129" s="127"/>
      <c r="E129" s="127"/>
      <c r="F129" s="127"/>
      <c r="G129" s="127"/>
      <c r="H129" s="127"/>
    </row>
    <row r="130" spans="1:8" x14ac:dyDescent="0.3">
      <c r="A130" s="127"/>
      <c r="B130" s="127"/>
      <c r="C130" s="127"/>
      <c r="D130" s="127"/>
      <c r="E130" s="127"/>
      <c r="F130" s="127"/>
      <c r="G130" s="127"/>
      <c r="H130" s="127"/>
    </row>
    <row r="131" spans="1:8" x14ac:dyDescent="0.3">
      <c r="A131" s="127"/>
      <c r="B131" s="127"/>
      <c r="C131" s="127"/>
      <c r="D131" s="127"/>
      <c r="E131" s="127"/>
      <c r="F131" s="127"/>
      <c r="G131" s="127"/>
      <c r="H131" s="127"/>
    </row>
    <row r="132" spans="1:8" x14ac:dyDescent="0.3">
      <c r="A132" s="127"/>
      <c r="B132" s="127"/>
      <c r="C132" s="127"/>
      <c r="D132" s="127"/>
      <c r="E132" s="127"/>
      <c r="F132" s="127"/>
      <c r="G132" s="127"/>
      <c r="H132" s="127"/>
    </row>
    <row r="133" spans="1:8" x14ac:dyDescent="0.3">
      <c r="A133" s="19" t="s">
        <v>83</v>
      </c>
      <c r="B133" s="20"/>
      <c r="C133" s="20"/>
      <c r="D133" s="19" t="str">
        <f>E8</f>
        <v>Sarvoday Greens</v>
      </c>
      <c r="F133" s="20"/>
      <c r="G133" s="20"/>
      <c r="H133" s="20"/>
    </row>
    <row r="134" spans="1:8" x14ac:dyDescent="0.3">
      <c r="A134" s="20"/>
      <c r="B134" s="20"/>
      <c r="C134" s="20"/>
      <c r="D134" s="20"/>
      <c r="E134" s="20"/>
      <c r="F134" s="20"/>
      <c r="G134" s="20"/>
      <c r="H134" s="20"/>
    </row>
    <row r="135" spans="1:8" x14ac:dyDescent="0.3">
      <c r="A135" s="20"/>
      <c r="B135" s="20"/>
      <c r="C135" s="20"/>
      <c r="D135" s="20"/>
      <c r="E135" s="20"/>
      <c r="F135" s="20"/>
      <c r="G135" s="20"/>
      <c r="H135" s="20"/>
    </row>
    <row r="136" spans="1:8" ht="15" customHeight="1" x14ac:dyDescent="0.3"/>
    <row r="176" spans="1:1" x14ac:dyDescent="0.3">
      <c r="A176" s="22" t="s">
        <v>84</v>
      </c>
    </row>
  </sheetData>
  <mergeCells count="256">
    <mergeCell ref="A63:B63"/>
    <mergeCell ref="C63:D63"/>
    <mergeCell ref="E63:F63"/>
    <mergeCell ref="G63:H63"/>
    <mergeCell ref="S116:T116"/>
    <mergeCell ref="S117:T117"/>
    <mergeCell ref="S118:T118"/>
    <mergeCell ref="A114:B114"/>
    <mergeCell ref="A111:B111"/>
    <mergeCell ref="A112:B112"/>
    <mergeCell ref="A113:B113"/>
    <mergeCell ref="S109:T109"/>
    <mergeCell ref="A65:B65"/>
    <mergeCell ref="E65:F74"/>
    <mergeCell ref="G65:H74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S106:T106"/>
    <mergeCell ref="S107:T107"/>
    <mergeCell ref="S102:T102"/>
    <mergeCell ref="S103:T103"/>
    <mergeCell ref="S104:T104"/>
    <mergeCell ref="A105:B105"/>
    <mergeCell ref="A106:B106"/>
    <mergeCell ref="S115:T115"/>
    <mergeCell ref="A107:B107"/>
    <mergeCell ref="A108:B108"/>
    <mergeCell ref="S108:T108"/>
    <mergeCell ref="A104:B104"/>
    <mergeCell ref="A103:B103"/>
    <mergeCell ref="A123:H123"/>
    <mergeCell ref="C95:C96"/>
    <mergeCell ref="D95:D96"/>
    <mergeCell ref="E95:E96"/>
    <mergeCell ref="G95:H96"/>
    <mergeCell ref="A115:B115"/>
    <mergeCell ref="A116:B116"/>
    <mergeCell ref="A117:B117"/>
    <mergeCell ref="A118:B118"/>
    <mergeCell ref="A98:H98"/>
    <mergeCell ref="A100:B100"/>
    <mergeCell ref="A122:H122"/>
    <mergeCell ref="A94:H94"/>
    <mergeCell ref="A110:B110"/>
    <mergeCell ref="A91:B91"/>
    <mergeCell ref="A93:H93"/>
    <mergeCell ref="A85:E85"/>
    <mergeCell ref="A87:E87"/>
    <mergeCell ref="F87:H87"/>
    <mergeCell ref="F85:H85"/>
    <mergeCell ref="A101:B101"/>
    <mergeCell ref="C91:D91"/>
    <mergeCell ref="E91:F91"/>
    <mergeCell ref="G91:H91"/>
    <mergeCell ref="G110:H118"/>
    <mergeCell ref="E24:H24"/>
    <mergeCell ref="A26:D26"/>
    <mergeCell ref="E26:H26"/>
    <mergeCell ref="E18:F18"/>
    <mergeCell ref="G18:H18"/>
    <mergeCell ref="A19:B19"/>
    <mergeCell ref="C19:D19"/>
    <mergeCell ref="E19:F19"/>
    <mergeCell ref="G19:H19"/>
    <mergeCell ref="A23:D23"/>
    <mergeCell ref="E23:H23"/>
    <mergeCell ref="A24:D24"/>
    <mergeCell ref="F31:H31"/>
    <mergeCell ref="F32:H32"/>
    <mergeCell ref="A40:D40"/>
    <mergeCell ref="C30:E30"/>
    <mergeCell ref="F33:H33"/>
    <mergeCell ref="F34:H34"/>
    <mergeCell ref="A36:B36"/>
    <mergeCell ref="E36:F36"/>
    <mergeCell ref="A25:D25"/>
    <mergeCell ref="E25:H25"/>
    <mergeCell ref="A27:D27"/>
    <mergeCell ref="E27:H27"/>
    <mergeCell ref="C36:D36"/>
    <mergeCell ref="G36:H36"/>
    <mergeCell ref="F30:H30"/>
    <mergeCell ref="A31:B31"/>
    <mergeCell ref="A30:B30"/>
    <mergeCell ref="A37:B37"/>
    <mergeCell ref="C37:H37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9:D9"/>
    <mergeCell ref="E9:H9"/>
    <mergeCell ref="A15:B15"/>
    <mergeCell ref="A12:D12"/>
    <mergeCell ref="E12:H12"/>
    <mergeCell ref="A13:D13"/>
    <mergeCell ref="E13:H13"/>
    <mergeCell ref="A14:B14"/>
    <mergeCell ref="C14:H14"/>
    <mergeCell ref="C15:H15"/>
    <mergeCell ref="E41:H41"/>
    <mergeCell ref="A32:B32"/>
    <mergeCell ref="C32:E32"/>
    <mergeCell ref="A33:B33"/>
    <mergeCell ref="C33:E33"/>
    <mergeCell ref="C34:E34"/>
    <mergeCell ref="E40:H40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E42:H42"/>
    <mergeCell ref="E43:H43"/>
    <mergeCell ref="E44:H44"/>
    <mergeCell ref="A42:D42"/>
    <mergeCell ref="A43:D43"/>
    <mergeCell ref="A44:D44"/>
    <mergeCell ref="A45:H45"/>
    <mergeCell ref="A11:D11"/>
    <mergeCell ref="E11:H11"/>
    <mergeCell ref="A20:D21"/>
    <mergeCell ref="E20:H21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C31:E31"/>
    <mergeCell ref="A129:H132"/>
    <mergeCell ref="A128:B128"/>
    <mergeCell ref="E128:F128"/>
    <mergeCell ref="C128:D128"/>
    <mergeCell ref="G128:H128"/>
    <mergeCell ref="A88:E88"/>
    <mergeCell ref="F88:H88"/>
    <mergeCell ref="A89:E89"/>
    <mergeCell ref="F89:H89"/>
    <mergeCell ref="A109:H109"/>
    <mergeCell ref="A92:B92"/>
    <mergeCell ref="A102:B102"/>
    <mergeCell ref="A124:H124"/>
    <mergeCell ref="A90:H90"/>
    <mergeCell ref="C92:D92"/>
    <mergeCell ref="E92:F92"/>
    <mergeCell ref="G92:H92"/>
    <mergeCell ref="A99:H99"/>
    <mergeCell ref="A125:H125"/>
    <mergeCell ref="A126:H126"/>
    <mergeCell ref="A127:H127"/>
    <mergeCell ref="A119:H119"/>
    <mergeCell ref="A120:H120"/>
    <mergeCell ref="A121:H121"/>
    <mergeCell ref="C47:E47"/>
    <mergeCell ref="A50:B50"/>
    <mergeCell ref="C50:E50"/>
    <mergeCell ref="A47:B47"/>
    <mergeCell ref="A51:H51"/>
    <mergeCell ref="A52:C52"/>
    <mergeCell ref="A55:C55"/>
    <mergeCell ref="D55:H55"/>
    <mergeCell ref="A53:C53"/>
    <mergeCell ref="D53:H53"/>
    <mergeCell ref="D52:H52"/>
    <mergeCell ref="C48:E48"/>
    <mergeCell ref="C49:H49"/>
    <mergeCell ref="A46:B46"/>
    <mergeCell ref="C46:E46"/>
    <mergeCell ref="G46:H46"/>
    <mergeCell ref="G47:H47"/>
    <mergeCell ref="A41:D41"/>
    <mergeCell ref="F86:H86"/>
    <mergeCell ref="A82:E82"/>
    <mergeCell ref="F82:H82"/>
    <mergeCell ref="A83:E83"/>
    <mergeCell ref="F83:H83"/>
    <mergeCell ref="A84:E84"/>
    <mergeCell ref="F84:H84"/>
    <mergeCell ref="A80:E80"/>
    <mergeCell ref="F80:H80"/>
    <mergeCell ref="A81:E81"/>
    <mergeCell ref="F81:H81"/>
    <mergeCell ref="A75:E75"/>
    <mergeCell ref="F75:H75"/>
    <mergeCell ref="A86:E86"/>
    <mergeCell ref="A48:B49"/>
    <mergeCell ref="G48:H48"/>
    <mergeCell ref="D54:H54"/>
    <mergeCell ref="A54:C54"/>
    <mergeCell ref="G50:H50"/>
    <mergeCell ref="A58:C58"/>
    <mergeCell ref="D58:H58"/>
    <mergeCell ref="A59:C59"/>
    <mergeCell ref="D59:H59"/>
    <mergeCell ref="A56:C56"/>
    <mergeCell ref="A57:C57"/>
    <mergeCell ref="D56:H56"/>
    <mergeCell ref="A62:B62"/>
    <mergeCell ref="C62:H62"/>
    <mergeCell ref="D57:H57"/>
    <mergeCell ref="A60:B60"/>
    <mergeCell ref="C60:H60"/>
    <mergeCell ref="A64:B64"/>
    <mergeCell ref="E64:F64"/>
    <mergeCell ref="G64:H64"/>
    <mergeCell ref="S98:T98"/>
    <mergeCell ref="C117:F117"/>
    <mergeCell ref="A97:H97"/>
    <mergeCell ref="S97:T97"/>
    <mergeCell ref="G100:H108"/>
    <mergeCell ref="A95:B96"/>
    <mergeCell ref="A78:H78"/>
    <mergeCell ref="A79:E79"/>
    <mergeCell ref="F79:H79"/>
    <mergeCell ref="A76:H76"/>
    <mergeCell ref="A77:B77"/>
    <mergeCell ref="C77:H77"/>
    <mergeCell ref="S113:T113"/>
    <mergeCell ref="S114:T114"/>
    <mergeCell ref="S110:T110"/>
    <mergeCell ref="S111:T111"/>
    <mergeCell ref="S112:T112"/>
    <mergeCell ref="S100:T100"/>
    <mergeCell ref="S101:T101"/>
    <mergeCell ref="S99:T99"/>
    <mergeCell ref="S105:T105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&amp;P</oddFooter>
  </headerFooter>
  <rowBreaks count="2" manualBreakCount="2">
    <brk id="132" max="16383" man="1"/>
    <brk id="17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activeCell="E16" sqref="E16"/>
    </sheetView>
  </sheetViews>
  <sheetFormatPr defaultRowHeight="14.4" x14ac:dyDescent="0.3"/>
  <cols>
    <col min="1" max="11" width="14.109375" customWidth="1"/>
  </cols>
  <sheetData>
    <row r="1" spans="1:11" ht="15.6" x14ac:dyDescent="0.3">
      <c r="A1" s="181" t="s">
        <v>172</v>
      </c>
      <c r="B1" s="182"/>
      <c r="C1" s="182"/>
      <c r="D1" s="182"/>
      <c r="E1" s="182"/>
      <c r="F1" s="182"/>
      <c r="G1" s="182"/>
      <c r="H1" s="183"/>
      <c r="I1" s="27" t="str">
        <f>(IF(C5=0,"Work not yet Started.",IF(C5=1,"Excavation work in process",IF(C5=2,"Excavation work completed",IF(C5=4,"Footing work is process",IF(C5=5,"Footing work Completed",IF(C5=7,"Plinth work is process",IF(C5=10,"Plinth work completed","0")))))))&amp;(IF(C6&gt;0,", RCC upto "&amp;C6&amp;" Slab completed",""))&amp;(IF(C7&gt;0,", Brickwork upto "&amp;C7&amp;" Floor completed"," "))&amp;(IF(C8&gt;0,", Plaster upto "&amp;C8&amp;" Floor completed"," "))&amp;(IF(C9&gt;0,", Flooring upto "&amp;C9&amp;" Floor completed"," "))&amp;(IF(C10&gt;0,", Painting upto "&amp;C10&amp;" Floor completed"," "))&amp;(IF(C11&gt;0,", Finishing upto "&amp;C11&amp;" Floor completed"," ")))</f>
        <v xml:space="preserve">Plinth work completed     </v>
      </c>
      <c r="J1" s="28"/>
      <c r="K1" s="29"/>
    </row>
    <row r="2" spans="1:11" ht="15.6" x14ac:dyDescent="0.3">
      <c r="A2" s="184" t="s">
        <v>110</v>
      </c>
      <c r="B2" s="185"/>
      <c r="C2" s="186">
        <v>1</v>
      </c>
      <c r="D2" s="187"/>
      <c r="E2" s="55" t="s">
        <v>109</v>
      </c>
      <c r="F2" s="15">
        <v>3</v>
      </c>
      <c r="G2" s="56" t="s">
        <v>120</v>
      </c>
      <c r="H2" s="25">
        <v>42</v>
      </c>
      <c r="I2" s="30" t="s">
        <v>151</v>
      </c>
      <c r="J2" s="23"/>
      <c r="K2" s="31"/>
    </row>
    <row r="3" spans="1:11" ht="15.6" x14ac:dyDescent="0.3">
      <c r="A3" s="188" t="s">
        <v>131</v>
      </c>
      <c r="B3" s="149"/>
      <c r="C3" s="102" t="str">
        <f>I1</f>
        <v xml:space="preserve">Plinth work completed     </v>
      </c>
      <c r="D3" s="102"/>
      <c r="E3" s="102"/>
      <c r="F3" s="102"/>
      <c r="G3" s="102"/>
      <c r="H3" s="107"/>
      <c r="I3" s="30" t="s">
        <v>167</v>
      </c>
      <c r="J3" s="23"/>
      <c r="K3" s="31"/>
    </row>
    <row r="4" spans="1:11" ht="31.2" x14ac:dyDescent="0.3">
      <c r="A4" s="177" t="s">
        <v>54</v>
      </c>
      <c r="B4" s="178"/>
      <c r="C4" s="16" t="s">
        <v>123</v>
      </c>
      <c r="D4" s="16" t="s">
        <v>124</v>
      </c>
      <c r="E4" s="179" t="s">
        <v>126</v>
      </c>
      <c r="F4" s="179"/>
      <c r="G4" s="179" t="s">
        <v>125</v>
      </c>
      <c r="H4" s="180"/>
      <c r="I4" s="30" t="s">
        <v>152</v>
      </c>
      <c r="J4" s="8"/>
      <c r="K4" s="32"/>
    </row>
    <row r="5" spans="1:11" ht="15.6" x14ac:dyDescent="0.3">
      <c r="A5" s="177" t="s">
        <v>55</v>
      </c>
      <c r="B5" s="178"/>
      <c r="C5" s="17">
        <v>10</v>
      </c>
      <c r="D5" s="57">
        <f>((100/10)*C5)/100</f>
        <v>1</v>
      </c>
      <c r="E5" s="189">
        <f>(IF(C3=I3,"100%",IF(C3=I4,"100%",((C5+(40/(B2+C2+F2+H2)*C6)+(15/H2*C7)+(10/H2*C8)+(10/H2*C9)+(5/H2*C10)+(5/H2*C11))/100))))</f>
        <v>0.1</v>
      </c>
      <c r="F5" s="190"/>
      <c r="G5" s="189">
        <f>((IF(C5=1,"2",IF(C5=2,"4",IF(C5=4,"8",IF(C5=5,"15",IF(C5=7,"20",IF(C5=10,"30","0")))))))/100)+(((30/(H2+F2+C2+B2)*C6)+(15/H2*C7)+(10/H2*C8)+(5/H2*C9)+(5/H2*C10)+(5/H2*C11))/100)</f>
        <v>0.3</v>
      </c>
      <c r="H5" s="195"/>
      <c r="I5" s="33"/>
      <c r="J5" s="8"/>
      <c r="K5" s="32"/>
    </row>
    <row r="6" spans="1:11" ht="15.6" x14ac:dyDescent="0.3">
      <c r="A6" s="177" t="s">
        <v>150</v>
      </c>
      <c r="B6" s="178"/>
      <c r="C6" s="18">
        <v>0</v>
      </c>
      <c r="D6" s="57">
        <f>((100/(C2+F2+H2))*C6)/100</f>
        <v>0</v>
      </c>
      <c r="E6" s="191"/>
      <c r="F6" s="192"/>
      <c r="G6" s="191"/>
      <c r="H6" s="196"/>
      <c r="I6" s="34" t="s">
        <v>144</v>
      </c>
      <c r="J6" s="35">
        <v>0.01</v>
      </c>
      <c r="K6" s="36">
        <v>0.02</v>
      </c>
    </row>
    <row r="7" spans="1:11" ht="15.6" x14ac:dyDescent="0.3">
      <c r="A7" s="177" t="s">
        <v>56</v>
      </c>
      <c r="B7" s="178"/>
      <c r="C7" s="17">
        <v>0</v>
      </c>
      <c r="D7" s="57">
        <f>((100/(F2+H2))*C7)/100</f>
        <v>0</v>
      </c>
      <c r="E7" s="191"/>
      <c r="F7" s="192"/>
      <c r="G7" s="191"/>
      <c r="H7" s="196"/>
      <c r="I7" s="34" t="s">
        <v>145</v>
      </c>
      <c r="J7" s="35">
        <v>0.02</v>
      </c>
      <c r="K7" s="36">
        <v>0.04</v>
      </c>
    </row>
    <row r="8" spans="1:11" ht="15.6" x14ac:dyDescent="0.3">
      <c r="A8" s="177" t="s">
        <v>57</v>
      </c>
      <c r="B8" s="178"/>
      <c r="C8" s="17">
        <v>0</v>
      </c>
      <c r="D8" s="57">
        <f>((100/(F2+H2))*C8)/100</f>
        <v>0</v>
      </c>
      <c r="E8" s="191"/>
      <c r="F8" s="192"/>
      <c r="G8" s="191"/>
      <c r="H8" s="196"/>
      <c r="I8" s="34" t="s">
        <v>146</v>
      </c>
      <c r="J8" s="35">
        <v>0.04</v>
      </c>
      <c r="K8" s="36">
        <v>0.08</v>
      </c>
    </row>
    <row r="9" spans="1:11" ht="15.6" x14ac:dyDescent="0.3">
      <c r="A9" s="177" t="s">
        <v>58</v>
      </c>
      <c r="B9" s="178"/>
      <c r="C9" s="17">
        <v>0</v>
      </c>
      <c r="D9" s="57">
        <f>((100/(F2+H2))*C9)/100</f>
        <v>0</v>
      </c>
      <c r="E9" s="191"/>
      <c r="F9" s="192"/>
      <c r="G9" s="191"/>
      <c r="H9" s="196"/>
      <c r="I9" s="34" t="s">
        <v>147</v>
      </c>
      <c r="J9" s="35">
        <v>0.05</v>
      </c>
      <c r="K9" s="36">
        <v>0.15</v>
      </c>
    </row>
    <row r="10" spans="1:11" ht="15.6" x14ac:dyDescent="0.3">
      <c r="A10" s="177" t="s">
        <v>59</v>
      </c>
      <c r="B10" s="178"/>
      <c r="C10" s="17">
        <v>0</v>
      </c>
      <c r="D10" s="57">
        <f>((100/(F2+H2))*C10)/100</f>
        <v>0</v>
      </c>
      <c r="E10" s="191"/>
      <c r="F10" s="192"/>
      <c r="G10" s="191"/>
      <c r="H10" s="196"/>
      <c r="I10" s="34" t="s">
        <v>148</v>
      </c>
      <c r="J10" s="35">
        <v>7.0000000000000007E-2</v>
      </c>
      <c r="K10" s="36">
        <v>0.2</v>
      </c>
    </row>
    <row r="11" spans="1:11" ht="16.2" thickBot="1" x14ac:dyDescent="0.35">
      <c r="A11" s="198" t="s">
        <v>60</v>
      </c>
      <c r="B11" s="199"/>
      <c r="C11" s="26">
        <v>0</v>
      </c>
      <c r="D11" s="58">
        <f>((100/(F2+H2))*C11)/100</f>
        <v>0</v>
      </c>
      <c r="E11" s="193"/>
      <c r="F11" s="194"/>
      <c r="G11" s="193"/>
      <c r="H11" s="197"/>
      <c r="I11" s="37" t="s">
        <v>149</v>
      </c>
      <c r="J11" s="38">
        <v>0.1</v>
      </c>
      <c r="K11" s="39">
        <v>0.3</v>
      </c>
    </row>
    <row r="12" spans="1:11" ht="15.6" x14ac:dyDescent="0.3">
      <c r="A12" s="61"/>
      <c r="B12" s="61"/>
      <c r="C12" s="62"/>
      <c r="D12" s="63"/>
      <c r="E12" s="63"/>
      <c r="F12" s="63"/>
      <c r="G12" s="63"/>
      <c r="H12" s="63"/>
      <c r="I12" s="64"/>
      <c r="J12" s="35"/>
      <c r="K12" s="35"/>
    </row>
    <row r="13" spans="1:11" x14ac:dyDescent="0.3">
      <c r="E13" s="59">
        <f>E5</f>
        <v>0.1</v>
      </c>
      <c r="G13" s="59">
        <f>G5</f>
        <v>0.3</v>
      </c>
    </row>
    <row r="14" spans="1:11" x14ac:dyDescent="0.3">
      <c r="E14" s="60"/>
      <c r="G14" s="60"/>
    </row>
  </sheetData>
  <mergeCells count="17">
    <mergeCell ref="A5:B5"/>
    <mergeCell ref="E5:F11"/>
    <mergeCell ref="G5:H11"/>
    <mergeCell ref="A6:B6"/>
    <mergeCell ref="A7:B7"/>
    <mergeCell ref="A8:B8"/>
    <mergeCell ref="A9:B9"/>
    <mergeCell ref="A10:B10"/>
    <mergeCell ref="A11:B11"/>
    <mergeCell ref="A4:B4"/>
    <mergeCell ref="E4:F4"/>
    <mergeCell ref="G4:H4"/>
    <mergeCell ref="A1:H1"/>
    <mergeCell ref="A2:B2"/>
    <mergeCell ref="C2:D2"/>
    <mergeCell ref="A3:B3"/>
    <mergeCell ref="C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L36"/>
  <sheetViews>
    <sheetView topLeftCell="A16" workbookViewId="0">
      <selection activeCell="M197" sqref="M197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86</v>
      </c>
      <c r="C2" s="200"/>
      <c r="D2" s="200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87</v>
      </c>
      <c r="B4" s="5" t="s">
        <v>88</v>
      </c>
      <c r="C4" s="201" t="s">
        <v>89</v>
      </c>
      <c r="D4" s="201"/>
      <c r="E4" s="201"/>
      <c r="F4" s="6"/>
      <c r="G4" s="201" t="s">
        <v>90</v>
      </c>
      <c r="H4" s="201"/>
      <c r="I4" s="201"/>
      <c r="J4" s="201" t="s">
        <v>91</v>
      </c>
      <c r="K4" s="201"/>
      <c r="L4" s="201"/>
    </row>
    <row r="5" spans="1:12" x14ac:dyDescent="0.3">
      <c r="A5" s="3">
        <v>202</v>
      </c>
      <c r="B5" s="5"/>
      <c r="C5" s="5" t="s">
        <v>92</v>
      </c>
      <c r="D5" s="5" t="s">
        <v>93</v>
      </c>
      <c r="E5" s="5" t="s">
        <v>68</v>
      </c>
      <c r="F5" s="5"/>
      <c r="G5" s="5" t="s">
        <v>92</v>
      </c>
      <c r="H5" s="5" t="s">
        <v>93</v>
      </c>
      <c r="I5" s="5" t="s">
        <v>68</v>
      </c>
      <c r="J5" s="5" t="s">
        <v>92</v>
      </c>
      <c r="K5" s="5" t="s">
        <v>93</v>
      </c>
      <c r="L5" s="5" t="s">
        <v>68</v>
      </c>
    </row>
    <row r="6" spans="1:12" x14ac:dyDescent="0.3">
      <c r="B6" s="7" t="s">
        <v>94</v>
      </c>
      <c r="C6" s="7">
        <v>4.5</v>
      </c>
      <c r="D6" s="7">
        <v>2.9</v>
      </c>
      <c r="E6" s="7">
        <f>C6*D6</f>
        <v>13.049999999999999</v>
      </c>
      <c r="F6" s="7" t="s">
        <v>95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96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97</v>
      </c>
      <c r="C9" s="7">
        <v>1.88</v>
      </c>
      <c r="D9" s="7">
        <v>2.13</v>
      </c>
      <c r="E9" s="7">
        <f t="shared" si="0"/>
        <v>4.0043999999999995</v>
      </c>
      <c r="F9" s="7" t="s">
        <v>95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96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98</v>
      </c>
      <c r="C13" s="7"/>
      <c r="D13" s="7"/>
      <c r="E13" s="7">
        <f t="shared" si="0"/>
        <v>0</v>
      </c>
      <c r="F13" s="7" t="s">
        <v>95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96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99</v>
      </c>
      <c r="C17" s="7"/>
      <c r="D17" s="7"/>
      <c r="E17" s="7">
        <f t="shared" si="0"/>
        <v>0</v>
      </c>
      <c r="F17" s="7" t="s">
        <v>95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96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99</v>
      </c>
      <c r="C20" s="7"/>
      <c r="D20" s="7"/>
      <c r="E20" s="7">
        <f t="shared" si="0"/>
        <v>0</v>
      </c>
      <c r="F20" s="7" t="s">
        <v>95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96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100</v>
      </c>
      <c r="C23" s="7">
        <v>1.9</v>
      </c>
      <c r="D23" s="7">
        <v>1.07</v>
      </c>
      <c r="E23" s="7">
        <f t="shared" si="0"/>
        <v>2.0329999999999999</v>
      </c>
      <c r="F23" s="7" t="s">
        <v>101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102</v>
      </c>
      <c r="C24" s="7"/>
      <c r="D24" s="7"/>
      <c r="E24" s="7">
        <f t="shared" si="0"/>
        <v>0</v>
      </c>
      <c r="F24" s="7" t="s">
        <v>101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103</v>
      </c>
      <c r="C25" s="7"/>
      <c r="D25" s="7"/>
      <c r="E25" s="7">
        <f t="shared" si="0"/>
        <v>0</v>
      </c>
      <c r="F25" s="7" t="s">
        <v>101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104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105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106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69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C16" sqref="C16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6"/>
  <sheetViews>
    <sheetView zoomScale="115" zoomScaleNormal="115" workbookViewId="0">
      <selection activeCell="E8" sqref="E8"/>
    </sheetView>
  </sheetViews>
  <sheetFormatPr defaultColWidth="8.6640625" defaultRowHeight="14.4" x14ac:dyDescent="0.3"/>
  <cols>
    <col min="1" max="1" width="8.6640625" style="40"/>
    <col min="2" max="2" width="22.109375" style="40" customWidth="1"/>
    <col min="3" max="3" width="37" style="40" customWidth="1"/>
    <col min="4" max="5" width="11.44140625" style="40" customWidth="1"/>
    <col min="6" max="6" width="14" style="40" customWidth="1"/>
    <col min="7" max="7" width="20" style="40" customWidth="1"/>
    <col min="8" max="8" width="16.44140625" style="40" customWidth="1"/>
    <col min="9" max="16384" width="8.6640625" style="40"/>
  </cols>
  <sheetData>
    <row r="1" spans="1:9" ht="15" customHeight="1" x14ac:dyDescent="0.3"/>
    <row r="2" spans="1:9" ht="15" customHeight="1" x14ac:dyDescent="0.3">
      <c r="A2" s="41"/>
      <c r="B2" s="41"/>
      <c r="C2" s="41"/>
      <c r="D2" s="41"/>
      <c r="E2" s="41"/>
      <c r="F2" s="41"/>
      <c r="G2" s="41"/>
      <c r="H2" s="41"/>
    </row>
    <row r="3" spans="1:9" ht="15.75" customHeight="1" x14ac:dyDescent="0.3">
      <c r="A3" s="41"/>
      <c r="B3" s="202" t="s">
        <v>155</v>
      </c>
      <c r="C3" s="202"/>
      <c r="D3" s="202"/>
      <c r="E3" s="202"/>
      <c r="F3" s="202"/>
      <c r="G3" s="202"/>
      <c r="H3" s="202"/>
    </row>
    <row r="4" spans="1:9" x14ac:dyDescent="0.3">
      <c r="A4" s="41"/>
      <c r="B4" s="42" t="s">
        <v>156</v>
      </c>
      <c r="C4" s="42" t="s">
        <v>157</v>
      </c>
      <c r="D4" s="42" t="s">
        <v>87</v>
      </c>
      <c r="E4" s="42" t="s">
        <v>158</v>
      </c>
      <c r="F4" s="42" t="s">
        <v>165</v>
      </c>
      <c r="G4" s="42" t="s">
        <v>166</v>
      </c>
      <c r="H4" s="42" t="s">
        <v>159</v>
      </c>
    </row>
    <row r="5" spans="1:9" ht="15" customHeight="1" x14ac:dyDescent="0.3">
      <c r="A5" s="41"/>
      <c r="B5" s="44" t="s">
        <v>160</v>
      </c>
      <c r="C5" s="45"/>
      <c r="D5" s="44" t="s">
        <v>161</v>
      </c>
      <c r="E5" s="44">
        <v>1106</v>
      </c>
      <c r="F5" s="46">
        <f>E5*1.6</f>
        <v>1769.6000000000001</v>
      </c>
      <c r="G5" s="46">
        <f>H5/F5</f>
        <v>31532.549728752259</v>
      </c>
      <c r="H5" s="47">
        <v>55800000</v>
      </c>
    </row>
    <row r="6" spans="1:9" x14ac:dyDescent="0.3">
      <c r="A6" s="41"/>
      <c r="B6" s="44" t="s">
        <v>160</v>
      </c>
      <c r="C6" s="48"/>
      <c r="D6" s="44"/>
      <c r="E6" s="44"/>
      <c r="F6" s="46">
        <f t="shared" ref="F6:F11" si="0">E6*1.6</f>
        <v>0</v>
      </c>
      <c r="G6" s="46" t="e">
        <f t="shared" ref="G6:G11" si="1">H6/F6</f>
        <v>#DIV/0!</v>
      </c>
      <c r="H6" s="47"/>
    </row>
    <row r="7" spans="1:9" ht="15" customHeight="1" x14ac:dyDescent="0.3">
      <c r="A7" s="41"/>
      <c r="B7" s="44" t="s">
        <v>160</v>
      </c>
      <c r="C7" s="45"/>
      <c r="D7" s="44"/>
      <c r="E7" s="44"/>
      <c r="F7" s="46">
        <f t="shared" si="0"/>
        <v>0</v>
      </c>
      <c r="G7" s="46" t="e">
        <f t="shared" si="1"/>
        <v>#DIV/0!</v>
      </c>
      <c r="H7" s="47"/>
    </row>
    <row r="8" spans="1:9" x14ac:dyDescent="0.3">
      <c r="A8" s="41"/>
      <c r="B8" s="44" t="s">
        <v>160</v>
      </c>
      <c r="C8" s="48"/>
      <c r="D8" s="44"/>
      <c r="E8" s="44"/>
      <c r="F8" s="46">
        <f t="shared" si="0"/>
        <v>0</v>
      </c>
      <c r="G8" s="46" t="e">
        <f t="shared" si="1"/>
        <v>#DIV/0!</v>
      </c>
      <c r="H8" s="47"/>
    </row>
    <row r="9" spans="1:9" ht="15" customHeight="1" x14ac:dyDescent="0.3">
      <c r="A9" s="41"/>
      <c r="B9" s="44" t="s">
        <v>160</v>
      </c>
      <c r="C9" s="48"/>
      <c r="D9" s="44"/>
      <c r="E9" s="44"/>
      <c r="F9" s="46">
        <f t="shared" si="0"/>
        <v>0</v>
      </c>
      <c r="G9" s="46" t="e">
        <f t="shared" si="1"/>
        <v>#DIV/0!</v>
      </c>
      <c r="H9" s="47"/>
    </row>
    <row r="10" spans="1:9" ht="15" customHeight="1" x14ac:dyDescent="0.3">
      <c r="A10" s="41"/>
      <c r="B10" s="44" t="s">
        <v>162</v>
      </c>
      <c r="C10" s="45"/>
      <c r="D10" s="44"/>
      <c r="E10" s="44"/>
      <c r="F10" s="46">
        <f t="shared" si="0"/>
        <v>0</v>
      </c>
      <c r="G10" s="46" t="e">
        <f t="shared" si="1"/>
        <v>#DIV/0!</v>
      </c>
      <c r="H10" s="47"/>
    </row>
    <row r="11" spans="1:9" ht="15" customHeight="1" x14ac:dyDescent="0.3">
      <c r="A11" s="41"/>
      <c r="B11" s="44" t="s">
        <v>162</v>
      </c>
      <c r="C11" s="45"/>
      <c r="D11" s="44"/>
      <c r="E11" s="44"/>
      <c r="F11" s="46">
        <f t="shared" si="0"/>
        <v>0</v>
      </c>
      <c r="G11" s="46" t="e">
        <f t="shared" si="1"/>
        <v>#DIV/0!</v>
      </c>
      <c r="H11" s="47"/>
    </row>
    <row r="12" spans="1:9" ht="15" customHeight="1" x14ac:dyDescent="0.3">
      <c r="A12" s="41"/>
      <c r="B12" s="49" t="s">
        <v>163</v>
      </c>
      <c r="C12" s="44"/>
      <c r="D12" s="44"/>
      <c r="E12" s="44"/>
      <c r="F12" s="44"/>
      <c r="G12" s="50" t="e">
        <f>AVERAGE(G5:G11)</f>
        <v>#DIV/0!</v>
      </c>
      <c r="H12" s="44"/>
    </row>
    <row r="13" spans="1:9" ht="15" customHeight="1" x14ac:dyDescent="0.3">
      <c r="B13" s="49" t="s">
        <v>164</v>
      </c>
      <c r="C13" s="44"/>
      <c r="D13" s="44"/>
      <c r="E13" s="44"/>
      <c r="F13" s="51"/>
      <c r="G13" s="49"/>
      <c r="H13" s="49"/>
      <c r="I13" s="43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2025-07-13T13:35:21Z</cp:lastPrinted>
  <dcterms:created xsi:type="dcterms:W3CDTF">2019-07-16T09:29:46Z</dcterms:created>
  <dcterms:modified xsi:type="dcterms:W3CDTF">2025-07-13T13:36:29Z</dcterms:modified>
</cp:coreProperties>
</file>