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7E06B16E-C6D2-47E5-820D-8A7D9FB586F3}" xr6:coauthVersionLast="47" xr6:coauthVersionMax="47" xr10:uidLastSave="{00000000-0000-0000-0000-000000000000}"/>
  <bookViews>
    <workbookView xWindow="-108" yWindow="-108" windowWidth="23256" windowHeight="12456" tabRatio="724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9" i="1" l="1"/>
  <c r="L170" i="1"/>
  <c r="L178" i="1"/>
  <c r="L179" i="1"/>
  <c r="J172" i="1"/>
  <c r="D177" i="1"/>
  <c r="J177" i="1"/>
  <c r="J174" i="1"/>
  <c r="D172" i="1"/>
  <c r="D173" i="1"/>
  <c r="I173" i="1"/>
  <c r="K173" i="1" s="1"/>
  <c r="I181" i="1"/>
  <c r="D181" i="1"/>
  <c r="I164" i="1"/>
  <c r="I166" i="1"/>
  <c r="C96" i="1"/>
  <c r="C82" i="1"/>
  <c r="C68" i="1"/>
  <c r="D183" i="1" l="1"/>
  <c r="D182" i="1"/>
  <c r="D176" i="1"/>
  <c r="F176" i="1" s="1"/>
  <c r="L176" i="1" s="1"/>
  <c r="D175" i="1"/>
  <c r="D174" i="1"/>
  <c r="D171" i="1"/>
  <c r="D168" i="1"/>
  <c r="F168" i="1" s="1"/>
  <c r="L168" i="1" s="1"/>
  <c r="D167" i="1"/>
  <c r="F167" i="1" s="1"/>
  <c r="L167" i="1" s="1"/>
  <c r="D166" i="1"/>
  <c r="D165" i="1"/>
  <c r="D164" i="1"/>
  <c r="D163" i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D150" i="1"/>
  <c r="F150" i="1" s="1"/>
  <c r="D147" i="1"/>
  <c r="F147" i="1" s="1"/>
  <c r="D146" i="1"/>
  <c r="F146" i="1" s="1"/>
  <c r="D145" i="1"/>
  <c r="D144" i="1"/>
  <c r="D143" i="1"/>
  <c r="D142" i="1"/>
  <c r="F151" i="1"/>
  <c r="G171" i="1"/>
  <c r="F177" i="1"/>
  <c r="L177" i="1" s="1"/>
  <c r="I172" i="1"/>
  <c r="I171" i="1"/>
  <c r="I163" i="1"/>
  <c r="G150" i="1"/>
  <c r="I151" i="1"/>
  <c r="I150" i="1"/>
  <c r="I146" i="1"/>
  <c r="I144" i="1"/>
  <c r="I142" i="1"/>
  <c r="C126" i="1" l="1"/>
  <c r="C133" i="1"/>
  <c r="E133" i="1"/>
  <c r="E127" i="1"/>
  <c r="E132" i="1"/>
  <c r="C132" i="1"/>
  <c r="C127" i="1"/>
  <c r="E126" i="1"/>
  <c r="E131" i="1"/>
  <c r="C131" i="1"/>
  <c r="G127" i="1"/>
  <c r="G49" i="1"/>
  <c r="C128" i="1" l="1"/>
  <c r="E128" i="1"/>
  <c r="E134" i="1"/>
  <c r="C134" i="1"/>
  <c r="E7" i="1"/>
  <c r="E135" i="1" l="1"/>
  <c r="C135" i="1"/>
  <c r="E42" i="1" l="1"/>
  <c r="E43" i="1" s="1"/>
  <c r="C14" i="1" l="1"/>
  <c r="E29" i="1" l="1"/>
  <c r="F164" i="1" l="1"/>
  <c r="L164" i="1" s="1"/>
  <c r="F165" i="1"/>
  <c r="L165" i="1" s="1"/>
  <c r="F166" i="1"/>
  <c r="L166" i="1" s="1"/>
  <c r="F163" i="1"/>
  <c r="A164" i="1"/>
  <c r="A165" i="1" s="1"/>
  <c r="A166" i="1" s="1"/>
  <c r="A167" i="1" s="1"/>
  <c r="A168" i="1" s="1"/>
  <c r="G163" i="1"/>
  <c r="L163" i="1" l="1"/>
  <c r="G131" i="1"/>
  <c r="F123" i="1"/>
  <c r="F143" i="1" l="1"/>
  <c r="F144" i="1"/>
  <c r="F145" i="1"/>
  <c r="F142" i="1"/>
  <c r="G126" i="1" l="1"/>
  <c r="G128" i="1" s="1"/>
  <c r="B186" i="1"/>
  <c r="F183" i="1" l="1"/>
  <c r="F182" i="1"/>
  <c r="F181" i="1"/>
  <c r="F175" i="1"/>
  <c r="L175" i="1" s="1"/>
  <c r="F174" i="1"/>
  <c r="L174" i="1" s="1"/>
  <c r="F172" i="1"/>
  <c r="L172" i="1" s="1"/>
  <c r="F171" i="1"/>
  <c r="F173" i="1"/>
  <c r="L173" i="1" s="1"/>
  <c r="G133" i="1" l="1"/>
  <c r="L171" i="1"/>
  <c r="G132" i="1"/>
  <c r="B187" i="1"/>
  <c r="G134" i="1" l="1"/>
  <c r="G135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6" i="1"/>
  <c r="G181" i="1"/>
  <c r="A172" i="1"/>
  <c r="A173" i="1" s="1"/>
  <c r="A174" i="1" s="1"/>
  <c r="A175" i="1" s="1"/>
  <c r="A176" i="1" s="1"/>
  <c r="A177" i="1" s="1"/>
  <c r="A143" i="1"/>
  <c r="A144" i="1" s="1"/>
  <c r="A145" i="1" s="1"/>
  <c r="A146" i="1" s="1"/>
  <c r="A147" i="1" s="1"/>
  <c r="G142" i="1"/>
  <c r="B83" i="1"/>
  <c r="D54" i="1"/>
  <c r="C49" i="1"/>
  <c r="E26" i="1"/>
  <c r="E24" i="1"/>
  <c r="E3" i="1"/>
  <c r="H83" i="1"/>
  <c r="H97" i="1"/>
  <c r="H69" i="1"/>
  <c r="J88" i="1" l="1"/>
  <c r="J89" i="1" s="1"/>
  <c r="J82" i="1"/>
  <c r="J84" i="1" s="1"/>
  <c r="D62" i="1"/>
  <c r="D93" i="1"/>
  <c r="D94" i="1"/>
  <c r="D95" i="1"/>
  <c r="D89" i="1"/>
  <c r="D90" i="1"/>
  <c r="D91" i="1"/>
  <c r="D92" i="1"/>
  <c r="D81" i="1"/>
  <c r="D79" i="1"/>
  <c r="D78" i="1"/>
  <c r="D77" i="1"/>
  <c r="D75" i="1"/>
  <c r="J68" i="1"/>
  <c r="D80" i="1"/>
  <c r="D76" i="1"/>
  <c r="J72" i="1"/>
  <c r="J73" i="1"/>
  <c r="C72" i="1" s="1"/>
  <c r="J71" i="1"/>
  <c r="J74" i="1"/>
  <c r="J75" i="1" s="1"/>
  <c r="J80" i="1" s="1"/>
  <c r="J96" i="1"/>
  <c r="J98" i="1" s="1"/>
  <c r="J100" i="1"/>
  <c r="D109" i="1"/>
  <c r="D107" i="1"/>
  <c r="D105" i="1"/>
  <c r="D103" i="1"/>
  <c r="J101" i="1"/>
  <c r="C100" i="1" s="1"/>
  <c r="J99" i="1"/>
  <c r="J102" i="1"/>
  <c r="D108" i="1"/>
  <c r="D106" i="1"/>
  <c r="D104" i="1"/>
  <c r="J86" i="1"/>
  <c r="J87" i="1"/>
  <c r="C86" i="1" s="1"/>
  <c r="J85" i="1"/>
  <c r="J103" i="1" l="1"/>
  <c r="J108" i="1" s="1"/>
  <c r="J94" i="1"/>
  <c r="J104" i="1"/>
  <c r="J105" i="1" s="1"/>
  <c r="J106" i="1" s="1"/>
  <c r="J107" i="1" s="1"/>
  <c r="J90" i="1"/>
  <c r="J91" i="1" s="1"/>
  <c r="J92" i="1" s="1"/>
  <c r="J93" i="1" s="1"/>
  <c r="J76" i="1"/>
  <c r="J77" i="1" s="1"/>
  <c r="J78" i="1" s="1"/>
  <c r="J79" i="1" s="1"/>
  <c r="D102" i="1"/>
  <c r="D100" i="1"/>
  <c r="D88" i="1"/>
  <c r="D74" i="1"/>
  <c r="J70" i="1"/>
  <c r="D72" i="1"/>
  <c r="D86" i="1"/>
  <c r="J109" i="1" l="1"/>
  <c r="C101" i="1" s="1"/>
  <c r="E100" i="1" s="1"/>
  <c r="J81" i="1"/>
  <c r="J95" i="1"/>
  <c r="J97" i="1" l="1"/>
  <c r="D101" i="1"/>
  <c r="I97" i="1" s="1"/>
  <c r="I98" i="1" s="1"/>
  <c r="G100" i="1"/>
  <c r="C73" i="1"/>
  <c r="G72" i="1" s="1"/>
  <c r="C87" i="1"/>
  <c r="E86" i="1" s="1"/>
  <c r="I96" i="1" l="1"/>
  <c r="C98" i="1" s="1"/>
  <c r="E72" i="1"/>
  <c r="D73" i="1"/>
  <c r="I69" i="1" s="1"/>
  <c r="I70" i="1" s="1"/>
  <c r="J69" i="1"/>
  <c r="D87" i="1"/>
  <c r="I83" i="1" s="1"/>
  <c r="I84" i="1" s="1"/>
  <c r="J83" i="1"/>
  <c r="G86" i="1"/>
  <c r="D66" i="1" s="1"/>
  <c r="I68" i="1" l="1"/>
  <c r="C70" i="1" s="1"/>
  <c r="D67" i="1"/>
  <c r="F67" i="1"/>
  <c r="I82" i="1"/>
  <c r="C84" i="1" s="1"/>
</calcChain>
</file>

<file path=xl/sharedStrings.xml><?xml version="1.0" encoding="utf-8"?>
<sst xmlns="http://schemas.openxmlformats.org/spreadsheetml/2006/main" count="379" uniqueCount="229">
  <si>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</si>
  <si>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</si>
  <si>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</si>
  <si>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</si>
  <si>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</si>
  <si>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</si>
  <si>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</si>
  <si>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</si>
  <si>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</si>
  <si>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</si>
  <si>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</si>
  <si>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</si>
  <si>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</si>
  <si>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</si>
  <si>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</si>
  <si>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</si>
  <si>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</si>
  <si>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</si>
  <si>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</si>
  <si>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</si>
  <si>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</si>
  <si>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</si>
  <si>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</si>
  <si>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</si>
  <si>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</si>
  <si>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</si>
  <si>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</si>
  <si>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</si>
  <si>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</si>
  <si>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</si>
  <si>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</si>
  <si>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</si>
  <si>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</si>
  <si>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</si>
  <si>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</si>
  <si>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</si>
  <si>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</si>
  <si>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</si>
  <si>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</si>
  <si>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</si>
  <si>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</si>
  <si>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</si>
  <si>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</si>
  <si>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</si>
  <si>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</si>
  <si>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</si>
  <si>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</si>
  <si>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</si>
  <si>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</si>
  <si>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</si>
  <si>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</si>
  <si>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</si>
  <si>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</si>
  <si>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</si>
  <si>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</si>
  <si>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</si>
  <si>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</si>
  <si>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</si>
  <si>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</si>
  <si>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</si>
  <si>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</si>
  <si>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</si>
  <si>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</si>
  <si>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</si>
  <si>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</si>
  <si>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</si>
  <si>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</si>
  <si>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</si>
  <si>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</si>
  <si>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</si>
  <si>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</si>
  <si>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</si>
  <si>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</si>
  <si>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</si>
  <si>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</si>
  <si>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</si>
  <si>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</si>
  <si>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</si>
  <si>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</si>
  <si>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</si>
  <si>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</si>
  <si>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</si>
  <si>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</si>
  <si>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</si>
  <si>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</si>
  <si>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</si>
  <si>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</si>
  <si>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</si>
  <si>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</si>
  <si>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</si>
  <si>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</si>
  <si>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</si>
  <si>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</si>
  <si>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</si>
  <si>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</si>
  <si>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</si>
  <si>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</si>
  <si>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</si>
  <si>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</si>
  <si>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</si>
  <si>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</si>
  <si>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</si>
  <si>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</si>
  <si>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</si>
  <si>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</si>
  <si>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</si>
  <si>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</si>
  <si>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</si>
  <si>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</si>
  <si>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</si>
  <si>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</si>
  <si>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</si>
  <si>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</si>
  <si>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</si>
  <si>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</si>
  <si>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</si>
  <si>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</si>
  <si>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</si>
  <si>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</si>
  <si>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</si>
  <si>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</si>
  <si>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</si>
  <si>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</si>
  <si>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</si>
  <si>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</si>
  <si>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</si>
  <si>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</si>
  <si>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</si>
  <si>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</si>
  <si>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</si>
  <si>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</si>
  <si>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</si>
  <si>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</si>
  <si>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</si>
  <si>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</si>
  <si>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</si>
  <si>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</si>
  <si>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</si>
  <si>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</si>
  <si>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</si>
  <si>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</si>
  <si>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</si>
  <si>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</si>
  <si>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</si>
  <si>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</si>
  <si>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</si>
  <si>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</si>
  <si>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</si>
  <si>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</si>
  <si>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</si>
  <si>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</si>
  <si>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</si>
  <si>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</si>
  <si>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</si>
  <si>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</si>
  <si>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</si>
  <si>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</si>
  <si>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</si>
  <si>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</si>
  <si>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</si>
  <si>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</si>
  <si>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</si>
  <si>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</si>
  <si>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</si>
  <si>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</si>
  <si>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</si>
  <si>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</si>
  <si>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</si>
  <si>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</si>
  <si>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</si>
  <si>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</si>
  <si>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</si>
  <si>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</si>
  <si>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Badlapur</t>
  </si>
  <si>
    <t>B K Groups</t>
  </si>
  <si>
    <t>P51700050218</t>
  </si>
  <si>
    <t>Survey No</t>
  </si>
  <si>
    <t>Varsha Heights</t>
  </si>
  <si>
    <t>75, H. No. 1</t>
  </si>
  <si>
    <t>Devrung</t>
  </si>
  <si>
    <t>Approved Plans, CC, Cost Sheet</t>
  </si>
  <si>
    <t>As per RERA - 31/12/2027</t>
  </si>
  <si>
    <t>Mangesh Laxman Bapardekar</t>
  </si>
  <si>
    <t>Jay Malhar Nagar</t>
  </si>
  <si>
    <t>https://goo.gl/maps/ntkuiQCBwKkxYk3r7</t>
  </si>
  <si>
    <t>Thane</t>
  </si>
  <si>
    <t>Bhiwandi</t>
  </si>
  <si>
    <t>Open Plot</t>
  </si>
  <si>
    <t xml:space="preserve">Nagar Rachana Ani Mulya Nirdharan Vibhag Thane
</t>
  </si>
  <si>
    <t>Building Type - A, B &amp; C</t>
  </si>
  <si>
    <t>Ground Floor For Commercial, Lobby &amp; Parking</t>
  </si>
  <si>
    <t>Shop</t>
  </si>
  <si>
    <t xml:space="preserve"> Ground Floor For Commercial, Lobby &amp; Parking</t>
  </si>
  <si>
    <t>1st, 2nd, 3rd, 4th &amp; 5th Floor For Residential</t>
  </si>
  <si>
    <t>1BHK</t>
  </si>
  <si>
    <t>2BHK</t>
  </si>
  <si>
    <t>Ground Floor For Society Office, Driver Room, Lobby &amp; Parking</t>
  </si>
  <si>
    <t>Commercial Area Details : Shops</t>
  </si>
  <si>
    <t>Residential Area Details : Flats</t>
  </si>
  <si>
    <t>Ambivli West</t>
  </si>
  <si>
    <t xml:space="preserve">Sai Ram Residency
</t>
  </si>
  <si>
    <t>3 Buildings</t>
  </si>
  <si>
    <t xml:space="preserve">Sukh Vastu Building </t>
  </si>
  <si>
    <t>Internal Road / Water Body</t>
  </si>
  <si>
    <t xml:space="preserve">BP/Mj.Devrung/Taluka.Bhiwandi/S.N. 75/1/SSTN/2996                                                         </t>
  </si>
  <si>
    <t>Building Type A = Gr. + 1st to 5th Floor
Building Type B = Gr. + 1st to 5th Floor 
Building Type C = Gr/Stilt + 1st to 5th Floor</t>
  </si>
  <si>
    <t>Building Type A = Gr. + 1st to 5th Floor</t>
  </si>
  <si>
    <t xml:space="preserve">Building Type B = Gr. + 1st to 5th Floor </t>
  </si>
  <si>
    <t>Building Type C = Gr/Stilt + 1st to 5th Floor</t>
  </si>
  <si>
    <t>Building Type A</t>
  </si>
  <si>
    <t>Building Type B</t>
  </si>
  <si>
    <t>Building Type C</t>
  </si>
  <si>
    <t>6 KM from Ambivli Railway Station</t>
  </si>
  <si>
    <t>Other Charges</t>
  </si>
  <si>
    <t>We considered Gross carpet area = Net carpet + Enclose balcony + Balcony.</t>
  </si>
  <si>
    <t>Sukh Vastu Building</t>
  </si>
  <si>
    <t xml:space="preserve">Mr. Rehan Bardi 9323830693
</t>
  </si>
  <si>
    <t xml:space="preserve">Commencement-CC No
Valid Up to: </t>
  </si>
  <si>
    <t>Badminton Courts, Kids' Play Areas / Sand Pits, Yoga Areas, Jogging / Cycle Track, Normal Park / Central Green, Indoor Games</t>
  </si>
  <si>
    <t>Flats - 80, Shops - 14</t>
  </si>
  <si>
    <t>Visitor 4K</t>
  </si>
  <si>
    <t>builder 4k</t>
  </si>
  <si>
    <t>mis 4300</t>
  </si>
  <si>
    <t>BS/Rekhankan/BP/Mj.Devrung/Taluka-Bhiwandi/SSTN/2996</t>
  </si>
  <si>
    <t>Internal Road</t>
  </si>
  <si>
    <t>19.276104,73.146538</t>
  </si>
  <si>
    <t xml:space="preserve">Mr. Rehan Bardi : 9702461430/9324034861/8976923333
</t>
  </si>
  <si>
    <t>Kunal Kadam</t>
  </si>
  <si>
    <t>Wing A = Construction work is in process at the time of Visit.
Wing B = Finishing &amp; Cleaning work pending. Tenanat has occupied the flat.
Wing C = Construction work increased as compared to last visit.
Wing C = Work is same as last visit (08/08/2024).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</si>
</sst>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5" fillId="0" borderId="0" xfId="1" applyFont="1" applyAlignment="1">
      <alignment horizontal="right"/>
    </xf>
    <xf numFmtId="1" fontId="15" fillId="0" borderId="0" xfId="1" applyNumberFormat="1" applyFont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24" fillId="2" borderId="15" xfId="0" applyFont="1" applyFill="1" applyBorder="1"/>
    <xf numFmtId="0" fontId="25" fillId="0" borderId="9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8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9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67" fontId="15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1" fontId="7" fillId="0" borderId="8" xfId="0" applyNumberFormat="1" applyFont="1" applyBorder="1" applyAlignment="1" applyProtection="1">
      <alignment horizontal="center" vertical="center"/>
      <protection locked="0"/>
    </xf>
    <xf numFmtId="1" fontId="7" fillId="0" borderId="9" xfId="0" applyNumberFormat="1" applyFont="1" applyBorder="1" applyAlignment="1" applyProtection="1">
      <alignment horizontal="center" vertical="center"/>
      <protection locked="0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1" fontId="7" fillId="0" borderId="9" xfId="0" applyNumberFormat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jpeg"/><Relationship Id="rId26" Type="http://schemas.openxmlformats.org/officeDocument/2006/relationships/image" Target="../media/image25.jpeg"/><Relationship Id="rId3" Type="http://schemas.microsoft.com/office/2007/relationships/hdphoto" Target="../media/hdphoto1.wdp"/><Relationship Id="rId21" Type="http://schemas.openxmlformats.org/officeDocument/2006/relationships/image" Target="../media/image20.jpe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jpeg"/><Relationship Id="rId25" Type="http://schemas.openxmlformats.org/officeDocument/2006/relationships/image" Target="../media/image24.jpeg"/><Relationship Id="rId2" Type="http://schemas.openxmlformats.org/officeDocument/2006/relationships/image" Target="../media/image2.png"/><Relationship Id="rId16" Type="http://schemas.openxmlformats.org/officeDocument/2006/relationships/image" Target="../media/image15.jpeg"/><Relationship Id="rId20" Type="http://schemas.openxmlformats.org/officeDocument/2006/relationships/image" Target="../media/image19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3.jpe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23" Type="http://schemas.openxmlformats.org/officeDocument/2006/relationships/image" Target="../media/image22.jpeg"/><Relationship Id="rId10" Type="http://schemas.openxmlformats.org/officeDocument/2006/relationships/image" Target="../media/image9.png"/><Relationship Id="rId19" Type="http://schemas.openxmlformats.org/officeDocument/2006/relationships/image" Target="../media/image18.jpe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288</xdr:row>
      <xdr:rowOff>180974</xdr:rowOff>
    </xdr:from>
    <xdr:to>
      <xdr:col>7</xdr:col>
      <xdr:colOff>642097</xdr:colOff>
      <xdr:row>307</xdr:row>
      <xdr:rowOff>85724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62026799"/>
          <a:ext cx="5909421" cy="3705225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0</xdr:col>
      <xdr:colOff>284610</xdr:colOff>
      <xdr:row>307</xdr:row>
      <xdr:rowOff>171237</xdr:rowOff>
    </xdr:from>
    <xdr:to>
      <xdr:col>7</xdr:col>
      <xdr:colOff>583807</xdr:colOff>
      <xdr:row>327</xdr:row>
      <xdr:rowOff>166195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4D873A3-D108-AC38-7075-46277BC85D66}"/>
            </a:ext>
          </a:extLst>
        </xdr:cNvPr>
        <xdr:cNvGrpSpPr/>
      </xdr:nvGrpSpPr>
      <xdr:grpSpPr>
        <a:xfrm>
          <a:off x="284610" y="64870899"/>
          <a:ext cx="6020059" cy="3980804"/>
          <a:chOff x="326652" y="65361652"/>
          <a:chExt cx="6022080" cy="3988889"/>
        </a:xfrm>
      </xdr:grpSpPr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rightnessContrast bright="2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326652" y="65361652"/>
            <a:ext cx="6022080" cy="3988889"/>
          </a:xfrm>
          <a:prstGeom prst="rect">
            <a:avLst/>
          </a:prstGeom>
          <a:ln w="9525">
            <a:solidFill>
              <a:schemeClr val="tx1"/>
            </a:solidFill>
          </a:ln>
        </xdr:spPr>
      </xdr:pic>
      <xdr:grpSp>
        <xdr:nvGrpSpPr>
          <xdr:cNvPr id="70" name="Group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GrpSpPr/>
        </xdr:nvGrpSpPr>
        <xdr:grpSpPr>
          <a:xfrm>
            <a:off x="1543901" y="67092574"/>
            <a:ext cx="1639924" cy="1968392"/>
            <a:chOff x="1791129" y="3000373"/>
            <a:chExt cx="2435335" cy="3272009"/>
          </a:xfrm>
        </xdr:grpSpPr>
        <xdr:cxnSp macro="">
          <xdr:nvCxnSpPr>
            <xdr:cNvPr id="71" name="Straight Connector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CxnSpPr/>
          </xdr:nvCxnSpPr>
          <xdr:spPr>
            <a:xfrm flipV="1">
              <a:off x="3244118" y="5181711"/>
              <a:ext cx="968815" cy="1090671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72" name="Group 71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GrpSpPr/>
          </xdr:nvGrpSpPr>
          <xdr:grpSpPr>
            <a:xfrm>
              <a:off x="1791129" y="3000373"/>
              <a:ext cx="2435335" cy="3256776"/>
              <a:chOff x="1791129" y="3000373"/>
              <a:chExt cx="2435335" cy="3256776"/>
            </a:xfrm>
          </xdr:grpSpPr>
          <xdr:cxnSp macro="">
            <xdr:nvCxnSpPr>
              <xdr:cNvPr id="73" name="Straight Connector 72">
                <a:extLst>
                  <a:ext uri="{FF2B5EF4-FFF2-40B4-BE49-F238E27FC236}">
                    <a16:creationId xmlns:a16="http://schemas.microsoft.com/office/drawing/2014/main" id="{00000000-0008-0000-0000-000049000000}"/>
                  </a:ext>
                </a:extLst>
              </xdr:cNvPr>
              <xdr:cNvCxnSpPr/>
            </xdr:nvCxnSpPr>
            <xdr:spPr>
              <a:xfrm flipV="1">
                <a:off x="1791129" y="3016180"/>
                <a:ext cx="1244726" cy="1153896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4" name="Straight Connector 73">
                <a:extLst>
                  <a:ext uri="{FF2B5EF4-FFF2-40B4-BE49-F238E27FC236}">
                    <a16:creationId xmlns:a16="http://schemas.microsoft.com/office/drawing/2014/main" id="{00000000-0008-0000-0000-00004A000000}"/>
                  </a:ext>
                </a:extLst>
              </xdr:cNvPr>
              <xdr:cNvCxnSpPr/>
            </xdr:nvCxnSpPr>
            <xdr:spPr>
              <a:xfrm>
                <a:off x="1831718" y="4170076"/>
                <a:ext cx="592393" cy="2057672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5" name="Straight Connector 74">
                <a:extLst>
                  <a:ext uri="{FF2B5EF4-FFF2-40B4-BE49-F238E27FC236}">
                    <a16:creationId xmlns:a16="http://schemas.microsoft.com/office/drawing/2014/main" id="{00000000-0008-0000-0000-00004B000000}"/>
                  </a:ext>
                </a:extLst>
              </xdr:cNvPr>
              <xdr:cNvCxnSpPr/>
            </xdr:nvCxnSpPr>
            <xdr:spPr>
              <a:xfrm>
                <a:off x="2424112" y="6219828"/>
                <a:ext cx="795337" cy="37321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6" name="Straight Connector 75">
                <a:extLst>
                  <a:ext uri="{FF2B5EF4-FFF2-40B4-BE49-F238E27FC236}">
                    <a16:creationId xmlns:a16="http://schemas.microsoft.com/office/drawing/2014/main" id="{00000000-0008-0000-0000-00004C000000}"/>
                  </a:ext>
                </a:extLst>
              </xdr:cNvPr>
              <xdr:cNvCxnSpPr/>
            </xdr:nvCxnSpPr>
            <xdr:spPr>
              <a:xfrm flipV="1">
                <a:off x="4194317" y="3179112"/>
                <a:ext cx="32147" cy="1998644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7" name="Straight Connector 76">
                <a:extLst>
                  <a:ext uri="{FF2B5EF4-FFF2-40B4-BE49-F238E27FC236}">
                    <a16:creationId xmlns:a16="http://schemas.microsoft.com/office/drawing/2014/main" id="{00000000-0008-0000-0000-00004D000000}"/>
                  </a:ext>
                </a:extLst>
              </xdr:cNvPr>
              <xdr:cNvCxnSpPr/>
            </xdr:nvCxnSpPr>
            <xdr:spPr>
              <a:xfrm>
                <a:off x="3008796" y="3000373"/>
                <a:ext cx="1217668" cy="178739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87" name="Group 8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GrpSpPr/>
        </xdr:nvGrpSpPr>
        <xdr:grpSpPr>
          <a:xfrm rot="169766">
            <a:off x="2300832" y="67265564"/>
            <a:ext cx="739605" cy="728784"/>
            <a:chOff x="3477191" y="3364984"/>
            <a:chExt cx="2371725" cy="2171701"/>
          </a:xfrm>
        </xdr:grpSpPr>
        <xdr:cxnSp macro="">
          <xdr:nvCxnSpPr>
            <xdr:cNvPr id="88" name="Straight Connector 87">
              <a:extLst>
                <a:ext uri="{FF2B5EF4-FFF2-40B4-BE49-F238E27FC236}">
                  <a16:creationId xmlns:a16="http://schemas.microsoft.com/office/drawing/2014/main" id="{00000000-0008-0000-0000-000058000000}"/>
                </a:ext>
              </a:extLst>
            </xdr:cNvPr>
            <xdr:cNvCxnSpPr/>
          </xdr:nvCxnSpPr>
          <xdr:spPr>
            <a:xfrm flipV="1">
              <a:off x="4612381" y="5527160"/>
              <a:ext cx="1236535" cy="9525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89" name="Group 88">
              <a:extLst>
                <a:ext uri="{FF2B5EF4-FFF2-40B4-BE49-F238E27FC236}">
                  <a16:creationId xmlns:a16="http://schemas.microsoft.com/office/drawing/2014/main" id="{00000000-0008-0000-0000-000059000000}"/>
                </a:ext>
              </a:extLst>
            </xdr:cNvPr>
            <xdr:cNvGrpSpPr/>
          </xdr:nvGrpSpPr>
          <xdr:grpSpPr>
            <a:xfrm>
              <a:off x="3477191" y="3364984"/>
              <a:ext cx="2371725" cy="2171700"/>
              <a:chOff x="3477191" y="3355459"/>
              <a:chExt cx="2371725" cy="2171700"/>
            </a:xfrm>
          </xdr:grpSpPr>
          <xdr:grpSp>
            <xdr:nvGrpSpPr>
              <xdr:cNvPr id="90" name="Group 89">
                <a:extLst>
                  <a:ext uri="{FF2B5EF4-FFF2-40B4-BE49-F238E27FC236}">
                    <a16:creationId xmlns:a16="http://schemas.microsoft.com/office/drawing/2014/main" id="{00000000-0008-0000-0000-00005A000000}"/>
                  </a:ext>
                </a:extLst>
              </xdr:cNvPr>
              <xdr:cNvGrpSpPr/>
            </xdr:nvGrpSpPr>
            <xdr:grpSpPr>
              <a:xfrm>
                <a:off x="3477191" y="3355459"/>
                <a:ext cx="2371725" cy="2171700"/>
                <a:chOff x="3038475" y="2914650"/>
                <a:chExt cx="2371725" cy="2171700"/>
              </a:xfrm>
            </xdr:grpSpPr>
            <xdr:cxnSp macro="">
              <xdr:nvCxnSpPr>
                <xdr:cNvPr id="93" name="Straight Connector 92">
                  <a:extLst>
                    <a:ext uri="{FF2B5EF4-FFF2-40B4-BE49-F238E27FC236}">
                      <a16:creationId xmlns:a16="http://schemas.microsoft.com/office/drawing/2014/main" id="{00000000-0008-0000-0000-00005D000000}"/>
                    </a:ext>
                  </a:extLst>
                </xdr:cNvPr>
                <xdr:cNvCxnSpPr/>
              </xdr:nvCxnSpPr>
              <xdr:spPr>
                <a:xfrm>
                  <a:off x="3038475" y="3086100"/>
                  <a:ext cx="267844" cy="0"/>
                </a:xfrm>
                <a:prstGeom prst="line">
                  <a:avLst/>
                </a:prstGeom>
                <a:ln w="28575">
                  <a:solidFill>
                    <a:srgbClr val="FF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4" name="Straight Connector 93">
                  <a:extLst>
                    <a:ext uri="{FF2B5EF4-FFF2-40B4-BE49-F238E27FC236}">
                      <a16:creationId xmlns:a16="http://schemas.microsoft.com/office/drawing/2014/main" id="{00000000-0008-0000-0000-00005E000000}"/>
                    </a:ext>
                  </a:extLst>
                </xdr:cNvPr>
                <xdr:cNvCxnSpPr/>
              </xdr:nvCxnSpPr>
              <xdr:spPr>
                <a:xfrm>
                  <a:off x="3038475" y="3086100"/>
                  <a:ext cx="0" cy="971550"/>
                </a:xfrm>
                <a:prstGeom prst="line">
                  <a:avLst/>
                </a:prstGeom>
                <a:ln w="28575">
                  <a:solidFill>
                    <a:srgbClr val="FF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5" name="Straight Connector 94">
                  <a:extLst>
                    <a:ext uri="{FF2B5EF4-FFF2-40B4-BE49-F238E27FC236}">
                      <a16:creationId xmlns:a16="http://schemas.microsoft.com/office/drawing/2014/main" id="{00000000-0008-0000-0000-00005F000000}"/>
                    </a:ext>
                  </a:extLst>
                </xdr:cNvPr>
                <xdr:cNvCxnSpPr/>
              </xdr:nvCxnSpPr>
              <xdr:spPr>
                <a:xfrm>
                  <a:off x="5410200" y="2914650"/>
                  <a:ext cx="0" cy="2171700"/>
                </a:xfrm>
                <a:prstGeom prst="line">
                  <a:avLst/>
                </a:prstGeom>
                <a:ln w="28575">
                  <a:solidFill>
                    <a:srgbClr val="FF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6" name="Straight Connector 95">
                  <a:extLst>
                    <a:ext uri="{FF2B5EF4-FFF2-40B4-BE49-F238E27FC236}">
                      <a16:creationId xmlns:a16="http://schemas.microsoft.com/office/drawing/2014/main" id="{00000000-0008-0000-0000-000060000000}"/>
                    </a:ext>
                  </a:extLst>
                </xdr:cNvPr>
                <xdr:cNvCxnSpPr/>
              </xdr:nvCxnSpPr>
              <xdr:spPr>
                <a:xfrm>
                  <a:off x="3306319" y="2914650"/>
                  <a:ext cx="2103881" cy="0"/>
                </a:xfrm>
                <a:prstGeom prst="line">
                  <a:avLst/>
                </a:prstGeom>
                <a:ln w="28575">
                  <a:solidFill>
                    <a:srgbClr val="FF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7" name="Straight Connector 96">
                  <a:extLst>
                    <a:ext uri="{FF2B5EF4-FFF2-40B4-BE49-F238E27FC236}">
                      <a16:creationId xmlns:a16="http://schemas.microsoft.com/office/drawing/2014/main" id="{00000000-0008-0000-0000-000061000000}"/>
                    </a:ext>
                  </a:extLst>
                </xdr:cNvPr>
                <xdr:cNvCxnSpPr/>
              </xdr:nvCxnSpPr>
              <xdr:spPr>
                <a:xfrm>
                  <a:off x="3306319" y="2943225"/>
                  <a:ext cx="0" cy="152400"/>
                </a:xfrm>
                <a:prstGeom prst="line">
                  <a:avLst/>
                </a:prstGeom>
                <a:ln w="28575">
                  <a:solidFill>
                    <a:srgbClr val="FF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8" name="Straight Connector 97">
                  <a:extLst>
                    <a:ext uri="{FF2B5EF4-FFF2-40B4-BE49-F238E27FC236}">
                      <a16:creationId xmlns:a16="http://schemas.microsoft.com/office/drawing/2014/main" id="{00000000-0008-0000-0000-000062000000}"/>
                    </a:ext>
                  </a:extLst>
                </xdr:cNvPr>
                <xdr:cNvCxnSpPr/>
              </xdr:nvCxnSpPr>
              <xdr:spPr>
                <a:xfrm>
                  <a:off x="3038475" y="4057650"/>
                  <a:ext cx="1300156" cy="0"/>
                </a:xfrm>
                <a:prstGeom prst="line">
                  <a:avLst/>
                </a:prstGeom>
                <a:ln w="28575">
                  <a:solidFill>
                    <a:srgbClr val="FF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9" name="Straight Connector 98">
                  <a:extLst>
                    <a:ext uri="{FF2B5EF4-FFF2-40B4-BE49-F238E27FC236}">
                      <a16:creationId xmlns:a16="http://schemas.microsoft.com/office/drawing/2014/main" id="{00000000-0008-0000-0000-000063000000}"/>
                    </a:ext>
                  </a:extLst>
                </xdr:cNvPr>
                <xdr:cNvCxnSpPr/>
              </xdr:nvCxnSpPr>
              <xdr:spPr>
                <a:xfrm>
                  <a:off x="4186809" y="4736029"/>
                  <a:ext cx="0" cy="350321"/>
                </a:xfrm>
                <a:prstGeom prst="line">
                  <a:avLst/>
                </a:prstGeom>
                <a:ln w="28575">
                  <a:solidFill>
                    <a:srgbClr val="FF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cxnSp macro="">
            <xdr:nvCxnSpPr>
              <xdr:cNvPr id="91" name="Straight Connector 90">
                <a:extLst>
                  <a:ext uri="{FF2B5EF4-FFF2-40B4-BE49-F238E27FC236}">
                    <a16:creationId xmlns:a16="http://schemas.microsoft.com/office/drawing/2014/main" id="{00000000-0008-0000-0000-00005B000000}"/>
                  </a:ext>
                </a:extLst>
              </xdr:cNvPr>
              <xdr:cNvCxnSpPr/>
            </xdr:nvCxnSpPr>
            <xdr:spPr>
              <a:xfrm flipH="1">
                <a:off x="4749803" y="4498459"/>
                <a:ext cx="13772" cy="678379"/>
              </a:xfrm>
              <a:prstGeom prst="line">
                <a:avLst/>
              </a:prstGeom>
              <a:ln w="28575"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2" name="Straight Connector 91">
                <a:extLst>
                  <a:ext uri="{FF2B5EF4-FFF2-40B4-BE49-F238E27FC236}">
                    <a16:creationId xmlns:a16="http://schemas.microsoft.com/office/drawing/2014/main" id="{00000000-0008-0000-0000-00005C000000}"/>
                  </a:ext>
                </a:extLst>
              </xdr:cNvPr>
              <xdr:cNvCxnSpPr/>
            </xdr:nvCxnSpPr>
            <xdr:spPr>
              <a:xfrm flipV="1">
                <a:off x="4625525" y="5176839"/>
                <a:ext cx="151822" cy="9525"/>
              </a:xfrm>
              <a:prstGeom prst="line">
                <a:avLst/>
              </a:prstGeom>
              <a:ln w="28575"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113" name="Group 112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GrpSpPr/>
        </xdr:nvGrpSpPr>
        <xdr:grpSpPr>
          <a:xfrm>
            <a:off x="1925211" y="67784905"/>
            <a:ext cx="480733" cy="399392"/>
            <a:chOff x="3701137" y="3633707"/>
            <a:chExt cx="2870489" cy="2262361"/>
          </a:xfrm>
        </xdr:grpSpPr>
        <xdr:cxnSp macro="">
          <xdr:nvCxnSpPr>
            <xdr:cNvPr id="114" name="Straight Connector 113">
              <a:extLst>
                <a:ext uri="{FF2B5EF4-FFF2-40B4-BE49-F238E27FC236}">
                  <a16:creationId xmlns:a16="http://schemas.microsoft.com/office/drawing/2014/main" id="{00000000-0008-0000-0000-000072000000}"/>
                </a:ext>
              </a:extLst>
            </xdr:cNvPr>
            <xdr:cNvCxnSpPr/>
          </xdr:nvCxnSpPr>
          <xdr:spPr>
            <a:xfrm flipH="1">
              <a:off x="6519697" y="3654854"/>
              <a:ext cx="41347" cy="2220066"/>
            </a:xfrm>
            <a:prstGeom prst="line">
              <a:avLst/>
            </a:prstGeom>
            <a:ln w="28575">
              <a:solidFill>
                <a:srgbClr val="7030A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115" name="Group 114">
              <a:extLst>
                <a:ext uri="{FF2B5EF4-FFF2-40B4-BE49-F238E27FC236}">
                  <a16:creationId xmlns:a16="http://schemas.microsoft.com/office/drawing/2014/main" id="{00000000-0008-0000-0000-000073000000}"/>
                </a:ext>
              </a:extLst>
            </xdr:cNvPr>
            <xdr:cNvGrpSpPr/>
          </xdr:nvGrpSpPr>
          <xdr:grpSpPr>
            <a:xfrm>
              <a:off x="3701137" y="3633707"/>
              <a:ext cx="2870489" cy="2262361"/>
              <a:chOff x="3676650" y="3620982"/>
              <a:chExt cx="2870489" cy="2262361"/>
            </a:xfrm>
          </xdr:grpSpPr>
          <xdr:cxnSp macro="">
            <xdr:nvCxnSpPr>
              <xdr:cNvPr id="116" name="Straight Connector 115">
                <a:extLst>
                  <a:ext uri="{FF2B5EF4-FFF2-40B4-BE49-F238E27FC236}">
                    <a16:creationId xmlns:a16="http://schemas.microsoft.com/office/drawing/2014/main" id="{00000000-0008-0000-0000-000074000000}"/>
                  </a:ext>
                </a:extLst>
              </xdr:cNvPr>
              <xdr:cNvCxnSpPr/>
            </xdr:nvCxnSpPr>
            <xdr:spPr>
              <a:xfrm>
                <a:off x="3676650" y="4976556"/>
                <a:ext cx="6350" cy="898364"/>
              </a:xfrm>
              <a:prstGeom prst="line">
                <a:avLst/>
              </a:prstGeom>
              <a:ln w="28575">
                <a:solidFill>
                  <a:srgbClr val="7030A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7" name="Straight Connector 116">
                <a:extLst>
                  <a:ext uri="{FF2B5EF4-FFF2-40B4-BE49-F238E27FC236}">
                    <a16:creationId xmlns:a16="http://schemas.microsoft.com/office/drawing/2014/main" id="{00000000-0008-0000-0000-000075000000}"/>
                  </a:ext>
                </a:extLst>
              </xdr:cNvPr>
              <xdr:cNvCxnSpPr/>
            </xdr:nvCxnSpPr>
            <xdr:spPr>
              <a:xfrm flipH="1">
                <a:off x="3683000" y="3622684"/>
                <a:ext cx="1520" cy="874173"/>
              </a:xfrm>
              <a:prstGeom prst="line">
                <a:avLst/>
              </a:prstGeom>
              <a:ln w="28575">
                <a:solidFill>
                  <a:srgbClr val="7030A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8" name="Straight Connector 117">
                <a:extLst>
                  <a:ext uri="{FF2B5EF4-FFF2-40B4-BE49-F238E27FC236}">
                    <a16:creationId xmlns:a16="http://schemas.microsoft.com/office/drawing/2014/main" id="{00000000-0008-0000-0000-000076000000}"/>
                  </a:ext>
                </a:extLst>
              </xdr:cNvPr>
              <xdr:cNvCxnSpPr/>
            </xdr:nvCxnSpPr>
            <xdr:spPr>
              <a:xfrm flipH="1" flipV="1">
                <a:off x="3689887" y="3620982"/>
                <a:ext cx="2857252" cy="26315"/>
              </a:xfrm>
              <a:prstGeom prst="line">
                <a:avLst/>
              </a:prstGeom>
              <a:ln w="28575">
                <a:solidFill>
                  <a:srgbClr val="7030A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9" name="Straight Connector 118">
                <a:extLst>
                  <a:ext uri="{FF2B5EF4-FFF2-40B4-BE49-F238E27FC236}">
                    <a16:creationId xmlns:a16="http://schemas.microsoft.com/office/drawing/2014/main" id="{00000000-0008-0000-0000-000077000000}"/>
                  </a:ext>
                </a:extLst>
              </xdr:cNvPr>
              <xdr:cNvCxnSpPr/>
            </xdr:nvCxnSpPr>
            <xdr:spPr>
              <a:xfrm flipH="1">
                <a:off x="3679827" y="5868881"/>
                <a:ext cx="1597023" cy="440"/>
              </a:xfrm>
              <a:prstGeom prst="line">
                <a:avLst/>
              </a:prstGeom>
              <a:ln w="28575">
                <a:solidFill>
                  <a:srgbClr val="7030A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0" name="Straight Connector 119">
                <a:extLst>
                  <a:ext uri="{FF2B5EF4-FFF2-40B4-BE49-F238E27FC236}">
                    <a16:creationId xmlns:a16="http://schemas.microsoft.com/office/drawing/2014/main" id="{00000000-0008-0000-0000-000078000000}"/>
                  </a:ext>
                </a:extLst>
              </xdr:cNvPr>
              <xdr:cNvCxnSpPr/>
            </xdr:nvCxnSpPr>
            <xdr:spPr>
              <a:xfrm flipH="1" flipV="1">
                <a:off x="3679827" y="4503408"/>
                <a:ext cx="482598" cy="31973"/>
              </a:xfrm>
              <a:prstGeom prst="line">
                <a:avLst/>
              </a:prstGeom>
              <a:ln w="28575">
                <a:solidFill>
                  <a:srgbClr val="7030A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1" name="Straight Connector 120">
                <a:extLst>
                  <a:ext uri="{FF2B5EF4-FFF2-40B4-BE49-F238E27FC236}">
                    <a16:creationId xmlns:a16="http://schemas.microsoft.com/office/drawing/2014/main" id="{00000000-0008-0000-0000-000079000000}"/>
                  </a:ext>
                </a:extLst>
              </xdr:cNvPr>
              <xdr:cNvCxnSpPr/>
            </xdr:nvCxnSpPr>
            <xdr:spPr>
              <a:xfrm>
                <a:off x="4140496" y="4503408"/>
                <a:ext cx="3491" cy="473148"/>
              </a:xfrm>
              <a:prstGeom prst="line">
                <a:avLst/>
              </a:prstGeom>
              <a:ln w="28575">
                <a:solidFill>
                  <a:srgbClr val="7030A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2" name="Straight Connector 121">
                <a:extLst>
                  <a:ext uri="{FF2B5EF4-FFF2-40B4-BE49-F238E27FC236}">
                    <a16:creationId xmlns:a16="http://schemas.microsoft.com/office/drawing/2014/main" id="{00000000-0008-0000-0000-00007A000000}"/>
                  </a:ext>
                </a:extLst>
              </xdr:cNvPr>
              <xdr:cNvCxnSpPr/>
            </xdr:nvCxnSpPr>
            <xdr:spPr>
              <a:xfrm flipH="1" flipV="1">
                <a:off x="3686177" y="4978292"/>
                <a:ext cx="466723" cy="4764"/>
              </a:xfrm>
              <a:prstGeom prst="line">
                <a:avLst/>
              </a:prstGeom>
              <a:ln w="28575">
                <a:solidFill>
                  <a:srgbClr val="7030A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3" name="Straight Connector 122">
                <a:extLst>
                  <a:ext uri="{FF2B5EF4-FFF2-40B4-BE49-F238E27FC236}">
                    <a16:creationId xmlns:a16="http://schemas.microsoft.com/office/drawing/2014/main" id="{00000000-0008-0000-0000-00007B000000}"/>
                  </a:ext>
                </a:extLst>
              </xdr:cNvPr>
              <xdr:cNvCxnSpPr/>
            </xdr:nvCxnSpPr>
            <xdr:spPr>
              <a:xfrm>
                <a:off x="5284351" y="5701306"/>
                <a:ext cx="3491" cy="174564"/>
              </a:xfrm>
              <a:prstGeom prst="line">
                <a:avLst/>
              </a:prstGeom>
              <a:ln w="28575">
                <a:solidFill>
                  <a:srgbClr val="7030A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4" name="Straight Connector 123">
                <a:extLst>
                  <a:ext uri="{FF2B5EF4-FFF2-40B4-BE49-F238E27FC236}">
                    <a16:creationId xmlns:a16="http://schemas.microsoft.com/office/drawing/2014/main" id="{00000000-0008-0000-0000-00007C000000}"/>
                  </a:ext>
                </a:extLst>
              </xdr:cNvPr>
              <xdr:cNvCxnSpPr/>
            </xdr:nvCxnSpPr>
            <xdr:spPr>
              <a:xfrm flipH="1">
                <a:off x="5281479" y="5711420"/>
                <a:ext cx="571395" cy="0"/>
              </a:xfrm>
              <a:prstGeom prst="line">
                <a:avLst/>
              </a:prstGeom>
              <a:ln w="28575">
                <a:solidFill>
                  <a:srgbClr val="7030A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5" name="Straight Connector 124">
                <a:extLst>
                  <a:ext uri="{FF2B5EF4-FFF2-40B4-BE49-F238E27FC236}">
                    <a16:creationId xmlns:a16="http://schemas.microsoft.com/office/drawing/2014/main" id="{00000000-0008-0000-0000-00007D000000}"/>
                  </a:ext>
                </a:extLst>
              </xdr:cNvPr>
              <xdr:cNvCxnSpPr/>
            </xdr:nvCxnSpPr>
            <xdr:spPr>
              <a:xfrm>
                <a:off x="5838200" y="5711420"/>
                <a:ext cx="4090" cy="171923"/>
              </a:xfrm>
              <a:prstGeom prst="line">
                <a:avLst/>
              </a:prstGeom>
              <a:ln w="28575">
                <a:solidFill>
                  <a:srgbClr val="7030A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6" name="Straight Connector 125">
                <a:extLst>
                  <a:ext uri="{FF2B5EF4-FFF2-40B4-BE49-F238E27FC236}">
                    <a16:creationId xmlns:a16="http://schemas.microsoft.com/office/drawing/2014/main" id="{00000000-0008-0000-0000-00007E000000}"/>
                  </a:ext>
                </a:extLst>
              </xdr:cNvPr>
              <xdr:cNvCxnSpPr/>
            </xdr:nvCxnSpPr>
            <xdr:spPr>
              <a:xfrm flipH="1">
                <a:off x="5858875" y="5850420"/>
                <a:ext cx="636334" cy="32058"/>
              </a:xfrm>
              <a:prstGeom prst="line">
                <a:avLst/>
              </a:prstGeom>
              <a:ln w="28575">
                <a:solidFill>
                  <a:srgbClr val="7030A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130" name="Group 129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GrpSpPr/>
        </xdr:nvGrpSpPr>
        <xdr:grpSpPr>
          <a:xfrm>
            <a:off x="2010934" y="68224078"/>
            <a:ext cx="991915" cy="624491"/>
            <a:chOff x="895350" y="3052763"/>
            <a:chExt cx="4997449" cy="2835275"/>
          </a:xfrm>
        </xdr:grpSpPr>
        <xdr:cxnSp macro="">
          <xdr:nvCxnSpPr>
            <xdr:cNvPr id="131" name="Straight Connector 130">
              <a:extLst>
                <a:ext uri="{FF2B5EF4-FFF2-40B4-BE49-F238E27FC236}">
                  <a16:creationId xmlns:a16="http://schemas.microsoft.com/office/drawing/2014/main" id="{00000000-0008-0000-0000-000083000000}"/>
                </a:ext>
              </a:extLst>
            </xdr:cNvPr>
            <xdr:cNvCxnSpPr/>
          </xdr:nvCxnSpPr>
          <xdr:spPr>
            <a:xfrm flipV="1">
              <a:off x="4921250" y="4470401"/>
              <a:ext cx="222250" cy="7939"/>
            </a:xfrm>
            <a:prstGeom prst="line">
              <a:avLst/>
            </a:prstGeom>
            <a:ln w="28575">
              <a:solidFill>
                <a:srgbClr val="0070C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132" name="Group 131">
              <a:extLst>
                <a:ext uri="{FF2B5EF4-FFF2-40B4-BE49-F238E27FC236}">
                  <a16:creationId xmlns:a16="http://schemas.microsoft.com/office/drawing/2014/main" id="{00000000-0008-0000-0000-000084000000}"/>
                </a:ext>
              </a:extLst>
            </xdr:cNvPr>
            <xdr:cNvGrpSpPr/>
          </xdr:nvGrpSpPr>
          <xdr:grpSpPr>
            <a:xfrm>
              <a:off x="895350" y="3052763"/>
              <a:ext cx="4997449" cy="2835275"/>
              <a:chOff x="876301" y="3044825"/>
              <a:chExt cx="4997449" cy="2835275"/>
            </a:xfrm>
          </xdr:grpSpPr>
          <xdr:cxnSp macro="">
            <xdr:nvCxnSpPr>
              <xdr:cNvPr id="133" name="Straight Connector 132">
                <a:extLst>
                  <a:ext uri="{FF2B5EF4-FFF2-40B4-BE49-F238E27FC236}">
                    <a16:creationId xmlns:a16="http://schemas.microsoft.com/office/drawing/2014/main" id="{00000000-0008-0000-0000-000085000000}"/>
                  </a:ext>
                </a:extLst>
              </xdr:cNvPr>
              <xdr:cNvCxnSpPr/>
            </xdr:nvCxnSpPr>
            <xdr:spPr>
              <a:xfrm flipV="1">
                <a:off x="4533900" y="4953000"/>
                <a:ext cx="12700" cy="450850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4" name="Straight Connector 133">
                <a:extLst>
                  <a:ext uri="{FF2B5EF4-FFF2-40B4-BE49-F238E27FC236}">
                    <a16:creationId xmlns:a16="http://schemas.microsoft.com/office/drawing/2014/main" id="{00000000-0008-0000-0000-000086000000}"/>
                  </a:ext>
                </a:extLst>
              </xdr:cNvPr>
              <xdr:cNvCxnSpPr/>
            </xdr:nvCxnSpPr>
            <xdr:spPr>
              <a:xfrm>
                <a:off x="4044950" y="5410201"/>
                <a:ext cx="495300" cy="23470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5" name="Straight Connector 134">
                <a:extLst>
                  <a:ext uri="{FF2B5EF4-FFF2-40B4-BE49-F238E27FC236}">
                    <a16:creationId xmlns:a16="http://schemas.microsoft.com/office/drawing/2014/main" id="{00000000-0008-0000-0000-000087000000}"/>
                  </a:ext>
                </a:extLst>
              </xdr:cNvPr>
              <xdr:cNvCxnSpPr/>
            </xdr:nvCxnSpPr>
            <xdr:spPr>
              <a:xfrm flipV="1">
                <a:off x="4546600" y="4953001"/>
                <a:ext cx="374650" cy="4763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6" name="Straight Connector 135">
                <a:extLst>
                  <a:ext uri="{FF2B5EF4-FFF2-40B4-BE49-F238E27FC236}">
                    <a16:creationId xmlns:a16="http://schemas.microsoft.com/office/drawing/2014/main" id="{00000000-0008-0000-0000-000088000000}"/>
                  </a:ext>
                </a:extLst>
              </xdr:cNvPr>
              <xdr:cNvCxnSpPr/>
            </xdr:nvCxnSpPr>
            <xdr:spPr>
              <a:xfrm flipV="1">
                <a:off x="4889500" y="4478339"/>
                <a:ext cx="20638" cy="474662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7" name="Straight Connector 136">
                <a:extLst>
                  <a:ext uri="{FF2B5EF4-FFF2-40B4-BE49-F238E27FC236}">
                    <a16:creationId xmlns:a16="http://schemas.microsoft.com/office/drawing/2014/main" id="{00000000-0008-0000-0000-000089000000}"/>
                  </a:ext>
                </a:extLst>
              </xdr:cNvPr>
              <xdr:cNvCxnSpPr/>
            </xdr:nvCxnSpPr>
            <xdr:spPr>
              <a:xfrm flipV="1">
                <a:off x="5143500" y="4010028"/>
                <a:ext cx="0" cy="471486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8" name="Straight Connector 137">
                <a:extLst>
                  <a:ext uri="{FF2B5EF4-FFF2-40B4-BE49-F238E27FC236}">
                    <a16:creationId xmlns:a16="http://schemas.microsoft.com/office/drawing/2014/main" id="{00000000-0008-0000-0000-00008A000000}"/>
                  </a:ext>
                </a:extLst>
              </xdr:cNvPr>
              <xdr:cNvCxnSpPr/>
            </xdr:nvCxnSpPr>
            <xdr:spPr>
              <a:xfrm flipV="1">
                <a:off x="3857626" y="3048000"/>
                <a:ext cx="9524" cy="825499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9" name="Straight Connector 138">
                <a:extLst>
                  <a:ext uri="{FF2B5EF4-FFF2-40B4-BE49-F238E27FC236}">
                    <a16:creationId xmlns:a16="http://schemas.microsoft.com/office/drawing/2014/main" id="{00000000-0008-0000-0000-00008B000000}"/>
                  </a:ext>
                </a:extLst>
              </xdr:cNvPr>
              <xdr:cNvCxnSpPr/>
            </xdr:nvCxnSpPr>
            <xdr:spPr>
              <a:xfrm flipV="1">
                <a:off x="3867150" y="3044826"/>
                <a:ext cx="546100" cy="12701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0" name="Straight Connector 139">
                <a:extLst>
                  <a:ext uri="{FF2B5EF4-FFF2-40B4-BE49-F238E27FC236}">
                    <a16:creationId xmlns:a16="http://schemas.microsoft.com/office/drawing/2014/main" id="{00000000-0008-0000-0000-00008C000000}"/>
                  </a:ext>
                </a:extLst>
              </xdr:cNvPr>
              <xdr:cNvCxnSpPr/>
            </xdr:nvCxnSpPr>
            <xdr:spPr>
              <a:xfrm flipV="1">
                <a:off x="5499100" y="3559178"/>
                <a:ext cx="0" cy="471486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1" name="Straight Connector 140">
                <a:extLst>
                  <a:ext uri="{FF2B5EF4-FFF2-40B4-BE49-F238E27FC236}">
                    <a16:creationId xmlns:a16="http://schemas.microsoft.com/office/drawing/2014/main" id="{00000000-0008-0000-0000-00008D000000}"/>
                  </a:ext>
                </a:extLst>
              </xdr:cNvPr>
              <xdr:cNvCxnSpPr/>
            </xdr:nvCxnSpPr>
            <xdr:spPr>
              <a:xfrm flipV="1">
                <a:off x="5873750" y="3071474"/>
                <a:ext cx="0" cy="471486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2" name="Straight Connector 141">
                <a:extLst>
                  <a:ext uri="{FF2B5EF4-FFF2-40B4-BE49-F238E27FC236}">
                    <a16:creationId xmlns:a16="http://schemas.microsoft.com/office/drawing/2014/main" id="{00000000-0008-0000-0000-00008E000000}"/>
                  </a:ext>
                </a:extLst>
              </xdr:cNvPr>
              <xdr:cNvCxnSpPr/>
            </xdr:nvCxnSpPr>
            <xdr:spPr>
              <a:xfrm flipV="1">
                <a:off x="5124450" y="3990977"/>
                <a:ext cx="374650" cy="4763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3" name="Straight Connector 142">
                <a:extLst>
                  <a:ext uri="{FF2B5EF4-FFF2-40B4-BE49-F238E27FC236}">
                    <a16:creationId xmlns:a16="http://schemas.microsoft.com/office/drawing/2014/main" id="{00000000-0008-0000-0000-00008F000000}"/>
                  </a:ext>
                </a:extLst>
              </xdr:cNvPr>
              <xdr:cNvCxnSpPr/>
            </xdr:nvCxnSpPr>
            <xdr:spPr>
              <a:xfrm flipV="1">
                <a:off x="5499100" y="3536954"/>
                <a:ext cx="374650" cy="4763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4" name="Straight Connector 143">
                <a:extLst>
                  <a:ext uri="{FF2B5EF4-FFF2-40B4-BE49-F238E27FC236}">
                    <a16:creationId xmlns:a16="http://schemas.microsoft.com/office/drawing/2014/main" id="{00000000-0008-0000-0000-000090000000}"/>
                  </a:ext>
                </a:extLst>
              </xdr:cNvPr>
              <xdr:cNvCxnSpPr/>
            </xdr:nvCxnSpPr>
            <xdr:spPr>
              <a:xfrm flipV="1">
                <a:off x="4413250" y="3044826"/>
                <a:ext cx="0" cy="358775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5" name="Straight Connector 144">
                <a:extLst>
                  <a:ext uri="{FF2B5EF4-FFF2-40B4-BE49-F238E27FC236}">
                    <a16:creationId xmlns:a16="http://schemas.microsoft.com/office/drawing/2014/main" id="{00000000-0008-0000-0000-000091000000}"/>
                  </a:ext>
                </a:extLst>
              </xdr:cNvPr>
              <xdr:cNvCxnSpPr/>
            </xdr:nvCxnSpPr>
            <xdr:spPr>
              <a:xfrm flipV="1">
                <a:off x="4427538" y="3403600"/>
                <a:ext cx="306387" cy="1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6" name="Straight Connector 145">
                <a:extLst>
                  <a:ext uri="{FF2B5EF4-FFF2-40B4-BE49-F238E27FC236}">
                    <a16:creationId xmlns:a16="http://schemas.microsoft.com/office/drawing/2014/main" id="{00000000-0008-0000-0000-000092000000}"/>
                  </a:ext>
                </a:extLst>
              </xdr:cNvPr>
              <xdr:cNvCxnSpPr/>
            </xdr:nvCxnSpPr>
            <xdr:spPr>
              <a:xfrm flipV="1">
                <a:off x="4733925" y="3044825"/>
                <a:ext cx="0" cy="358775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7" name="Straight Connector 146">
                <a:extLst>
                  <a:ext uri="{FF2B5EF4-FFF2-40B4-BE49-F238E27FC236}">
                    <a16:creationId xmlns:a16="http://schemas.microsoft.com/office/drawing/2014/main" id="{00000000-0008-0000-0000-000093000000}"/>
                  </a:ext>
                </a:extLst>
              </xdr:cNvPr>
              <xdr:cNvCxnSpPr/>
            </xdr:nvCxnSpPr>
            <xdr:spPr>
              <a:xfrm flipV="1">
                <a:off x="4719637" y="3071475"/>
                <a:ext cx="1154112" cy="1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8" name="Straight Connector 147">
                <a:extLst>
                  <a:ext uri="{FF2B5EF4-FFF2-40B4-BE49-F238E27FC236}">
                    <a16:creationId xmlns:a16="http://schemas.microsoft.com/office/drawing/2014/main" id="{00000000-0008-0000-0000-000094000000}"/>
                  </a:ext>
                </a:extLst>
              </xdr:cNvPr>
              <xdr:cNvCxnSpPr/>
            </xdr:nvCxnSpPr>
            <xdr:spPr>
              <a:xfrm>
                <a:off x="876301" y="3771900"/>
                <a:ext cx="3000375" cy="44449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9" name="Straight Connector 148">
                <a:extLst>
                  <a:ext uri="{FF2B5EF4-FFF2-40B4-BE49-F238E27FC236}">
                    <a16:creationId xmlns:a16="http://schemas.microsoft.com/office/drawing/2014/main" id="{00000000-0008-0000-0000-000095000000}"/>
                  </a:ext>
                </a:extLst>
              </xdr:cNvPr>
              <xdr:cNvCxnSpPr/>
            </xdr:nvCxnSpPr>
            <xdr:spPr>
              <a:xfrm>
                <a:off x="1568451" y="5861051"/>
                <a:ext cx="2457450" cy="19049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0" name="Straight Connector 149">
                <a:extLst>
                  <a:ext uri="{FF2B5EF4-FFF2-40B4-BE49-F238E27FC236}">
                    <a16:creationId xmlns:a16="http://schemas.microsoft.com/office/drawing/2014/main" id="{00000000-0008-0000-0000-000096000000}"/>
                  </a:ext>
                </a:extLst>
              </xdr:cNvPr>
              <xdr:cNvCxnSpPr/>
            </xdr:nvCxnSpPr>
            <xdr:spPr>
              <a:xfrm flipV="1">
                <a:off x="876301" y="3771900"/>
                <a:ext cx="0" cy="949324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1" name="Straight Connector 150">
                <a:extLst>
                  <a:ext uri="{FF2B5EF4-FFF2-40B4-BE49-F238E27FC236}">
                    <a16:creationId xmlns:a16="http://schemas.microsoft.com/office/drawing/2014/main" id="{00000000-0008-0000-0000-000097000000}"/>
                  </a:ext>
                </a:extLst>
              </xdr:cNvPr>
              <xdr:cNvCxnSpPr/>
            </xdr:nvCxnSpPr>
            <xdr:spPr>
              <a:xfrm>
                <a:off x="876301" y="4689475"/>
                <a:ext cx="463552" cy="14288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2" name="Straight Connector 151">
                <a:extLst>
                  <a:ext uri="{FF2B5EF4-FFF2-40B4-BE49-F238E27FC236}">
                    <a16:creationId xmlns:a16="http://schemas.microsoft.com/office/drawing/2014/main" id="{00000000-0008-0000-0000-000098000000}"/>
                  </a:ext>
                </a:extLst>
              </xdr:cNvPr>
              <xdr:cNvCxnSpPr/>
            </xdr:nvCxnSpPr>
            <xdr:spPr>
              <a:xfrm flipV="1">
                <a:off x="1568451" y="5356226"/>
                <a:ext cx="0" cy="498474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3" name="Straight Connector 152">
                <a:extLst>
                  <a:ext uri="{FF2B5EF4-FFF2-40B4-BE49-F238E27FC236}">
                    <a16:creationId xmlns:a16="http://schemas.microsoft.com/office/drawing/2014/main" id="{00000000-0008-0000-0000-000099000000}"/>
                  </a:ext>
                </a:extLst>
              </xdr:cNvPr>
              <xdr:cNvCxnSpPr/>
            </xdr:nvCxnSpPr>
            <xdr:spPr>
              <a:xfrm flipV="1">
                <a:off x="1327151" y="4703764"/>
                <a:ext cx="12702" cy="649287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4" name="Straight Connector 153">
                <a:extLst>
                  <a:ext uri="{FF2B5EF4-FFF2-40B4-BE49-F238E27FC236}">
                    <a16:creationId xmlns:a16="http://schemas.microsoft.com/office/drawing/2014/main" id="{00000000-0008-0000-0000-00009A000000}"/>
                  </a:ext>
                </a:extLst>
              </xdr:cNvPr>
              <xdr:cNvCxnSpPr/>
            </xdr:nvCxnSpPr>
            <xdr:spPr>
              <a:xfrm>
                <a:off x="1346201" y="5330826"/>
                <a:ext cx="222250" cy="19049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5" name="Straight Connector 154">
                <a:extLst>
                  <a:ext uri="{FF2B5EF4-FFF2-40B4-BE49-F238E27FC236}">
                    <a16:creationId xmlns:a16="http://schemas.microsoft.com/office/drawing/2014/main" id="{00000000-0008-0000-0000-00009B000000}"/>
                  </a:ext>
                </a:extLst>
              </xdr:cNvPr>
              <xdr:cNvCxnSpPr/>
            </xdr:nvCxnSpPr>
            <xdr:spPr>
              <a:xfrm flipH="1" flipV="1">
                <a:off x="4025901" y="5416550"/>
                <a:ext cx="12700" cy="450850"/>
              </a:xfrm>
              <a:prstGeom prst="line">
                <a:avLst/>
              </a:prstGeom>
              <a:ln w="28575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59" name="TextBox 158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 txBox="1"/>
        </xdr:nvSpPr>
        <xdr:spPr>
          <a:xfrm>
            <a:off x="2106185" y="68404725"/>
            <a:ext cx="884337" cy="2854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050" b="1" cap="none" spc="0">
                <a:ln w="0"/>
                <a:solidFill>
                  <a:srgbClr val="00206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Building</a:t>
            </a:r>
            <a:r>
              <a:rPr lang="en-IN" sz="1050" b="1" cap="none" spc="0" baseline="0">
                <a:ln w="0"/>
                <a:solidFill>
                  <a:srgbClr val="00206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-A</a:t>
            </a:r>
            <a:endParaRPr lang="en-IN" sz="1050" b="1" cap="none" spc="0">
              <a:ln w="0"/>
              <a:solidFill>
                <a:srgbClr val="00206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173" name="TextBox 172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SpPr txBox="1"/>
        </xdr:nvSpPr>
        <xdr:spPr>
          <a:xfrm>
            <a:off x="1581999" y="67567839"/>
            <a:ext cx="864283" cy="2854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rgbClr val="7030A0"/>
                </a:solidFill>
              </a:rPr>
              <a:t>Building-c</a:t>
            </a:r>
          </a:p>
        </xdr:txBody>
      </xdr:sp>
      <xdr:sp macro="" textlink="">
        <xdr:nvSpPr>
          <xdr:cNvPr id="174" name="TextBox 173">
            <a:extLst>
              <a:ext uri="{FF2B5EF4-FFF2-40B4-BE49-F238E27FC236}">
                <a16:creationId xmlns:a16="http://schemas.microsoft.com/office/drawing/2014/main" id="{00000000-0008-0000-0000-0000AE000000}"/>
              </a:ext>
            </a:extLst>
          </xdr:cNvPr>
          <xdr:cNvSpPr txBox="1"/>
        </xdr:nvSpPr>
        <xdr:spPr>
          <a:xfrm>
            <a:off x="2172300" y="67044948"/>
            <a:ext cx="810939" cy="2946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050">
                <a:ln>
                  <a:solidFill>
                    <a:srgbClr val="FF0000"/>
                  </a:solidFill>
                </a:ln>
              </a:rPr>
              <a:t>Building -B</a:t>
            </a:r>
          </a:p>
        </xdr:txBody>
      </xdr:sp>
    </xdr:grpSp>
    <xdr:clientData/>
  </xdr:twoCellAnchor>
  <xdr:twoCellAnchor editAs="oneCell">
    <xdr:from>
      <xdr:col>1</xdr:col>
      <xdr:colOff>628650</xdr:colOff>
      <xdr:row>247</xdr:row>
      <xdr:rowOff>85725</xdr:rowOff>
    </xdr:from>
    <xdr:to>
      <xdr:col>6</xdr:col>
      <xdr:colOff>148544</xdr:colOff>
      <xdr:row>266</xdr:row>
      <xdr:rowOff>65250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778" t="6337" r="-1"/>
        <a:stretch/>
      </xdr:blipFill>
      <xdr:spPr>
        <a:xfrm>
          <a:off x="1390650" y="54530625"/>
          <a:ext cx="3529919" cy="3780000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685800</xdr:colOff>
      <xdr:row>267</xdr:row>
      <xdr:rowOff>85725</xdr:rowOff>
    </xdr:from>
    <xdr:to>
      <xdr:col>6</xdr:col>
      <xdr:colOff>99173</xdr:colOff>
      <xdr:row>285</xdr:row>
      <xdr:rowOff>2545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551"/>
        <a:stretch/>
      </xdr:blipFill>
      <xdr:spPr>
        <a:xfrm>
          <a:off x="1504950" y="58216800"/>
          <a:ext cx="3724276" cy="3514725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8</xdr:col>
      <xdr:colOff>0</xdr:colOff>
      <xdr:row>197</xdr:row>
      <xdr:rowOff>0</xdr:rowOff>
    </xdr:from>
    <xdr:to>
      <xdr:col>8</xdr:col>
      <xdr:colOff>910530</xdr:colOff>
      <xdr:row>198</xdr:row>
      <xdr:rowOff>177291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686550" y="41744900"/>
          <a:ext cx="910530" cy="37414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 </a:t>
          </a:r>
        </a:p>
      </xdr:txBody>
    </xdr:sp>
    <xdr:clientData/>
  </xdr:twoCellAnchor>
  <xdr:twoCellAnchor>
    <xdr:from>
      <xdr:col>13</xdr:col>
      <xdr:colOff>93162</xdr:colOff>
      <xdr:row>197</xdr:row>
      <xdr:rowOff>0</xdr:rowOff>
    </xdr:from>
    <xdr:to>
      <xdr:col>13</xdr:col>
      <xdr:colOff>679624</xdr:colOff>
      <xdr:row>198</xdr:row>
      <xdr:rowOff>67710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11446962" y="41744900"/>
          <a:ext cx="586462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05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 </a:t>
          </a:r>
        </a:p>
      </xdr:txBody>
    </xdr:sp>
    <xdr:clientData/>
  </xdr:twoCellAnchor>
  <xdr:twoCellAnchor>
    <xdr:from>
      <xdr:col>8</xdr:col>
      <xdr:colOff>114300</xdr:colOff>
      <xdr:row>208</xdr:row>
      <xdr:rowOff>148028</xdr:rowOff>
    </xdr:from>
    <xdr:to>
      <xdr:col>8</xdr:col>
      <xdr:colOff>1024830</xdr:colOff>
      <xdr:row>210</xdr:row>
      <xdr:rowOff>134819</xdr:rowOff>
    </xdr:to>
    <xdr:sp macro="" textlink="">
      <xdr:nvSpPr>
        <xdr:cNvPr id="103" name="Rectangl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496050" y="45058403"/>
          <a:ext cx="910530" cy="37731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C Wing </a:t>
          </a:r>
        </a:p>
      </xdr:txBody>
    </xdr:sp>
    <xdr:clientData/>
  </xdr:twoCellAnchor>
  <xdr:twoCellAnchor>
    <xdr:from>
      <xdr:col>9</xdr:col>
      <xdr:colOff>127342</xdr:colOff>
      <xdr:row>207</xdr:row>
      <xdr:rowOff>0</xdr:rowOff>
    </xdr:from>
    <xdr:to>
      <xdr:col>9</xdr:col>
      <xdr:colOff>713804</xdr:colOff>
      <xdr:row>208</xdr:row>
      <xdr:rowOff>67710</xdr:rowOff>
    </xdr:to>
    <xdr:sp macro="" textlink="">
      <xdr:nvSpPr>
        <xdr:cNvPr id="100" name="Rectangl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8382342" y="44126150"/>
          <a:ext cx="586462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05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 </a:t>
          </a:r>
        </a:p>
      </xdr:txBody>
    </xdr:sp>
    <xdr:clientData/>
  </xdr:twoCellAnchor>
  <xdr:twoCellAnchor>
    <xdr:from>
      <xdr:col>9</xdr:col>
      <xdr:colOff>0</xdr:colOff>
      <xdr:row>208</xdr:row>
      <xdr:rowOff>67710</xdr:rowOff>
    </xdr:from>
    <xdr:to>
      <xdr:col>9</xdr:col>
      <xdr:colOff>420573</xdr:colOff>
      <xdr:row>212</xdr:row>
      <xdr:rowOff>146050</xdr:rowOff>
    </xdr:to>
    <xdr:cxnSp macro="">
      <xdr:nvCxnSpPr>
        <xdr:cNvPr id="101" name="Straight Arrow Connector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stCxn id="100" idx="2"/>
        </xdr:cNvCxnSpPr>
      </xdr:nvCxnSpPr>
      <xdr:spPr>
        <a:xfrm flipH="1">
          <a:off x="8255000" y="44390710"/>
          <a:ext cx="420573" cy="85939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632460</xdr:colOff>
      <xdr:row>206</xdr:row>
      <xdr:rowOff>101600</xdr:rowOff>
    </xdr:from>
    <xdr:to>
      <xdr:col>16</xdr:col>
      <xdr:colOff>154304</xdr:colOff>
      <xdr:row>240</xdr:row>
      <xdr:rowOff>20840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326337" y="44678600"/>
          <a:ext cx="6450182" cy="6689317"/>
          <a:chOff x="114300" y="44303950"/>
          <a:chExt cx="6542404" cy="6605790"/>
        </a:xfrm>
      </xdr:grpSpPr>
      <xdr:pic>
        <xdr:nvPicPr>
          <xdr:cNvPr id="104" name="Picture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79813" y="4874974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8" name="Picture 127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42429" y="4430395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6" name="Picture 155">
            <a:extLst>
              <a:ext uri="{FF2B5EF4-FFF2-40B4-BE49-F238E27FC236}">
                <a16:creationId xmlns:a16="http://schemas.microsoft.com/office/drawing/2014/main" id="{00000000-0008-0000-0000-00009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19307" y="46580845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7" name="Picture 156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1982" y="4874974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8" name="Picture 157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1878" y="4430395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0" name="Picture 159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20598" y="4874974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1" name="Picture 160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32980" y="4430395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2" name="Picture 161">
            <a:extLst>
              <a:ext uri="{FF2B5EF4-FFF2-40B4-BE49-F238E27FC236}">
                <a16:creationId xmlns:a16="http://schemas.microsoft.com/office/drawing/2014/main" id="{00000000-0008-0000-0000-0000A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1134" y="46580845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8" name="Picture 177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00" y="46580845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9" name="Picture 178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2717" y="46580845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80" name="TextBox 179">
            <a:extLst>
              <a:ext uri="{FF2B5EF4-FFF2-40B4-BE49-F238E27FC236}">
                <a16:creationId xmlns:a16="http://schemas.microsoft.com/office/drawing/2014/main" id="{00000000-0008-0000-0000-0000B4000000}"/>
              </a:ext>
            </a:extLst>
          </xdr:cNvPr>
          <xdr:cNvSpPr txBox="1"/>
        </xdr:nvSpPr>
        <xdr:spPr>
          <a:xfrm>
            <a:off x="151878" y="4430395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181" name="TextBox 180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SpPr txBox="1"/>
        </xdr:nvSpPr>
        <xdr:spPr>
          <a:xfrm>
            <a:off x="2894929" y="4431030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182" name="TextBox 181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SpPr txBox="1"/>
        </xdr:nvSpPr>
        <xdr:spPr>
          <a:xfrm>
            <a:off x="5199830" y="4512945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</xdr:grpSp>
    <xdr:clientData/>
  </xdr:twoCellAnchor>
  <xdr:twoCellAnchor>
    <xdr:from>
      <xdr:col>0</xdr:col>
      <xdr:colOff>167640</xdr:colOff>
      <xdr:row>207</xdr:row>
      <xdr:rowOff>30480</xdr:rowOff>
    </xdr:from>
    <xdr:to>
      <xdr:col>7</xdr:col>
      <xdr:colOff>723900</xdr:colOff>
      <xdr:row>239</xdr:row>
      <xdr:rowOff>75702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E40E5D8-23CA-79EA-8E5E-3969FF906D5D}"/>
            </a:ext>
          </a:extLst>
        </xdr:cNvPr>
        <xdr:cNvGrpSpPr/>
      </xdr:nvGrpSpPr>
      <xdr:grpSpPr>
        <a:xfrm>
          <a:off x="167640" y="44806772"/>
          <a:ext cx="6277122" cy="6416715"/>
          <a:chOff x="283976" y="53793"/>
          <a:chExt cx="7473030" cy="7208022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32352E0-E5D4-EC36-134A-B050D9B6AF74}"/>
              </a:ext>
            </a:extLst>
          </xdr:cNvPr>
          <xdr:cNvGrpSpPr/>
        </xdr:nvGrpSpPr>
        <xdr:grpSpPr>
          <a:xfrm>
            <a:off x="283976" y="53793"/>
            <a:ext cx="7473030" cy="2520000"/>
            <a:chOff x="283976" y="53793"/>
            <a:chExt cx="7473030" cy="2520000"/>
          </a:xfrm>
        </xdr:grpSpPr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2CEA74CE-2CBB-03AD-BB36-D4315580F33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341824" y="53793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6654BDD8-031E-8BB6-198A-B4EAB19007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99672" y="53793"/>
              <a:ext cx="3357334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45754023-BFEA-1940-D52E-97813455CC4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83976" y="53793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B301AB3F-CBED-72AA-1274-E528FFDCC4EC}"/>
              </a:ext>
            </a:extLst>
          </xdr:cNvPr>
          <xdr:cNvGrpSpPr/>
        </xdr:nvGrpSpPr>
        <xdr:grpSpPr>
          <a:xfrm>
            <a:off x="551948" y="2757804"/>
            <a:ext cx="6937087" cy="4504011"/>
            <a:chOff x="307642" y="2757804"/>
            <a:chExt cx="6937087" cy="4504011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DAB6E23D-D963-3A8E-7065-7D9E7822046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07642" y="5101815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0A5815EA-264C-42CE-D3A8-AA4B9532943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626417" y="5101815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194C1E0A-B25C-4ABB-C23B-51CB459D142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07642" y="2757804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B74FA4E1-AB7F-9A38-8E42-0C3B3493105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853492" y="2757804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2A5DCB9D-D703-4FB9-B707-160ECBFD538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080567" y="2757804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A72B6242-10AA-0482-49FA-14CDFEAB7F6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853492" y="5101815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CC4DC15F-3461-6A3A-3073-21A34BCA6D8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626417" y="2757804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7FFE6803-B184-972A-DE24-16253022501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080567" y="5101815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15</xdr:col>
      <xdr:colOff>100348</xdr:colOff>
      <xdr:row>54</xdr:row>
      <xdr:rowOff>75286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3059206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ntkuiQCBwKkxYk3r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88"/>
  <sheetViews>
    <sheetView tabSelected="1" view="pageBreakPreview" topLeftCell="A180" zoomScale="130" zoomScaleNormal="100" zoomScaleSheetLayoutView="130" zoomScalePageLayoutView="85" workbookViewId="0">
      <selection activeCell="I185" sqref="I185"/>
    </sheetView>
  </sheetViews>
  <sheetFormatPr defaultColWidth="9.21875" defaultRowHeight="15.6" x14ac:dyDescent="0.3"/>
  <cols>
    <col min="1" max="1" width="11.44140625" style="40" customWidth="1"/>
    <col min="2" max="2" width="12" style="40" customWidth="1"/>
    <col min="3" max="4" width="12.77734375" style="40" customWidth="1"/>
    <col min="5" max="5" width="10.77734375" style="40" customWidth="1"/>
    <col min="6" max="7" width="11.77734375" style="40" customWidth="1"/>
    <col min="8" max="8" width="14.21875" style="40" customWidth="1"/>
    <col min="9" max="9" width="22.44140625" style="21" customWidth="1"/>
    <col min="10" max="10" width="11.44140625" style="21" customWidth="1"/>
    <col min="11" max="11" width="10.5546875" style="21" bestFit="1" customWidth="1"/>
    <col min="12" max="12" width="10.5546875" style="21" customWidth="1"/>
    <col min="13" max="13" width="11.77734375" style="21" customWidth="1"/>
    <col min="14" max="14" width="12.5546875" style="21" customWidth="1"/>
    <col min="15" max="15" width="9.77734375" style="21" customWidth="1"/>
    <col min="16" max="16" width="11.77734375" style="21" customWidth="1"/>
    <col min="17" max="247" width="9.21875" style="21"/>
    <col min="248" max="248" width="8.77734375" style="21" customWidth="1"/>
    <col min="249" max="249" width="9.77734375" style="21" customWidth="1"/>
    <col min="250" max="250" width="14.44140625" style="21" customWidth="1"/>
    <col min="251" max="251" width="7.21875" style="21" customWidth="1"/>
    <col min="252" max="252" width="5.5546875" style="21" customWidth="1"/>
    <col min="253" max="253" width="9" style="21" customWidth="1"/>
    <col min="254" max="255" width="9.77734375" style="21" customWidth="1"/>
    <col min="256" max="256" width="11.21875" style="21" customWidth="1"/>
    <col min="257" max="257" width="2.77734375" style="21" customWidth="1"/>
    <col min="258" max="258" width="3.5546875" style="21" customWidth="1"/>
    <col min="259" max="503" width="9.21875" style="21"/>
    <col min="504" max="504" width="8.77734375" style="21" customWidth="1"/>
    <col min="505" max="505" width="9.77734375" style="21" customWidth="1"/>
    <col min="506" max="506" width="14.44140625" style="21" customWidth="1"/>
    <col min="507" max="507" width="7.21875" style="21" customWidth="1"/>
    <col min="508" max="508" width="5.5546875" style="21" customWidth="1"/>
    <col min="509" max="509" width="9" style="21" customWidth="1"/>
    <col min="510" max="511" width="9.77734375" style="21" customWidth="1"/>
    <col min="512" max="512" width="11.21875" style="21" customWidth="1"/>
    <col min="513" max="513" width="2.77734375" style="21" customWidth="1"/>
    <col min="514" max="514" width="3.5546875" style="21" customWidth="1"/>
    <col min="515" max="759" width="9.21875" style="21"/>
    <col min="760" max="760" width="8.77734375" style="21" customWidth="1"/>
    <col min="761" max="761" width="9.77734375" style="21" customWidth="1"/>
    <col min="762" max="762" width="14.44140625" style="21" customWidth="1"/>
    <col min="763" max="763" width="7.21875" style="21" customWidth="1"/>
    <col min="764" max="764" width="5.5546875" style="21" customWidth="1"/>
    <col min="765" max="765" width="9" style="21" customWidth="1"/>
    <col min="766" max="767" width="9.77734375" style="21" customWidth="1"/>
    <col min="768" max="768" width="11.21875" style="21" customWidth="1"/>
    <col min="769" max="769" width="2.77734375" style="21" customWidth="1"/>
    <col min="770" max="770" width="3.5546875" style="21" customWidth="1"/>
    <col min="771" max="1015" width="9.21875" style="21"/>
    <col min="1016" max="1016" width="8.77734375" style="21" customWidth="1"/>
    <col min="1017" max="1017" width="9.77734375" style="21" customWidth="1"/>
    <col min="1018" max="1018" width="14.44140625" style="21" customWidth="1"/>
    <col min="1019" max="1019" width="7.21875" style="21" customWidth="1"/>
    <col min="1020" max="1020" width="5.5546875" style="21" customWidth="1"/>
    <col min="1021" max="1021" width="9" style="21" customWidth="1"/>
    <col min="1022" max="1023" width="9.77734375" style="21" customWidth="1"/>
    <col min="1024" max="1024" width="11.21875" style="21" customWidth="1"/>
    <col min="1025" max="1025" width="2.77734375" style="21" customWidth="1"/>
    <col min="1026" max="1026" width="3.5546875" style="21" customWidth="1"/>
    <col min="1027" max="1271" width="9.21875" style="21"/>
    <col min="1272" max="1272" width="8.77734375" style="21" customWidth="1"/>
    <col min="1273" max="1273" width="9.77734375" style="21" customWidth="1"/>
    <col min="1274" max="1274" width="14.44140625" style="21" customWidth="1"/>
    <col min="1275" max="1275" width="7.21875" style="21" customWidth="1"/>
    <col min="1276" max="1276" width="5.5546875" style="21" customWidth="1"/>
    <col min="1277" max="1277" width="9" style="21" customWidth="1"/>
    <col min="1278" max="1279" width="9.77734375" style="21" customWidth="1"/>
    <col min="1280" max="1280" width="11.21875" style="21" customWidth="1"/>
    <col min="1281" max="1281" width="2.77734375" style="21" customWidth="1"/>
    <col min="1282" max="1282" width="3.5546875" style="21" customWidth="1"/>
    <col min="1283" max="1527" width="9.21875" style="21"/>
    <col min="1528" max="1528" width="8.77734375" style="21" customWidth="1"/>
    <col min="1529" max="1529" width="9.77734375" style="21" customWidth="1"/>
    <col min="1530" max="1530" width="14.44140625" style="21" customWidth="1"/>
    <col min="1531" max="1531" width="7.21875" style="21" customWidth="1"/>
    <col min="1532" max="1532" width="5.5546875" style="21" customWidth="1"/>
    <col min="1533" max="1533" width="9" style="21" customWidth="1"/>
    <col min="1534" max="1535" width="9.77734375" style="21" customWidth="1"/>
    <col min="1536" max="1536" width="11.21875" style="21" customWidth="1"/>
    <col min="1537" max="1537" width="2.77734375" style="21" customWidth="1"/>
    <col min="1538" max="1538" width="3.5546875" style="21" customWidth="1"/>
    <col min="1539" max="1783" width="9.21875" style="21"/>
    <col min="1784" max="1784" width="8.77734375" style="21" customWidth="1"/>
    <col min="1785" max="1785" width="9.77734375" style="21" customWidth="1"/>
    <col min="1786" max="1786" width="14.44140625" style="21" customWidth="1"/>
    <col min="1787" max="1787" width="7.21875" style="21" customWidth="1"/>
    <col min="1788" max="1788" width="5.5546875" style="21" customWidth="1"/>
    <col min="1789" max="1789" width="9" style="21" customWidth="1"/>
    <col min="1790" max="1791" width="9.77734375" style="21" customWidth="1"/>
    <col min="1792" max="1792" width="11.21875" style="21" customWidth="1"/>
    <col min="1793" max="1793" width="2.77734375" style="21" customWidth="1"/>
    <col min="1794" max="1794" width="3.5546875" style="21" customWidth="1"/>
    <col min="1795" max="2039" width="9.21875" style="21"/>
    <col min="2040" max="2040" width="8.77734375" style="21" customWidth="1"/>
    <col min="2041" max="2041" width="9.77734375" style="21" customWidth="1"/>
    <col min="2042" max="2042" width="14.44140625" style="21" customWidth="1"/>
    <col min="2043" max="2043" width="7.21875" style="21" customWidth="1"/>
    <col min="2044" max="2044" width="5.5546875" style="21" customWidth="1"/>
    <col min="2045" max="2045" width="9" style="21" customWidth="1"/>
    <col min="2046" max="2047" width="9.77734375" style="21" customWidth="1"/>
    <col min="2048" max="2048" width="11.21875" style="21" customWidth="1"/>
    <col min="2049" max="2049" width="2.77734375" style="21" customWidth="1"/>
    <col min="2050" max="2050" width="3.5546875" style="21" customWidth="1"/>
    <col min="2051" max="2295" width="9.21875" style="21"/>
    <col min="2296" max="2296" width="8.77734375" style="21" customWidth="1"/>
    <col min="2297" max="2297" width="9.77734375" style="21" customWidth="1"/>
    <col min="2298" max="2298" width="14.44140625" style="21" customWidth="1"/>
    <col min="2299" max="2299" width="7.21875" style="21" customWidth="1"/>
    <col min="2300" max="2300" width="5.5546875" style="21" customWidth="1"/>
    <col min="2301" max="2301" width="9" style="21" customWidth="1"/>
    <col min="2302" max="2303" width="9.77734375" style="21" customWidth="1"/>
    <col min="2304" max="2304" width="11.21875" style="21" customWidth="1"/>
    <col min="2305" max="2305" width="2.77734375" style="21" customWidth="1"/>
    <col min="2306" max="2306" width="3.5546875" style="21" customWidth="1"/>
    <col min="2307" max="2551" width="9.21875" style="21"/>
    <col min="2552" max="2552" width="8.77734375" style="21" customWidth="1"/>
    <col min="2553" max="2553" width="9.77734375" style="21" customWidth="1"/>
    <col min="2554" max="2554" width="14.44140625" style="21" customWidth="1"/>
    <col min="2555" max="2555" width="7.21875" style="21" customWidth="1"/>
    <col min="2556" max="2556" width="5.5546875" style="21" customWidth="1"/>
    <col min="2557" max="2557" width="9" style="21" customWidth="1"/>
    <col min="2558" max="2559" width="9.77734375" style="21" customWidth="1"/>
    <col min="2560" max="2560" width="11.21875" style="21" customWidth="1"/>
    <col min="2561" max="2561" width="2.77734375" style="21" customWidth="1"/>
    <col min="2562" max="2562" width="3.5546875" style="21" customWidth="1"/>
    <col min="2563" max="2807" width="9.21875" style="21"/>
    <col min="2808" max="2808" width="8.77734375" style="21" customWidth="1"/>
    <col min="2809" max="2809" width="9.77734375" style="21" customWidth="1"/>
    <col min="2810" max="2810" width="14.44140625" style="21" customWidth="1"/>
    <col min="2811" max="2811" width="7.21875" style="21" customWidth="1"/>
    <col min="2812" max="2812" width="5.5546875" style="21" customWidth="1"/>
    <col min="2813" max="2813" width="9" style="21" customWidth="1"/>
    <col min="2814" max="2815" width="9.77734375" style="21" customWidth="1"/>
    <col min="2816" max="2816" width="11.21875" style="21" customWidth="1"/>
    <col min="2817" max="2817" width="2.77734375" style="21" customWidth="1"/>
    <col min="2818" max="2818" width="3.5546875" style="21" customWidth="1"/>
    <col min="2819" max="3063" width="9.21875" style="21"/>
    <col min="3064" max="3064" width="8.77734375" style="21" customWidth="1"/>
    <col min="3065" max="3065" width="9.77734375" style="21" customWidth="1"/>
    <col min="3066" max="3066" width="14.44140625" style="21" customWidth="1"/>
    <col min="3067" max="3067" width="7.21875" style="21" customWidth="1"/>
    <col min="3068" max="3068" width="5.5546875" style="21" customWidth="1"/>
    <col min="3069" max="3069" width="9" style="21" customWidth="1"/>
    <col min="3070" max="3071" width="9.77734375" style="21" customWidth="1"/>
    <col min="3072" max="3072" width="11.21875" style="21" customWidth="1"/>
    <col min="3073" max="3073" width="2.77734375" style="21" customWidth="1"/>
    <col min="3074" max="3074" width="3.5546875" style="21" customWidth="1"/>
    <col min="3075" max="3319" width="9.21875" style="21"/>
    <col min="3320" max="3320" width="8.77734375" style="21" customWidth="1"/>
    <col min="3321" max="3321" width="9.77734375" style="21" customWidth="1"/>
    <col min="3322" max="3322" width="14.44140625" style="21" customWidth="1"/>
    <col min="3323" max="3323" width="7.21875" style="21" customWidth="1"/>
    <col min="3324" max="3324" width="5.5546875" style="21" customWidth="1"/>
    <col min="3325" max="3325" width="9" style="21" customWidth="1"/>
    <col min="3326" max="3327" width="9.77734375" style="21" customWidth="1"/>
    <col min="3328" max="3328" width="11.21875" style="21" customWidth="1"/>
    <col min="3329" max="3329" width="2.77734375" style="21" customWidth="1"/>
    <col min="3330" max="3330" width="3.5546875" style="21" customWidth="1"/>
    <col min="3331" max="3575" width="9.21875" style="21"/>
    <col min="3576" max="3576" width="8.77734375" style="21" customWidth="1"/>
    <col min="3577" max="3577" width="9.77734375" style="21" customWidth="1"/>
    <col min="3578" max="3578" width="14.44140625" style="21" customWidth="1"/>
    <col min="3579" max="3579" width="7.21875" style="21" customWidth="1"/>
    <col min="3580" max="3580" width="5.5546875" style="21" customWidth="1"/>
    <col min="3581" max="3581" width="9" style="21" customWidth="1"/>
    <col min="3582" max="3583" width="9.77734375" style="21" customWidth="1"/>
    <col min="3584" max="3584" width="11.21875" style="21" customWidth="1"/>
    <col min="3585" max="3585" width="2.77734375" style="21" customWidth="1"/>
    <col min="3586" max="3586" width="3.5546875" style="21" customWidth="1"/>
    <col min="3587" max="3831" width="9.21875" style="21"/>
    <col min="3832" max="3832" width="8.77734375" style="21" customWidth="1"/>
    <col min="3833" max="3833" width="9.77734375" style="21" customWidth="1"/>
    <col min="3834" max="3834" width="14.44140625" style="21" customWidth="1"/>
    <col min="3835" max="3835" width="7.21875" style="21" customWidth="1"/>
    <col min="3836" max="3836" width="5.5546875" style="21" customWidth="1"/>
    <col min="3837" max="3837" width="9" style="21" customWidth="1"/>
    <col min="3838" max="3839" width="9.77734375" style="21" customWidth="1"/>
    <col min="3840" max="3840" width="11.21875" style="21" customWidth="1"/>
    <col min="3841" max="3841" width="2.77734375" style="21" customWidth="1"/>
    <col min="3842" max="3842" width="3.5546875" style="21" customWidth="1"/>
    <col min="3843" max="4087" width="9.21875" style="21"/>
    <col min="4088" max="4088" width="8.77734375" style="21" customWidth="1"/>
    <col min="4089" max="4089" width="9.77734375" style="21" customWidth="1"/>
    <col min="4090" max="4090" width="14.44140625" style="21" customWidth="1"/>
    <col min="4091" max="4091" width="7.21875" style="21" customWidth="1"/>
    <col min="4092" max="4092" width="5.5546875" style="21" customWidth="1"/>
    <col min="4093" max="4093" width="9" style="21" customWidth="1"/>
    <col min="4094" max="4095" width="9.77734375" style="21" customWidth="1"/>
    <col min="4096" max="4096" width="11.21875" style="21" customWidth="1"/>
    <col min="4097" max="4097" width="2.77734375" style="21" customWidth="1"/>
    <col min="4098" max="4098" width="3.5546875" style="21" customWidth="1"/>
    <col min="4099" max="4343" width="9.21875" style="21"/>
    <col min="4344" max="4344" width="8.77734375" style="21" customWidth="1"/>
    <col min="4345" max="4345" width="9.77734375" style="21" customWidth="1"/>
    <col min="4346" max="4346" width="14.44140625" style="21" customWidth="1"/>
    <col min="4347" max="4347" width="7.21875" style="21" customWidth="1"/>
    <col min="4348" max="4348" width="5.5546875" style="21" customWidth="1"/>
    <col min="4349" max="4349" width="9" style="21" customWidth="1"/>
    <col min="4350" max="4351" width="9.77734375" style="21" customWidth="1"/>
    <col min="4352" max="4352" width="11.21875" style="21" customWidth="1"/>
    <col min="4353" max="4353" width="2.77734375" style="21" customWidth="1"/>
    <col min="4354" max="4354" width="3.5546875" style="21" customWidth="1"/>
    <col min="4355" max="4599" width="9.21875" style="21"/>
    <col min="4600" max="4600" width="8.77734375" style="21" customWidth="1"/>
    <col min="4601" max="4601" width="9.77734375" style="21" customWidth="1"/>
    <col min="4602" max="4602" width="14.44140625" style="21" customWidth="1"/>
    <col min="4603" max="4603" width="7.21875" style="21" customWidth="1"/>
    <col min="4604" max="4604" width="5.5546875" style="21" customWidth="1"/>
    <col min="4605" max="4605" width="9" style="21" customWidth="1"/>
    <col min="4606" max="4607" width="9.77734375" style="21" customWidth="1"/>
    <col min="4608" max="4608" width="11.21875" style="21" customWidth="1"/>
    <col min="4609" max="4609" width="2.77734375" style="21" customWidth="1"/>
    <col min="4610" max="4610" width="3.5546875" style="21" customWidth="1"/>
    <col min="4611" max="4855" width="9.21875" style="21"/>
    <col min="4856" max="4856" width="8.77734375" style="21" customWidth="1"/>
    <col min="4857" max="4857" width="9.77734375" style="21" customWidth="1"/>
    <col min="4858" max="4858" width="14.44140625" style="21" customWidth="1"/>
    <col min="4859" max="4859" width="7.21875" style="21" customWidth="1"/>
    <col min="4860" max="4860" width="5.5546875" style="21" customWidth="1"/>
    <col min="4861" max="4861" width="9" style="21" customWidth="1"/>
    <col min="4862" max="4863" width="9.77734375" style="21" customWidth="1"/>
    <col min="4864" max="4864" width="11.21875" style="21" customWidth="1"/>
    <col min="4865" max="4865" width="2.77734375" style="21" customWidth="1"/>
    <col min="4866" max="4866" width="3.5546875" style="21" customWidth="1"/>
    <col min="4867" max="5111" width="9.21875" style="21"/>
    <col min="5112" max="5112" width="8.77734375" style="21" customWidth="1"/>
    <col min="5113" max="5113" width="9.77734375" style="21" customWidth="1"/>
    <col min="5114" max="5114" width="14.44140625" style="21" customWidth="1"/>
    <col min="5115" max="5115" width="7.21875" style="21" customWidth="1"/>
    <col min="5116" max="5116" width="5.5546875" style="21" customWidth="1"/>
    <col min="5117" max="5117" width="9" style="21" customWidth="1"/>
    <col min="5118" max="5119" width="9.77734375" style="21" customWidth="1"/>
    <col min="5120" max="5120" width="11.21875" style="21" customWidth="1"/>
    <col min="5121" max="5121" width="2.77734375" style="21" customWidth="1"/>
    <col min="5122" max="5122" width="3.5546875" style="21" customWidth="1"/>
    <col min="5123" max="5367" width="9.21875" style="21"/>
    <col min="5368" max="5368" width="8.77734375" style="21" customWidth="1"/>
    <col min="5369" max="5369" width="9.77734375" style="21" customWidth="1"/>
    <col min="5370" max="5370" width="14.44140625" style="21" customWidth="1"/>
    <col min="5371" max="5371" width="7.21875" style="21" customWidth="1"/>
    <col min="5372" max="5372" width="5.5546875" style="21" customWidth="1"/>
    <col min="5373" max="5373" width="9" style="21" customWidth="1"/>
    <col min="5374" max="5375" width="9.77734375" style="21" customWidth="1"/>
    <col min="5376" max="5376" width="11.21875" style="21" customWidth="1"/>
    <col min="5377" max="5377" width="2.77734375" style="21" customWidth="1"/>
    <col min="5378" max="5378" width="3.5546875" style="21" customWidth="1"/>
    <col min="5379" max="5623" width="9.21875" style="21"/>
    <col min="5624" max="5624" width="8.77734375" style="21" customWidth="1"/>
    <col min="5625" max="5625" width="9.77734375" style="21" customWidth="1"/>
    <col min="5626" max="5626" width="14.44140625" style="21" customWidth="1"/>
    <col min="5627" max="5627" width="7.21875" style="21" customWidth="1"/>
    <col min="5628" max="5628" width="5.5546875" style="21" customWidth="1"/>
    <col min="5629" max="5629" width="9" style="21" customWidth="1"/>
    <col min="5630" max="5631" width="9.77734375" style="21" customWidth="1"/>
    <col min="5632" max="5632" width="11.21875" style="21" customWidth="1"/>
    <col min="5633" max="5633" width="2.77734375" style="21" customWidth="1"/>
    <col min="5634" max="5634" width="3.5546875" style="21" customWidth="1"/>
    <col min="5635" max="5879" width="9.21875" style="21"/>
    <col min="5880" max="5880" width="8.77734375" style="21" customWidth="1"/>
    <col min="5881" max="5881" width="9.77734375" style="21" customWidth="1"/>
    <col min="5882" max="5882" width="14.44140625" style="21" customWidth="1"/>
    <col min="5883" max="5883" width="7.21875" style="21" customWidth="1"/>
    <col min="5884" max="5884" width="5.5546875" style="21" customWidth="1"/>
    <col min="5885" max="5885" width="9" style="21" customWidth="1"/>
    <col min="5886" max="5887" width="9.77734375" style="21" customWidth="1"/>
    <col min="5888" max="5888" width="11.21875" style="21" customWidth="1"/>
    <col min="5889" max="5889" width="2.77734375" style="21" customWidth="1"/>
    <col min="5890" max="5890" width="3.5546875" style="21" customWidth="1"/>
    <col min="5891" max="6135" width="9.21875" style="21"/>
    <col min="6136" max="6136" width="8.77734375" style="21" customWidth="1"/>
    <col min="6137" max="6137" width="9.77734375" style="21" customWidth="1"/>
    <col min="6138" max="6138" width="14.44140625" style="21" customWidth="1"/>
    <col min="6139" max="6139" width="7.21875" style="21" customWidth="1"/>
    <col min="6140" max="6140" width="5.5546875" style="21" customWidth="1"/>
    <col min="6141" max="6141" width="9" style="21" customWidth="1"/>
    <col min="6142" max="6143" width="9.77734375" style="21" customWidth="1"/>
    <col min="6144" max="6144" width="11.21875" style="21" customWidth="1"/>
    <col min="6145" max="6145" width="2.77734375" style="21" customWidth="1"/>
    <col min="6146" max="6146" width="3.5546875" style="21" customWidth="1"/>
    <col min="6147" max="6391" width="9.21875" style="21"/>
    <col min="6392" max="6392" width="8.77734375" style="21" customWidth="1"/>
    <col min="6393" max="6393" width="9.77734375" style="21" customWidth="1"/>
    <col min="6394" max="6394" width="14.44140625" style="21" customWidth="1"/>
    <col min="6395" max="6395" width="7.21875" style="21" customWidth="1"/>
    <col min="6396" max="6396" width="5.5546875" style="21" customWidth="1"/>
    <col min="6397" max="6397" width="9" style="21" customWidth="1"/>
    <col min="6398" max="6399" width="9.77734375" style="21" customWidth="1"/>
    <col min="6400" max="6400" width="11.21875" style="21" customWidth="1"/>
    <col min="6401" max="6401" width="2.77734375" style="21" customWidth="1"/>
    <col min="6402" max="6402" width="3.5546875" style="21" customWidth="1"/>
    <col min="6403" max="6647" width="9.21875" style="21"/>
    <col min="6648" max="6648" width="8.77734375" style="21" customWidth="1"/>
    <col min="6649" max="6649" width="9.77734375" style="21" customWidth="1"/>
    <col min="6650" max="6650" width="14.44140625" style="21" customWidth="1"/>
    <col min="6651" max="6651" width="7.21875" style="21" customWidth="1"/>
    <col min="6652" max="6652" width="5.5546875" style="21" customWidth="1"/>
    <col min="6653" max="6653" width="9" style="21" customWidth="1"/>
    <col min="6654" max="6655" width="9.77734375" style="21" customWidth="1"/>
    <col min="6656" max="6656" width="11.21875" style="21" customWidth="1"/>
    <col min="6657" max="6657" width="2.77734375" style="21" customWidth="1"/>
    <col min="6658" max="6658" width="3.5546875" style="21" customWidth="1"/>
    <col min="6659" max="6903" width="9.21875" style="21"/>
    <col min="6904" max="6904" width="8.77734375" style="21" customWidth="1"/>
    <col min="6905" max="6905" width="9.77734375" style="21" customWidth="1"/>
    <col min="6906" max="6906" width="14.44140625" style="21" customWidth="1"/>
    <col min="6907" max="6907" width="7.21875" style="21" customWidth="1"/>
    <col min="6908" max="6908" width="5.5546875" style="21" customWidth="1"/>
    <col min="6909" max="6909" width="9" style="21" customWidth="1"/>
    <col min="6910" max="6911" width="9.77734375" style="21" customWidth="1"/>
    <col min="6912" max="6912" width="11.21875" style="21" customWidth="1"/>
    <col min="6913" max="6913" width="2.77734375" style="21" customWidth="1"/>
    <col min="6914" max="6914" width="3.5546875" style="21" customWidth="1"/>
    <col min="6915" max="7159" width="9.21875" style="21"/>
    <col min="7160" max="7160" width="8.77734375" style="21" customWidth="1"/>
    <col min="7161" max="7161" width="9.77734375" style="21" customWidth="1"/>
    <col min="7162" max="7162" width="14.44140625" style="21" customWidth="1"/>
    <col min="7163" max="7163" width="7.21875" style="21" customWidth="1"/>
    <col min="7164" max="7164" width="5.5546875" style="21" customWidth="1"/>
    <col min="7165" max="7165" width="9" style="21" customWidth="1"/>
    <col min="7166" max="7167" width="9.77734375" style="21" customWidth="1"/>
    <col min="7168" max="7168" width="11.21875" style="21" customWidth="1"/>
    <col min="7169" max="7169" width="2.77734375" style="21" customWidth="1"/>
    <col min="7170" max="7170" width="3.5546875" style="21" customWidth="1"/>
    <col min="7171" max="7415" width="9.21875" style="21"/>
    <col min="7416" max="7416" width="8.77734375" style="21" customWidth="1"/>
    <col min="7417" max="7417" width="9.77734375" style="21" customWidth="1"/>
    <col min="7418" max="7418" width="14.44140625" style="21" customWidth="1"/>
    <col min="7419" max="7419" width="7.21875" style="21" customWidth="1"/>
    <col min="7420" max="7420" width="5.5546875" style="21" customWidth="1"/>
    <col min="7421" max="7421" width="9" style="21" customWidth="1"/>
    <col min="7422" max="7423" width="9.77734375" style="21" customWidth="1"/>
    <col min="7424" max="7424" width="11.21875" style="21" customWidth="1"/>
    <col min="7425" max="7425" width="2.77734375" style="21" customWidth="1"/>
    <col min="7426" max="7426" width="3.5546875" style="21" customWidth="1"/>
    <col min="7427" max="7671" width="9.21875" style="21"/>
    <col min="7672" max="7672" width="8.77734375" style="21" customWidth="1"/>
    <col min="7673" max="7673" width="9.77734375" style="21" customWidth="1"/>
    <col min="7674" max="7674" width="14.44140625" style="21" customWidth="1"/>
    <col min="7675" max="7675" width="7.21875" style="21" customWidth="1"/>
    <col min="7676" max="7676" width="5.5546875" style="21" customWidth="1"/>
    <col min="7677" max="7677" width="9" style="21" customWidth="1"/>
    <col min="7678" max="7679" width="9.77734375" style="21" customWidth="1"/>
    <col min="7680" max="7680" width="11.21875" style="21" customWidth="1"/>
    <col min="7681" max="7681" width="2.77734375" style="21" customWidth="1"/>
    <col min="7682" max="7682" width="3.5546875" style="21" customWidth="1"/>
    <col min="7683" max="7927" width="9.21875" style="21"/>
    <col min="7928" max="7928" width="8.77734375" style="21" customWidth="1"/>
    <col min="7929" max="7929" width="9.77734375" style="21" customWidth="1"/>
    <col min="7930" max="7930" width="14.44140625" style="21" customWidth="1"/>
    <col min="7931" max="7931" width="7.21875" style="21" customWidth="1"/>
    <col min="7932" max="7932" width="5.5546875" style="21" customWidth="1"/>
    <col min="7933" max="7933" width="9" style="21" customWidth="1"/>
    <col min="7934" max="7935" width="9.77734375" style="21" customWidth="1"/>
    <col min="7936" max="7936" width="11.21875" style="21" customWidth="1"/>
    <col min="7937" max="7937" width="2.77734375" style="21" customWidth="1"/>
    <col min="7938" max="7938" width="3.5546875" style="21" customWidth="1"/>
    <col min="7939" max="8183" width="9.21875" style="21"/>
    <col min="8184" max="8184" width="8.77734375" style="21" customWidth="1"/>
    <col min="8185" max="8185" width="9.77734375" style="21" customWidth="1"/>
    <col min="8186" max="8186" width="14.44140625" style="21" customWidth="1"/>
    <col min="8187" max="8187" width="7.21875" style="21" customWidth="1"/>
    <col min="8188" max="8188" width="5.5546875" style="21" customWidth="1"/>
    <col min="8189" max="8189" width="9" style="21" customWidth="1"/>
    <col min="8190" max="8191" width="9.77734375" style="21" customWidth="1"/>
    <col min="8192" max="8192" width="11.21875" style="21" customWidth="1"/>
    <col min="8193" max="8193" width="2.77734375" style="21" customWidth="1"/>
    <col min="8194" max="8194" width="3.5546875" style="21" customWidth="1"/>
    <col min="8195" max="8439" width="9.21875" style="21"/>
    <col min="8440" max="8440" width="8.77734375" style="21" customWidth="1"/>
    <col min="8441" max="8441" width="9.77734375" style="21" customWidth="1"/>
    <col min="8442" max="8442" width="14.44140625" style="21" customWidth="1"/>
    <col min="8443" max="8443" width="7.21875" style="21" customWidth="1"/>
    <col min="8444" max="8444" width="5.5546875" style="21" customWidth="1"/>
    <col min="8445" max="8445" width="9" style="21" customWidth="1"/>
    <col min="8446" max="8447" width="9.77734375" style="21" customWidth="1"/>
    <col min="8448" max="8448" width="11.21875" style="21" customWidth="1"/>
    <col min="8449" max="8449" width="2.77734375" style="21" customWidth="1"/>
    <col min="8450" max="8450" width="3.5546875" style="21" customWidth="1"/>
    <col min="8451" max="8695" width="9.21875" style="21"/>
    <col min="8696" max="8696" width="8.77734375" style="21" customWidth="1"/>
    <col min="8697" max="8697" width="9.77734375" style="21" customWidth="1"/>
    <col min="8698" max="8698" width="14.44140625" style="21" customWidth="1"/>
    <col min="8699" max="8699" width="7.21875" style="21" customWidth="1"/>
    <col min="8700" max="8700" width="5.5546875" style="21" customWidth="1"/>
    <col min="8701" max="8701" width="9" style="21" customWidth="1"/>
    <col min="8702" max="8703" width="9.77734375" style="21" customWidth="1"/>
    <col min="8704" max="8704" width="11.21875" style="21" customWidth="1"/>
    <col min="8705" max="8705" width="2.77734375" style="21" customWidth="1"/>
    <col min="8706" max="8706" width="3.5546875" style="21" customWidth="1"/>
    <col min="8707" max="8951" width="9.21875" style="21"/>
    <col min="8952" max="8952" width="8.77734375" style="21" customWidth="1"/>
    <col min="8953" max="8953" width="9.77734375" style="21" customWidth="1"/>
    <col min="8954" max="8954" width="14.44140625" style="21" customWidth="1"/>
    <col min="8955" max="8955" width="7.21875" style="21" customWidth="1"/>
    <col min="8956" max="8956" width="5.5546875" style="21" customWidth="1"/>
    <col min="8957" max="8957" width="9" style="21" customWidth="1"/>
    <col min="8958" max="8959" width="9.77734375" style="21" customWidth="1"/>
    <col min="8960" max="8960" width="11.21875" style="21" customWidth="1"/>
    <col min="8961" max="8961" width="2.77734375" style="21" customWidth="1"/>
    <col min="8962" max="8962" width="3.5546875" style="21" customWidth="1"/>
    <col min="8963" max="9207" width="9.21875" style="21"/>
    <col min="9208" max="9208" width="8.77734375" style="21" customWidth="1"/>
    <col min="9209" max="9209" width="9.77734375" style="21" customWidth="1"/>
    <col min="9210" max="9210" width="14.44140625" style="21" customWidth="1"/>
    <col min="9211" max="9211" width="7.21875" style="21" customWidth="1"/>
    <col min="9212" max="9212" width="5.5546875" style="21" customWidth="1"/>
    <col min="9213" max="9213" width="9" style="21" customWidth="1"/>
    <col min="9214" max="9215" width="9.77734375" style="21" customWidth="1"/>
    <col min="9216" max="9216" width="11.21875" style="21" customWidth="1"/>
    <col min="9217" max="9217" width="2.77734375" style="21" customWidth="1"/>
    <col min="9218" max="9218" width="3.5546875" style="21" customWidth="1"/>
    <col min="9219" max="9463" width="9.21875" style="21"/>
    <col min="9464" max="9464" width="8.77734375" style="21" customWidth="1"/>
    <col min="9465" max="9465" width="9.77734375" style="21" customWidth="1"/>
    <col min="9466" max="9466" width="14.44140625" style="21" customWidth="1"/>
    <col min="9467" max="9467" width="7.21875" style="21" customWidth="1"/>
    <col min="9468" max="9468" width="5.5546875" style="21" customWidth="1"/>
    <col min="9469" max="9469" width="9" style="21" customWidth="1"/>
    <col min="9470" max="9471" width="9.77734375" style="21" customWidth="1"/>
    <col min="9472" max="9472" width="11.21875" style="21" customWidth="1"/>
    <col min="9473" max="9473" width="2.77734375" style="21" customWidth="1"/>
    <col min="9474" max="9474" width="3.5546875" style="21" customWidth="1"/>
    <col min="9475" max="9719" width="9.21875" style="21"/>
    <col min="9720" max="9720" width="8.77734375" style="21" customWidth="1"/>
    <col min="9721" max="9721" width="9.77734375" style="21" customWidth="1"/>
    <col min="9722" max="9722" width="14.44140625" style="21" customWidth="1"/>
    <col min="9723" max="9723" width="7.21875" style="21" customWidth="1"/>
    <col min="9724" max="9724" width="5.5546875" style="21" customWidth="1"/>
    <col min="9725" max="9725" width="9" style="21" customWidth="1"/>
    <col min="9726" max="9727" width="9.77734375" style="21" customWidth="1"/>
    <col min="9728" max="9728" width="11.21875" style="21" customWidth="1"/>
    <col min="9729" max="9729" width="2.77734375" style="21" customWidth="1"/>
    <col min="9730" max="9730" width="3.5546875" style="21" customWidth="1"/>
    <col min="9731" max="9975" width="9.21875" style="21"/>
    <col min="9976" max="9976" width="8.77734375" style="21" customWidth="1"/>
    <col min="9977" max="9977" width="9.77734375" style="21" customWidth="1"/>
    <col min="9978" max="9978" width="14.44140625" style="21" customWidth="1"/>
    <col min="9979" max="9979" width="7.21875" style="21" customWidth="1"/>
    <col min="9980" max="9980" width="5.5546875" style="21" customWidth="1"/>
    <col min="9981" max="9981" width="9" style="21" customWidth="1"/>
    <col min="9982" max="9983" width="9.77734375" style="21" customWidth="1"/>
    <col min="9984" max="9984" width="11.21875" style="21" customWidth="1"/>
    <col min="9985" max="9985" width="2.77734375" style="21" customWidth="1"/>
    <col min="9986" max="9986" width="3.5546875" style="21" customWidth="1"/>
    <col min="9987" max="10231" width="9.21875" style="21"/>
    <col min="10232" max="10232" width="8.77734375" style="21" customWidth="1"/>
    <col min="10233" max="10233" width="9.77734375" style="21" customWidth="1"/>
    <col min="10234" max="10234" width="14.44140625" style="21" customWidth="1"/>
    <col min="10235" max="10235" width="7.21875" style="21" customWidth="1"/>
    <col min="10236" max="10236" width="5.5546875" style="21" customWidth="1"/>
    <col min="10237" max="10237" width="9" style="21" customWidth="1"/>
    <col min="10238" max="10239" width="9.77734375" style="21" customWidth="1"/>
    <col min="10240" max="10240" width="11.21875" style="21" customWidth="1"/>
    <col min="10241" max="10241" width="2.77734375" style="21" customWidth="1"/>
    <col min="10242" max="10242" width="3.5546875" style="21" customWidth="1"/>
    <col min="10243" max="10487" width="9.21875" style="21"/>
    <col min="10488" max="10488" width="8.77734375" style="21" customWidth="1"/>
    <col min="10489" max="10489" width="9.77734375" style="21" customWidth="1"/>
    <col min="10490" max="10490" width="14.44140625" style="21" customWidth="1"/>
    <col min="10491" max="10491" width="7.21875" style="21" customWidth="1"/>
    <col min="10492" max="10492" width="5.5546875" style="21" customWidth="1"/>
    <col min="10493" max="10493" width="9" style="21" customWidth="1"/>
    <col min="10494" max="10495" width="9.77734375" style="21" customWidth="1"/>
    <col min="10496" max="10496" width="11.21875" style="21" customWidth="1"/>
    <col min="10497" max="10497" width="2.77734375" style="21" customWidth="1"/>
    <col min="10498" max="10498" width="3.5546875" style="21" customWidth="1"/>
    <col min="10499" max="10743" width="9.21875" style="21"/>
    <col min="10744" max="10744" width="8.77734375" style="21" customWidth="1"/>
    <col min="10745" max="10745" width="9.77734375" style="21" customWidth="1"/>
    <col min="10746" max="10746" width="14.44140625" style="21" customWidth="1"/>
    <col min="10747" max="10747" width="7.21875" style="21" customWidth="1"/>
    <col min="10748" max="10748" width="5.5546875" style="21" customWidth="1"/>
    <col min="10749" max="10749" width="9" style="21" customWidth="1"/>
    <col min="10750" max="10751" width="9.77734375" style="21" customWidth="1"/>
    <col min="10752" max="10752" width="11.21875" style="21" customWidth="1"/>
    <col min="10753" max="10753" width="2.77734375" style="21" customWidth="1"/>
    <col min="10754" max="10754" width="3.5546875" style="21" customWidth="1"/>
    <col min="10755" max="10999" width="9.21875" style="21"/>
    <col min="11000" max="11000" width="8.77734375" style="21" customWidth="1"/>
    <col min="11001" max="11001" width="9.77734375" style="21" customWidth="1"/>
    <col min="11002" max="11002" width="14.44140625" style="21" customWidth="1"/>
    <col min="11003" max="11003" width="7.21875" style="21" customWidth="1"/>
    <col min="11004" max="11004" width="5.5546875" style="21" customWidth="1"/>
    <col min="11005" max="11005" width="9" style="21" customWidth="1"/>
    <col min="11006" max="11007" width="9.77734375" style="21" customWidth="1"/>
    <col min="11008" max="11008" width="11.21875" style="21" customWidth="1"/>
    <col min="11009" max="11009" width="2.77734375" style="21" customWidth="1"/>
    <col min="11010" max="11010" width="3.5546875" style="21" customWidth="1"/>
    <col min="11011" max="11255" width="9.21875" style="21"/>
    <col min="11256" max="11256" width="8.77734375" style="21" customWidth="1"/>
    <col min="11257" max="11257" width="9.77734375" style="21" customWidth="1"/>
    <col min="11258" max="11258" width="14.44140625" style="21" customWidth="1"/>
    <col min="11259" max="11259" width="7.21875" style="21" customWidth="1"/>
    <col min="11260" max="11260" width="5.5546875" style="21" customWidth="1"/>
    <col min="11261" max="11261" width="9" style="21" customWidth="1"/>
    <col min="11262" max="11263" width="9.77734375" style="21" customWidth="1"/>
    <col min="11264" max="11264" width="11.21875" style="21" customWidth="1"/>
    <col min="11265" max="11265" width="2.77734375" style="21" customWidth="1"/>
    <col min="11266" max="11266" width="3.5546875" style="21" customWidth="1"/>
    <col min="11267" max="11511" width="9.21875" style="21"/>
    <col min="11512" max="11512" width="8.77734375" style="21" customWidth="1"/>
    <col min="11513" max="11513" width="9.77734375" style="21" customWidth="1"/>
    <col min="11514" max="11514" width="14.44140625" style="21" customWidth="1"/>
    <col min="11515" max="11515" width="7.21875" style="21" customWidth="1"/>
    <col min="11516" max="11516" width="5.5546875" style="21" customWidth="1"/>
    <col min="11517" max="11517" width="9" style="21" customWidth="1"/>
    <col min="11518" max="11519" width="9.77734375" style="21" customWidth="1"/>
    <col min="11520" max="11520" width="11.21875" style="21" customWidth="1"/>
    <col min="11521" max="11521" width="2.77734375" style="21" customWidth="1"/>
    <col min="11522" max="11522" width="3.5546875" style="21" customWidth="1"/>
    <col min="11523" max="11767" width="9.21875" style="21"/>
    <col min="11768" max="11768" width="8.77734375" style="21" customWidth="1"/>
    <col min="11769" max="11769" width="9.77734375" style="21" customWidth="1"/>
    <col min="11770" max="11770" width="14.44140625" style="21" customWidth="1"/>
    <col min="11771" max="11771" width="7.21875" style="21" customWidth="1"/>
    <col min="11772" max="11772" width="5.5546875" style="21" customWidth="1"/>
    <col min="11773" max="11773" width="9" style="21" customWidth="1"/>
    <col min="11774" max="11775" width="9.77734375" style="21" customWidth="1"/>
    <col min="11776" max="11776" width="11.21875" style="21" customWidth="1"/>
    <col min="11777" max="11777" width="2.77734375" style="21" customWidth="1"/>
    <col min="11778" max="11778" width="3.5546875" style="21" customWidth="1"/>
    <col min="11779" max="12023" width="9.21875" style="21"/>
    <col min="12024" max="12024" width="8.77734375" style="21" customWidth="1"/>
    <col min="12025" max="12025" width="9.77734375" style="21" customWidth="1"/>
    <col min="12026" max="12026" width="14.44140625" style="21" customWidth="1"/>
    <col min="12027" max="12027" width="7.21875" style="21" customWidth="1"/>
    <col min="12028" max="12028" width="5.5546875" style="21" customWidth="1"/>
    <col min="12029" max="12029" width="9" style="21" customWidth="1"/>
    <col min="12030" max="12031" width="9.77734375" style="21" customWidth="1"/>
    <col min="12032" max="12032" width="11.21875" style="21" customWidth="1"/>
    <col min="12033" max="12033" width="2.77734375" style="21" customWidth="1"/>
    <col min="12034" max="12034" width="3.5546875" style="21" customWidth="1"/>
    <col min="12035" max="12279" width="9.21875" style="21"/>
    <col min="12280" max="12280" width="8.77734375" style="21" customWidth="1"/>
    <col min="12281" max="12281" width="9.77734375" style="21" customWidth="1"/>
    <col min="12282" max="12282" width="14.44140625" style="21" customWidth="1"/>
    <col min="12283" max="12283" width="7.21875" style="21" customWidth="1"/>
    <col min="12284" max="12284" width="5.5546875" style="21" customWidth="1"/>
    <col min="12285" max="12285" width="9" style="21" customWidth="1"/>
    <col min="12286" max="12287" width="9.77734375" style="21" customWidth="1"/>
    <col min="12288" max="12288" width="11.21875" style="21" customWidth="1"/>
    <col min="12289" max="12289" width="2.77734375" style="21" customWidth="1"/>
    <col min="12290" max="12290" width="3.5546875" style="21" customWidth="1"/>
    <col min="12291" max="12535" width="9.21875" style="21"/>
    <col min="12536" max="12536" width="8.77734375" style="21" customWidth="1"/>
    <col min="12537" max="12537" width="9.77734375" style="21" customWidth="1"/>
    <col min="12538" max="12538" width="14.44140625" style="21" customWidth="1"/>
    <col min="12539" max="12539" width="7.21875" style="21" customWidth="1"/>
    <col min="12540" max="12540" width="5.5546875" style="21" customWidth="1"/>
    <col min="12541" max="12541" width="9" style="21" customWidth="1"/>
    <col min="12542" max="12543" width="9.77734375" style="21" customWidth="1"/>
    <col min="12544" max="12544" width="11.21875" style="21" customWidth="1"/>
    <col min="12545" max="12545" width="2.77734375" style="21" customWidth="1"/>
    <col min="12546" max="12546" width="3.5546875" style="21" customWidth="1"/>
    <col min="12547" max="12791" width="9.21875" style="21"/>
    <col min="12792" max="12792" width="8.77734375" style="21" customWidth="1"/>
    <col min="12793" max="12793" width="9.77734375" style="21" customWidth="1"/>
    <col min="12794" max="12794" width="14.44140625" style="21" customWidth="1"/>
    <col min="12795" max="12795" width="7.21875" style="21" customWidth="1"/>
    <col min="12796" max="12796" width="5.5546875" style="21" customWidth="1"/>
    <col min="12797" max="12797" width="9" style="21" customWidth="1"/>
    <col min="12798" max="12799" width="9.77734375" style="21" customWidth="1"/>
    <col min="12800" max="12800" width="11.21875" style="21" customWidth="1"/>
    <col min="12801" max="12801" width="2.77734375" style="21" customWidth="1"/>
    <col min="12802" max="12802" width="3.5546875" style="21" customWidth="1"/>
    <col min="12803" max="13047" width="9.21875" style="21"/>
    <col min="13048" max="13048" width="8.77734375" style="21" customWidth="1"/>
    <col min="13049" max="13049" width="9.77734375" style="21" customWidth="1"/>
    <col min="13050" max="13050" width="14.44140625" style="21" customWidth="1"/>
    <col min="13051" max="13051" width="7.21875" style="21" customWidth="1"/>
    <col min="13052" max="13052" width="5.5546875" style="21" customWidth="1"/>
    <col min="13053" max="13053" width="9" style="21" customWidth="1"/>
    <col min="13054" max="13055" width="9.77734375" style="21" customWidth="1"/>
    <col min="13056" max="13056" width="11.21875" style="21" customWidth="1"/>
    <col min="13057" max="13057" width="2.77734375" style="21" customWidth="1"/>
    <col min="13058" max="13058" width="3.5546875" style="21" customWidth="1"/>
    <col min="13059" max="13303" width="9.21875" style="21"/>
    <col min="13304" max="13304" width="8.77734375" style="21" customWidth="1"/>
    <col min="13305" max="13305" width="9.77734375" style="21" customWidth="1"/>
    <col min="13306" max="13306" width="14.44140625" style="21" customWidth="1"/>
    <col min="13307" max="13307" width="7.21875" style="21" customWidth="1"/>
    <col min="13308" max="13308" width="5.5546875" style="21" customWidth="1"/>
    <col min="13309" max="13309" width="9" style="21" customWidth="1"/>
    <col min="13310" max="13311" width="9.77734375" style="21" customWidth="1"/>
    <col min="13312" max="13312" width="11.21875" style="21" customWidth="1"/>
    <col min="13313" max="13313" width="2.77734375" style="21" customWidth="1"/>
    <col min="13314" max="13314" width="3.5546875" style="21" customWidth="1"/>
    <col min="13315" max="13559" width="9.21875" style="21"/>
    <col min="13560" max="13560" width="8.77734375" style="21" customWidth="1"/>
    <col min="13561" max="13561" width="9.77734375" style="21" customWidth="1"/>
    <col min="13562" max="13562" width="14.44140625" style="21" customWidth="1"/>
    <col min="13563" max="13563" width="7.21875" style="21" customWidth="1"/>
    <col min="13564" max="13564" width="5.5546875" style="21" customWidth="1"/>
    <col min="13565" max="13565" width="9" style="21" customWidth="1"/>
    <col min="13566" max="13567" width="9.77734375" style="21" customWidth="1"/>
    <col min="13568" max="13568" width="11.21875" style="21" customWidth="1"/>
    <col min="13569" max="13569" width="2.77734375" style="21" customWidth="1"/>
    <col min="13570" max="13570" width="3.5546875" style="21" customWidth="1"/>
    <col min="13571" max="13815" width="9.21875" style="21"/>
    <col min="13816" max="13816" width="8.77734375" style="21" customWidth="1"/>
    <col min="13817" max="13817" width="9.77734375" style="21" customWidth="1"/>
    <col min="13818" max="13818" width="14.44140625" style="21" customWidth="1"/>
    <col min="13819" max="13819" width="7.21875" style="21" customWidth="1"/>
    <col min="13820" max="13820" width="5.5546875" style="21" customWidth="1"/>
    <col min="13821" max="13821" width="9" style="21" customWidth="1"/>
    <col min="13822" max="13823" width="9.77734375" style="21" customWidth="1"/>
    <col min="13824" max="13824" width="11.21875" style="21" customWidth="1"/>
    <col min="13825" max="13825" width="2.77734375" style="21" customWidth="1"/>
    <col min="13826" max="13826" width="3.5546875" style="21" customWidth="1"/>
    <col min="13827" max="14071" width="9.21875" style="21"/>
    <col min="14072" max="14072" width="8.77734375" style="21" customWidth="1"/>
    <col min="14073" max="14073" width="9.77734375" style="21" customWidth="1"/>
    <col min="14074" max="14074" width="14.44140625" style="21" customWidth="1"/>
    <col min="14075" max="14075" width="7.21875" style="21" customWidth="1"/>
    <col min="14076" max="14076" width="5.5546875" style="21" customWidth="1"/>
    <col min="14077" max="14077" width="9" style="21" customWidth="1"/>
    <col min="14078" max="14079" width="9.77734375" style="21" customWidth="1"/>
    <col min="14080" max="14080" width="11.21875" style="21" customWidth="1"/>
    <col min="14081" max="14081" width="2.77734375" style="21" customWidth="1"/>
    <col min="14082" max="14082" width="3.5546875" style="21" customWidth="1"/>
    <col min="14083" max="14327" width="9.21875" style="21"/>
    <col min="14328" max="14328" width="8.77734375" style="21" customWidth="1"/>
    <col min="14329" max="14329" width="9.77734375" style="21" customWidth="1"/>
    <col min="14330" max="14330" width="14.44140625" style="21" customWidth="1"/>
    <col min="14331" max="14331" width="7.21875" style="21" customWidth="1"/>
    <col min="14332" max="14332" width="5.5546875" style="21" customWidth="1"/>
    <col min="14333" max="14333" width="9" style="21" customWidth="1"/>
    <col min="14334" max="14335" width="9.77734375" style="21" customWidth="1"/>
    <col min="14336" max="14336" width="11.21875" style="21" customWidth="1"/>
    <col min="14337" max="14337" width="2.77734375" style="21" customWidth="1"/>
    <col min="14338" max="14338" width="3.5546875" style="21" customWidth="1"/>
    <col min="14339" max="14583" width="9.21875" style="21"/>
    <col min="14584" max="14584" width="8.77734375" style="21" customWidth="1"/>
    <col min="14585" max="14585" width="9.77734375" style="21" customWidth="1"/>
    <col min="14586" max="14586" width="14.44140625" style="21" customWidth="1"/>
    <col min="14587" max="14587" width="7.21875" style="21" customWidth="1"/>
    <col min="14588" max="14588" width="5.5546875" style="21" customWidth="1"/>
    <col min="14589" max="14589" width="9" style="21" customWidth="1"/>
    <col min="14590" max="14591" width="9.77734375" style="21" customWidth="1"/>
    <col min="14592" max="14592" width="11.21875" style="21" customWidth="1"/>
    <col min="14593" max="14593" width="2.77734375" style="21" customWidth="1"/>
    <col min="14594" max="14594" width="3.5546875" style="21" customWidth="1"/>
    <col min="14595" max="14839" width="9.21875" style="21"/>
    <col min="14840" max="14840" width="8.77734375" style="21" customWidth="1"/>
    <col min="14841" max="14841" width="9.77734375" style="21" customWidth="1"/>
    <col min="14842" max="14842" width="14.44140625" style="21" customWidth="1"/>
    <col min="14843" max="14843" width="7.21875" style="21" customWidth="1"/>
    <col min="14844" max="14844" width="5.5546875" style="21" customWidth="1"/>
    <col min="14845" max="14845" width="9" style="21" customWidth="1"/>
    <col min="14846" max="14847" width="9.77734375" style="21" customWidth="1"/>
    <col min="14848" max="14848" width="11.21875" style="21" customWidth="1"/>
    <col min="14849" max="14849" width="2.77734375" style="21" customWidth="1"/>
    <col min="14850" max="14850" width="3.5546875" style="21" customWidth="1"/>
    <col min="14851" max="15095" width="9.21875" style="21"/>
    <col min="15096" max="15096" width="8.77734375" style="21" customWidth="1"/>
    <col min="15097" max="15097" width="9.77734375" style="21" customWidth="1"/>
    <col min="15098" max="15098" width="14.44140625" style="21" customWidth="1"/>
    <col min="15099" max="15099" width="7.21875" style="21" customWidth="1"/>
    <col min="15100" max="15100" width="5.5546875" style="21" customWidth="1"/>
    <col min="15101" max="15101" width="9" style="21" customWidth="1"/>
    <col min="15102" max="15103" width="9.77734375" style="21" customWidth="1"/>
    <col min="15104" max="15104" width="11.21875" style="21" customWidth="1"/>
    <col min="15105" max="15105" width="2.77734375" style="21" customWidth="1"/>
    <col min="15106" max="15106" width="3.5546875" style="21" customWidth="1"/>
    <col min="15107" max="15351" width="9.21875" style="21"/>
    <col min="15352" max="15352" width="8.77734375" style="21" customWidth="1"/>
    <col min="15353" max="15353" width="9.77734375" style="21" customWidth="1"/>
    <col min="15354" max="15354" width="14.44140625" style="21" customWidth="1"/>
    <col min="15355" max="15355" width="7.21875" style="21" customWidth="1"/>
    <col min="15356" max="15356" width="5.5546875" style="21" customWidth="1"/>
    <col min="15357" max="15357" width="9" style="21" customWidth="1"/>
    <col min="15358" max="15359" width="9.77734375" style="21" customWidth="1"/>
    <col min="15360" max="15360" width="11.21875" style="21" customWidth="1"/>
    <col min="15361" max="15361" width="2.77734375" style="21" customWidth="1"/>
    <col min="15362" max="15362" width="3.5546875" style="21" customWidth="1"/>
    <col min="15363" max="15607" width="9.21875" style="21"/>
    <col min="15608" max="15608" width="8.77734375" style="21" customWidth="1"/>
    <col min="15609" max="15609" width="9.77734375" style="21" customWidth="1"/>
    <col min="15610" max="15610" width="14.44140625" style="21" customWidth="1"/>
    <col min="15611" max="15611" width="7.21875" style="21" customWidth="1"/>
    <col min="15612" max="15612" width="5.5546875" style="21" customWidth="1"/>
    <col min="15613" max="15613" width="9" style="21" customWidth="1"/>
    <col min="15614" max="15615" width="9.77734375" style="21" customWidth="1"/>
    <col min="15616" max="15616" width="11.21875" style="21" customWidth="1"/>
    <col min="15617" max="15617" width="2.77734375" style="21" customWidth="1"/>
    <col min="15618" max="15618" width="3.5546875" style="21" customWidth="1"/>
    <col min="15619" max="15863" width="9.21875" style="21"/>
    <col min="15864" max="15864" width="8.77734375" style="21" customWidth="1"/>
    <col min="15865" max="15865" width="9.77734375" style="21" customWidth="1"/>
    <col min="15866" max="15866" width="14.44140625" style="21" customWidth="1"/>
    <col min="15867" max="15867" width="7.21875" style="21" customWidth="1"/>
    <col min="15868" max="15868" width="5.5546875" style="21" customWidth="1"/>
    <col min="15869" max="15869" width="9" style="21" customWidth="1"/>
    <col min="15870" max="15871" width="9.77734375" style="21" customWidth="1"/>
    <col min="15872" max="15872" width="11.21875" style="21" customWidth="1"/>
    <col min="15873" max="15873" width="2.77734375" style="21" customWidth="1"/>
    <col min="15874" max="15874" width="3.5546875" style="21" customWidth="1"/>
    <col min="15875" max="16119" width="9.21875" style="21"/>
    <col min="16120" max="16120" width="8.77734375" style="21" customWidth="1"/>
    <col min="16121" max="16121" width="9.77734375" style="21" customWidth="1"/>
    <col min="16122" max="16122" width="14.44140625" style="21" customWidth="1"/>
    <col min="16123" max="16123" width="7.21875" style="21" customWidth="1"/>
    <col min="16124" max="16124" width="5.5546875" style="21" customWidth="1"/>
    <col min="16125" max="16125" width="9" style="21" customWidth="1"/>
    <col min="16126" max="16127" width="9.77734375" style="21" customWidth="1"/>
    <col min="16128" max="16128" width="11.21875" style="21" customWidth="1"/>
    <col min="16129" max="16129" width="2.77734375" style="21" customWidth="1"/>
    <col min="16130" max="16130" width="3.5546875" style="21" customWidth="1"/>
    <col min="16131" max="16384" width="9.21875" style="21"/>
  </cols>
  <sheetData>
    <row r="1" spans="1:8" ht="46.5" customHeight="1" x14ac:dyDescent="0.3">
      <c r="A1" s="159" t="s">
        <v>168</v>
      </c>
      <c r="B1" s="159"/>
      <c r="C1" s="159"/>
      <c r="D1" s="159"/>
      <c r="E1" s="159"/>
      <c r="F1" s="159"/>
      <c r="G1" s="159"/>
      <c r="H1" s="159"/>
    </row>
    <row r="2" spans="1:8" ht="16.5" customHeight="1" x14ac:dyDescent="0.3">
      <c r="A2" s="136" t="s">
        <v>0</v>
      </c>
      <c r="B2" s="136"/>
      <c r="C2" s="136"/>
      <c r="D2" s="136"/>
      <c r="E2" s="136"/>
      <c r="F2" s="136"/>
      <c r="G2" s="136"/>
      <c r="H2" s="136"/>
    </row>
    <row r="3" spans="1:8" x14ac:dyDescent="0.3">
      <c r="A3" s="129" t="s">
        <v>1</v>
      </c>
      <c r="B3" s="129"/>
      <c r="C3" s="129"/>
      <c r="D3" s="129"/>
      <c r="E3" s="129" t="str">
        <f ca="1">TEXT(TODAY(),"DD/MM/YYYY")</f>
        <v>13/07/2025</v>
      </c>
      <c r="F3" s="129"/>
      <c r="G3" s="129"/>
      <c r="H3" s="129"/>
    </row>
    <row r="4" spans="1:8" ht="15" customHeight="1" x14ac:dyDescent="0.3">
      <c r="A4" s="129" t="s">
        <v>2</v>
      </c>
      <c r="B4" s="129"/>
      <c r="C4" s="129"/>
      <c r="D4" s="129"/>
      <c r="E4" s="129" t="s">
        <v>173</v>
      </c>
      <c r="F4" s="129"/>
      <c r="G4" s="129"/>
      <c r="H4" s="129"/>
    </row>
    <row r="5" spans="1:8" x14ac:dyDescent="0.3">
      <c r="A5" s="129" t="s">
        <v>3</v>
      </c>
      <c r="B5" s="129"/>
      <c r="C5" s="129"/>
      <c r="D5" s="129"/>
      <c r="E5" s="160">
        <v>45848</v>
      </c>
      <c r="F5" s="129"/>
      <c r="G5" s="129"/>
      <c r="H5" s="129"/>
    </row>
    <row r="6" spans="1:8" ht="16.5" customHeight="1" x14ac:dyDescent="0.3">
      <c r="A6" s="129" t="s">
        <v>4</v>
      </c>
      <c r="B6" s="129"/>
      <c r="C6" s="129"/>
      <c r="D6" s="129"/>
      <c r="E6" s="129" t="s">
        <v>174</v>
      </c>
      <c r="F6" s="129"/>
      <c r="G6" s="129"/>
      <c r="H6" s="129"/>
    </row>
    <row r="7" spans="1:8" ht="15" customHeight="1" x14ac:dyDescent="0.3">
      <c r="A7" s="129" t="s">
        <v>5</v>
      </c>
      <c r="B7" s="129"/>
      <c r="C7" s="129"/>
      <c r="D7" s="129"/>
      <c r="E7" s="129" t="str">
        <f>E6</f>
        <v>B K Groups</v>
      </c>
      <c r="F7" s="129"/>
      <c r="G7" s="129"/>
      <c r="H7" s="129"/>
    </row>
    <row r="8" spans="1:8" x14ac:dyDescent="0.3">
      <c r="A8" s="129" t="s">
        <v>6</v>
      </c>
      <c r="B8" s="129"/>
      <c r="C8" s="129"/>
      <c r="D8" s="129"/>
      <c r="E8" s="157" t="s">
        <v>177</v>
      </c>
      <c r="F8" s="155"/>
      <c r="G8" s="155"/>
      <c r="H8" s="155"/>
    </row>
    <row r="9" spans="1:8" x14ac:dyDescent="0.3">
      <c r="A9" s="129" t="s">
        <v>171</v>
      </c>
      <c r="B9" s="129"/>
      <c r="C9" s="129"/>
      <c r="D9" s="129"/>
      <c r="E9" s="128" t="s">
        <v>216</v>
      </c>
      <c r="F9" s="129"/>
      <c r="G9" s="129"/>
      <c r="H9" s="129"/>
    </row>
    <row r="10" spans="1:8" ht="31.95" customHeight="1" x14ac:dyDescent="0.3">
      <c r="A10" s="129" t="s">
        <v>172</v>
      </c>
      <c r="B10" s="129"/>
      <c r="C10" s="129"/>
      <c r="D10" s="129"/>
      <c r="E10" s="128" t="s">
        <v>226</v>
      </c>
      <c r="F10" s="129"/>
      <c r="G10" s="129"/>
      <c r="H10" s="129"/>
    </row>
    <row r="11" spans="1:8" x14ac:dyDescent="0.3">
      <c r="A11" s="129" t="s">
        <v>7</v>
      </c>
      <c r="B11" s="129"/>
      <c r="C11" s="129"/>
      <c r="D11" s="129"/>
      <c r="E11" s="129" t="s">
        <v>189</v>
      </c>
      <c r="F11" s="129"/>
      <c r="G11" s="129"/>
      <c r="H11" s="129"/>
    </row>
    <row r="12" spans="1:8" ht="21" customHeight="1" x14ac:dyDescent="0.3">
      <c r="A12" s="65" t="s">
        <v>8</v>
      </c>
      <c r="B12" s="65"/>
      <c r="C12" s="65"/>
      <c r="D12" s="65"/>
      <c r="E12" s="161" t="s">
        <v>180</v>
      </c>
      <c r="F12" s="161"/>
      <c r="G12" s="161"/>
      <c r="H12" s="161"/>
    </row>
    <row r="13" spans="1:8" x14ac:dyDescent="0.3">
      <c r="A13" s="65" t="s">
        <v>9</v>
      </c>
      <c r="B13" s="65"/>
      <c r="C13" s="65"/>
      <c r="D13" s="65"/>
      <c r="E13" s="161" t="s">
        <v>175</v>
      </c>
      <c r="F13" s="163"/>
      <c r="G13" s="163"/>
      <c r="H13" s="163"/>
    </row>
    <row r="14" spans="1:8" ht="37.5" customHeight="1" x14ac:dyDescent="0.3">
      <c r="A14" s="114" t="s">
        <v>10</v>
      </c>
      <c r="B14" s="114"/>
      <c r="C14" s="114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Varsha Heights, Survey No.75, H. No. 1, near Sukh Vastu Building, Internal Road, Jay Malhar Nagar, Devrung, Ambivli West, Bhiwandi, Thane - 421305.</v>
      </c>
      <c r="D14" s="114"/>
      <c r="E14" s="114"/>
      <c r="F14" s="114"/>
      <c r="G14" s="114"/>
      <c r="H14" s="114"/>
    </row>
    <row r="15" spans="1:8" x14ac:dyDescent="0.3">
      <c r="A15" s="161" t="s">
        <v>176</v>
      </c>
      <c r="B15" s="161"/>
      <c r="C15" s="161" t="s">
        <v>178</v>
      </c>
      <c r="D15" s="161"/>
      <c r="E15" s="161"/>
      <c r="F15" s="161"/>
      <c r="G15" s="161"/>
      <c r="H15" s="161"/>
    </row>
    <row r="16" spans="1:8" ht="15.75" customHeight="1" x14ac:dyDescent="0.3">
      <c r="A16" s="128" t="s">
        <v>166</v>
      </c>
      <c r="B16" s="128"/>
      <c r="C16" s="128" t="s">
        <v>183</v>
      </c>
      <c r="D16" s="128"/>
      <c r="E16" s="128"/>
      <c r="F16" s="128"/>
      <c r="G16" s="128"/>
      <c r="H16" s="128"/>
    </row>
    <row r="17" spans="1:8" ht="15.75" customHeight="1" x14ac:dyDescent="0.3">
      <c r="A17" s="114" t="s">
        <v>11</v>
      </c>
      <c r="B17" s="114"/>
      <c r="C17" s="129" t="s">
        <v>224</v>
      </c>
      <c r="D17" s="129"/>
      <c r="E17" s="114" t="s">
        <v>74</v>
      </c>
      <c r="F17" s="114"/>
      <c r="G17" s="128" t="s">
        <v>179</v>
      </c>
      <c r="H17" s="128"/>
    </row>
    <row r="18" spans="1:8" x14ac:dyDescent="0.3">
      <c r="A18" s="65" t="s">
        <v>13</v>
      </c>
      <c r="B18" s="65"/>
      <c r="C18" s="128" t="s">
        <v>199</v>
      </c>
      <c r="D18" s="128"/>
      <c r="E18" s="114" t="s">
        <v>12</v>
      </c>
      <c r="F18" s="114"/>
      <c r="G18" s="164" t="s">
        <v>185</v>
      </c>
      <c r="H18" s="164"/>
    </row>
    <row r="19" spans="1:8" x14ac:dyDescent="0.3">
      <c r="A19" s="65" t="s">
        <v>75</v>
      </c>
      <c r="B19" s="65"/>
      <c r="C19" s="128" t="s">
        <v>186</v>
      </c>
      <c r="D19" s="128"/>
      <c r="E19" s="114" t="s">
        <v>14</v>
      </c>
      <c r="F19" s="114"/>
      <c r="G19" s="128">
        <v>421305</v>
      </c>
      <c r="H19" s="128"/>
    </row>
    <row r="20" spans="1:8" ht="32.25" customHeight="1" x14ac:dyDescent="0.3">
      <c r="A20" s="65" t="s">
        <v>124</v>
      </c>
      <c r="B20" s="65"/>
      <c r="C20" s="128" t="s">
        <v>215</v>
      </c>
      <c r="D20" s="128"/>
      <c r="E20" s="114" t="s">
        <v>15</v>
      </c>
      <c r="F20" s="114"/>
      <c r="G20" s="128" t="s">
        <v>212</v>
      </c>
      <c r="H20" s="128"/>
    </row>
    <row r="21" spans="1:8" ht="15" customHeight="1" x14ac:dyDescent="0.3">
      <c r="A21" s="114" t="s">
        <v>77</v>
      </c>
      <c r="B21" s="114"/>
      <c r="C21" s="114"/>
      <c r="D21" s="114"/>
      <c r="E21" s="129" t="s">
        <v>16</v>
      </c>
      <c r="F21" s="129"/>
      <c r="G21" s="129"/>
      <c r="H21" s="129"/>
    </row>
    <row r="22" spans="1:8" ht="18.75" customHeight="1" x14ac:dyDescent="0.3">
      <c r="A22" s="114"/>
      <c r="B22" s="114"/>
      <c r="C22" s="114"/>
      <c r="D22" s="114"/>
      <c r="E22" s="129"/>
      <c r="F22" s="129"/>
      <c r="G22" s="129"/>
      <c r="H22" s="129"/>
    </row>
    <row r="23" spans="1:8" ht="15" customHeight="1" x14ac:dyDescent="0.3">
      <c r="A23" s="114" t="s">
        <v>17</v>
      </c>
      <c r="B23" s="114"/>
      <c r="C23" s="114"/>
      <c r="D23" s="114"/>
      <c r="E23" s="128" t="s">
        <v>18</v>
      </c>
      <c r="F23" s="128"/>
      <c r="G23" s="128"/>
      <c r="H23" s="128"/>
    </row>
    <row r="24" spans="1:8" ht="15" customHeight="1" x14ac:dyDescent="0.3">
      <c r="A24" s="65" t="s">
        <v>19</v>
      </c>
      <c r="B24" s="65"/>
      <c r="C24" s="65"/>
      <c r="D24" s="65"/>
      <c r="E24" s="128" t="str">
        <f>IF(AND(G18="Mumbai"),"Upper Class","Middle Class")</f>
        <v>Middle Class</v>
      </c>
      <c r="F24" s="128"/>
      <c r="G24" s="128"/>
      <c r="H24" s="128"/>
    </row>
    <row r="25" spans="1:8" x14ac:dyDescent="0.3">
      <c r="A25" s="65" t="s">
        <v>20</v>
      </c>
      <c r="B25" s="65"/>
      <c r="C25" s="65"/>
      <c r="D25" s="65"/>
      <c r="E25" s="128" t="s">
        <v>21</v>
      </c>
      <c r="F25" s="128"/>
      <c r="G25" s="128"/>
      <c r="H25" s="128"/>
    </row>
    <row r="26" spans="1:8" ht="15.75" customHeight="1" x14ac:dyDescent="0.3">
      <c r="A26" s="65" t="s">
        <v>22</v>
      </c>
      <c r="B26" s="65"/>
      <c r="C26" s="65"/>
      <c r="D26" s="65"/>
      <c r="E26" s="128" t="str">
        <f>IF(AND(G18="Mumbai"),"Developed","Developing")</f>
        <v>Developing</v>
      </c>
      <c r="F26" s="128"/>
      <c r="G26" s="128"/>
      <c r="H26" s="128"/>
    </row>
    <row r="27" spans="1:8" x14ac:dyDescent="0.3">
      <c r="A27" s="65" t="s">
        <v>23</v>
      </c>
      <c r="B27" s="65"/>
      <c r="C27" s="65"/>
      <c r="D27" s="65"/>
      <c r="E27" s="128" t="s">
        <v>24</v>
      </c>
      <c r="F27" s="128"/>
      <c r="G27" s="128"/>
      <c r="H27" s="128"/>
    </row>
    <row r="28" spans="1:8" ht="15.75" customHeight="1" x14ac:dyDescent="0.3">
      <c r="A28" s="65" t="s">
        <v>82</v>
      </c>
      <c r="B28" s="65"/>
      <c r="C28" s="65"/>
      <c r="D28" s="65"/>
      <c r="E28" s="128" t="s">
        <v>83</v>
      </c>
      <c r="F28" s="128"/>
      <c r="G28" s="128"/>
      <c r="H28" s="128"/>
    </row>
    <row r="29" spans="1:8" ht="15" customHeight="1" x14ac:dyDescent="0.3">
      <c r="A29" s="65" t="s">
        <v>33</v>
      </c>
      <c r="B29" s="65"/>
      <c r="C29" s="65"/>
      <c r="D29" s="65"/>
      <c r="E29" s="128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28"/>
      <c r="G29" s="128"/>
      <c r="H29" s="128"/>
    </row>
    <row r="30" spans="1:8" ht="15.75" customHeight="1" x14ac:dyDescent="0.3">
      <c r="A30" s="65" t="s">
        <v>94</v>
      </c>
      <c r="B30" s="65"/>
      <c r="C30" s="65"/>
      <c r="D30" s="65"/>
      <c r="E30" s="128" t="s">
        <v>34</v>
      </c>
      <c r="F30" s="128"/>
      <c r="G30" s="128"/>
      <c r="H30" s="128"/>
    </row>
    <row r="31" spans="1:8" s="22" customFormat="1" x14ac:dyDescent="0.3">
      <c r="A31" s="168" t="s">
        <v>95</v>
      </c>
      <c r="B31" s="168"/>
      <c r="C31" s="167" t="s">
        <v>29</v>
      </c>
      <c r="D31" s="167"/>
      <c r="E31" s="167"/>
      <c r="F31" s="167" t="s">
        <v>31</v>
      </c>
      <c r="G31" s="167"/>
      <c r="H31" s="167"/>
    </row>
    <row r="32" spans="1:8" s="22" customFormat="1" x14ac:dyDescent="0.3">
      <c r="A32" s="166" t="s">
        <v>25</v>
      </c>
      <c r="B32" s="166" t="s">
        <v>30</v>
      </c>
      <c r="C32" s="162" t="s">
        <v>30</v>
      </c>
      <c r="D32" s="162"/>
      <c r="E32" s="162"/>
      <c r="F32" s="162" t="s">
        <v>203</v>
      </c>
      <c r="G32" s="162"/>
      <c r="H32" s="162"/>
    </row>
    <row r="33" spans="1:10" x14ac:dyDescent="0.3">
      <c r="A33" s="166" t="s">
        <v>26</v>
      </c>
      <c r="B33" s="166" t="s">
        <v>30</v>
      </c>
      <c r="C33" s="162" t="s">
        <v>30</v>
      </c>
      <c r="D33" s="162"/>
      <c r="E33" s="162"/>
      <c r="F33" s="162" t="s">
        <v>187</v>
      </c>
      <c r="G33" s="162"/>
      <c r="H33" s="162"/>
    </row>
    <row r="34" spans="1:10" s="22" customFormat="1" x14ac:dyDescent="0.3">
      <c r="A34" s="166" t="s">
        <v>28</v>
      </c>
      <c r="B34" s="166" t="s">
        <v>30</v>
      </c>
      <c r="C34" s="162" t="s">
        <v>30</v>
      </c>
      <c r="D34" s="162"/>
      <c r="E34" s="162"/>
      <c r="F34" s="162" t="s">
        <v>202</v>
      </c>
      <c r="G34" s="162"/>
      <c r="H34" s="162"/>
    </row>
    <row r="35" spans="1:10" x14ac:dyDescent="0.3">
      <c r="A35" s="166" t="s">
        <v>27</v>
      </c>
      <c r="B35" s="166" t="s">
        <v>30</v>
      </c>
      <c r="C35" s="162" t="s">
        <v>30</v>
      </c>
      <c r="D35" s="162"/>
      <c r="E35" s="162"/>
      <c r="F35" s="165" t="s">
        <v>200</v>
      </c>
      <c r="G35" s="162"/>
      <c r="H35" s="162"/>
    </row>
    <row r="36" spans="1:10" x14ac:dyDescent="0.3">
      <c r="A36" s="65" t="s">
        <v>32</v>
      </c>
      <c r="B36" s="65"/>
      <c r="C36" s="65"/>
      <c r="D36" s="65"/>
      <c r="E36" s="65"/>
      <c r="F36" s="65"/>
      <c r="G36" s="65"/>
      <c r="H36" s="65"/>
    </row>
    <row r="37" spans="1:10" ht="15.75" customHeight="1" x14ac:dyDescent="0.3">
      <c r="A37" s="144" t="s">
        <v>169</v>
      </c>
      <c r="B37" s="144"/>
      <c r="C37" s="65" t="s">
        <v>225</v>
      </c>
      <c r="D37" s="65"/>
      <c r="E37" s="65"/>
      <c r="F37" s="65"/>
      <c r="G37" s="65"/>
      <c r="H37" s="65"/>
    </row>
    <row r="38" spans="1:10" x14ac:dyDescent="0.3">
      <c r="A38" s="144" t="s">
        <v>165</v>
      </c>
      <c r="B38" s="144"/>
      <c r="C38" s="197" t="s">
        <v>184</v>
      </c>
      <c r="D38" s="128"/>
      <c r="E38" s="128"/>
      <c r="F38" s="128"/>
      <c r="G38" s="128"/>
      <c r="H38" s="128"/>
    </row>
    <row r="39" spans="1:10" x14ac:dyDescent="0.3">
      <c r="A39" s="144" t="s">
        <v>35</v>
      </c>
      <c r="B39" s="144"/>
      <c r="C39" s="144"/>
      <c r="D39" s="144"/>
      <c r="E39" s="144"/>
      <c r="F39" s="144"/>
      <c r="G39" s="144"/>
      <c r="H39" s="144"/>
    </row>
    <row r="40" spans="1:10" x14ac:dyDescent="0.3">
      <c r="A40" s="65" t="s">
        <v>36</v>
      </c>
      <c r="B40" s="65"/>
      <c r="C40" s="65"/>
      <c r="D40" s="65"/>
      <c r="E40" s="170">
        <v>1901.04</v>
      </c>
      <c r="F40" s="170"/>
      <c r="G40" s="170"/>
      <c r="H40" s="170"/>
    </row>
    <row r="41" spans="1:10" x14ac:dyDescent="0.3">
      <c r="A41" s="65" t="s">
        <v>37</v>
      </c>
      <c r="B41" s="65"/>
      <c r="C41" s="65"/>
      <c r="D41" s="65"/>
      <c r="E41" s="100">
        <v>1.1000000000000001</v>
      </c>
      <c r="F41" s="100"/>
      <c r="G41" s="100"/>
      <c r="H41" s="100"/>
    </row>
    <row r="42" spans="1:10" x14ac:dyDescent="0.3">
      <c r="A42" s="65" t="s">
        <v>38</v>
      </c>
      <c r="B42" s="65"/>
      <c r="C42" s="65"/>
      <c r="D42" s="65"/>
      <c r="E42" s="100">
        <f>E44/E40-E41</f>
        <v>1.3049467659807261</v>
      </c>
      <c r="F42" s="100"/>
      <c r="G42" s="100"/>
      <c r="H42" s="100"/>
    </row>
    <row r="43" spans="1:10" x14ac:dyDescent="0.3">
      <c r="A43" s="65" t="s">
        <v>39</v>
      </c>
      <c r="B43" s="65"/>
      <c r="C43" s="65"/>
      <c r="D43" s="65"/>
      <c r="E43" s="100">
        <f>E41+E42</f>
        <v>2.4049467659807262</v>
      </c>
      <c r="F43" s="100"/>
      <c r="G43" s="100"/>
      <c r="H43" s="100"/>
    </row>
    <row r="44" spans="1:10" x14ac:dyDescent="0.3">
      <c r="A44" s="65" t="s">
        <v>93</v>
      </c>
      <c r="B44" s="65"/>
      <c r="C44" s="65"/>
      <c r="D44" s="65"/>
      <c r="E44" s="181">
        <v>4571.8999999999996</v>
      </c>
      <c r="F44" s="181"/>
      <c r="G44" s="181"/>
      <c r="H44" s="181"/>
      <c r="I44" s="22"/>
    </row>
    <row r="45" spans="1:10" x14ac:dyDescent="0.3">
      <c r="A45" s="129" t="s">
        <v>40</v>
      </c>
      <c r="B45" s="129"/>
      <c r="C45" s="129"/>
      <c r="D45" s="129"/>
      <c r="E45" s="129" t="s">
        <v>201</v>
      </c>
      <c r="F45" s="129"/>
      <c r="G45" s="129"/>
      <c r="H45" s="129"/>
      <c r="I45" s="57"/>
    </row>
    <row r="46" spans="1:10" x14ac:dyDescent="0.3">
      <c r="A46" s="144" t="s">
        <v>41</v>
      </c>
      <c r="B46" s="144"/>
      <c r="C46" s="144"/>
      <c r="D46" s="144"/>
      <c r="E46" s="144"/>
      <c r="F46" s="144"/>
      <c r="G46" s="144"/>
      <c r="H46" s="144"/>
    </row>
    <row r="47" spans="1:10" ht="33.75" customHeight="1" x14ac:dyDescent="0.3">
      <c r="A47" s="109" t="s">
        <v>153</v>
      </c>
      <c r="B47" s="110"/>
      <c r="C47" s="198" t="s">
        <v>188</v>
      </c>
      <c r="D47" s="199"/>
      <c r="E47" s="199"/>
      <c r="F47" s="199"/>
      <c r="G47" s="199"/>
      <c r="H47" s="200"/>
    </row>
    <row r="48" spans="1:10" ht="30.75" customHeight="1" x14ac:dyDescent="0.3">
      <c r="A48" s="109" t="s">
        <v>42</v>
      </c>
      <c r="B48" s="110"/>
      <c r="C48" s="109" t="s">
        <v>223</v>
      </c>
      <c r="D48" s="111"/>
      <c r="E48" s="110"/>
      <c r="F48" s="18" t="s">
        <v>43</v>
      </c>
      <c r="G48" s="112">
        <v>44916</v>
      </c>
      <c r="H48" s="110"/>
      <c r="J48" s="22"/>
    </row>
    <row r="49" spans="1:14" ht="34.5" customHeight="1" x14ac:dyDescent="0.3">
      <c r="A49" s="109" t="s">
        <v>44</v>
      </c>
      <c r="B49" s="110"/>
      <c r="C49" s="109" t="str">
        <f>C48</f>
        <v>BS/Rekhankan/BP/Mj.Devrung/Taluka-Bhiwandi/SSTN/2996</v>
      </c>
      <c r="D49" s="111"/>
      <c r="E49" s="110"/>
      <c r="F49" s="18" t="s">
        <v>43</v>
      </c>
      <c r="G49" s="112">
        <f>G48</f>
        <v>44916</v>
      </c>
      <c r="H49" s="110"/>
    </row>
    <row r="50" spans="1:14" s="23" customFormat="1" ht="38.25" customHeight="1" x14ac:dyDescent="0.3">
      <c r="A50" s="150" t="s">
        <v>217</v>
      </c>
      <c r="B50" s="151"/>
      <c r="C50" s="114" t="s">
        <v>204</v>
      </c>
      <c r="D50" s="114"/>
      <c r="E50" s="114"/>
      <c r="F50" s="55" t="s">
        <v>43</v>
      </c>
      <c r="G50" s="112">
        <v>44916</v>
      </c>
      <c r="H50" s="113"/>
      <c r="I50" s="22"/>
    </row>
    <row r="51" spans="1:14" s="23" customFormat="1" ht="53.25" customHeight="1" x14ac:dyDescent="0.3">
      <c r="A51" s="152"/>
      <c r="B51" s="153"/>
      <c r="C51" s="114" t="s">
        <v>205</v>
      </c>
      <c r="D51" s="114"/>
      <c r="E51" s="114"/>
      <c r="F51" s="114"/>
      <c r="G51" s="114"/>
      <c r="H51" s="114"/>
    </row>
    <row r="52" spans="1:14" x14ac:dyDescent="0.3">
      <c r="A52" s="124" t="s">
        <v>45</v>
      </c>
      <c r="B52" s="125"/>
      <c r="C52" s="124" t="s">
        <v>106</v>
      </c>
      <c r="D52" s="126"/>
      <c r="E52" s="125"/>
      <c r="F52" s="46" t="s">
        <v>43</v>
      </c>
      <c r="G52" s="130" t="s">
        <v>30</v>
      </c>
      <c r="H52" s="131"/>
    </row>
    <row r="53" spans="1:14" x14ac:dyDescent="0.3">
      <c r="A53" s="127" t="s">
        <v>47</v>
      </c>
      <c r="B53" s="127"/>
      <c r="C53" s="127"/>
      <c r="D53" s="127"/>
      <c r="E53" s="127"/>
      <c r="F53" s="127"/>
      <c r="G53" s="127"/>
      <c r="H53" s="127"/>
    </row>
    <row r="54" spans="1:14" x14ac:dyDescent="0.3">
      <c r="A54" s="114" t="s">
        <v>92</v>
      </c>
      <c r="B54" s="114"/>
      <c r="C54" s="114"/>
      <c r="D54" s="65">
        <f>E44</f>
        <v>4571.8999999999996</v>
      </c>
      <c r="E54" s="65"/>
      <c r="F54" s="65"/>
      <c r="G54" s="65"/>
      <c r="H54" s="65"/>
    </row>
    <row r="55" spans="1:14" x14ac:dyDescent="0.3">
      <c r="A55" s="128" t="s">
        <v>48</v>
      </c>
      <c r="B55" s="129"/>
      <c r="C55" s="129"/>
      <c r="D55" s="129" t="s">
        <v>219</v>
      </c>
      <c r="E55" s="129"/>
      <c r="F55" s="129"/>
      <c r="G55" s="129"/>
      <c r="H55" s="129"/>
      <c r="I55" s="24"/>
    </row>
    <row r="56" spans="1:14" ht="48.75" customHeight="1" x14ac:dyDescent="0.3">
      <c r="A56" s="115" t="s">
        <v>49</v>
      </c>
      <c r="B56" s="116"/>
      <c r="C56" s="117"/>
      <c r="D56" s="148" t="s">
        <v>205</v>
      </c>
      <c r="E56" s="149"/>
      <c r="F56" s="149"/>
      <c r="G56" s="149"/>
      <c r="H56" s="149"/>
    </row>
    <row r="57" spans="1:14" x14ac:dyDescent="0.3">
      <c r="A57" s="115" t="s">
        <v>90</v>
      </c>
      <c r="B57" s="116"/>
      <c r="C57" s="117"/>
      <c r="D57" s="106" t="s">
        <v>206</v>
      </c>
      <c r="E57" s="107"/>
      <c r="F57" s="107"/>
      <c r="G57" s="107"/>
      <c r="H57" s="108"/>
    </row>
    <row r="58" spans="1:14" ht="15.75" hidden="1" customHeight="1" x14ac:dyDescent="0.3">
      <c r="A58" s="118"/>
      <c r="B58" s="119"/>
      <c r="C58" s="120"/>
      <c r="D58" s="106" t="s">
        <v>206</v>
      </c>
      <c r="E58" s="107"/>
      <c r="F58" s="107"/>
      <c r="G58" s="107"/>
      <c r="H58" s="108"/>
    </row>
    <row r="59" spans="1:14" x14ac:dyDescent="0.3">
      <c r="A59" s="118"/>
      <c r="B59" s="119"/>
      <c r="C59" s="120"/>
      <c r="D59" s="106" t="s">
        <v>207</v>
      </c>
      <c r="E59" s="107"/>
      <c r="F59" s="107"/>
      <c r="G59" s="107"/>
      <c r="H59" s="108"/>
    </row>
    <row r="60" spans="1:14" x14ac:dyDescent="0.3">
      <c r="A60" s="121"/>
      <c r="B60" s="122"/>
      <c r="C60" s="123"/>
      <c r="D60" s="106" t="s">
        <v>208</v>
      </c>
      <c r="E60" s="107"/>
      <c r="F60" s="107"/>
      <c r="G60" s="107"/>
      <c r="H60" s="108"/>
    </row>
    <row r="61" spans="1:14" ht="15.75" customHeight="1" x14ac:dyDescent="0.3">
      <c r="A61" s="65" t="s">
        <v>46</v>
      </c>
      <c r="B61" s="65"/>
      <c r="C61" s="65"/>
      <c r="D61" s="114" t="s">
        <v>181</v>
      </c>
      <c r="E61" s="114"/>
      <c r="F61" s="114"/>
      <c r="G61" s="114"/>
      <c r="H61" s="114"/>
      <c r="J61" s="25"/>
      <c r="K61" s="24"/>
      <c r="N61" s="24"/>
    </row>
    <row r="62" spans="1:14" ht="15.75" customHeight="1" x14ac:dyDescent="0.3">
      <c r="A62" s="65" t="s">
        <v>88</v>
      </c>
      <c r="B62" s="65"/>
      <c r="C62" s="65"/>
      <c r="D62" s="180" t="str">
        <f>(IF(G52="NA","60 Years After Completion",IF(G52&lt;&gt;"NA",""&amp;60-ROUNDDOWN((E3-G52)/360,0)&amp;" Years"," ")))</f>
        <v>60 Years After Completion</v>
      </c>
      <c r="E62" s="180"/>
      <c r="F62" s="180"/>
      <c r="G62" s="180"/>
      <c r="H62" s="180"/>
      <c r="N62" s="24"/>
    </row>
    <row r="63" spans="1:14" ht="15.75" customHeight="1" x14ac:dyDescent="0.3">
      <c r="A63" s="65" t="s">
        <v>89</v>
      </c>
      <c r="B63" s="65"/>
      <c r="C63" s="65"/>
      <c r="D63" s="114" t="s">
        <v>24</v>
      </c>
      <c r="E63" s="114"/>
      <c r="F63" s="114"/>
      <c r="G63" s="114"/>
      <c r="H63" s="114"/>
      <c r="J63" s="26"/>
      <c r="K63" s="26"/>
    </row>
    <row r="64" spans="1:14" ht="35.25" customHeight="1" x14ac:dyDescent="0.3">
      <c r="A64" s="65" t="s">
        <v>76</v>
      </c>
      <c r="B64" s="65"/>
      <c r="C64" s="65"/>
      <c r="D64" s="128" t="s">
        <v>218</v>
      </c>
      <c r="E64" s="114"/>
      <c r="F64" s="114"/>
      <c r="G64" s="114"/>
      <c r="H64" s="114"/>
    </row>
    <row r="65" spans="1:14" x14ac:dyDescent="0.3">
      <c r="A65" s="114" t="s">
        <v>150</v>
      </c>
      <c r="B65" s="114"/>
      <c r="C65" s="114"/>
      <c r="D65" s="114" t="s">
        <v>30</v>
      </c>
      <c r="E65" s="114"/>
      <c r="F65" s="114"/>
      <c r="G65" s="114"/>
      <c r="H65" s="114"/>
      <c r="I65" s="27"/>
      <c r="J65" s="27"/>
      <c r="K65" s="27"/>
      <c r="L65" s="27"/>
      <c r="M65" s="27"/>
      <c r="N65" s="27"/>
    </row>
    <row r="66" spans="1:14" ht="15.75" customHeight="1" x14ac:dyDescent="0.3">
      <c r="A66" s="65" t="s">
        <v>87</v>
      </c>
      <c r="B66" s="65"/>
      <c r="C66" s="65"/>
      <c r="D66" s="128" t="str">
        <f ca="1">(IF(G86&gt;95%,"Nothing",IF(G86&gt;0%,"Cement, Aggregate, Steel, etc",IF(G72=0%,"Work not yet Started"))))</f>
        <v>Cement, Aggregate, Steel, etc</v>
      </c>
      <c r="E66" s="128"/>
      <c r="F66" s="128"/>
      <c r="G66" s="128"/>
      <c r="H66" s="128"/>
      <c r="J66" s="26"/>
    </row>
    <row r="67" spans="1:14" ht="33.75" customHeight="1" thickBot="1" x14ac:dyDescent="0.35">
      <c r="A67" s="114" t="s">
        <v>119</v>
      </c>
      <c r="B67" s="114"/>
      <c r="C67" s="114"/>
      <c r="D67" s="128" t="str">
        <f ca="1">(IF(D66="Nothing","Yes",IF(D66="Cement, Aggregate, Steel, etc","Under Construction",IF(D66="Work not yet Started","Work not yet Started"))))</f>
        <v>Under Construction</v>
      </c>
      <c r="E67" s="128"/>
      <c r="F67" s="128" t="str">
        <f ca="1">(IF(D66="Nothing","Yes",IF(D66="Cement, Aggregate, Steel, etc","Under Construction",IF(D66="Work not yet Started","Work not yet Started"))))</f>
        <v>Under Construction</v>
      </c>
      <c r="G67" s="128"/>
      <c r="H67" s="128"/>
    </row>
    <row r="68" spans="1:14" ht="15.75" customHeight="1" x14ac:dyDescent="0.3">
      <c r="A68" s="156" t="s">
        <v>142</v>
      </c>
      <c r="B68" s="156"/>
      <c r="C68" s="156" t="str">
        <f>D57</f>
        <v>Building Type A = Gr. + 1st to 5th Floor</v>
      </c>
      <c r="D68" s="156"/>
      <c r="E68" s="156"/>
      <c r="F68" s="156"/>
      <c r="G68" s="156"/>
      <c r="H68" s="156"/>
      <c r="I68" s="61" t="str">
        <f ca="1">IF(D81=100%,"All work Completed. Possession granted to the Building.",IF(D80=100%,"All work Completed, Waiting for OC",I69&amp;""&amp;I70&amp;""&amp;J69&amp;""&amp;J68&amp;" "&amp;J70))</f>
        <v xml:space="preserve">Excavation, Plinth, RCC Slab, Brickwork Completed </v>
      </c>
      <c r="J68" s="51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/>
      </c>
    </row>
    <row r="69" spans="1:14" x14ac:dyDescent="0.3">
      <c r="A69" s="48" t="s">
        <v>144</v>
      </c>
      <c r="B69" s="48">
        <v>0</v>
      </c>
      <c r="C69" s="48" t="s">
        <v>73</v>
      </c>
      <c r="D69" s="48">
        <v>1</v>
      </c>
      <c r="E69" s="48" t="s">
        <v>72</v>
      </c>
      <c r="F69" s="48">
        <v>0</v>
      </c>
      <c r="G69" s="49" t="s">
        <v>81</v>
      </c>
      <c r="H69" s="48">
        <f ca="1">--TRIM(RIGHT(SUBSTITUTE(LEFT(C68,_xlfn.AGGREGATE(16,6,FIND({0,1,2,3,4,5,6,7,8,9},C68,ROW(INDIRECT("1:"&amp;LEN(C68)))),1))," ",REPT(" ",LEN(C68))),LEN(C68)))</f>
        <v>5</v>
      </c>
      <c r="I69" s="62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</v>
      </c>
      <c r="J69" s="53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x14ac:dyDescent="0.3">
      <c r="A70" s="154" t="s">
        <v>91</v>
      </c>
      <c r="B70" s="155"/>
      <c r="C70" s="157" t="str">
        <f ca="1">I68</f>
        <v xml:space="preserve">Excavation, Plinth, RCC Slab, Brickwork Completed </v>
      </c>
      <c r="D70" s="157"/>
      <c r="E70" s="157"/>
      <c r="F70" s="157"/>
      <c r="G70" s="157"/>
      <c r="H70" s="158"/>
      <c r="I70" s="52" t="str">
        <f ca="1">IF(I69&lt;&gt;""," Completed","")</f>
        <v xml:space="preserve"> Completed</v>
      </c>
      <c r="J70" s="53" t="str">
        <f ca="1">IF(J68&lt;&gt;"","Completed","")</f>
        <v/>
      </c>
    </row>
    <row r="71" spans="1:14" ht="15.75" customHeight="1" x14ac:dyDescent="0.3">
      <c r="A71" s="71" t="s">
        <v>50</v>
      </c>
      <c r="B71" s="72"/>
      <c r="C71" s="44" t="s">
        <v>141</v>
      </c>
      <c r="D71" s="44" t="s">
        <v>84</v>
      </c>
      <c r="E71" s="72" t="s">
        <v>86</v>
      </c>
      <c r="F71" s="72"/>
      <c r="G71" s="72" t="s">
        <v>85</v>
      </c>
      <c r="H71" s="91"/>
      <c r="I71" s="14" t="s">
        <v>143</v>
      </c>
      <c r="J71" s="28">
        <f ca="1">H69*25%</f>
        <v>1.25</v>
      </c>
    </row>
    <row r="72" spans="1:14" x14ac:dyDescent="0.3">
      <c r="A72" s="71" t="s">
        <v>130</v>
      </c>
      <c r="B72" s="72"/>
      <c r="C72" s="44">
        <f ca="1">J73</f>
        <v>5</v>
      </c>
      <c r="D72" s="19">
        <f ca="1">((100/H69)*C72)/100</f>
        <v>1</v>
      </c>
      <c r="E72" s="171">
        <f ca="1">(((C73/H69*10)+(40/(D69+F69+H69)*C74)+(7.5/(H69)*C75)+(7.5/(H69)*C76)+(10/H69*C77)+(10/H69*C78)+(5/H69*C79)+(5/H69*C80)+(5/H69*C81))/100)</f>
        <v>0.57499999999999996</v>
      </c>
      <c r="F72" s="172"/>
      <c r="G72" s="171">
        <f ca="1">((((C72/H69)*20)+((C73/H69)*25)+(30/(H69+F69+D69)*C74)+(5/H69*C75)+(5/H69*C76)+(5/H69*C77)+(5/H69*C78)+(0/H69*C79)+(0/H69*C80)+(5/H69*C81))/100)</f>
        <v>0.8</v>
      </c>
      <c r="H72" s="177"/>
      <c r="I72" s="14" t="s">
        <v>101</v>
      </c>
      <c r="J72" s="29">
        <f ca="1">H69*50%</f>
        <v>2.5</v>
      </c>
    </row>
    <row r="73" spans="1:14" x14ac:dyDescent="0.3">
      <c r="A73" s="71" t="s">
        <v>51</v>
      </c>
      <c r="B73" s="72"/>
      <c r="C73" s="54">
        <f ca="1">J81</f>
        <v>5</v>
      </c>
      <c r="D73" s="19">
        <f ca="1">((100/H69)*C73)/100</f>
        <v>1</v>
      </c>
      <c r="E73" s="173"/>
      <c r="F73" s="174"/>
      <c r="G73" s="173"/>
      <c r="H73" s="178"/>
      <c r="I73" s="14" t="s">
        <v>102</v>
      </c>
      <c r="J73" s="29">
        <f ca="1">H69</f>
        <v>5</v>
      </c>
    </row>
    <row r="74" spans="1:14" ht="15.75" customHeight="1" x14ac:dyDescent="0.3">
      <c r="A74" s="71" t="s">
        <v>131</v>
      </c>
      <c r="B74" s="72"/>
      <c r="C74" s="44">
        <v>6</v>
      </c>
      <c r="D74" s="19">
        <f ca="1">((100/(D69+F69+H69))*C74)/100</f>
        <v>1</v>
      </c>
      <c r="E74" s="173"/>
      <c r="F74" s="174"/>
      <c r="G74" s="173"/>
      <c r="H74" s="178"/>
      <c r="I74" s="14" t="s">
        <v>103</v>
      </c>
      <c r="J74" s="30">
        <f ca="1">(IF(B69&gt;1,(H69/(B69+2)),H69/4))</f>
        <v>1.25</v>
      </c>
    </row>
    <row r="75" spans="1:14" ht="15.75" customHeight="1" x14ac:dyDescent="0.3">
      <c r="A75" s="71" t="s">
        <v>138</v>
      </c>
      <c r="B75" s="72" t="s">
        <v>132</v>
      </c>
      <c r="C75" s="44">
        <v>5</v>
      </c>
      <c r="D75" s="19">
        <f ca="1">((100/H69)*C75)/100</f>
        <v>1</v>
      </c>
      <c r="E75" s="173"/>
      <c r="F75" s="174"/>
      <c r="G75" s="173"/>
      <c r="H75" s="178"/>
      <c r="I75" s="14" t="s">
        <v>104</v>
      </c>
      <c r="J75" s="30">
        <f ca="1">(IF(B69&gt;1,(H69/(B69+2)+J74),H69/4+J74))</f>
        <v>2.5</v>
      </c>
    </row>
    <row r="76" spans="1:14" ht="15.75" customHeight="1" x14ac:dyDescent="0.3">
      <c r="A76" s="71" t="s">
        <v>139</v>
      </c>
      <c r="B76" s="72" t="s">
        <v>132</v>
      </c>
      <c r="C76" s="44">
        <v>0</v>
      </c>
      <c r="D76" s="19">
        <f ca="1">((100/H69)*C76)/100</f>
        <v>0</v>
      </c>
      <c r="E76" s="173"/>
      <c r="F76" s="174"/>
      <c r="G76" s="173"/>
      <c r="H76" s="178"/>
      <c r="I76" s="14" t="s">
        <v>148</v>
      </c>
      <c r="J76" s="30">
        <f>(IF(B69&gt;1,(H69/(B69+2)+J75),0))</f>
        <v>0</v>
      </c>
    </row>
    <row r="77" spans="1:14" ht="15" customHeight="1" x14ac:dyDescent="0.3">
      <c r="A77" s="71" t="s">
        <v>137</v>
      </c>
      <c r="B77" s="72" t="s">
        <v>134</v>
      </c>
      <c r="C77" s="44">
        <v>0</v>
      </c>
      <c r="D77" s="19">
        <f ca="1">((100/(H69))*C77)/100</f>
        <v>0</v>
      </c>
      <c r="E77" s="173"/>
      <c r="F77" s="174"/>
      <c r="G77" s="173"/>
      <c r="H77" s="178"/>
      <c r="I77" s="14" t="s">
        <v>145</v>
      </c>
      <c r="J77" s="30">
        <f>(IF(B69&gt;2,(H69/(B69+2)+J76),0))</f>
        <v>0</v>
      </c>
    </row>
    <row r="78" spans="1:14" ht="15.75" customHeight="1" x14ac:dyDescent="0.3">
      <c r="A78" s="71" t="s">
        <v>133</v>
      </c>
      <c r="B78" s="72" t="s">
        <v>133</v>
      </c>
      <c r="C78" s="44">
        <v>0</v>
      </c>
      <c r="D78" s="19">
        <f ca="1">((100/H69)*C78)/100</f>
        <v>0</v>
      </c>
      <c r="E78" s="173"/>
      <c r="F78" s="174"/>
      <c r="G78" s="173"/>
      <c r="H78" s="178"/>
      <c r="I78" s="14" t="s">
        <v>146</v>
      </c>
      <c r="J78" s="31">
        <f>(IF(B69&gt;3,(H69/(B69+2)+J77),0))</f>
        <v>0</v>
      </c>
    </row>
    <row r="79" spans="1:14" ht="15.75" customHeight="1" x14ac:dyDescent="0.3">
      <c r="A79" s="71" t="s">
        <v>140</v>
      </c>
      <c r="B79" s="72"/>
      <c r="C79" s="44">
        <v>0</v>
      </c>
      <c r="D79" s="19">
        <f ca="1">((100/H69)*C79)/100</f>
        <v>0</v>
      </c>
      <c r="E79" s="173"/>
      <c r="F79" s="174"/>
      <c r="G79" s="173"/>
      <c r="H79" s="178"/>
      <c r="I79" s="14" t="s">
        <v>147</v>
      </c>
      <c r="J79" s="30">
        <f>(IF(B69&gt;4,(H69/(B69+2)+J78),0))</f>
        <v>0</v>
      </c>
    </row>
    <row r="80" spans="1:14" ht="15.75" customHeight="1" x14ac:dyDescent="0.3">
      <c r="A80" s="71" t="s">
        <v>135</v>
      </c>
      <c r="B80" s="72" t="s">
        <v>135</v>
      </c>
      <c r="C80" s="44">
        <v>0</v>
      </c>
      <c r="D80" s="19">
        <f ca="1">((100/(H69))*C80)/100</f>
        <v>0</v>
      </c>
      <c r="E80" s="173"/>
      <c r="F80" s="174"/>
      <c r="G80" s="173"/>
      <c r="H80" s="178"/>
      <c r="I80" s="14" t="s">
        <v>149</v>
      </c>
      <c r="J80" s="30">
        <f ca="1">(IF(B69=1,(H69/(B69+3)+J75),IF(B69=0,(H69/4+J75),IF(B69&gt;1,0))))</f>
        <v>3.75</v>
      </c>
    </row>
    <row r="81" spans="1:10" ht="16.2" thickBot="1" x14ac:dyDescent="0.35">
      <c r="A81" s="92" t="s">
        <v>136</v>
      </c>
      <c r="B81" s="93"/>
      <c r="C81" s="45">
        <v>0</v>
      </c>
      <c r="D81" s="20">
        <f ca="1">((100/(H69))*C81)/100</f>
        <v>0</v>
      </c>
      <c r="E81" s="175"/>
      <c r="F81" s="176"/>
      <c r="G81" s="175"/>
      <c r="H81" s="179"/>
      <c r="I81" s="15" t="s">
        <v>105</v>
      </c>
      <c r="J81" s="32">
        <f ca="1">(IF(B69&gt;1.5,(H69/(B69+2)+J75+MAX(0,J76-J75)+MAX(0,J77-J76)+MAX(0,J78-J77)+MAX(0,J79-J78)+MAX(0,J80-J79)),IF(B69=1,(H69/(B69+3)+J80),IF(B69=0,H69/4+J80))))</f>
        <v>5</v>
      </c>
    </row>
    <row r="82" spans="1:10" ht="15.75" customHeight="1" x14ac:dyDescent="0.3">
      <c r="A82" s="101" t="s">
        <v>142</v>
      </c>
      <c r="B82" s="102"/>
      <c r="C82" s="103" t="str">
        <f>D59</f>
        <v xml:space="preserve">Building Type B = Gr. + 1st to 5th Floor </v>
      </c>
      <c r="D82" s="104"/>
      <c r="E82" s="104"/>
      <c r="F82" s="104"/>
      <c r="G82" s="104"/>
      <c r="H82" s="105"/>
      <c r="I82" s="50" t="str">
        <f ca="1">IF(D95=100%,"All work Completed. Possession granted to the Building.",IF(D94=100%,"All work Completed, Waiting for OC",I83&amp;""&amp;I84&amp;""&amp;J83&amp;""&amp;J82&amp;" "&amp;J84))</f>
        <v>Excavation, Plinth, RCC Slab, Brickwork, Internal Plaster, External Plaster, Flooring, Painting Completed, Finishing upto 2 Floor Completed</v>
      </c>
      <c r="J82" s="51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Finishing upto 2 Floor</v>
      </c>
    </row>
    <row r="83" spans="1:10" x14ac:dyDescent="0.3">
      <c r="A83" s="16" t="s">
        <v>144</v>
      </c>
      <c r="B83" s="48">
        <f>IF(AND(ISNUMBER(SEARCH("1B",C82))),1,IF(AND(ISNUMBER(SEARCH("2B",C82))),2,IF(AND(ISNUMBER(SEARCH("3B",C82))),3,IF(AND(ISNUMBER(SEARCH("4B",C82))),4,IF(ISNUMBER(SEARCH("5B",C82)),5,0)))))</f>
        <v>0</v>
      </c>
      <c r="C83" s="48" t="s">
        <v>73</v>
      </c>
      <c r="D83" s="48">
        <v>1</v>
      </c>
      <c r="E83" s="48" t="s">
        <v>72</v>
      </c>
      <c r="F83" s="48">
        <v>0</v>
      </c>
      <c r="G83" s="49" t="s">
        <v>81</v>
      </c>
      <c r="H83" s="17">
        <f ca="1">--TRIM(RIGHT(SUBSTITUTE(LEFT(C82,_xlfn.AGGREGATE(16,6,FIND({0,1,2,3,4,5,6,7,8,9},C82,ROW(INDIRECT("1:"&amp;LEN(C82)))),1))," ",REPT(" ",LEN(C82))),LEN(C82)))</f>
        <v>5</v>
      </c>
      <c r="I83" s="52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Slab, Brickwork, Internal Plaster, External Plaster, Flooring, Painting</v>
      </c>
      <c r="J83" s="53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34.200000000000003" customHeight="1" x14ac:dyDescent="0.3">
      <c r="A84" s="154" t="s">
        <v>91</v>
      </c>
      <c r="B84" s="155"/>
      <c r="C84" s="157" t="str">
        <f ca="1">(IF($G$52="NA",I82,"All work Completed. OC Received."))</f>
        <v>Excavation, Plinth, RCC Slab, Brickwork, Internal Plaster, External Plaster, Flooring, Painting Completed, Finishing upto 2 Floor Completed</v>
      </c>
      <c r="D84" s="157"/>
      <c r="E84" s="157"/>
      <c r="F84" s="157"/>
      <c r="G84" s="157"/>
      <c r="H84" s="158"/>
      <c r="I84" s="52" t="str">
        <f ca="1">IF(I83&lt;&gt;""," Completed","")</f>
        <v xml:space="preserve"> Completed</v>
      </c>
      <c r="J84" s="53" t="str">
        <f ca="1">IF(J82&lt;&gt;"","Completed","")</f>
        <v>Completed</v>
      </c>
    </row>
    <row r="85" spans="1:10" ht="15.75" customHeight="1" x14ac:dyDescent="0.3">
      <c r="A85" s="71" t="s">
        <v>50</v>
      </c>
      <c r="B85" s="72"/>
      <c r="C85" s="44" t="s">
        <v>141</v>
      </c>
      <c r="D85" s="44" t="s">
        <v>84</v>
      </c>
      <c r="E85" s="72" t="s">
        <v>86</v>
      </c>
      <c r="F85" s="72"/>
      <c r="G85" s="72" t="s">
        <v>85</v>
      </c>
      <c r="H85" s="91"/>
      <c r="I85" s="14" t="s">
        <v>143</v>
      </c>
      <c r="J85" s="28">
        <f ca="1">H83*25%</f>
        <v>1.25</v>
      </c>
    </row>
    <row r="86" spans="1:10" x14ac:dyDescent="0.3">
      <c r="A86" s="71" t="s">
        <v>130</v>
      </c>
      <c r="B86" s="72"/>
      <c r="C86" s="44">
        <f ca="1">J87</f>
        <v>5</v>
      </c>
      <c r="D86" s="19">
        <f ca="1">((100/H83)*C86)/100</f>
        <v>1</v>
      </c>
      <c r="E86" s="171">
        <f ca="1">(((C87/H83*10)+(40/(D83+F83+H83)*C88)+(7.5/(H83)*C89)+(7.5/(H83)*C90)+(10/H83*C91)+(10/H83*C92)+(5/H83*C93)+(5/H83*C94)+(5/H83*C95))/100)</f>
        <v>0.92</v>
      </c>
      <c r="F86" s="172"/>
      <c r="G86" s="171">
        <f ca="1">((((C86/H83)*20)+((C87/H83)*25)+(30/(H83+F83+D83)*C88)+(5/H83*C89)+(5/H83*C90)+(5/H83*C91)+(5/H83*C92)+(0/H83*C93)+(0/H83*C94)+(5/H83*C95))/100)</f>
        <v>0.95</v>
      </c>
      <c r="H86" s="177"/>
      <c r="I86" s="14" t="s">
        <v>101</v>
      </c>
      <c r="J86" s="29">
        <f ca="1">H83*50%</f>
        <v>2.5</v>
      </c>
    </row>
    <row r="87" spans="1:10" x14ac:dyDescent="0.3">
      <c r="A87" s="71" t="s">
        <v>51</v>
      </c>
      <c r="B87" s="72"/>
      <c r="C87" s="54">
        <f ca="1">J95</f>
        <v>5</v>
      </c>
      <c r="D87" s="19">
        <f ca="1">((100/H83)*C87)/100</f>
        <v>1</v>
      </c>
      <c r="E87" s="173"/>
      <c r="F87" s="174"/>
      <c r="G87" s="173"/>
      <c r="H87" s="178"/>
      <c r="I87" s="14" t="s">
        <v>102</v>
      </c>
      <c r="J87" s="29">
        <f ca="1">H83</f>
        <v>5</v>
      </c>
    </row>
    <row r="88" spans="1:10" ht="15.75" customHeight="1" x14ac:dyDescent="0.3">
      <c r="A88" s="71" t="s">
        <v>131</v>
      </c>
      <c r="B88" s="72"/>
      <c r="C88" s="44">
        <v>6</v>
      </c>
      <c r="D88" s="19">
        <f ca="1">((100/(D83+F83+H83))*C88)/100</f>
        <v>1</v>
      </c>
      <c r="E88" s="173"/>
      <c r="F88" s="174"/>
      <c r="G88" s="173"/>
      <c r="H88" s="178"/>
      <c r="I88" s="14" t="s">
        <v>103</v>
      </c>
      <c r="J88" s="30">
        <f ca="1">(IF(B83&gt;1,(H83/(B83+2)),H83/4))</f>
        <v>1.25</v>
      </c>
    </row>
    <row r="89" spans="1:10" ht="15.75" customHeight="1" x14ac:dyDescent="0.3">
      <c r="A89" s="71" t="s">
        <v>138</v>
      </c>
      <c r="B89" s="72" t="s">
        <v>132</v>
      </c>
      <c r="C89" s="44">
        <v>5</v>
      </c>
      <c r="D89" s="19">
        <f ca="1">((100/H83)*C89)/100</f>
        <v>1</v>
      </c>
      <c r="E89" s="173"/>
      <c r="F89" s="174"/>
      <c r="G89" s="173"/>
      <c r="H89" s="178"/>
      <c r="I89" s="14" t="s">
        <v>104</v>
      </c>
      <c r="J89" s="30">
        <f ca="1">(IF(B83&gt;1,(H83/(B83+2)+J88),H83/4+J88))</f>
        <v>2.5</v>
      </c>
    </row>
    <row r="90" spans="1:10" ht="15.75" customHeight="1" x14ac:dyDescent="0.3">
      <c r="A90" s="71" t="s">
        <v>139</v>
      </c>
      <c r="B90" s="72" t="s">
        <v>132</v>
      </c>
      <c r="C90" s="44">
        <v>5</v>
      </c>
      <c r="D90" s="19">
        <f ca="1">((100/H83)*C90)/100</f>
        <v>1</v>
      </c>
      <c r="E90" s="173"/>
      <c r="F90" s="174"/>
      <c r="G90" s="173"/>
      <c r="H90" s="178"/>
      <c r="I90" s="14" t="s">
        <v>148</v>
      </c>
      <c r="J90" s="30">
        <f>(IF(B83&gt;1,(H83/(B83+2)+J89),0))</f>
        <v>0</v>
      </c>
    </row>
    <row r="91" spans="1:10" ht="15" customHeight="1" x14ac:dyDescent="0.3">
      <c r="A91" s="71" t="s">
        <v>137</v>
      </c>
      <c r="B91" s="72" t="s">
        <v>134</v>
      </c>
      <c r="C91" s="44">
        <v>5</v>
      </c>
      <c r="D91" s="19">
        <f ca="1">((100/(H83))*C91)/100</f>
        <v>1</v>
      </c>
      <c r="E91" s="173"/>
      <c r="F91" s="174"/>
      <c r="G91" s="173"/>
      <c r="H91" s="178"/>
      <c r="I91" s="14" t="s">
        <v>145</v>
      </c>
      <c r="J91" s="30">
        <f>(IF(B83&gt;2,(H83/(B83+2)+J90),0))</f>
        <v>0</v>
      </c>
    </row>
    <row r="92" spans="1:10" ht="15.75" customHeight="1" x14ac:dyDescent="0.3">
      <c r="A92" s="71" t="s">
        <v>133</v>
      </c>
      <c r="B92" s="72" t="s">
        <v>133</v>
      </c>
      <c r="C92" s="44">
        <v>5</v>
      </c>
      <c r="D92" s="19">
        <f ca="1">((100/H83)*C92)/100</f>
        <v>1</v>
      </c>
      <c r="E92" s="173"/>
      <c r="F92" s="174"/>
      <c r="G92" s="173"/>
      <c r="H92" s="178"/>
      <c r="I92" s="14" t="s">
        <v>146</v>
      </c>
      <c r="J92" s="31">
        <f>(IF(B83&gt;3,(H83/(B83+2)+J91),0))</f>
        <v>0</v>
      </c>
    </row>
    <row r="93" spans="1:10" ht="15.75" customHeight="1" x14ac:dyDescent="0.3">
      <c r="A93" s="71" t="s">
        <v>140</v>
      </c>
      <c r="B93" s="72"/>
      <c r="C93" s="44">
        <v>5</v>
      </c>
      <c r="D93" s="19">
        <f ca="1">((100/H83)*C93)/100</f>
        <v>1</v>
      </c>
      <c r="E93" s="173"/>
      <c r="F93" s="174"/>
      <c r="G93" s="173"/>
      <c r="H93" s="178"/>
      <c r="I93" s="14" t="s">
        <v>147</v>
      </c>
      <c r="J93" s="30">
        <f>(IF(B83&gt;4,(H83/(B83+2)+J92),0))</f>
        <v>0</v>
      </c>
    </row>
    <row r="94" spans="1:10" ht="15.75" customHeight="1" x14ac:dyDescent="0.3">
      <c r="A94" s="71" t="s">
        <v>135</v>
      </c>
      <c r="B94" s="72" t="s">
        <v>135</v>
      </c>
      <c r="C94" s="44">
        <v>2</v>
      </c>
      <c r="D94" s="19">
        <f ca="1">((100/(H83))*C94)/100</f>
        <v>0.4</v>
      </c>
      <c r="E94" s="173"/>
      <c r="F94" s="174"/>
      <c r="G94" s="173"/>
      <c r="H94" s="178"/>
      <c r="I94" s="14" t="s">
        <v>149</v>
      </c>
      <c r="J94" s="30">
        <f ca="1">(IF(B83=1,(H83/(B83+3)+J89),IF(B83=0,(H83/4+J89),IF(B83&gt;1,0))))</f>
        <v>3.75</v>
      </c>
    </row>
    <row r="95" spans="1:10" ht="16.2" thickBot="1" x14ac:dyDescent="0.35">
      <c r="A95" s="92" t="s">
        <v>136</v>
      </c>
      <c r="B95" s="93"/>
      <c r="C95" s="45">
        <v>0</v>
      </c>
      <c r="D95" s="20">
        <f ca="1">((100/(H83))*C95)/100</f>
        <v>0</v>
      </c>
      <c r="E95" s="175"/>
      <c r="F95" s="176"/>
      <c r="G95" s="175"/>
      <c r="H95" s="179"/>
      <c r="I95" s="15" t="s">
        <v>105</v>
      </c>
      <c r="J95" s="32">
        <f ca="1">(IF(B83&gt;1.5,(H83/(B83+2)+J89+MAX(0,J90-J89)+MAX(0,J91-J90)+MAX(0,J92-J91)+MAX(0,J93-J92)+MAX(0,J94-J93)),IF(B83=1,(H83/(B83+3)+J94),IF(B83=0,H83/4+J94))))</f>
        <v>5</v>
      </c>
    </row>
    <row r="96" spans="1:10" ht="15.75" customHeight="1" x14ac:dyDescent="0.3">
      <c r="A96" s="101" t="s">
        <v>142</v>
      </c>
      <c r="B96" s="102"/>
      <c r="C96" s="103" t="str">
        <f>D60</f>
        <v>Building Type C = Gr/Stilt + 1st to 5th Floor</v>
      </c>
      <c r="D96" s="104"/>
      <c r="E96" s="104"/>
      <c r="F96" s="104"/>
      <c r="G96" s="104"/>
      <c r="H96" s="105"/>
      <c r="I96" s="50" t="str">
        <f ca="1">IF(D109=100%,"All work Completed. Possession granted to the Building.",IF(D108=100%,"All work Completed, Waiting for OC",I97&amp;""&amp;I98&amp;""&amp;J97&amp;""&amp;J96&amp;" "&amp;J98))</f>
        <v xml:space="preserve">Excavation, Plinth Completed </v>
      </c>
      <c r="J96" s="51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/>
      </c>
    </row>
    <row r="97" spans="1:10" x14ac:dyDescent="0.3">
      <c r="A97" s="16" t="s">
        <v>144</v>
      </c>
      <c r="B97" s="48">
        <v>0</v>
      </c>
      <c r="C97" s="48" t="s">
        <v>73</v>
      </c>
      <c r="D97" s="48">
        <v>1</v>
      </c>
      <c r="E97" s="48" t="s">
        <v>72</v>
      </c>
      <c r="F97" s="48">
        <v>0</v>
      </c>
      <c r="G97" s="49" t="s">
        <v>81</v>
      </c>
      <c r="H97" s="17">
        <f ca="1">--TRIM(RIGHT(SUBSTITUTE(LEFT(C96,_xlfn.AGGREGATE(16,6,FIND({0,1,2,3,4,5,6,7,8,9},C96,ROW(INDIRECT("1:"&amp;LEN(C96)))),1))," ",REPT(" ",LEN(C96))),LEN(C96)))</f>
        <v>5</v>
      </c>
      <c r="I97" s="52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</v>
      </c>
      <c r="J97" s="53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x14ac:dyDescent="0.3">
      <c r="A98" s="155" t="s">
        <v>91</v>
      </c>
      <c r="B98" s="155"/>
      <c r="C98" s="157" t="str">
        <f ca="1">(IF($G$52="NA",I96,"All work Completed. OC Received."))</f>
        <v xml:space="preserve">Excavation, Plinth Completed </v>
      </c>
      <c r="D98" s="157"/>
      <c r="E98" s="157"/>
      <c r="F98" s="157"/>
      <c r="G98" s="157"/>
      <c r="H98" s="157"/>
      <c r="I98" s="62" t="str">
        <f ca="1">IF(I97&lt;&gt;""," Completed","")</f>
        <v xml:space="preserve"> Completed</v>
      </c>
      <c r="J98" s="53" t="str">
        <f ca="1">IF(J96&lt;&gt;"","Completed","")</f>
        <v/>
      </c>
    </row>
    <row r="99" spans="1:10" ht="15.75" customHeight="1" x14ac:dyDescent="0.3">
      <c r="A99" s="72" t="s">
        <v>50</v>
      </c>
      <c r="B99" s="72"/>
      <c r="C99" s="44" t="s">
        <v>141</v>
      </c>
      <c r="D99" s="44" t="s">
        <v>84</v>
      </c>
      <c r="E99" s="72" t="s">
        <v>86</v>
      </c>
      <c r="F99" s="72"/>
      <c r="G99" s="72" t="s">
        <v>85</v>
      </c>
      <c r="H99" s="72"/>
      <c r="I99" s="14" t="s">
        <v>143</v>
      </c>
      <c r="J99" s="28">
        <f ca="1">H97*25%</f>
        <v>1.25</v>
      </c>
    </row>
    <row r="100" spans="1:10" x14ac:dyDescent="0.3">
      <c r="A100" s="72" t="s">
        <v>130</v>
      </c>
      <c r="B100" s="72"/>
      <c r="C100" s="44">
        <f ca="1">J101</f>
        <v>5</v>
      </c>
      <c r="D100" s="19">
        <f ca="1">((100/H97)*C100)/100</f>
        <v>1</v>
      </c>
      <c r="E100" s="169">
        <f ca="1">(((C101/H97*10)+(40/(D97+F97+H97)*C102)+(7.5/(H97)*C103)+(7.5/(H97)*C104)+(10/H97*C105)+(10/H97*C106)+(5/H97*C107)+(5/H97*C108)+(5/H97*C109))/100)</f>
        <v>0.1</v>
      </c>
      <c r="F100" s="169"/>
      <c r="G100" s="169">
        <f ca="1">((((C100/H97)*20)+((C101/H97)*25)+(30/(H97+F97+D97)*C102)+(5/H97*C103)+(5/H97*C104)+(5/H97*C105)+(5/H97*C106)+(0/H97*C107)+(0/H97*C108)+(5/H97*C109))/100)</f>
        <v>0.45</v>
      </c>
      <c r="H100" s="169"/>
      <c r="I100" s="14" t="s">
        <v>101</v>
      </c>
      <c r="J100" s="29">
        <f ca="1">H97*50%</f>
        <v>2.5</v>
      </c>
    </row>
    <row r="101" spans="1:10" x14ac:dyDescent="0.3">
      <c r="A101" s="72" t="s">
        <v>51</v>
      </c>
      <c r="B101" s="72"/>
      <c r="C101" s="54">
        <f ca="1">J109</f>
        <v>5</v>
      </c>
      <c r="D101" s="19">
        <f ca="1">((100/H97)*C101)/100</f>
        <v>1</v>
      </c>
      <c r="E101" s="169"/>
      <c r="F101" s="169"/>
      <c r="G101" s="169"/>
      <c r="H101" s="169"/>
      <c r="I101" s="14" t="s">
        <v>102</v>
      </c>
      <c r="J101" s="29">
        <f ca="1">H97</f>
        <v>5</v>
      </c>
    </row>
    <row r="102" spans="1:10" ht="15.75" customHeight="1" x14ac:dyDescent="0.3">
      <c r="A102" s="72" t="s">
        <v>131</v>
      </c>
      <c r="B102" s="72"/>
      <c r="C102" s="44">
        <v>0</v>
      </c>
      <c r="D102" s="19">
        <f ca="1">((100/(D97+F97+H97))*C102)/100</f>
        <v>0</v>
      </c>
      <c r="E102" s="169"/>
      <c r="F102" s="169"/>
      <c r="G102" s="169"/>
      <c r="H102" s="169"/>
      <c r="I102" s="14" t="s">
        <v>103</v>
      </c>
      <c r="J102" s="30">
        <f ca="1">(IF(B97&gt;1,(H97/(B97+2)),H97/4))</f>
        <v>1.25</v>
      </c>
    </row>
    <row r="103" spans="1:10" ht="15.75" customHeight="1" x14ac:dyDescent="0.3">
      <c r="A103" s="72" t="s">
        <v>138</v>
      </c>
      <c r="B103" s="72" t="s">
        <v>132</v>
      </c>
      <c r="C103" s="44">
        <v>0</v>
      </c>
      <c r="D103" s="19">
        <f ca="1">((100/H97)*C103)/100</f>
        <v>0</v>
      </c>
      <c r="E103" s="169"/>
      <c r="F103" s="169"/>
      <c r="G103" s="169"/>
      <c r="H103" s="169"/>
      <c r="I103" s="14" t="s">
        <v>104</v>
      </c>
      <c r="J103" s="30">
        <f ca="1">(IF(B97&gt;1,(H97/(B97+2)+J102),H97/4+J102))</f>
        <v>2.5</v>
      </c>
    </row>
    <row r="104" spans="1:10" ht="15.75" customHeight="1" x14ac:dyDescent="0.3">
      <c r="A104" s="72" t="s">
        <v>139</v>
      </c>
      <c r="B104" s="72" t="s">
        <v>132</v>
      </c>
      <c r="C104" s="44">
        <v>0</v>
      </c>
      <c r="D104" s="19">
        <f ca="1">((100/H97)*C104)/100</f>
        <v>0</v>
      </c>
      <c r="E104" s="169"/>
      <c r="F104" s="169"/>
      <c r="G104" s="169"/>
      <c r="H104" s="169"/>
      <c r="I104" s="14" t="s">
        <v>148</v>
      </c>
      <c r="J104" s="30">
        <f>(IF(B97&gt;1,(H97/(B97+2)+J103),0))</f>
        <v>0</v>
      </c>
    </row>
    <row r="105" spans="1:10" ht="15" customHeight="1" x14ac:dyDescent="0.3">
      <c r="A105" s="72" t="s">
        <v>137</v>
      </c>
      <c r="B105" s="72" t="s">
        <v>134</v>
      </c>
      <c r="C105" s="44">
        <v>0</v>
      </c>
      <c r="D105" s="19">
        <f ca="1">((100/(H97))*C105)/100</f>
        <v>0</v>
      </c>
      <c r="E105" s="169"/>
      <c r="F105" s="169"/>
      <c r="G105" s="169"/>
      <c r="H105" s="169"/>
      <c r="I105" s="14" t="s">
        <v>145</v>
      </c>
      <c r="J105" s="30">
        <f>(IF(B97&gt;2,(H97/(B97+2)+J104),0))</f>
        <v>0</v>
      </c>
    </row>
    <row r="106" spans="1:10" ht="15.75" customHeight="1" x14ac:dyDescent="0.3">
      <c r="A106" s="72" t="s">
        <v>133</v>
      </c>
      <c r="B106" s="72" t="s">
        <v>133</v>
      </c>
      <c r="C106" s="44">
        <v>0</v>
      </c>
      <c r="D106" s="19">
        <f ca="1">((100/H97)*C106)/100</f>
        <v>0</v>
      </c>
      <c r="E106" s="169"/>
      <c r="F106" s="169"/>
      <c r="G106" s="169"/>
      <c r="H106" s="169"/>
      <c r="I106" s="14" t="s">
        <v>146</v>
      </c>
      <c r="J106" s="31">
        <f>(IF(B97&gt;3,(H97/(B97+2)+J105),0))</f>
        <v>0</v>
      </c>
    </row>
    <row r="107" spans="1:10" ht="15.75" customHeight="1" x14ac:dyDescent="0.3">
      <c r="A107" s="72" t="s">
        <v>140</v>
      </c>
      <c r="B107" s="72"/>
      <c r="C107" s="44">
        <v>0</v>
      </c>
      <c r="D107" s="19">
        <f ca="1">((100/H97)*C107)/100</f>
        <v>0</v>
      </c>
      <c r="E107" s="169"/>
      <c r="F107" s="169"/>
      <c r="G107" s="169"/>
      <c r="H107" s="169"/>
      <c r="I107" s="14" t="s">
        <v>147</v>
      </c>
      <c r="J107" s="30">
        <f>(IF(B97&gt;4,(H97/(B97+2)+J106),0))</f>
        <v>0</v>
      </c>
    </row>
    <row r="108" spans="1:10" ht="15.75" customHeight="1" x14ac:dyDescent="0.3">
      <c r="A108" s="72" t="s">
        <v>135</v>
      </c>
      <c r="B108" s="72" t="s">
        <v>135</v>
      </c>
      <c r="C108" s="44">
        <v>0</v>
      </c>
      <c r="D108" s="19">
        <f ca="1">((100/(H97))*C108)/100</f>
        <v>0</v>
      </c>
      <c r="E108" s="169"/>
      <c r="F108" s="169"/>
      <c r="G108" s="169"/>
      <c r="H108" s="169"/>
      <c r="I108" s="14" t="s">
        <v>149</v>
      </c>
      <c r="J108" s="30">
        <f ca="1">(IF(B97=1,(H97/(B97+3)+J103),IF(B97=0,(H97/4+J103),IF(B97&gt;1,0))))</f>
        <v>3.75</v>
      </c>
    </row>
    <row r="109" spans="1:10" ht="16.2" thickBot="1" x14ac:dyDescent="0.35">
      <c r="A109" s="72" t="s">
        <v>136</v>
      </c>
      <c r="B109" s="72"/>
      <c r="C109" s="44">
        <v>0</v>
      </c>
      <c r="D109" s="19">
        <f ca="1">((100/(H97))*C109)/100</f>
        <v>0</v>
      </c>
      <c r="E109" s="169"/>
      <c r="F109" s="169"/>
      <c r="G109" s="169"/>
      <c r="H109" s="169"/>
      <c r="I109" s="15" t="s">
        <v>105</v>
      </c>
      <c r="J109" s="32">
        <f ca="1">(IF(B97&gt;1.5,(H97/(B97+2)+J103+MAX(0,J104-J103)+MAX(0,J105-J104)+MAX(0,J106-J105)+MAX(0,J107-J106)+MAX(0,J108-J107)),IF(B97=1,(H97/(B97+3)+J108),IF(B97=0,H97/4+J108))))</f>
        <v>5</v>
      </c>
    </row>
    <row r="110" spans="1:10" x14ac:dyDescent="0.3">
      <c r="A110" s="144" t="s">
        <v>158</v>
      </c>
      <c r="B110" s="144"/>
      <c r="C110" s="144"/>
      <c r="D110" s="144"/>
      <c r="E110" s="144"/>
      <c r="F110" s="136" t="s">
        <v>163</v>
      </c>
      <c r="G110" s="136"/>
      <c r="H110" s="136"/>
    </row>
    <row r="111" spans="1:10" x14ac:dyDescent="0.3">
      <c r="A111" s="65" t="s">
        <v>161</v>
      </c>
      <c r="B111" s="65"/>
      <c r="C111" s="65"/>
      <c r="D111" s="65"/>
      <c r="E111" s="65"/>
      <c r="F111" s="73">
        <v>4500</v>
      </c>
      <c r="G111" s="73"/>
      <c r="H111" s="73"/>
      <c r="J111" s="21" t="s">
        <v>220</v>
      </c>
    </row>
    <row r="112" spans="1:10" x14ac:dyDescent="0.3">
      <c r="A112" s="65" t="s">
        <v>160</v>
      </c>
      <c r="B112" s="65"/>
      <c r="C112" s="65"/>
      <c r="D112" s="65"/>
      <c r="E112" s="65"/>
      <c r="F112" s="73">
        <v>7000</v>
      </c>
      <c r="G112" s="73"/>
      <c r="H112" s="73"/>
      <c r="J112" s="21" t="s">
        <v>221</v>
      </c>
    </row>
    <row r="113" spans="1:10" hidden="1" x14ac:dyDescent="0.3">
      <c r="A113" s="65" t="s">
        <v>162</v>
      </c>
      <c r="B113" s="65"/>
      <c r="C113" s="65"/>
      <c r="D113" s="65"/>
      <c r="E113" s="65"/>
      <c r="F113" s="189"/>
      <c r="G113" s="189"/>
      <c r="H113" s="189"/>
    </row>
    <row r="114" spans="1:10" s="33" customFormat="1" hidden="1" x14ac:dyDescent="0.25">
      <c r="A114" s="65" t="s">
        <v>159</v>
      </c>
      <c r="B114" s="65"/>
      <c r="C114" s="65"/>
      <c r="D114" s="65"/>
      <c r="E114" s="65"/>
      <c r="F114" s="189"/>
      <c r="G114" s="189"/>
      <c r="H114" s="189"/>
    </row>
    <row r="115" spans="1:10" s="33" customFormat="1" hidden="1" x14ac:dyDescent="0.25">
      <c r="A115" s="65" t="s">
        <v>96</v>
      </c>
      <c r="B115" s="65"/>
      <c r="C115" s="65"/>
      <c r="D115" s="65"/>
      <c r="E115" s="65"/>
      <c r="F115" s="189"/>
      <c r="G115" s="189"/>
      <c r="H115" s="189"/>
    </row>
    <row r="116" spans="1:10" s="33" customFormat="1" x14ac:dyDescent="0.25">
      <c r="A116" s="65" t="s">
        <v>213</v>
      </c>
      <c r="B116" s="65"/>
      <c r="C116" s="65"/>
      <c r="D116" s="65"/>
      <c r="E116" s="65"/>
      <c r="F116" s="73">
        <v>15000</v>
      </c>
      <c r="G116" s="73"/>
      <c r="H116" s="73"/>
      <c r="J116" s="33" t="s">
        <v>222</v>
      </c>
    </row>
    <row r="117" spans="1:10" s="33" customFormat="1" hidden="1" x14ac:dyDescent="0.25">
      <c r="A117" s="65" t="s">
        <v>164</v>
      </c>
      <c r="B117" s="65"/>
      <c r="C117" s="65"/>
      <c r="D117" s="65"/>
      <c r="E117" s="65"/>
      <c r="F117" s="73">
        <v>10000</v>
      </c>
      <c r="G117" s="73"/>
      <c r="H117" s="73"/>
    </row>
    <row r="118" spans="1:10" s="33" customFormat="1" hidden="1" x14ac:dyDescent="0.25">
      <c r="A118" s="65" t="s">
        <v>97</v>
      </c>
      <c r="B118" s="65"/>
      <c r="C118" s="65"/>
      <c r="D118" s="65"/>
      <c r="E118" s="65"/>
      <c r="F118" s="73"/>
      <c r="G118" s="73"/>
      <c r="H118" s="73"/>
    </row>
    <row r="119" spans="1:10" s="33" customFormat="1" hidden="1" x14ac:dyDescent="0.25">
      <c r="A119" s="65" t="s">
        <v>98</v>
      </c>
      <c r="B119" s="65"/>
      <c r="C119" s="65"/>
      <c r="D119" s="65"/>
      <c r="E119" s="65"/>
      <c r="F119" s="73"/>
      <c r="G119" s="73"/>
      <c r="H119" s="73"/>
    </row>
    <row r="120" spans="1:10" s="33" customFormat="1" x14ac:dyDescent="0.25">
      <c r="A120" s="65" t="s">
        <v>99</v>
      </c>
      <c r="B120" s="65"/>
      <c r="C120" s="65"/>
      <c r="D120" s="65"/>
      <c r="E120" s="65"/>
      <c r="F120" s="73">
        <v>150000</v>
      </c>
      <c r="G120" s="73"/>
      <c r="H120" s="73"/>
    </row>
    <row r="121" spans="1:10" s="33" customFormat="1" hidden="1" x14ac:dyDescent="0.25">
      <c r="A121" s="65" t="s">
        <v>100</v>
      </c>
      <c r="B121" s="65"/>
      <c r="C121" s="65"/>
      <c r="D121" s="65"/>
      <c r="E121" s="65"/>
      <c r="F121" s="73"/>
      <c r="G121" s="73"/>
      <c r="H121" s="73"/>
    </row>
    <row r="122" spans="1:10" x14ac:dyDescent="0.3">
      <c r="A122" s="65" t="s">
        <v>52</v>
      </c>
      <c r="B122" s="65"/>
      <c r="C122" s="65"/>
      <c r="D122" s="65"/>
      <c r="E122" s="65"/>
      <c r="F122" s="73">
        <v>100000</v>
      </c>
      <c r="G122" s="73"/>
      <c r="H122" s="73"/>
    </row>
    <row r="123" spans="1:10" s="34" customFormat="1" x14ac:dyDescent="0.3">
      <c r="A123" s="144" t="s">
        <v>53</v>
      </c>
      <c r="B123" s="144"/>
      <c r="C123" s="144"/>
      <c r="D123" s="144"/>
      <c r="E123" s="144"/>
      <c r="F123" s="73">
        <f>F111*0.8</f>
        <v>3600</v>
      </c>
      <c r="G123" s="73"/>
      <c r="H123" s="73"/>
    </row>
    <row r="124" spans="1:10" s="35" customFormat="1" ht="15.75" customHeight="1" x14ac:dyDescent="0.3">
      <c r="A124" s="82" t="s">
        <v>197</v>
      </c>
      <c r="B124" s="82"/>
      <c r="C124" s="82"/>
      <c r="D124" s="82"/>
      <c r="E124" s="82"/>
      <c r="F124" s="82"/>
      <c r="G124" s="82"/>
      <c r="H124" s="82"/>
    </row>
    <row r="125" spans="1:10" s="35" customFormat="1" ht="15.75" customHeight="1" x14ac:dyDescent="0.3">
      <c r="A125" s="68" t="s">
        <v>54</v>
      </c>
      <c r="B125" s="68"/>
      <c r="C125" s="84" t="s">
        <v>79</v>
      </c>
      <c r="D125" s="84"/>
      <c r="E125" s="81" t="s">
        <v>55</v>
      </c>
      <c r="F125" s="81"/>
      <c r="G125" s="68" t="s">
        <v>56</v>
      </c>
      <c r="H125" s="68"/>
    </row>
    <row r="126" spans="1:10" s="35" customFormat="1" x14ac:dyDescent="0.3">
      <c r="A126" s="86" t="s">
        <v>209</v>
      </c>
      <c r="B126" s="86"/>
      <c r="C126" s="87">
        <f>COUNT(D142:D147)</f>
        <v>6</v>
      </c>
      <c r="D126" s="137"/>
      <c r="E126" s="74">
        <f>SUM(D142:D147)</f>
        <v>1142.4909600000001</v>
      </c>
      <c r="F126" s="75"/>
      <c r="G126" s="74">
        <f>SUM(F142:F147)</f>
        <v>1770.8609879999999</v>
      </c>
      <c r="H126" s="75"/>
    </row>
    <row r="127" spans="1:10" s="35" customFormat="1" x14ac:dyDescent="0.3">
      <c r="A127" s="86" t="s">
        <v>210</v>
      </c>
      <c r="B127" s="86"/>
      <c r="C127" s="87">
        <f>COUNT(D150:D157)</f>
        <v>8</v>
      </c>
      <c r="D127" s="137"/>
      <c r="E127" s="74">
        <f>SUM(D150:D157)</f>
        <v>979.95456000000001</v>
      </c>
      <c r="F127" s="75"/>
      <c r="G127" s="74">
        <f>SUM(F150:F157)</f>
        <v>1518.9295679999998</v>
      </c>
      <c r="H127" s="75"/>
    </row>
    <row r="128" spans="1:10" s="35" customFormat="1" x14ac:dyDescent="0.3">
      <c r="A128" s="82" t="s">
        <v>152</v>
      </c>
      <c r="B128" s="82"/>
      <c r="C128" s="83">
        <f t="shared" ref="C128:G128" si="0">SUM(C126:D127)</f>
        <v>14</v>
      </c>
      <c r="D128" s="84"/>
      <c r="E128" s="85">
        <f t="shared" si="0"/>
        <v>2122.4455200000002</v>
      </c>
      <c r="F128" s="81"/>
      <c r="G128" s="68">
        <f t="shared" si="0"/>
        <v>3289.7905559999999</v>
      </c>
      <c r="H128" s="68"/>
    </row>
    <row r="129" spans="1:14" s="35" customFormat="1" x14ac:dyDescent="0.3">
      <c r="A129" s="82" t="s">
        <v>198</v>
      </c>
      <c r="B129" s="82"/>
      <c r="C129" s="82"/>
      <c r="D129" s="82"/>
      <c r="E129" s="82"/>
      <c r="F129" s="82"/>
      <c r="G129" s="82"/>
      <c r="H129" s="82"/>
    </row>
    <row r="130" spans="1:14" s="35" customFormat="1" ht="15.75" customHeight="1" x14ac:dyDescent="0.3">
      <c r="A130" s="68" t="s">
        <v>54</v>
      </c>
      <c r="B130" s="68"/>
      <c r="C130" s="84" t="s">
        <v>79</v>
      </c>
      <c r="D130" s="84"/>
      <c r="E130" s="81" t="s">
        <v>55</v>
      </c>
      <c r="F130" s="81"/>
      <c r="G130" s="68" t="s">
        <v>56</v>
      </c>
      <c r="H130" s="68"/>
    </row>
    <row r="131" spans="1:14" s="35" customFormat="1" x14ac:dyDescent="0.3">
      <c r="A131" s="86" t="s">
        <v>209</v>
      </c>
      <c r="B131" s="86"/>
      <c r="C131" s="87">
        <f>COUNT(D163:D168)*5</f>
        <v>30</v>
      </c>
      <c r="D131" s="87"/>
      <c r="E131" s="74">
        <f>SUM(D163:D168)*5</f>
        <v>12054.603599999999</v>
      </c>
      <c r="F131" s="75"/>
      <c r="G131" s="74">
        <f>SUM(F163:F168)*5</f>
        <v>17479.175220000001</v>
      </c>
      <c r="H131" s="75"/>
    </row>
    <row r="132" spans="1:14" s="35" customFormat="1" x14ac:dyDescent="0.3">
      <c r="A132" s="86" t="s">
        <v>210</v>
      </c>
      <c r="B132" s="86"/>
      <c r="C132" s="87">
        <f>COUNT(D171:D177)*5</f>
        <v>35</v>
      </c>
      <c r="D132" s="87"/>
      <c r="E132" s="74">
        <f>SUM(D171:D177)*5</f>
        <v>15904.348199999997</v>
      </c>
      <c r="F132" s="75"/>
      <c r="G132" s="74">
        <f>SUM(F171:F177)*5</f>
        <v>23061.304889999996</v>
      </c>
      <c r="H132" s="75"/>
    </row>
    <row r="133" spans="1:14" s="35" customFormat="1" x14ac:dyDescent="0.3">
      <c r="A133" s="201" t="s">
        <v>211</v>
      </c>
      <c r="B133" s="202"/>
      <c r="C133" s="203">
        <f>COUNT(D181:D183)*5</f>
        <v>15</v>
      </c>
      <c r="D133" s="204"/>
      <c r="E133" s="205">
        <f>SUM(D181:D183)*5</f>
        <v>6070.3577999999998</v>
      </c>
      <c r="F133" s="206"/>
      <c r="G133" s="205">
        <f>SUM(F181:F183)*5</f>
        <v>8802.0188099999978</v>
      </c>
      <c r="H133" s="206"/>
    </row>
    <row r="134" spans="1:14" s="35" customFormat="1" ht="16.2" thickBot="1" x14ac:dyDescent="0.35">
      <c r="A134" s="208" t="s">
        <v>152</v>
      </c>
      <c r="B134" s="208"/>
      <c r="C134" s="140">
        <f>SUM(C131:C133)</f>
        <v>80</v>
      </c>
      <c r="D134" s="141"/>
      <c r="E134" s="209">
        <f>SUM(E131:E133)</f>
        <v>34029.309599999993</v>
      </c>
      <c r="F134" s="210"/>
      <c r="G134" s="207">
        <f>SUM(G131:G133)</f>
        <v>49342.498919999998</v>
      </c>
      <c r="H134" s="207"/>
    </row>
    <row r="135" spans="1:14" s="35" customFormat="1" ht="16.2" thickBot="1" x14ac:dyDescent="0.35">
      <c r="A135" s="94" t="s">
        <v>170</v>
      </c>
      <c r="B135" s="95"/>
      <c r="C135" s="96">
        <f>C128+C134</f>
        <v>94</v>
      </c>
      <c r="D135" s="96"/>
      <c r="E135" s="97">
        <f>E128+E134</f>
        <v>36151.755119999994</v>
      </c>
      <c r="F135" s="97"/>
      <c r="G135" s="98">
        <f>G128+G134</f>
        <v>52632.289475999998</v>
      </c>
      <c r="H135" s="99"/>
    </row>
    <row r="136" spans="1:14" s="34" customFormat="1" x14ac:dyDescent="0.3">
      <c r="A136" s="135" t="s">
        <v>57</v>
      </c>
      <c r="B136" s="135"/>
      <c r="C136" s="135"/>
      <c r="D136" s="135"/>
      <c r="E136" s="135"/>
      <c r="F136" s="135"/>
      <c r="G136" s="135"/>
      <c r="H136" s="135"/>
    </row>
    <row r="137" spans="1:14" x14ac:dyDescent="0.3">
      <c r="A137" s="136" t="s">
        <v>58</v>
      </c>
      <c r="B137" s="136"/>
      <c r="C137" s="136"/>
      <c r="D137" s="136"/>
      <c r="E137" s="136"/>
      <c r="F137" s="136"/>
      <c r="G137" s="136"/>
      <c r="H137" s="136"/>
    </row>
    <row r="138" spans="1:14" ht="47.25" customHeight="1" x14ac:dyDescent="0.3">
      <c r="A138" s="138" t="s">
        <v>121</v>
      </c>
      <c r="B138" s="138" t="s">
        <v>120</v>
      </c>
      <c r="C138" s="138" t="s">
        <v>59</v>
      </c>
      <c r="D138" s="138" t="s">
        <v>60</v>
      </c>
      <c r="E138" s="183" t="s">
        <v>157</v>
      </c>
      <c r="F138" s="43" t="s">
        <v>151</v>
      </c>
      <c r="G138" s="185" t="s">
        <v>62</v>
      </c>
      <c r="H138" s="186"/>
    </row>
    <row r="139" spans="1:14" s="37" customFormat="1" x14ac:dyDescent="0.3">
      <c r="A139" s="139"/>
      <c r="B139" s="139"/>
      <c r="C139" s="139"/>
      <c r="D139" s="139"/>
      <c r="E139" s="184"/>
      <c r="F139" s="13">
        <v>0.55000000000000004</v>
      </c>
      <c r="G139" s="187"/>
      <c r="H139" s="188"/>
    </row>
    <row r="140" spans="1:14" s="37" customFormat="1" x14ac:dyDescent="0.3">
      <c r="A140" s="145" t="s">
        <v>209</v>
      </c>
      <c r="B140" s="146"/>
      <c r="C140" s="146"/>
      <c r="D140" s="146"/>
      <c r="E140" s="146"/>
      <c r="F140" s="146"/>
      <c r="G140" s="146"/>
      <c r="H140" s="147"/>
      <c r="I140" s="56">
        <v>10.763999999999999</v>
      </c>
    </row>
    <row r="141" spans="1:14" s="37" customFormat="1" x14ac:dyDescent="0.3">
      <c r="A141" s="76" t="s">
        <v>190</v>
      </c>
      <c r="B141" s="77"/>
      <c r="C141" s="77"/>
      <c r="D141" s="77"/>
      <c r="E141" s="77"/>
      <c r="F141" s="77"/>
      <c r="G141" s="77"/>
      <c r="H141" s="78"/>
      <c r="J141" s="36"/>
    </row>
    <row r="142" spans="1:14" s="37" customFormat="1" ht="15.75" customHeight="1" x14ac:dyDescent="0.3">
      <c r="A142" s="79">
        <v>1</v>
      </c>
      <c r="B142" s="80"/>
      <c r="C142" s="42" t="s">
        <v>191</v>
      </c>
      <c r="D142" s="56">
        <f>(20.24)*10.764</f>
        <v>217.86335999999997</v>
      </c>
      <c r="E142" s="56">
        <v>0</v>
      </c>
      <c r="F142" s="42">
        <f>(D142+E142)*(($F$139)+1)</f>
        <v>337.68820799999997</v>
      </c>
      <c r="G142" s="191" t="str">
        <f>A141</f>
        <v>Ground Floor For Commercial, Lobby &amp; Parking</v>
      </c>
      <c r="H142" s="192"/>
      <c r="I142" s="36">
        <f>6.76*2.75</f>
        <v>18.59</v>
      </c>
      <c r="L142" s="182"/>
      <c r="M142" s="182"/>
      <c r="N142" s="36"/>
    </row>
    <row r="143" spans="1:14" s="37" customFormat="1" ht="15.75" customHeight="1" x14ac:dyDescent="0.3">
      <c r="A143" s="79">
        <f t="shared" ref="A143:A147" si="1">A142+1</f>
        <v>2</v>
      </c>
      <c r="B143" s="80"/>
      <c r="C143" s="42" t="s">
        <v>191</v>
      </c>
      <c r="D143" s="56">
        <f>(13.88)*10.764</f>
        <v>149.40432000000001</v>
      </c>
      <c r="E143" s="56">
        <v>0</v>
      </c>
      <c r="F143" s="42">
        <f t="shared" ref="F143:F145" si="2">(D143+E143)*(($F$139)+1)</f>
        <v>231.57669600000003</v>
      </c>
      <c r="G143" s="193"/>
      <c r="H143" s="194"/>
      <c r="I143" s="36"/>
      <c r="L143" s="182"/>
      <c r="M143" s="182"/>
      <c r="N143" s="36"/>
    </row>
    <row r="144" spans="1:14" s="37" customFormat="1" ht="15.75" customHeight="1" x14ac:dyDescent="0.3">
      <c r="A144" s="79">
        <f t="shared" si="1"/>
        <v>3</v>
      </c>
      <c r="B144" s="80"/>
      <c r="C144" s="42" t="s">
        <v>191</v>
      </c>
      <c r="D144" s="56">
        <f>(15.15)*10.764</f>
        <v>163.0746</v>
      </c>
      <c r="E144" s="56">
        <v>0</v>
      </c>
      <c r="F144" s="42">
        <f t="shared" si="2"/>
        <v>252.76563000000002</v>
      </c>
      <c r="G144" s="193"/>
      <c r="H144" s="194"/>
      <c r="I144" s="36">
        <f>5.23*2.9</f>
        <v>15.167000000000002</v>
      </c>
      <c r="L144" s="182"/>
      <c r="M144" s="182"/>
      <c r="N144" s="36"/>
    </row>
    <row r="145" spans="1:14" s="37" customFormat="1" ht="15.75" customHeight="1" x14ac:dyDescent="0.3">
      <c r="A145" s="79">
        <f t="shared" si="1"/>
        <v>4</v>
      </c>
      <c r="B145" s="80"/>
      <c r="C145" s="42" t="s">
        <v>191</v>
      </c>
      <c r="D145" s="56">
        <f>(20.82)*10.764</f>
        <v>224.10647999999998</v>
      </c>
      <c r="E145" s="56">
        <v>0</v>
      </c>
      <c r="F145" s="42">
        <f t="shared" si="2"/>
        <v>347.36504399999995</v>
      </c>
      <c r="G145" s="193"/>
      <c r="H145" s="194"/>
      <c r="I145" s="36"/>
      <c r="L145" s="182"/>
      <c r="M145" s="182"/>
      <c r="N145" s="36"/>
    </row>
    <row r="146" spans="1:14" s="37" customFormat="1" ht="15.75" customHeight="1" x14ac:dyDescent="0.3">
      <c r="A146" s="79">
        <f t="shared" si="1"/>
        <v>5</v>
      </c>
      <c r="B146" s="80"/>
      <c r="C146" s="42" t="s">
        <v>191</v>
      </c>
      <c r="D146" s="56">
        <f>(19.67)*10.764</f>
        <v>211.72788</v>
      </c>
      <c r="E146" s="56">
        <v>0</v>
      </c>
      <c r="F146" s="42">
        <f t="shared" ref="F146:F147" si="3">(D146+E146)*(($F$139)+1)</f>
        <v>328.17821400000003</v>
      </c>
      <c r="G146" s="193"/>
      <c r="H146" s="194"/>
      <c r="I146" s="36">
        <f>6.67*2.75</f>
        <v>18.342500000000001</v>
      </c>
      <c r="L146" s="182"/>
      <c r="M146" s="182"/>
      <c r="N146" s="36"/>
    </row>
    <row r="147" spans="1:14" s="37" customFormat="1" ht="15.75" customHeight="1" x14ac:dyDescent="0.3">
      <c r="A147" s="79">
        <f t="shared" si="1"/>
        <v>6</v>
      </c>
      <c r="B147" s="80"/>
      <c r="C147" s="42" t="s">
        <v>191</v>
      </c>
      <c r="D147" s="56">
        <f>(16.38)*10.764</f>
        <v>176.31431999999998</v>
      </c>
      <c r="E147" s="56">
        <v>0</v>
      </c>
      <c r="F147" s="42">
        <f t="shared" si="3"/>
        <v>273.28719599999999</v>
      </c>
      <c r="G147" s="195"/>
      <c r="H147" s="196"/>
      <c r="I147" s="36"/>
      <c r="L147" s="182"/>
      <c r="M147" s="182"/>
      <c r="N147" s="36"/>
    </row>
    <row r="148" spans="1:14" s="37" customFormat="1" x14ac:dyDescent="0.3">
      <c r="A148" s="76" t="s">
        <v>210</v>
      </c>
      <c r="B148" s="77"/>
      <c r="C148" s="77"/>
      <c r="D148" s="77"/>
      <c r="E148" s="77"/>
      <c r="F148" s="77"/>
      <c r="G148" s="77"/>
      <c r="H148" s="78"/>
      <c r="J148" s="36"/>
    </row>
    <row r="149" spans="1:14" s="37" customFormat="1" x14ac:dyDescent="0.3">
      <c r="A149" s="211" t="s">
        <v>192</v>
      </c>
      <c r="B149" s="67"/>
      <c r="C149" s="67"/>
      <c r="D149" s="67"/>
      <c r="E149" s="67"/>
      <c r="F149" s="67"/>
      <c r="G149" s="67"/>
      <c r="H149" s="67"/>
      <c r="I149" s="36"/>
      <c r="N149" s="36"/>
    </row>
    <row r="150" spans="1:14" s="37" customFormat="1" ht="15.75" customHeight="1" x14ac:dyDescent="0.3">
      <c r="A150" s="67">
        <v>1</v>
      </c>
      <c r="B150" s="67"/>
      <c r="C150" s="42" t="s">
        <v>191</v>
      </c>
      <c r="D150" s="56">
        <f>(13.32)*10.764</f>
        <v>143.37647999999999</v>
      </c>
      <c r="E150" s="56">
        <v>0</v>
      </c>
      <c r="F150" s="42">
        <f t="shared" ref="F150:F157" si="4">(D150+E150)*(($F$139)+1)</f>
        <v>222.23354399999999</v>
      </c>
      <c r="G150" s="67" t="str">
        <f>A149</f>
        <v xml:space="preserve"> Ground Floor For Commercial, Lobby &amp; Parking</v>
      </c>
      <c r="H150" s="67"/>
      <c r="I150" s="36">
        <f>4.82*2.75</f>
        <v>13.255000000000001</v>
      </c>
      <c r="L150" s="182"/>
      <c r="M150" s="182"/>
      <c r="N150" s="36"/>
    </row>
    <row r="151" spans="1:14" s="37" customFormat="1" ht="15.75" customHeight="1" x14ac:dyDescent="0.3">
      <c r="A151" s="67">
        <v>2</v>
      </c>
      <c r="B151" s="67"/>
      <c r="C151" s="42" t="s">
        <v>191</v>
      </c>
      <c r="D151" s="56">
        <f>(8.71)*10.764</f>
        <v>93.754440000000002</v>
      </c>
      <c r="E151" s="56">
        <v>0</v>
      </c>
      <c r="F151" s="42">
        <f t="shared" si="4"/>
        <v>145.31938200000002</v>
      </c>
      <c r="G151" s="67"/>
      <c r="H151" s="67"/>
      <c r="I151" s="36">
        <f>3.05*2.85</f>
        <v>8.692499999999999</v>
      </c>
      <c r="L151" s="182"/>
      <c r="M151" s="182"/>
      <c r="N151" s="36"/>
    </row>
    <row r="152" spans="1:14" s="37" customFormat="1" ht="15.75" customHeight="1" x14ac:dyDescent="0.3">
      <c r="A152" s="67">
        <v>3</v>
      </c>
      <c r="B152" s="67"/>
      <c r="C152" s="42" t="s">
        <v>191</v>
      </c>
      <c r="D152" s="56">
        <f>(10.17)*10.764</f>
        <v>109.46987999999999</v>
      </c>
      <c r="E152" s="56">
        <v>0</v>
      </c>
      <c r="F152" s="42">
        <f t="shared" si="4"/>
        <v>169.678314</v>
      </c>
      <c r="G152" s="67"/>
      <c r="H152" s="67"/>
      <c r="I152" s="36"/>
      <c r="L152" s="182"/>
      <c r="M152" s="182"/>
      <c r="N152" s="36"/>
    </row>
    <row r="153" spans="1:14" s="37" customFormat="1" ht="15.75" customHeight="1" x14ac:dyDescent="0.3">
      <c r="A153" s="67">
        <v>4</v>
      </c>
      <c r="B153" s="67"/>
      <c r="C153" s="42" t="s">
        <v>191</v>
      </c>
      <c r="D153" s="56">
        <f>(13.32)*10.764</f>
        <v>143.37647999999999</v>
      </c>
      <c r="E153" s="56">
        <v>0</v>
      </c>
      <c r="F153" s="42">
        <f t="shared" si="4"/>
        <v>222.23354399999999</v>
      </c>
      <c r="G153" s="67"/>
      <c r="H153" s="67"/>
      <c r="I153" s="36"/>
      <c r="L153" s="182"/>
      <c r="M153" s="182"/>
      <c r="N153" s="36"/>
    </row>
    <row r="154" spans="1:14" s="37" customFormat="1" ht="15.75" customHeight="1" x14ac:dyDescent="0.3">
      <c r="A154" s="67">
        <v>5</v>
      </c>
      <c r="B154" s="67"/>
      <c r="C154" s="42" t="s">
        <v>191</v>
      </c>
      <c r="D154" s="56">
        <f>(13.32)*10.764</f>
        <v>143.37647999999999</v>
      </c>
      <c r="E154" s="56">
        <v>0</v>
      </c>
      <c r="F154" s="42">
        <f t="shared" si="4"/>
        <v>222.23354399999999</v>
      </c>
      <c r="G154" s="67"/>
      <c r="H154" s="67"/>
      <c r="I154" s="36"/>
      <c r="L154" s="182"/>
      <c r="M154" s="182"/>
      <c r="N154" s="36"/>
    </row>
    <row r="155" spans="1:14" s="37" customFormat="1" ht="15.75" customHeight="1" x14ac:dyDescent="0.3">
      <c r="A155" s="67">
        <v>6</v>
      </c>
      <c r="B155" s="67"/>
      <c r="C155" s="42" t="s">
        <v>191</v>
      </c>
      <c r="D155" s="56">
        <f>(10.17)*10.764</f>
        <v>109.46987999999999</v>
      </c>
      <c r="E155" s="56">
        <v>0</v>
      </c>
      <c r="F155" s="42">
        <f t="shared" si="4"/>
        <v>169.678314</v>
      </c>
      <c r="G155" s="67"/>
      <c r="H155" s="67"/>
      <c r="I155" s="36"/>
      <c r="L155" s="182"/>
      <c r="M155" s="182"/>
      <c r="N155" s="36"/>
    </row>
    <row r="156" spans="1:14" s="37" customFormat="1" ht="15.75" customHeight="1" x14ac:dyDescent="0.3">
      <c r="A156" s="67">
        <v>7</v>
      </c>
      <c r="B156" s="67"/>
      <c r="C156" s="42" t="s">
        <v>191</v>
      </c>
      <c r="D156" s="56">
        <f>(8.71)*10.764</f>
        <v>93.754440000000002</v>
      </c>
      <c r="E156" s="56">
        <v>0</v>
      </c>
      <c r="F156" s="42">
        <f t="shared" si="4"/>
        <v>145.31938200000002</v>
      </c>
      <c r="G156" s="67"/>
      <c r="H156" s="67"/>
      <c r="I156" s="36"/>
      <c r="L156" s="182"/>
      <c r="M156" s="182"/>
      <c r="N156" s="36"/>
    </row>
    <row r="157" spans="1:14" s="37" customFormat="1" ht="15.75" customHeight="1" x14ac:dyDescent="0.3">
      <c r="A157" s="67">
        <v>8</v>
      </c>
      <c r="B157" s="67"/>
      <c r="C157" s="42" t="s">
        <v>191</v>
      </c>
      <c r="D157" s="56">
        <f>(13.32)*10.764</f>
        <v>143.37647999999999</v>
      </c>
      <c r="E157" s="56">
        <v>0</v>
      </c>
      <c r="F157" s="42">
        <f t="shared" si="4"/>
        <v>222.23354399999999</v>
      </c>
      <c r="G157" s="67"/>
      <c r="H157" s="67"/>
      <c r="I157" s="36"/>
      <c r="L157" s="182"/>
      <c r="M157" s="182"/>
      <c r="N157" s="36"/>
    </row>
    <row r="158" spans="1:14" s="37" customFormat="1" ht="15.75" customHeight="1" x14ac:dyDescent="0.3">
      <c r="A158" s="67"/>
      <c r="B158" s="67"/>
      <c r="C158" s="67"/>
      <c r="D158" s="67"/>
      <c r="E158" s="67"/>
      <c r="F158" s="67"/>
      <c r="G158" s="67"/>
      <c r="H158" s="67"/>
      <c r="I158" s="36"/>
      <c r="N158" s="36"/>
    </row>
    <row r="159" spans="1:14" ht="47.25" customHeight="1" x14ac:dyDescent="0.3">
      <c r="A159" s="69" t="s">
        <v>122</v>
      </c>
      <c r="B159" s="69" t="s">
        <v>123</v>
      </c>
      <c r="C159" s="69" t="s">
        <v>59</v>
      </c>
      <c r="D159" s="69" t="s">
        <v>60</v>
      </c>
      <c r="E159" s="70" t="s">
        <v>61</v>
      </c>
      <c r="F159" s="63" t="s">
        <v>151</v>
      </c>
      <c r="G159" s="69" t="s">
        <v>62</v>
      </c>
      <c r="H159" s="69"/>
      <c r="I159" s="36"/>
    </row>
    <row r="160" spans="1:14" s="37" customFormat="1" x14ac:dyDescent="0.3">
      <c r="A160" s="69"/>
      <c r="B160" s="69"/>
      <c r="C160" s="69"/>
      <c r="D160" s="69"/>
      <c r="E160" s="70"/>
      <c r="F160" s="64">
        <v>0.45</v>
      </c>
      <c r="G160" s="69"/>
      <c r="H160" s="69"/>
      <c r="I160" s="36"/>
    </row>
    <row r="161" spans="1:14" s="37" customFormat="1" x14ac:dyDescent="0.3">
      <c r="A161" s="145" t="s">
        <v>209</v>
      </c>
      <c r="B161" s="146"/>
      <c r="C161" s="146"/>
      <c r="D161" s="146"/>
      <c r="E161" s="146"/>
      <c r="F161" s="146"/>
      <c r="G161" s="146"/>
      <c r="H161" s="147"/>
    </row>
    <row r="162" spans="1:14" s="37" customFormat="1" x14ac:dyDescent="0.3">
      <c r="A162" s="76" t="s">
        <v>193</v>
      </c>
      <c r="B162" s="77"/>
      <c r="C162" s="77"/>
      <c r="D162" s="77"/>
      <c r="E162" s="77"/>
      <c r="F162" s="77"/>
      <c r="G162" s="77"/>
      <c r="H162" s="78"/>
      <c r="J162" s="36"/>
    </row>
    <row r="163" spans="1:14" s="37" customFormat="1" ht="15.75" customHeight="1" x14ac:dyDescent="0.3">
      <c r="A163" s="79">
        <v>1</v>
      </c>
      <c r="B163" s="80"/>
      <c r="C163" s="42" t="s">
        <v>194</v>
      </c>
      <c r="D163" s="56">
        <f>(29.36)*10.764</f>
        <v>316.03103999999996</v>
      </c>
      <c r="E163" s="56">
        <v>0</v>
      </c>
      <c r="F163" s="42">
        <f t="shared" ref="F163:F168" si="5">D163*(($F$160)+1)+(IF(E163&lt;101,E163,IF(E163&lt;201,E163/2,IF(E163&lt;=301,E163/3,E163/4))))</f>
        <v>458.24500799999993</v>
      </c>
      <c r="G163" s="191" t="str">
        <f>A162</f>
        <v>1st, 2nd, 3rd, 4th &amp; 5th Floor For Residential</v>
      </c>
      <c r="H163" s="192"/>
      <c r="I163" s="36">
        <f>3*2.75+1.77*2.35+3*2.75+1.2*2.4+2.2*1.2+1.2*2</f>
        <v>28.579499999999999</v>
      </c>
      <c r="L163" s="60">
        <f>4000*F163</f>
        <v>1832980.0319999997</v>
      </c>
      <c r="M163" s="60"/>
      <c r="N163" s="36"/>
    </row>
    <row r="164" spans="1:14" s="37" customFormat="1" ht="15.75" customHeight="1" x14ac:dyDescent="0.3">
      <c r="A164" s="79">
        <f t="shared" ref="A164:A168" si="6">A163+1</f>
        <v>2</v>
      </c>
      <c r="B164" s="80"/>
      <c r="C164" s="42" t="s">
        <v>194</v>
      </c>
      <c r="D164" s="56">
        <f>(37)*10.764</f>
        <v>398.26799999999997</v>
      </c>
      <c r="E164" s="56">
        <v>0</v>
      </c>
      <c r="F164" s="42">
        <f t="shared" si="5"/>
        <v>577.48859999999991</v>
      </c>
      <c r="G164" s="193"/>
      <c r="H164" s="194"/>
      <c r="I164" s="36">
        <f>4.27*2.75+2.1*2.75+4.31*2.75+2.35*1.2+1*4.5</f>
        <v>36.69</v>
      </c>
      <c r="L164" s="60">
        <f t="shared" ref="L164:L179" si="7">4000*F164</f>
        <v>2309954.3999999994</v>
      </c>
      <c r="M164" s="60"/>
      <c r="N164" s="36"/>
    </row>
    <row r="165" spans="1:14" s="37" customFormat="1" ht="15.75" customHeight="1" x14ac:dyDescent="0.3">
      <c r="A165" s="79">
        <f t="shared" si="6"/>
        <v>3</v>
      </c>
      <c r="B165" s="80"/>
      <c r="C165" s="42" t="s">
        <v>194</v>
      </c>
      <c r="D165" s="56">
        <f>(39.97)*10.764</f>
        <v>430.23707999999993</v>
      </c>
      <c r="E165" s="56">
        <v>0</v>
      </c>
      <c r="F165" s="42">
        <f t="shared" si="5"/>
        <v>623.84376599999985</v>
      </c>
      <c r="G165" s="193"/>
      <c r="H165" s="194"/>
      <c r="I165" s="36"/>
      <c r="L165" s="60">
        <f t="shared" si="7"/>
        <v>2495375.0639999993</v>
      </c>
      <c r="M165" s="60"/>
      <c r="N165" s="36"/>
    </row>
    <row r="166" spans="1:14" s="37" customFormat="1" ht="15.75" customHeight="1" x14ac:dyDescent="0.3">
      <c r="A166" s="79">
        <f t="shared" si="6"/>
        <v>4</v>
      </c>
      <c r="B166" s="80"/>
      <c r="C166" s="42" t="s">
        <v>195</v>
      </c>
      <c r="D166" s="56">
        <f>(50.5)*10.764</f>
        <v>543.58199999999999</v>
      </c>
      <c r="E166" s="56">
        <v>0</v>
      </c>
      <c r="F166" s="42">
        <f t="shared" si="5"/>
        <v>788.19389999999999</v>
      </c>
      <c r="G166" s="193"/>
      <c r="H166" s="194"/>
      <c r="I166" s="36">
        <f>2.75*4.3+2.35*2.3+2.75*4.3+2.75*1+2.75*3.35+2.35*1.1+1.2*2.15+2.5*1.7</f>
        <v>50.432499999999997</v>
      </c>
      <c r="L166" s="60">
        <f t="shared" si="7"/>
        <v>3152775.6</v>
      </c>
      <c r="M166" s="60"/>
      <c r="N166" s="36"/>
    </row>
    <row r="167" spans="1:14" s="37" customFormat="1" ht="15.75" customHeight="1" x14ac:dyDescent="0.3">
      <c r="A167" s="79">
        <f t="shared" si="6"/>
        <v>5</v>
      </c>
      <c r="B167" s="80"/>
      <c r="C167" s="42" t="s">
        <v>194</v>
      </c>
      <c r="D167" s="56">
        <f>(28.15)*10.764</f>
        <v>303.00659999999999</v>
      </c>
      <c r="E167" s="56">
        <v>0</v>
      </c>
      <c r="F167" s="42">
        <f t="shared" si="5"/>
        <v>439.35956999999996</v>
      </c>
      <c r="G167" s="193"/>
      <c r="H167" s="194"/>
      <c r="I167" s="36"/>
      <c r="L167" s="60">
        <f t="shared" si="7"/>
        <v>1757438.2799999998</v>
      </c>
      <c r="M167" s="60"/>
      <c r="N167" s="36"/>
    </row>
    <row r="168" spans="1:14" s="37" customFormat="1" ht="15.75" customHeight="1" x14ac:dyDescent="0.3">
      <c r="A168" s="79">
        <f t="shared" si="6"/>
        <v>6</v>
      </c>
      <c r="B168" s="80"/>
      <c r="C168" s="42" t="s">
        <v>194</v>
      </c>
      <c r="D168" s="56">
        <f>(39)*10.764</f>
        <v>419.79599999999999</v>
      </c>
      <c r="E168" s="56">
        <v>0</v>
      </c>
      <c r="F168" s="42">
        <f t="shared" si="5"/>
        <v>608.70420000000001</v>
      </c>
      <c r="G168" s="195"/>
      <c r="H168" s="196"/>
      <c r="I168" s="36"/>
      <c r="L168" s="60">
        <f t="shared" si="7"/>
        <v>2434816.8000000003</v>
      </c>
      <c r="M168" s="60"/>
      <c r="N168" s="36"/>
    </row>
    <row r="169" spans="1:14" s="37" customFormat="1" x14ac:dyDescent="0.3">
      <c r="A169" s="145" t="s">
        <v>210</v>
      </c>
      <c r="B169" s="146"/>
      <c r="C169" s="146"/>
      <c r="D169" s="146"/>
      <c r="E169" s="146"/>
      <c r="F169" s="146"/>
      <c r="G169" s="146"/>
      <c r="H169" s="147"/>
      <c r="L169" s="60">
        <f t="shared" si="7"/>
        <v>0</v>
      </c>
    </row>
    <row r="170" spans="1:14" s="37" customFormat="1" x14ac:dyDescent="0.3">
      <c r="A170" s="76" t="s">
        <v>193</v>
      </c>
      <c r="B170" s="77"/>
      <c r="C170" s="77"/>
      <c r="D170" s="77"/>
      <c r="E170" s="77"/>
      <c r="F170" s="77"/>
      <c r="G170" s="77"/>
      <c r="H170" s="78"/>
      <c r="J170" s="36"/>
      <c r="L170" s="60">
        <f t="shared" si="7"/>
        <v>0</v>
      </c>
    </row>
    <row r="171" spans="1:14" s="37" customFormat="1" ht="15.75" customHeight="1" x14ac:dyDescent="0.3">
      <c r="A171" s="67">
        <v>1</v>
      </c>
      <c r="B171" s="67"/>
      <c r="C171" s="42" t="s">
        <v>195</v>
      </c>
      <c r="D171" s="56">
        <f>(47.27)*10.764</f>
        <v>508.81428</v>
      </c>
      <c r="E171" s="56">
        <v>0</v>
      </c>
      <c r="F171" s="42">
        <f t="shared" ref="F171:F172" si="8">D171*(($F$160)+1)+(IF(E171&lt;101,E171,IF(E171&lt;201,E171/2,IF(E171&lt;=301,E171/3,E171/4))))</f>
        <v>737.78070600000001</v>
      </c>
      <c r="G171" s="191" t="str">
        <f>A170</f>
        <v>1st, 2nd, 3rd, 4th &amp; 5th Floor For Residential</v>
      </c>
      <c r="H171" s="192"/>
      <c r="I171" s="36">
        <f>2.75*3.95+1.7*1.4+2.35*2.3+2.75*3.35+2.75*3.45+1.1*2.25+2.25*1.2+1.3*2.1+1.3*1.7</f>
        <v>47.462499999999999</v>
      </c>
      <c r="L171" s="60">
        <f t="shared" si="7"/>
        <v>2951122.824</v>
      </c>
      <c r="N171" s="36"/>
    </row>
    <row r="172" spans="1:14" s="37" customFormat="1" x14ac:dyDescent="0.3">
      <c r="A172" s="67">
        <f t="shared" ref="A172:A177" si="9">A171+1</f>
        <v>2</v>
      </c>
      <c r="B172" s="67"/>
      <c r="C172" s="42" t="s">
        <v>194</v>
      </c>
      <c r="D172" s="56">
        <f>(30.11+5.12)*10.764</f>
        <v>379.21571999999992</v>
      </c>
      <c r="E172" s="56">
        <v>0</v>
      </c>
      <c r="F172" s="42">
        <f t="shared" si="8"/>
        <v>549.86279399999989</v>
      </c>
      <c r="G172" s="193"/>
      <c r="H172" s="194"/>
      <c r="I172" s="58">
        <f>2.75*4+1.95*2.75+2.42*2.4+0.8*2.42+1.1*2.15+1.3*2+2.3*1.4+(3.2*1)</f>
        <v>35.491500000000002</v>
      </c>
      <c r="J172" s="37">
        <f>2.75*4+1.95*2.75+1.1*2.15+2.42*2.4+2.42*0.8+3.2*1+3.3*1.1+1.1*0.6</f>
        <v>33.961499999999994</v>
      </c>
      <c r="L172" s="60">
        <f t="shared" si="7"/>
        <v>2199451.1759999995</v>
      </c>
      <c r="N172" s="36"/>
    </row>
    <row r="173" spans="1:14" s="37" customFormat="1" x14ac:dyDescent="0.3">
      <c r="A173" s="67">
        <f t="shared" si="9"/>
        <v>3</v>
      </c>
      <c r="B173" s="67"/>
      <c r="C173" s="42" t="s">
        <v>194</v>
      </c>
      <c r="D173" s="56">
        <f>(39.7)*10.764</f>
        <v>427.33080000000001</v>
      </c>
      <c r="E173" s="56">
        <v>0</v>
      </c>
      <c r="F173" s="42">
        <f>D173*(($F$160)+1)+(IF(E173&lt;101,E173,IF(E173&lt;201,E173/2,IF(E173&lt;=301,E173/3,E173/4))))</f>
        <v>619.62965999999994</v>
      </c>
      <c r="G173" s="193"/>
      <c r="H173" s="194"/>
      <c r="I173" s="36">
        <f>2.75*4+2.1*2.75+2.48*4+1*1.2+1.1*2.15+2.3*1.1+1*2.7+1.4*1.7</f>
        <v>37.870000000000005</v>
      </c>
      <c r="J173" s="37">
        <v>39.700000000000003</v>
      </c>
      <c r="K173" s="59">
        <f>J173-I173</f>
        <v>1.8299999999999983</v>
      </c>
      <c r="L173" s="60">
        <f t="shared" si="7"/>
        <v>2478518.6399999997</v>
      </c>
      <c r="N173" s="36"/>
    </row>
    <row r="174" spans="1:14" s="37" customFormat="1" x14ac:dyDescent="0.3">
      <c r="A174" s="67">
        <f t="shared" si="9"/>
        <v>4</v>
      </c>
      <c r="B174" s="67"/>
      <c r="C174" s="42" t="s">
        <v>195</v>
      </c>
      <c r="D174" s="56">
        <f>(48.33)*10.764</f>
        <v>520.22411999999997</v>
      </c>
      <c r="E174" s="56">
        <v>0</v>
      </c>
      <c r="F174" s="42">
        <f>D174*(($F$160)+1)+(IF(E174&lt;101,E174,IF(E174&lt;201,E174/2,IF(E174&lt;=301,E174/3,E174/4))))</f>
        <v>754.32497399999988</v>
      </c>
      <c r="G174" s="193"/>
      <c r="H174" s="194"/>
      <c r="I174" s="36"/>
      <c r="J174" s="37">
        <f>4.7*2.75+2.75*2.1+2.75*2.85+3.34*2.75+1.2*2.75+1.2*2.1+0.5*2.1+5.3*1</f>
        <v>47.892499999999991</v>
      </c>
      <c r="L174" s="60">
        <f t="shared" si="7"/>
        <v>3017299.8959999997</v>
      </c>
      <c r="N174" s="36"/>
    </row>
    <row r="175" spans="1:14" s="37" customFormat="1" x14ac:dyDescent="0.3">
      <c r="A175" s="67">
        <f t="shared" si="9"/>
        <v>5</v>
      </c>
      <c r="B175" s="67"/>
      <c r="C175" s="42" t="s">
        <v>195</v>
      </c>
      <c r="D175" s="56">
        <f>(48.33)*10.764</f>
        <v>520.22411999999997</v>
      </c>
      <c r="E175" s="56">
        <v>0</v>
      </c>
      <c r="F175" s="42">
        <f>D175*(($F$160)+1)+(IF(E175&lt;101,E175,IF(E175&lt;201,E175/2,IF(E175&lt;=301,E175/3,E175/4))))</f>
        <v>754.32497399999988</v>
      </c>
      <c r="G175" s="193"/>
      <c r="H175" s="194"/>
      <c r="I175" s="36"/>
      <c r="L175" s="60">
        <f t="shared" si="7"/>
        <v>3017299.8959999997</v>
      </c>
      <c r="N175" s="36"/>
    </row>
    <row r="176" spans="1:14" s="37" customFormat="1" x14ac:dyDescent="0.3">
      <c r="A176" s="67">
        <f t="shared" si="9"/>
        <v>6</v>
      </c>
      <c r="B176" s="67"/>
      <c r="C176" s="42" t="s">
        <v>194</v>
      </c>
      <c r="D176" s="56">
        <f>(36.73)*10.764</f>
        <v>395.36171999999993</v>
      </c>
      <c r="E176" s="56">
        <v>0</v>
      </c>
      <c r="F176" s="42">
        <f>D176*(($F$160)+1)+(IF(E176&lt;101,E176,IF(E176&lt;201,E176/2,IF(E176&lt;=301,E176/3,E176/4))))</f>
        <v>573.27449399999989</v>
      </c>
      <c r="G176" s="193"/>
      <c r="H176" s="194"/>
      <c r="I176" s="36"/>
      <c r="L176" s="60">
        <f t="shared" si="7"/>
        <v>2293097.9759999998</v>
      </c>
      <c r="N176" s="36"/>
    </row>
    <row r="177" spans="1:14" s="37" customFormat="1" x14ac:dyDescent="0.3">
      <c r="A177" s="67">
        <f t="shared" si="9"/>
        <v>7</v>
      </c>
      <c r="B177" s="67"/>
      <c r="C177" s="42" t="s">
        <v>194</v>
      </c>
      <c r="D177" s="56">
        <f>(39.92)*10.764</f>
        <v>429.69887999999997</v>
      </c>
      <c r="E177" s="56">
        <v>0</v>
      </c>
      <c r="F177" s="42">
        <f>D177*(($F$160)+1)+(IF(E177&lt;101,E177,IF(E177&lt;201,E177/2,IF(E177&lt;=301,E177/3,E177/4))))</f>
        <v>623.06337599999995</v>
      </c>
      <c r="G177" s="195"/>
      <c r="H177" s="196"/>
      <c r="I177" s="36"/>
      <c r="J177" s="37">
        <f>2.75*4.05+1.5*1.1+1.1*2.05+2.1*2.75+4.4*2.75+2.1*1.7+1*(1.9+1.1)</f>
        <v>39.487500000000004</v>
      </c>
      <c r="L177" s="60">
        <f t="shared" si="7"/>
        <v>2492253.5039999997</v>
      </c>
      <c r="N177" s="36"/>
    </row>
    <row r="178" spans="1:14" s="37" customFormat="1" x14ac:dyDescent="0.3">
      <c r="A178" s="145" t="s">
        <v>211</v>
      </c>
      <c r="B178" s="146"/>
      <c r="C178" s="146"/>
      <c r="D178" s="146"/>
      <c r="E178" s="146"/>
      <c r="F178" s="146"/>
      <c r="G178" s="146"/>
      <c r="H178" s="147"/>
      <c r="L178" s="60">
        <f t="shared" si="7"/>
        <v>0</v>
      </c>
    </row>
    <row r="179" spans="1:14" s="37" customFormat="1" x14ac:dyDescent="0.3">
      <c r="A179" s="145" t="s">
        <v>196</v>
      </c>
      <c r="B179" s="146"/>
      <c r="C179" s="146"/>
      <c r="D179" s="146"/>
      <c r="E179" s="146"/>
      <c r="F179" s="146"/>
      <c r="G179" s="146"/>
      <c r="H179" s="147"/>
      <c r="L179" s="60">
        <f t="shared" si="7"/>
        <v>0</v>
      </c>
    </row>
    <row r="180" spans="1:14" s="37" customFormat="1" x14ac:dyDescent="0.3">
      <c r="A180" s="76" t="s">
        <v>193</v>
      </c>
      <c r="B180" s="77"/>
      <c r="C180" s="77"/>
      <c r="D180" s="77"/>
      <c r="E180" s="77"/>
      <c r="F180" s="77"/>
      <c r="G180" s="77"/>
      <c r="H180" s="78"/>
      <c r="J180" s="36"/>
    </row>
    <row r="181" spans="1:14" s="37" customFormat="1" ht="15.75" customHeight="1" x14ac:dyDescent="0.3">
      <c r="A181" s="79">
        <v>1</v>
      </c>
      <c r="B181" s="80"/>
      <c r="C181" s="42" t="s">
        <v>194</v>
      </c>
      <c r="D181" s="56">
        <f>(34.97)*10.764</f>
        <v>376.41707999999994</v>
      </c>
      <c r="E181" s="56">
        <v>0</v>
      </c>
      <c r="F181" s="42">
        <f>D181*(($F$160)+1)+(IF(E181&lt;101,E181,IF(E181&lt;201,E181/2,IF(E181&lt;=301,E181/3,E181/4))))</f>
        <v>545.80476599999986</v>
      </c>
      <c r="G181" s="191" t="str">
        <f>A180</f>
        <v>1st, 2nd, 3rd, 4th &amp; 5th Floor For Residential</v>
      </c>
      <c r="H181" s="192"/>
      <c r="I181" s="36">
        <f>2.75*4.55+2.1*2.97+2.75*2.97+1.2*1+2.1*1.1+3.5*1</f>
        <v>33.927</v>
      </c>
    </row>
    <row r="182" spans="1:14" s="37" customFormat="1" ht="15.75" customHeight="1" x14ac:dyDescent="0.3">
      <c r="A182" s="79">
        <v>2</v>
      </c>
      <c r="B182" s="80"/>
      <c r="C182" s="42" t="s">
        <v>194</v>
      </c>
      <c r="D182" s="56">
        <f>(34.97)*10.764</f>
        <v>376.41707999999994</v>
      </c>
      <c r="E182" s="56">
        <v>0</v>
      </c>
      <c r="F182" s="42">
        <f>D182*(($F$160)+1)+(IF(E182&lt;101,E182,IF(E182&lt;201,E182/2,IF(E182&lt;=301,E182/3,E182/4))))</f>
        <v>545.80476599999986</v>
      </c>
      <c r="G182" s="193"/>
      <c r="H182" s="194"/>
      <c r="I182" s="36"/>
    </row>
    <row r="183" spans="1:14" s="37" customFormat="1" ht="15.75" customHeight="1" x14ac:dyDescent="0.3">
      <c r="A183" s="79">
        <v>3</v>
      </c>
      <c r="B183" s="80"/>
      <c r="C183" s="42" t="s">
        <v>195</v>
      </c>
      <c r="D183" s="56">
        <f>(42.85)*10.764</f>
        <v>461.23739999999998</v>
      </c>
      <c r="E183" s="56">
        <v>0</v>
      </c>
      <c r="F183" s="42">
        <f>D183*(($F$160)+1)+(IF(E183&lt;101,E183,IF(E183&lt;201,E183/2,IF(E183&lt;=301,E183/3,E183/4))))</f>
        <v>668.79422999999997</v>
      </c>
      <c r="G183" s="195"/>
      <c r="H183" s="196"/>
      <c r="I183" s="36"/>
    </row>
    <row r="184" spans="1:14" s="35" customFormat="1" x14ac:dyDescent="0.3">
      <c r="A184" s="190" t="s">
        <v>70</v>
      </c>
      <c r="B184" s="190"/>
      <c r="C184" s="190"/>
      <c r="D184" s="190"/>
      <c r="E184" s="190"/>
      <c r="F184" s="190"/>
      <c r="G184" s="190"/>
      <c r="H184" s="190"/>
    </row>
    <row r="185" spans="1:14" s="35" customFormat="1" ht="48.45" customHeight="1" x14ac:dyDescent="0.3">
      <c r="A185" s="47" t="s">
        <v>155</v>
      </c>
      <c r="B185" s="132" t="s">
        <v>228</v>
      </c>
      <c r="C185" s="133"/>
      <c r="D185" s="133"/>
      <c r="E185" s="133"/>
      <c r="F185" s="133"/>
      <c r="G185" s="133"/>
      <c r="H185" s="134"/>
    </row>
    <row r="186" spans="1:14" s="35" customFormat="1" x14ac:dyDescent="0.3">
      <c r="A186" s="47" t="s">
        <v>155</v>
      </c>
      <c r="B186" s="132" t="str">
        <f>(IF(F159="Saleable area Loading :","We have considered Saleable area of Flats as per our Calculation.","We considered Saleable area of Flat as per Builder area Sheet."))</f>
        <v>We have considered Saleable area of Flats as per our Calculation.</v>
      </c>
      <c r="C186" s="133"/>
      <c r="D186" s="133"/>
      <c r="E186" s="133"/>
      <c r="F186" s="133"/>
      <c r="G186" s="133"/>
      <c r="H186" s="134"/>
    </row>
    <row r="187" spans="1:14" s="35" customFormat="1" x14ac:dyDescent="0.3">
      <c r="A187" s="47" t="s">
        <v>155</v>
      </c>
      <c r="B187" s="132" t="str">
        <f>(IF(F138="Saleable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87" s="133"/>
      <c r="D187" s="133"/>
      <c r="E187" s="133"/>
      <c r="F187" s="133"/>
      <c r="G187" s="133"/>
      <c r="H187" s="134"/>
    </row>
    <row r="188" spans="1:14" s="35" customFormat="1" x14ac:dyDescent="0.3">
      <c r="A188" s="47" t="s">
        <v>155</v>
      </c>
      <c r="B188" s="88" t="s">
        <v>125</v>
      </c>
      <c r="C188" s="89"/>
      <c r="D188" s="89"/>
      <c r="E188" s="89"/>
      <c r="F188" s="89"/>
      <c r="G188" s="89"/>
      <c r="H188" s="90"/>
    </row>
    <row r="189" spans="1:14" s="35" customFormat="1" x14ac:dyDescent="0.3">
      <c r="A189" s="47" t="s">
        <v>155</v>
      </c>
      <c r="B189" s="88" t="s">
        <v>214</v>
      </c>
      <c r="C189" s="89"/>
      <c r="D189" s="89"/>
      <c r="E189" s="89"/>
      <c r="F189" s="89"/>
      <c r="G189" s="89"/>
      <c r="H189" s="90"/>
    </row>
    <row r="190" spans="1:14" s="35" customFormat="1" x14ac:dyDescent="0.3">
      <c r="A190" s="47" t="s">
        <v>155</v>
      </c>
      <c r="B190" s="88" t="s">
        <v>154</v>
      </c>
      <c r="C190" s="89"/>
      <c r="D190" s="89"/>
      <c r="E190" s="89"/>
      <c r="F190" s="89"/>
      <c r="G190" s="89"/>
      <c r="H190" s="90"/>
    </row>
    <row r="191" spans="1:14" s="35" customFormat="1" x14ac:dyDescent="0.3">
      <c r="A191" s="47" t="s">
        <v>155</v>
      </c>
      <c r="B191" s="88" t="s">
        <v>126</v>
      </c>
      <c r="C191" s="89"/>
      <c r="D191" s="89"/>
      <c r="E191" s="89"/>
      <c r="F191" s="89"/>
      <c r="G191" s="89"/>
      <c r="H191" s="90"/>
    </row>
    <row r="192" spans="1:14" s="35" customFormat="1" ht="34.5" customHeight="1" x14ac:dyDescent="0.3">
      <c r="A192" s="47" t="s">
        <v>155</v>
      </c>
      <c r="B192" s="88" t="s">
        <v>156</v>
      </c>
      <c r="C192" s="89"/>
      <c r="D192" s="89"/>
      <c r="E192" s="89"/>
      <c r="F192" s="89"/>
      <c r="G192" s="89"/>
      <c r="H192" s="90"/>
    </row>
    <row r="193" spans="1:8" s="35" customFormat="1" x14ac:dyDescent="0.3">
      <c r="A193" s="47" t="s">
        <v>155</v>
      </c>
      <c r="B193" s="88" t="s">
        <v>127</v>
      </c>
      <c r="C193" s="89"/>
      <c r="D193" s="89"/>
      <c r="E193" s="89"/>
      <c r="F193" s="89"/>
      <c r="G193" s="89"/>
      <c r="H193" s="90"/>
    </row>
    <row r="194" spans="1:8" x14ac:dyDescent="0.3">
      <c r="A194" s="127" t="s">
        <v>63</v>
      </c>
      <c r="B194" s="127"/>
      <c r="C194" s="127"/>
      <c r="D194" s="127"/>
      <c r="E194" s="127"/>
      <c r="F194" s="127"/>
      <c r="G194" s="127"/>
      <c r="H194" s="127"/>
    </row>
    <row r="195" spans="1:8" x14ac:dyDescent="0.3">
      <c r="A195" s="65" t="s">
        <v>64</v>
      </c>
      <c r="B195" s="65"/>
      <c r="C195" s="65"/>
      <c r="D195" s="65"/>
      <c r="E195" s="65"/>
      <c r="F195" s="65"/>
      <c r="G195" s="65"/>
      <c r="H195" s="65"/>
    </row>
    <row r="196" spans="1:8" ht="15.75" customHeight="1" x14ac:dyDescent="0.3">
      <c r="A196" s="66" t="s">
        <v>65</v>
      </c>
      <c r="B196" s="66"/>
      <c r="C196" s="66"/>
      <c r="D196" s="66"/>
      <c r="E196" s="66"/>
      <c r="F196" s="66"/>
      <c r="G196" s="66"/>
      <c r="H196" s="66"/>
    </row>
    <row r="197" spans="1:8" x14ac:dyDescent="0.3">
      <c r="A197" s="65" t="s">
        <v>66</v>
      </c>
      <c r="B197" s="65"/>
      <c r="C197" s="65"/>
      <c r="D197" s="65"/>
      <c r="E197" s="65"/>
      <c r="F197" s="65"/>
      <c r="G197" s="65"/>
      <c r="H197" s="65"/>
    </row>
    <row r="198" spans="1:8" x14ac:dyDescent="0.3">
      <c r="A198" s="65" t="s">
        <v>67</v>
      </c>
      <c r="B198" s="65"/>
      <c r="C198" s="65"/>
      <c r="D198" s="65"/>
      <c r="E198" s="65"/>
      <c r="F198" s="65"/>
      <c r="G198" s="65"/>
      <c r="H198" s="65"/>
    </row>
    <row r="199" spans="1:8" x14ac:dyDescent="0.3">
      <c r="A199" s="65" t="s">
        <v>128</v>
      </c>
      <c r="B199" s="65"/>
      <c r="C199" s="65"/>
      <c r="D199" s="65"/>
      <c r="E199" s="65"/>
      <c r="F199" s="65"/>
      <c r="G199" s="65"/>
      <c r="H199" s="65"/>
    </row>
    <row r="200" spans="1:8" x14ac:dyDescent="0.3">
      <c r="A200" s="114" t="s">
        <v>129</v>
      </c>
      <c r="B200" s="114"/>
      <c r="C200" s="114"/>
      <c r="D200" s="114"/>
      <c r="E200" s="114"/>
      <c r="F200" s="114"/>
      <c r="G200" s="114"/>
      <c r="H200" s="114"/>
    </row>
    <row r="201" spans="1:8" x14ac:dyDescent="0.3">
      <c r="A201" s="143" t="s">
        <v>78</v>
      </c>
      <c r="B201" s="143"/>
      <c r="C201" s="143" t="s">
        <v>182</v>
      </c>
      <c r="D201" s="143"/>
      <c r="E201" s="143" t="s">
        <v>107</v>
      </c>
      <c r="F201" s="143"/>
      <c r="G201" s="143" t="s">
        <v>227</v>
      </c>
      <c r="H201" s="143"/>
    </row>
    <row r="202" spans="1:8" x14ac:dyDescent="0.3">
      <c r="A202" s="142" t="s">
        <v>80</v>
      </c>
      <c r="B202" s="142"/>
      <c r="C202" s="142"/>
      <c r="D202" s="142"/>
      <c r="E202" s="142"/>
      <c r="F202" s="142"/>
      <c r="G202" s="142"/>
      <c r="H202" s="142"/>
    </row>
    <row r="203" spans="1:8" x14ac:dyDescent="0.3">
      <c r="A203" s="142"/>
      <c r="B203" s="142"/>
      <c r="C203" s="142"/>
      <c r="D203" s="142"/>
      <c r="E203" s="142"/>
      <c r="F203" s="142"/>
      <c r="G203" s="142"/>
      <c r="H203" s="142"/>
    </row>
    <row r="204" spans="1:8" x14ac:dyDescent="0.3">
      <c r="A204" s="142"/>
      <c r="B204" s="142"/>
      <c r="C204" s="142"/>
      <c r="D204" s="142"/>
      <c r="E204" s="142"/>
      <c r="F204" s="142"/>
      <c r="G204" s="142"/>
      <c r="H204" s="142"/>
    </row>
    <row r="205" spans="1:8" x14ac:dyDescent="0.3">
      <c r="A205" s="142"/>
      <c r="B205" s="142"/>
      <c r="C205" s="142"/>
      <c r="D205" s="142"/>
      <c r="E205" s="142"/>
      <c r="F205" s="142"/>
      <c r="G205" s="142"/>
      <c r="H205" s="142"/>
    </row>
    <row r="206" spans="1:8" x14ac:dyDescent="0.3">
      <c r="A206" s="38" t="s">
        <v>68</v>
      </c>
      <c r="B206" s="39"/>
      <c r="C206" s="39"/>
      <c r="D206" s="38" t="str">
        <f>E8</f>
        <v>Varsha Heights</v>
      </c>
      <c r="F206" s="39"/>
      <c r="G206" s="39"/>
      <c r="H206" s="39"/>
    </row>
    <row r="207" spans="1:8" x14ac:dyDescent="0.3">
      <c r="A207" s="39"/>
      <c r="B207" s="39"/>
      <c r="C207" s="39"/>
      <c r="D207" s="39"/>
      <c r="E207" s="39"/>
      <c r="F207" s="39"/>
      <c r="G207" s="39"/>
      <c r="H207" s="39"/>
    </row>
    <row r="208" spans="1:8" x14ac:dyDescent="0.3">
      <c r="A208" s="39"/>
      <c r="B208" s="39"/>
      <c r="C208" s="39"/>
      <c r="D208" s="39"/>
      <c r="E208" s="39"/>
      <c r="F208" s="39"/>
      <c r="G208" s="39"/>
      <c r="H208" s="39"/>
    </row>
    <row r="209" ht="15" customHeight="1" x14ac:dyDescent="0.3"/>
    <row r="247" spans="1:1" x14ac:dyDescent="0.3">
      <c r="A247" s="41" t="s">
        <v>167</v>
      </c>
    </row>
    <row r="288" spans="1:1" x14ac:dyDescent="0.3">
      <c r="A288" s="41" t="s">
        <v>69</v>
      </c>
    </row>
  </sheetData>
  <mergeCells count="363">
    <mergeCell ref="L153:M153"/>
    <mergeCell ref="A154:B154"/>
    <mergeCell ref="L154:M154"/>
    <mergeCell ref="A155:B155"/>
    <mergeCell ref="L155:M155"/>
    <mergeCell ref="A149:H149"/>
    <mergeCell ref="A168:B168"/>
    <mergeCell ref="A170:H170"/>
    <mergeCell ref="G163:H168"/>
    <mergeCell ref="A156:B156"/>
    <mergeCell ref="L156:M156"/>
    <mergeCell ref="A157:B157"/>
    <mergeCell ref="L157:M157"/>
    <mergeCell ref="A165:B165"/>
    <mergeCell ref="A158:H158"/>
    <mergeCell ref="A161:H161"/>
    <mergeCell ref="A167:B167"/>
    <mergeCell ref="L150:M150"/>
    <mergeCell ref="A151:B151"/>
    <mergeCell ref="L151:M151"/>
    <mergeCell ref="A152:B152"/>
    <mergeCell ref="L152:M152"/>
    <mergeCell ref="A164:B164"/>
    <mergeCell ref="L146:M146"/>
    <mergeCell ref="A147:B147"/>
    <mergeCell ref="L147:M147"/>
    <mergeCell ref="A133:B133"/>
    <mergeCell ref="C133:D133"/>
    <mergeCell ref="E133:F133"/>
    <mergeCell ref="G133:H133"/>
    <mergeCell ref="A121:E121"/>
    <mergeCell ref="G134:H134"/>
    <mergeCell ref="C127:D127"/>
    <mergeCell ref="E127:F127"/>
    <mergeCell ref="G127:H127"/>
    <mergeCell ref="G132:H132"/>
    <mergeCell ref="A134:B134"/>
    <mergeCell ref="E134:F134"/>
    <mergeCell ref="E132:F132"/>
    <mergeCell ref="A38:B38"/>
    <mergeCell ref="C38:H38"/>
    <mergeCell ref="B192:H192"/>
    <mergeCell ref="A47:B47"/>
    <mergeCell ref="C47:H47"/>
    <mergeCell ref="B190:H190"/>
    <mergeCell ref="A101:B101"/>
    <mergeCell ref="A102:B102"/>
    <mergeCell ref="G86:H95"/>
    <mergeCell ref="A87:B87"/>
    <mergeCell ref="A88:B88"/>
    <mergeCell ref="A89:B89"/>
    <mergeCell ref="F112:H112"/>
    <mergeCell ref="A112:E112"/>
    <mergeCell ref="D138:D139"/>
    <mergeCell ref="A144:B144"/>
    <mergeCell ref="A84:B84"/>
    <mergeCell ref="C84:H84"/>
    <mergeCell ref="A140:H140"/>
    <mergeCell ref="A150:B150"/>
    <mergeCell ref="A153:B153"/>
    <mergeCell ref="A176:B176"/>
    <mergeCell ref="G142:H147"/>
    <mergeCell ref="A114:E114"/>
    <mergeCell ref="A85:B85"/>
    <mergeCell ref="E85:F85"/>
    <mergeCell ref="G85:H85"/>
    <mergeCell ref="A116:E116"/>
    <mergeCell ref="F116:H116"/>
    <mergeCell ref="A117:E117"/>
    <mergeCell ref="A119:E119"/>
    <mergeCell ref="F113:H113"/>
    <mergeCell ref="A118:E118"/>
    <mergeCell ref="A103:B103"/>
    <mergeCell ref="A104:B104"/>
    <mergeCell ref="A105:B105"/>
    <mergeCell ref="A107:B107"/>
    <mergeCell ref="A108:B108"/>
    <mergeCell ref="A113:E113"/>
    <mergeCell ref="A110:E110"/>
    <mergeCell ref="F114:H114"/>
    <mergeCell ref="G99:H99"/>
    <mergeCell ref="E99:F99"/>
    <mergeCell ref="A100:B100"/>
    <mergeCell ref="A98:B98"/>
    <mergeCell ref="C98:H98"/>
    <mergeCell ref="A99:B99"/>
    <mergeCell ref="A115:E115"/>
    <mergeCell ref="B189:H189"/>
    <mergeCell ref="A184:H184"/>
    <mergeCell ref="C138:C139"/>
    <mergeCell ref="B159:B160"/>
    <mergeCell ref="A180:H180"/>
    <mergeCell ref="A166:B166"/>
    <mergeCell ref="A163:B163"/>
    <mergeCell ref="A145:B145"/>
    <mergeCell ref="A159:A160"/>
    <mergeCell ref="A175:B175"/>
    <mergeCell ref="A172:B172"/>
    <mergeCell ref="A173:B173"/>
    <mergeCell ref="A178:H178"/>
    <mergeCell ref="A179:H179"/>
    <mergeCell ref="G181:H183"/>
    <mergeCell ref="A177:B177"/>
    <mergeCell ref="G171:H177"/>
    <mergeCell ref="A148:H148"/>
    <mergeCell ref="G150:H157"/>
    <mergeCell ref="A142:B142"/>
    <mergeCell ref="A143:B143"/>
    <mergeCell ref="A146:B146"/>
    <mergeCell ref="C37:H37"/>
    <mergeCell ref="A44:D44"/>
    <mergeCell ref="L145:M145"/>
    <mergeCell ref="L144:M144"/>
    <mergeCell ref="L143:M143"/>
    <mergeCell ref="L142:M142"/>
    <mergeCell ref="A79:B79"/>
    <mergeCell ref="C131:D131"/>
    <mergeCell ref="E131:F131"/>
    <mergeCell ref="G131:H131"/>
    <mergeCell ref="F117:H117"/>
    <mergeCell ref="A111:E111"/>
    <mergeCell ref="A96:B96"/>
    <mergeCell ref="C96:H96"/>
    <mergeCell ref="A141:H141"/>
    <mergeCell ref="E138:E139"/>
    <mergeCell ref="G138:H139"/>
    <mergeCell ref="A86:B86"/>
    <mergeCell ref="E86:F95"/>
    <mergeCell ref="A93:B93"/>
    <mergeCell ref="A94:B94"/>
    <mergeCell ref="E100:F109"/>
    <mergeCell ref="F110:H110"/>
    <mergeCell ref="F115:H115"/>
    <mergeCell ref="A36:H36"/>
    <mergeCell ref="A35:B35"/>
    <mergeCell ref="C35:E35"/>
    <mergeCell ref="G100:H109"/>
    <mergeCell ref="A40:D40"/>
    <mergeCell ref="E40:H40"/>
    <mergeCell ref="F32:H32"/>
    <mergeCell ref="F33:H33"/>
    <mergeCell ref="A39:H39"/>
    <mergeCell ref="A61:C61"/>
    <mergeCell ref="A62:C62"/>
    <mergeCell ref="D61:H61"/>
    <mergeCell ref="E72:F81"/>
    <mergeCell ref="G72:H81"/>
    <mergeCell ref="A80:B80"/>
    <mergeCell ref="A81:B81"/>
    <mergeCell ref="D62:H62"/>
    <mergeCell ref="A42:D42"/>
    <mergeCell ref="E42:H42"/>
    <mergeCell ref="E43:H43"/>
    <mergeCell ref="E44:H44"/>
    <mergeCell ref="E45:H45"/>
    <mergeCell ref="A37:B37"/>
    <mergeCell ref="A43:D43"/>
    <mergeCell ref="F35:H35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45:D45"/>
    <mergeCell ref="A46:H46"/>
    <mergeCell ref="D56:H56"/>
    <mergeCell ref="A56:C56"/>
    <mergeCell ref="G49:H49"/>
    <mergeCell ref="A50:B51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C70:H70"/>
    <mergeCell ref="A73:B73"/>
    <mergeCell ref="A75:B75"/>
    <mergeCell ref="E71:F71"/>
    <mergeCell ref="A64:C64"/>
    <mergeCell ref="D64:H64"/>
    <mergeCell ref="A67:C67"/>
    <mergeCell ref="D67:H67"/>
    <mergeCell ref="A65:C65"/>
    <mergeCell ref="A202:H205"/>
    <mergeCell ref="A201:B201"/>
    <mergeCell ref="E201:F201"/>
    <mergeCell ref="C201:D201"/>
    <mergeCell ref="G201:H201"/>
    <mergeCell ref="A124:H124"/>
    <mergeCell ref="A122:E122"/>
    <mergeCell ref="F122:H122"/>
    <mergeCell ref="A123:E123"/>
    <mergeCell ref="F123:H123"/>
    <mergeCell ref="A169:H169"/>
    <mergeCell ref="A131:B131"/>
    <mergeCell ref="A183:B183"/>
    <mergeCell ref="A126:B126"/>
    <mergeCell ref="A197:H197"/>
    <mergeCell ref="A129:H129"/>
    <mergeCell ref="A200:H200"/>
    <mergeCell ref="A198:H198"/>
    <mergeCell ref="A194:H194"/>
    <mergeCell ref="C130:D130"/>
    <mergeCell ref="G130:H130"/>
    <mergeCell ref="A174:B174"/>
    <mergeCell ref="A195:H195"/>
    <mergeCell ref="E130:F130"/>
    <mergeCell ref="D65:H65"/>
    <mergeCell ref="A66:C66"/>
    <mergeCell ref="D66:H66"/>
    <mergeCell ref="A72:B72"/>
    <mergeCell ref="B193:H193"/>
    <mergeCell ref="B191:H191"/>
    <mergeCell ref="B187:H187"/>
    <mergeCell ref="A136:H136"/>
    <mergeCell ref="B185:H185"/>
    <mergeCell ref="B186:H186"/>
    <mergeCell ref="F118:H118"/>
    <mergeCell ref="C125:D125"/>
    <mergeCell ref="F121:H121"/>
    <mergeCell ref="F119:H119"/>
    <mergeCell ref="A182:B182"/>
    <mergeCell ref="A137:H137"/>
    <mergeCell ref="G125:H125"/>
    <mergeCell ref="A120:E120"/>
    <mergeCell ref="C126:D126"/>
    <mergeCell ref="E126:F126"/>
    <mergeCell ref="B138:B139"/>
    <mergeCell ref="A138:A139"/>
    <mergeCell ref="C159:C160"/>
    <mergeCell ref="C134:D134"/>
    <mergeCell ref="A57:C60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G71:H71"/>
    <mergeCell ref="A95:B95"/>
    <mergeCell ref="A135:B135"/>
    <mergeCell ref="C135:D135"/>
    <mergeCell ref="E135:F135"/>
    <mergeCell ref="G135:H135"/>
    <mergeCell ref="E41:H41"/>
    <mergeCell ref="A41:D41"/>
    <mergeCell ref="A82:B82"/>
    <mergeCell ref="C82:H82"/>
    <mergeCell ref="A77:B77"/>
    <mergeCell ref="D57:H57"/>
    <mergeCell ref="D59:H59"/>
    <mergeCell ref="D60:H60"/>
    <mergeCell ref="A125:B125"/>
    <mergeCell ref="A127:B127"/>
    <mergeCell ref="A109:B109"/>
    <mergeCell ref="A48:B48"/>
    <mergeCell ref="C48:E48"/>
    <mergeCell ref="G48:H48"/>
    <mergeCell ref="G50:H50"/>
    <mergeCell ref="D54:H54"/>
    <mergeCell ref="C50:E50"/>
    <mergeCell ref="D58:H58"/>
    <mergeCell ref="A199:H199"/>
    <mergeCell ref="A196:H196"/>
    <mergeCell ref="A171:B171"/>
    <mergeCell ref="A130:B130"/>
    <mergeCell ref="D159:D160"/>
    <mergeCell ref="E159:E160"/>
    <mergeCell ref="G159:H160"/>
    <mergeCell ref="A90:B90"/>
    <mergeCell ref="A91:B91"/>
    <mergeCell ref="A92:B92"/>
    <mergeCell ref="A106:B106"/>
    <mergeCell ref="F111:H111"/>
    <mergeCell ref="G126:H126"/>
    <mergeCell ref="A162:H162"/>
    <mergeCell ref="A181:B181"/>
    <mergeCell ref="F120:H120"/>
    <mergeCell ref="E125:F125"/>
    <mergeCell ref="A128:B128"/>
    <mergeCell ref="C128:D128"/>
    <mergeCell ref="E128:F128"/>
    <mergeCell ref="G128:H128"/>
    <mergeCell ref="A132:B132"/>
    <mergeCell ref="C132:D132"/>
    <mergeCell ref="B188:H188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7" max="16383" man="1"/>
    <brk id="205" max="16383" man="1"/>
    <brk id="246" max="16383" man="1"/>
    <brk id="287" max="16383" man="1"/>
  </rowBreaks>
  <ignoredErrors>
    <ignoredError sqref="E7" unlockedFormula="1"/>
  </ignoredError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25" zoomScale="85" zoomScaleNormal="85" workbookViewId="0">
      <selection activeCell="L13" sqref="L13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12" t="s">
        <v>108</v>
      </c>
      <c r="C3" s="212"/>
      <c r="D3" s="212"/>
      <c r="E3" s="212"/>
      <c r="F3" s="212"/>
      <c r="G3" s="212"/>
      <c r="H3" s="212"/>
    </row>
    <row r="4" spans="1:9" x14ac:dyDescent="0.3">
      <c r="A4" s="2"/>
      <c r="B4" s="3" t="s">
        <v>109</v>
      </c>
      <c r="C4" s="3" t="s">
        <v>110</v>
      </c>
      <c r="D4" s="3" t="s">
        <v>71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2025-07-13T14:07:14Z</cp:lastPrinted>
  <dcterms:created xsi:type="dcterms:W3CDTF">2019-07-16T09:29:46Z</dcterms:created>
  <dcterms:modified xsi:type="dcterms:W3CDTF">2025-07-13T14:08:27Z</dcterms:modified>
</cp:coreProperties>
</file>