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Rate\"/>
    </mc:Choice>
  </mc:AlternateContent>
  <xr:revisionPtr revIDLastSave="0" documentId="13_ncr:1_{0520E653-DDFD-4EB9-8D06-9D8DDE816AA4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" l="1"/>
  <c r="B199" i="1" l="1"/>
  <c r="E173" i="1"/>
  <c r="D173" i="1"/>
  <c r="E172" i="1"/>
  <c r="D172" i="1"/>
  <c r="E171" i="1"/>
  <c r="D171" i="1"/>
  <c r="E170" i="1"/>
  <c r="D170" i="1"/>
  <c r="E169" i="1"/>
  <c r="D169" i="1"/>
  <c r="F169" i="1" s="1"/>
  <c r="H169" i="1" s="1"/>
  <c r="E168" i="1"/>
  <c r="D168" i="1"/>
  <c r="E167" i="1"/>
  <c r="D167" i="1"/>
  <c r="A167" i="1"/>
  <c r="A168" i="1" s="1"/>
  <c r="A169" i="1" s="1"/>
  <c r="A170" i="1" s="1"/>
  <c r="A171" i="1" s="1"/>
  <c r="A172" i="1" s="1"/>
  <c r="A173" i="1" s="1"/>
  <c r="E166" i="1"/>
  <c r="D166" i="1"/>
  <c r="E163" i="1"/>
  <c r="E162" i="1"/>
  <c r="E159" i="1"/>
  <c r="E158" i="1"/>
  <c r="E164" i="1"/>
  <c r="E161" i="1"/>
  <c r="E160" i="1"/>
  <c r="E157" i="1"/>
  <c r="D164" i="1"/>
  <c r="D163" i="1"/>
  <c r="D162" i="1"/>
  <c r="D161" i="1"/>
  <c r="D160" i="1"/>
  <c r="D159" i="1"/>
  <c r="F159" i="1" s="1"/>
  <c r="H159" i="1" s="1"/>
  <c r="D158" i="1"/>
  <c r="D157" i="1"/>
  <c r="E151" i="1"/>
  <c r="D151" i="1"/>
  <c r="E150" i="1"/>
  <c r="D150" i="1"/>
  <c r="E149" i="1"/>
  <c r="D149" i="1"/>
  <c r="F149" i="1" s="1"/>
  <c r="H149" i="1" s="1"/>
  <c r="E148" i="1"/>
  <c r="D148" i="1"/>
  <c r="E147" i="1"/>
  <c r="D147" i="1"/>
  <c r="E146" i="1"/>
  <c r="D146" i="1"/>
  <c r="E145" i="1"/>
  <c r="D145" i="1"/>
  <c r="F145" i="1" s="1"/>
  <c r="H145" i="1" s="1"/>
  <c r="A145" i="1"/>
  <c r="A146" i="1" s="1"/>
  <c r="A147" i="1" s="1"/>
  <c r="A148" i="1" s="1"/>
  <c r="A149" i="1" s="1"/>
  <c r="A150" i="1" s="1"/>
  <c r="A151" i="1" s="1"/>
  <c r="I144" i="1"/>
  <c r="E144" i="1"/>
  <c r="D144" i="1"/>
  <c r="E136" i="1"/>
  <c r="E137" i="1"/>
  <c r="E138" i="1"/>
  <c r="E139" i="1"/>
  <c r="E140" i="1"/>
  <c r="E141" i="1"/>
  <c r="E142" i="1"/>
  <c r="E135" i="1"/>
  <c r="D138" i="1"/>
  <c r="D139" i="1"/>
  <c r="D140" i="1"/>
  <c r="D137" i="1"/>
  <c r="D136" i="1"/>
  <c r="D141" i="1"/>
  <c r="F141" i="1" s="1"/>
  <c r="H141" i="1" s="1"/>
  <c r="D142" i="1"/>
  <c r="F142" i="1" s="1"/>
  <c r="H142" i="1" s="1"/>
  <c r="D135" i="1"/>
  <c r="I135" i="1"/>
  <c r="A136" i="1"/>
  <c r="A137" i="1" s="1"/>
  <c r="A138" i="1" s="1"/>
  <c r="A139" i="1" s="1"/>
  <c r="A140" i="1" s="1"/>
  <c r="A141" i="1" s="1"/>
  <c r="A142" i="1" s="1"/>
  <c r="A158" i="1"/>
  <c r="A159" i="1" s="1"/>
  <c r="A160" i="1" s="1"/>
  <c r="A161" i="1" s="1"/>
  <c r="A162" i="1" s="1"/>
  <c r="A163" i="1" s="1"/>
  <c r="A164" i="1" s="1"/>
  <c r="F158" i="1" l="1"/>
  <c r="H158" i="1" s="1"/>
  <c r="F168" i="1"/>
  <c r="H168" i="1" s="1"/>
  <c r="F170" i="1"/>
  <c r="H170" i="1" s="1"/>
  <c r="F139" i="1"/>
  <c r="H139" i="1" s="1"/>
  <c r="F164" i="1"/>
  <c r="H164" i="1" s="1"/>
  <c r="F167" i="1"/>
  <c r="H167" i="1" s="1"/>
  <c r="F151" i="1"/>
  <c r="H151" i="1" s="1"/>
  <c r="F163" i="1"/>
  <c r="H163" i="1" s="1"/>
  <c r="F161" i="1"/>
  <c r="H161" i="1" s="1"/>
  <c r="F140" i="1"/>
  <c r="H140" i="1" s="1"/>
  <c r="F138" i="1"/>
  <c r="H138" i="1" s="1"/>
  <c r="F160" i="1"/>
  <c r="H160" i="1" s="1"/>
  <c r="F146" i="1"/>
  <c r="H146" i="1" s="1"/>
  <c r="F150" i="1"/>
  <c r="H150" i="1" s="1"/>
  <c r="C115" i="1"/>
  <c r="F162" i="1"/>
  <c r="H162" i="1" s="1"/>
  <c r="F148" i="1"/>
  <c r="H148" i="1" s="1"/>
  <c r="C116" i="1"/>
  <c r="F144" i="1"/>
  <c r="H144" i="1" s="1"/>
  <c r="F147" i="1"/>
  <c r="H147" i="1" s="1"/>
  <c r="F171" i="1"/>
  <c r="H171" i="1" s="1"/>
  <c r="F173" i="1"/>
  <c r="H173" i="1" s="1"/>
  <c r="F137" i="1"/>
  <c r="H137" i="1" s="1"/>
  <c r="F136" i="1"/>
  <c r="H136" i="1" s="1"/>
  <c r="F157" i="1"/>
  <c r="F166" i="1"/>
  <c r="H166" i="1" s="1"/>
  <c r="F172" i="1"/>
  <c r="H172" i="1" s="1"/>
  <c r="F135" i="1"/>
  <c r="H135" i="1" s="1"/>
  <c r="C80" i="1"/>
  <c r="J91" i="1"/>
  <c r="J90" i="1"/>
  <c r="J89" i="1"/>
  <c r="J88" i="1"/>
  <c r="D54" i="1"/>
  <c r="G115" i="1" l="1"/>
  <c r="H157" i="1"/>
  <c r="G116" i="1" s="1"/>
  <c r="E116" i="1"/>
  <c r="E115" i="1"/>
  <c r="J165" i="1"/>
  <c r="J174" i="1"/>
  <c r="J179" i="1"/>
  <c r="J185" i="1"/>
  <c r="J191" i="1"/>
  <c r="J119" i="1"/>
  <c r="L165" i="1"/>
  <c r="C66" i="1" l="1"/>
  <c r="J173" i="1"/>
  <c r="J172" i="1"/>
  <c r="J171" i="1"/>
  <c r="J170" i="1"/>
  <c r="J169" i="1"/>
  <c r="J168" i="1"/>
  <c r="I167" i="1"/>
  <c r="J167" i="1"/>
  <c r="I166" i="1"/>
  <c r="J166" i="1"/>
  <c r="C117" i="1" l="1"/>
  <c r="L168" i="1"/>
  <c r="L169" i="1"/>
  <c r="L166" i="1"/>
  <c r="K166" i="1"/>
  <c r="L170" i="1"/>
  <c r="K167" i="1"/>
  <c r="L173" i="1"/>
  <c r="L167" i="1"/>
  <c r="I171" i="1"/>
  <c r="L171" i="1"/>
  <c r="L172" i="1"/>
  <c r="I172" i="1"/>
  <c r="C14" i="1"/>
  <c r="E117" i="1" l="1"/>
  <c r="E29" i="1"/>
  <c r="F176" i="1" l="1"/>
  <c r="J176" i="1" s="1"/>
  <c r="F177" i="1"/>
  <c r="J177" i="1" s="1"/>
  <c r="F178" i="1"/>
  <c r="J178" i="1" s="1"/>
  <c r="F175" i="1"/>
  <c r="J175" i="1" s="1"/>
  <c r="A176" i="1"/>
  <c r="A177" i="1" s="1"/>
  <c r="A178" i="1" s="1"/>
  <c r="G175" i="1"/>
  <c r="G176" i="1" s="1"/>
  <c r="G177" i="1" s="1"/>
  <c r="G178" i="1" s="1"/>
  <c r="F107" i="1" l="1"/>
  <c r="F124" i="1" l="1"/>
  <c r="F125" i="1"/>
  <c r="F126" i="1"/>
  <c r="F123" i="1"/>
  <c r="A192" i="1"/>
  <c r="A186" i="1"/>
  <c r="F196" i="1" l="1"/>
  <c r="J196" i="1" s="1"/>
  <c r="F195" i="1"/>
  <c r="J195" i="1" s="1"/>
  <c r="F194" i="1"/>
  <c r="J194" i="1" s="1"/>
  <c r="F193" i="1"/>
  <c r="J193" i="1" s="1"/>
  <c r="F192" i="1"/>
  <c r="J192" i="1" s="1"/>
  <c r="F190" i="1"/>
  <c r="J190" i="1" s="1"/>
  <c r="F189" i="1"/>
  <c r="J189" i="1" s="1"/>
  <c r="F188" i="1"/>
  <c r="J188" i="1" s="1"/>
  <c r="F187" i="1"/>
  <c r="J187" i="1" s="1"/>
  <c r="F186" i="1"/>
  <c r="J186" i="1" s="1"/>
  <c r="F184" i="1"/>
  <c r="J184" i="1" s="1"/>
  <c r="F183" i="1"/>
  <c r="J183" i="1" s="1"/>
  <c r="F181" i="1"/>
  <c r="J181" i="1" s="1"/>
  <c r="F180" i="1"/>
  <c r="J180" i="1" s="1"/>
  <c r="F182" i="1"/>
  <c r="J182" i="1" s="1"/>
  <c r="A187" i="1"/>
  <c r="A193" i="1"/>
  <c r="B200" i="1" l="1"/>
  <c r="A188" i="1"/>
  <c r="A194" i="1"/>
  <c r="G117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1" i="1"/>
  <c r="G192" i="1"/>
  <c r="G193" i="1" s="1"/>
  <c r="G194" i="1" s="1"/>
  <c r="G195" i="1" s="1"/>
  <c r="G196" i="1" s="1"/>
  <c r="G186" i="1"/>
  <c r="G187" i="1" s="1"/>
  <c r="G188" i="1" s="1"/>
  <c r="G189" i="1" s="1"/>
  <c r="G190" i="1" s="1"/>
  <c r="G180" i="1"/>
  <c r="G181" i="1" s="1"/>
  <c r="G182" i="1" s="1"/>
  <c r="G183" i="1" s="1"/>
  <c r="G184" i="1" s="1"/>
  <c r="A180" i="1"/>
  <c r="A181" i="1" s="1"/>
  <c r="A182" i="1" s="1"/>
  <c r="A183" i="1" s="1"/>
  <c r="A184" i="1" s="1"/>
  <c r="A124" i="1"/>
  <c r="A125" i="1" s="1"/>
  <c r="A126" i="1" s="1"/>
  <c r="G123" i="1"/>
  <c r="G124" i="1" s="1"/>
  <c r="G125" i="1" s="1"/>
  <c r="G126" i="1" s="1"/>
  <c r="J77" i="1"/>
  <c r="J76" i="1"/>
  <c r="J75" i="1"/>
  <c r="J74" i="1"/>
  <c r="G49" i="1"/>
  <c r="G50" i="1" s="1"/>
  <c r="C49" i="1"/>
  <c r="C50" i="1" s="1"/>
  <c r="E42" i="1"/>
  <c r="E43" i="1" s="1"/>
  <c r="E26" i="1"/>
  <c r="E24" i="1"/>
  <c r="E7" i="1"/>
  <c r="E3" i="1"/>
  <c r="A189" i="1"/>
  <c r="H67" i="1"/>
  <c r="A195" i="1"/>
  <c r="D60" i="1" l="1"/>
  <c r="D79" i="1"/>
  <c r="D77" i="1"/>
  <c r="D76" i="1"/>
  <c r="D75" i="1"/>
  <c r="D73" i="1"/>
  <c r="J66" i="1"/>
  <c r="D78" i="1"/>
  <c r="D74" i="1"/>
  <c r="J70" i="1"/>
  <c r="J71" i="1"/>
  <c r="J69" i="1"/>
  <c r="J72" i="1"/>
  <c r="J73" i="1" s="1"/>
  <c r="J78" i="1" s="1"/>
  <c r="J79" i="1" s="1"/>
  <c r="A190" i="1"/>
  <c r="A196" i="1"/>
  <c r="D72" i="1" l="1"/>
  <c r="J68" i="1"/>
  <c r="E70" i="1"/>
  <c r="D71" i="1"/>
  <c r="G70" i="1"/>
  <c r="D64" i="1" s="1"/>
  <c r="D65" i="1" s="1"/>
  <c r="D70" i="1"/>
  <c r="H81" i="1"/>
  <c r="D88" i="1" l="1"/>
  <c r="D86" i="1"/>
  <c r="D89" i="1"/>
  <c r="D93" i="1"/>
  <c r="D87" i="1"/>
  <c r="J83" i="1"/>
  <c r="D90" i="1"/>
  <c r="D92" i="1"/>
  <c r="J86" i="1"/>
  <c r="J87" i="1" s="1"/>
  <c r="J92" i="1" s="1"/>
  <c r="J93" i="1" s="1"/>
  <c r="C85" i="1" s="1"/>
  <c r="J80" i="1"/>
  <c r="J82" i="1" s="1"/>
  <c r="D91" i="1"/>
  <c r="J84" i="1"/>
  <c r="J85" i="1"/>
  <c r="C84" i="1" s="1"/>
  <c r="D84" i="1" s="1"/>
  <c r="I67" i="1"/>
  <c r="J67" i="1"/>
  <c r="F65" i="1"/>
  <c r="E84" i="1" l="1"/>
  <c r="D85" i="1"/>
  <c r="I81" i="1" s="1"/>
  <c r="I82" i="1" s="1"/>
  <c r="J81" i="1"/>
  <c r="G84" i="1"/>
  <c r="I68" i="1"/>
  <c r="I66" i="1" s="1"/>
  <c r="I80" i="1" l="1"/>
  <c r="C82" i="1" s="1"/>
  <c r="C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H12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<sst xmlns="http://schemas.openxmlformats.org/spreadsheetml/2006/main" count="361" uniqueCount="244">
  <si>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</si>
  <si>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</si>
  <si>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</si>
  <si>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</si>
  <si>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</si>
  <si>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</si>
  <si>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</si>
  <si>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</si>
  <si>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</si>
  <si>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</si>
  <si>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</si>
  <si>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</si>
  <si>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</si>
  <si>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</si>
  <si>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</si>
  <si>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</si>
  <si>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</si>
  <si>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</si>
  <si>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</si>
  <si>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</si>
  <si>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</si>
  <si>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</si>
  <si>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</si>
  <si>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</si>
  <si>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</si>
  <si>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</si>
  <si>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</si>
  <si>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</si>
  <si>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</si>
  <si>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</si>
  <si>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</si>
  <si>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</si>
  <si>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</si>
  <si>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</si>
  <si>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</si>
  <si>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</si>
  <si>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</si>
  <si>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</si>
  <si>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</si>
  <si>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</si>
  <si>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</si>
  <si>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</si>
  <si>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</si>
  <si>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</si>
  <si>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</si>
  <si>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</si>
  <si>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</si>
  <si>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</si>
  <si>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</si>
  <si>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</si>
  <si>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</si>
  <si>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</si>
  <si>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</si>
  <si>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</si>
  <si>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</si>
  <si>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</si>
  <si>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</si>
  <si>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</si>
  <si>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</si>
  <si>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</si>
  <si>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</si>
  <si>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</si>
  <si>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</si>
  <si>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</si>
  <si>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</si>
  <si>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</si>
  <si>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</si>
  <si>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</si>
  <si>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</si>
  <si>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</si>
  <si>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</si>
  <si>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</si>
  <si>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</si>
  <si>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</si>
  <si>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</si>
  <si>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</si>
  <si>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</si>
  <si>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</si>
  <si>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</si>
  <si>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</si>
  <si>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</si>
  <si>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</si>
  <si>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</si>
  <si>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</si>
  <si>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</si>
  <si>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</si>
  <si>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</si>
  <si>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</si>
  <si>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</si>
  <si>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</si>
  <si>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</si>
  <si>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</si>
  <si>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</si>
  <si>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</si>
  <si>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</si>
  <si>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</si>
  <si>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</si>
  <si>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</si>
  <si>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</si>
  <si>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</si>
  <si>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</si>
  <si>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</si>
  <si>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</si>
  <si>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</si>
  <si>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</si>
  <si>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</si>
  <si>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</si>
  <si>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</si>
  <si>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</si>
  <si>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</si>
  <si>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</si>
  <si>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</si>
  <si>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</si>
  <si>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</si>
  <si>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</si>
  <si>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</si>
  <si>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</si>
  <si>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</si>
  <si>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</si>
  <si>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</si>
  <si>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</si>
  <si>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</si>
  <si>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</si>
  <si>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</si>
  <si>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</si>
  <si>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</si>
  <si>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</si>
  <si>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</si>
  <si>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</si>
  <si>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</si>
  <si>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</si>
  <si>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</si>
  <si>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</si>
  <si>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</si>
  <si>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</si>
  <si>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</si>
  <si>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</si>
  <si>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</si>
  <si>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</si>
  <si>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</si>
  <si>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</si>
  <si>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</si>
  <si>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</si>
  <si>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</si>
  <si>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</si>
  <si>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</si>
  <si>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</si>
  <si>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</si>
  <si>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</si>
  <si>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</si>
  <si>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</si>
  <si>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</si>
  <si>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</si>
  <si>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</si>
  <si>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</si>
  <si>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</si>
  <si>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</si>
  <si>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</si>
  <si>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</si>
  <si>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</si>
  <si>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</si>
  <si>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</si>
  <si>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</si>
  <si>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</si>
  <si>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</si>
  <si>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</si>
  <si>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</si>
  <si>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</si>
  <si>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</si>
  <si>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</si>
  <si>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</si>
  <si>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</si>
  <si>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</si>
  <si>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Axis Badlapur</t>
  </si>
  <si>
    <t xml:space="preserve">M/s. Regency Nirman Ltd
</t>
  </si>
  <si>
    <t xml:space="preserve">Mr. Devendra Parab - 9107171060
</t>
  </si>
  <si>
    <t>Building No. 4</t>
  </si>
  <si>
    <t>Approved Plans, CC.</t>
  </si>
  <si>
    <t>Survey No</t>
  </si>
  <si>
    <t>Golavli</t>
  </si>
  <si>
    <t>Thane</t>
  </si>
  <si>
    <t>Kalyan</t>
  </si>
  <si>
    <t>Sonarpada</t>
  </si>
  <si>
    <t>Regency Anantam Rd.</t>
  </si>
  <si>
    <t>Dombivli East</t>
  </si>
  <si>
    <t>Goyal Villa</t>
  </si>
  <si>
    <t>3.7 KM from Thakurli Railway Station</t>
  </si>
  <si>
    <t>Internal Road</t>
  </si>
  <si>
    <t>Shree Sai Gajanan CHS LTD</t>
  </si>
  <si>
    <t>Open Land</t>
  </si>
  <si>
    <t>https://goo.gl/maps/BVVZkwS5ytK7PJxP8</t>
  </si>
  <si>
    <t>As per RERA - 31/12/2025</t>
  </si>
  <si>
    <t>Ground Floor for Parking</t>
  </si>
  <si>
    <t>1st &amp; 2nd Podium Floor for Parking</t>
  </si>
  <si>
    <t>3rd Podium (Eco Deck) Floor for Parking</t>
  </si>
  <si>
    <t>1st to 3rd, 5th to 7th, 9th to 12th, 14th to 17th, 19th to 22nd, 24th to 27th, 29th &amp; 30th Floor for Residential</t>
  </si>
  <si>
    <t>Kalyan-Dombivli Municipal Corporation (KDMC)</t>
  </si>
  <si>
    <t>Building No. 4 = G/St + 3P + 1st to 30th Floor</t>
  </si>
  <si>
    <t>visitor</t>
  </si>
  <si>
    <t>market</t>
  </si>
  <si>
    <t>7000 to 7500</t>
  </si>
  <si>
    <t>Rushikesh</t>
  </si>
  <si>
    <t>IGR</t>
  </si>
  <si>
    <t>Office No. 1031, Wing J, Akshar Business Park, Plot No. 03 Sector 25, Near APMC Market,
Vashi, Navi Mumbai, Maharashtra 400703 TEL: 022-46090378/79/80                                                                                                     E mail : vsjcapf@gmail.com. Web site : www.vsjadon.com</t>
  </si>
  <si>
    <t>Infrastructure Charges</t>
  </si>
  <si>
    <t>Floor Rise Rate (From 2nd Floor)</t>
  </si>
  <si>
    <t>This found from old sent mail by sachin 17/08/2023</t>
  </si>
  <si>
    <t>Regency Luxuria Phase I &amp; II</t>
  </si>
  <si>
    <t>Phase I - P51700031251
Phase II - P51700053314</t>
  </si>
  <si>
    <t>New S No 52 H No 16(Pt) New S No. 53, New S No 54 H No 1 &amp; 2, New S No 60 H. No 1(pt)/1C, , S No 59 H NO 2B</t>
  </si>
  <si>
    <t>54/1, 54/2, 53, 52/16, 60/1C, 59/2(pt)</t>
  </si>
  <si>
    <t>Latitude,Longitude</t>
  </si>
  <si>
    <t>19.204912,73.115124</t>
  </si>
  <si>
    <t>2 Building</t>
  </si>
  <si>
    <t>KDMC/TPD/BP/27Village/2020-21/16/198</t>
  </si>
  <si>
    <t>Building No. 3 = G/St + 3P + 1st to 30th Floor (24777.37 sqm)
Building No. 4 = G/St + 3P + 1st to 30th Floor (31014.07 sqm)</t>
  </si>
  <si>
    <t>Building No. 3 = G/St + 3P + 1st to 30th Floor
Building No. 4 = G/St + 3P + 1st to 30th Floor</t>
  </si>
  <si>
    <t>Building No. 3 = G/St + 3P + 1st to 30th Floor</t>
  </si>
  <si>
    <t>Building No. 3</t>
  </si>
  <si>
    <t>Flat No. (Sale Plan)</t>
  </si>
  <si>
    <t>Carpet area</t>
  </si>
  <si>
    <t>2BHK</t>
  </si>
  <si>
    <t>Balcony Area + FB Area</t>
  </si>
  <si>
    <t>Building No. 3 (Ruby)</t>
  </si>
  <si>
    <t>Building No. 3 (Ruby)
Building No. 4 (Emerald)</t>
  </si>
  <si>
    <t>Building No. 4 (Emerald)</t>
  </si>
  <si>
    <r>
      <t xml:space="preserve">Flat No.
</t>
    </r>
    <r>
      <rPr>
        <b/>
        <sz val="11"/>
        <rFont val="Times New Roman"/>
        <family val="1"/>
      </rPr>
      <t>(Approved Plan)</t>
    </r>
  </si>
  <si>
    <t>4th, 8th, 13th, 18th, 23rd &amp; 28th Floor ( Part Refuge Area @ Midlanding)</t>
  </si>
  <si>
    <t>3BHK</t>
  </si>
  <si>
    <t>We considered Gross carpet area = Net carpet + Balcony + F.B Area</t>
  </si>
  <si>
    <t>Contact Details (Site Person Name &amp; Contact No.)</t>
  </si>
  <si>
    <t xml:space="preserve">We have updated revised plans &amp; CC of Building No. 3 &amp; 4 (on 30/04/2024).
</t>
  </si>
  <si>
    <t>Flats - 480</t>
  </si>
  <si>
    <t>Layout :</t>
  </si>
  <si>
    <t>Miss. Gita - 9107171060 &amp; 
Miss. Manita - 9107171010.</t>
  </si>
  <si>
    <t>Miss. Arati - 9107171020</t>
  </si>
  <si>
    <t>Building No.3 &amp; 4  = Construction work is in process at the time of Visit.  (Internal photo was not allowed.)</t>
  </si>
  <si>
    <t>Kunal Kadam</t>
  </si>
  <si>
    <t>Krishna Kambali</t>
  </si>
  <si>
    <t>7500 to 8200</t>
  </si>
  <si>
    <t xml:space="preserve">Bhargav </t>
  </si>
  <si>
    <t xml:space="preserve">verbal </t>
  </si>
  <si>
    <t>Building 4 Flat 402</t>
  </si>
  <si>
    <t>Recommended Rates / Other charges of the Property have been revised on 20/06/2024 &amp; 29/08/2025.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</si>
</sst>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7" fillId="0" borderId="0" xfId="1" applyFont="1" applyAlignment="1">
      <alignment vertical="top" wrapText="1"/>
    </xf>
    <xf numFmtId="0" fontId="10" fillId="0" borderId="0" xfId="0" applyFont="1" applyAlignment="1">
      <alignment horizontal="center" vertical="center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1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9" fontId="13" fillId="0" borderId="15" xfId="8" applyFont="1" applyFill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16" xfId="1" applyNumberFormat="1" applyFont="1" applyBorder="1" applyAlignment="1" applyProtection="1">
      <alignment horizontal="center" vertical="top" wrapText="1"/>
      <protection locked="0"/>
    </xf>
    <xf numFmtId="1" fontId="13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1" fontId="13" fillId="0" borderId="15" xfId="1" applyNumberFormat="1" applyFont="1" applyBorder="1" applyAlignment="1" applyProtection="1">
      <alignment horizontal="center" vertical="top" wrapText="1"/>
      <protection locked="0"/>
    </xf>
    <xf numFmtId="1" fontId="29" fillId="0" borderId="2" xfId="1" applyNumberFormat="1" applyFont="1" applyBorder="1" applyAlignment="1" applyProtection="1">
      <alignment horizontal="center" vertical="top" wrapText="1"/>
      <protection locked="0"/>
    </xf>
    <xf numFmtId="1" fontId="29" fillId="0" borderId="15" xfId="1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14" fontId="16" fillId="0" borderId="0" xfId="1" applyNumberFormat="1" applyFont="1"/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512236</xdr:colOff>
      <xdr:row>224</xdr:row>
      <xdr:rowOff>0</xdr:rowOff>
    </xdr:from>
    <xdr:ext cx="1375441" cy="34278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192850" y="29276386"/>
          <a:ext cx="137544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>
              <a:solidFill>
                <a:srgbClr val="FFFF00"/>
              </a:solidFill>
            </a:rPr>
            <a:t>Building No. 4</a:t>
          </a:r>
        </a:p>
      </xdr:txBody>
    </xdr:sp>
    <xdr:clientData/>
  </xdr:oneCellAnchor>
  <xdr:twoCellAnchor>
    <xdr:from>
      <xdr:col>8</xdr:col>
      <xdr:colOff>893742</xdr:colOff>
      <xdr:row>234</xdr:row>
      <xdr:rowOff>153151</xdr:rowOff>
    </xdr:from>
    <xdr:to>
      <xdr:col>10</xdr:col>
      <xdr:colOff>196423</xdr:colOff>
      <xdr:row>236</xdr:row>
      <xdr:rowOff>124918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412155" y="31635347"/>
          <a:ext cx="1224246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3</a:t>
          </a:r>
          <a:r>
            <a:rPr lang="en-US" b="1" baseline="30000">
              <a:solidFill>
                <a:srgbClr val="FF0000"/>
              </a:solidFill>
            </a:rPr>
            <a:t>rd</a:t>
          </a:r>
          <a:r>
            <a:rPr lang="en-US" b="1">
              <a:solidFill>
                <a:srgbClr val="FF0000"/>
              </a:solidFill>
            </a:rPr>
            <a:t> Podium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535860</xdr:colOff>
      <xdr:row>233</xdr:row>
      <xdr:rowOff>171475</xdr:rowOff>
    </xdr:from>
    <xdr:to>
      <xdr:col>10</xdr:col>
      <xdr:colOff>164385</xdr:colOff>
      <xdr:row>235</xdr:row>
      <xdr:rowOff>21560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V="1">
          <a:off x="8213838" y="31454888"/>
          <a:ext cx="390525" cy="24765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59440</xdr:colOff>
      <xdr:row>106</xdr:row>
      <xdr:rowOff>114008</xdr:rowOff>
    </xdr:from>
    <xdr:to>
      <xdr:col>13</xdr:col>
      <xdr:colOff>89200</xdr:colOff>
      <xdr:row>117</xdr:row>
      <xdr:rowOff>181312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4322" y="23063655"/>
          <a:ext cx="4545731" cy="1277540"/>
        </a:xfrm>
        <a:prstGeom prst="rect">
          <a:avLst/>
        </a:prstGeom>
      </xdr:spPr>
    </xdr:pic>
    <xdr:clientData/>
  </xdr:twoCellAnchor>
  <xdr:twoCellAnchor>
    <xdr:from>
      <xdr:col>0</xdr:col>
      <xdr:colOff>493058</xdr:colOff>
      <xdr:row>306</xdr:row>
      <xdr:rowOff>9525</xdr:rowOff>
    </xdr:from>
    <xdr:to>
      <xdr:col>7</xdr:col>
      <xdr:colOff>367425</xdr:colOff>
      <xdr:row>344</xdr:row>
      <xdr:rowOff>101402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93058" y="56222265"/>
          <a:ext cx="5718907" cy="7620437"/>
          <a:chOff x="493058" y="57350025"/>
          <a:chExt cx="6003985" cy="7756701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14375" y="57350025"/>
            <a:ext cx="5541270" cy="345088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493058" y="60948794"/>
            <a:ext cx="6003985" cy="4157932"/>
            <a:chOff x="493058" y="60948794"/>
            <a:chExt cx="6003985" cy="4157932"/>
          </a:xfrm>
        </xdr:grpSpPr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493058" y="60948794"/>
              <a:ext cx="6003985" cy="415793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 rot="20006101">
              <a:off x="1938618" y="63593381"/>
              <a:ext cx="1456765" cy="537882"/>
            </a:xfrm>
            <a:prstGeom prst="rect">
              <a:avLst/>
            </a:prstGeom>
            <a:noFill/>
            <a:ln w="38100" cmpd="sng">
              <a:solidFill>
                <a:srgbClr val="FFFF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IN" sz="1100"/>
            </a:p>
          </xdr:txBody>
        </xdr:sp>
      </xdr:grpSp>
    </xdr:grpSp>
    <xdr:clientData/>
  </xdr:twoCellAnchor>
  <xdr:twoCellAnchor>
    <xdr:from>
      <xdr:col>0</xdr:col>
      <xdr:colOff>537882</xdr:colOff>
      <xdr:row>264</xdr:row>
      <xdr:rowOff>33618</xdr:rowOff>
    </xdr:from>
    <xdr:to>
      <xdr:col>7</xdr:col>
      <xdr:colOff>543829</xdr:colOff>
      <xdr:row>296</xdr:row>
      <xdr:rowOff>59030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/>
      </xdr:nvGrpSpPr>
      <xdr:grpSpPr>
        <a:xfrm>
          <a:off x="537882" y="47925318"/>
          <a:ext cx="5850487" cy="6365252"/>
          <a:chOff x="537882" y="48902471"/>
          <a:chExt cx="6135565" cy="6480000"/>
        </a:xfrm>
      </xdr:grpSpPr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0800000">
            <a:off x="537882" y="48902471"/>
            <a:ext cx="6135565" cy="64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 rot="2435579">
            <a:off x="4586115" y="51196766"/>
            <a:ext cx="683559" cy="2419387"/>
          </a:xfrm>
          <a:prstGeom prst="rect">
            <a:avLst/>
          </a:prstGeom>
          <a:noFill/>
          <a:ln w="38100" cmpd="sng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IN" sz="1100"/>
          </a:p>
        </xdr:txBody>
      </xdr: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>
            <a:stCxn id="9" idx="1"/>
          </xdr:cNvCxnSpPr>
        </xdr:nvCxnSpPr>
        <xdr:spPr>
          <a:xfrm>
            <a:off x="4668364" y="52184070"/>
            <a:ext cx="531165" cy="472371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 rot="18733325">
            <a:off x="4356849" y="51460795"/>
            <a:ext cx="107773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/>
              <a:t>Building No. 3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 rot="18733325">
            <a:off x="4386148" y="53066410"/>
            <a:ext cx="107773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1"/>
              <a:t>Building No. 4</a:t>
            </a:r>
          </a:p>
        </xdr:txBody>
      </xdr:sp>
      <xdr:cxnSp macro="">
        <xdr:nvCxnSpPr>
          <xdr:cNvPr id="34" name="Straight Arrow Connector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CxnSpPr/>
        </xdr:nvCxnSpPr>
        <xdr:spPr>
          <a:xfrm flipH="1" flipV="1">
            <a:off x="5905500" y="49171412"/>
            <a:ext cx="347382" cy="392206"/>
          </a:xfrm>
          <a:prstGeom prst="straightConnector1">
            <a:avLst/>
          </a:prstGeom>
          <a:ln w="38100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5636559" y="48913677"/>
            <a:ext cx="319831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600" b="1"/>
              <a:t>N</a:t>
            </a:r>
          </a:p>
        </xdr:txBody>
      </xdr:sp>
    </xdr:grpSp>
    <xdr:clientData/>
  </xdr:twoCellAnchor>
  <xdr:twoCellAnchor>
    <xdr:from>
      <xdr:col>9</xdr:col>
      <xdr:colOff>466725</xdr:colOff>
      <xdr:row>218</xdr:row>
      <xdr:rowOff>7620</xdr:rowOff>
    </xdr:from>
    <xdr:to>
      <xdr:col>16</xdr:col>
      <xdr:colOff>129069</xdr:colOff>
      <xdr:row>256</xdr:row>
      <xdr:rowOff>5981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CB59F3FA-9845-4191-AF6A-32EE0D021C92}"/>
            </a:ext>
          </a:extLst>
        </xdr:cNvPr>
        <xdr:cNvGrpSpPr/>
      </xdr:nvGrpSpPr>
      <xdr:grpSpPr>
        <a:xfrm>
          <a:off x="8361045" y="38793420"/>
          <a:ext cx="5141124" cy="7519301"/>
          <a:chOff x="1001531" y="537883"/>
          <a:chExt cx="5015394" cy="7589786"/>
        </a:xfrm>
      </xdr:grpSpPr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2585D51A-0BAE-4F5A-BEE7-7E21D8BE6C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1531" y="537883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F11E68E1-6155-4D18-AE92-2EF4A245C0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80984" y="396240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2B18501D-EBB0-48F6-B46E-18FDA5EB46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89456" y="537883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F33BBFE9-919B-4D48-872A-2E19821F77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78754" y="3962400"/>
            <a:ext cx="2877715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ECF9AB91-DA7A-4935-9ECC-89CBB70A7C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24416" y="6327669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DEEC132E-A6B5-44E0-B1F1-FAFCF2F3A9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23606" y="6306917"/>
            <a:ext cx="1354219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C903678B-BD93-4AAE-BC06-10C64A581D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28421" y="630691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624840</xdr:colOff>
      <xdr:row>222</xdr:row>
      <xdr:rowOff>22861</xdr:rowOff>
    </xdr:from>
    <xdr:to>
      <xdr:col>7</xdr:col>
      <xdr:colOff>228600</xdr:colOff>
      <xdr:row>259</xdr:row>
      <xdr:rowOff>137161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CA61620-16CB-262B-E76D-5995E4B90151}"/>
            </a:ext>
          </a:extLst>
        </xdr:cNvPr>
        <xdr:cNvGrpSpPr/>
      </xdr:nvGrpSpPr>
      <xdr:grpSpPr>
        <a:xfrm>
          <a:off x="624840" y="39593521"/>
          <a:ext cx="5448300" cy="7444740"/>
          <a:chOff x="350520" y="39342060"/>
          <a:chExt cx="5948576" cy="8546579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2C78D707-A428-2AF1-1A13-58D1FDAD2106}"/>
              </a:ext>
            </a:extLst>
          </xdr:cNvPr>
          <xdr:cNvGrpSpPr/>
        </xdr:nvGrpSpPr>
        <xdr:grpSpPr>
          <a:xfrm>
            <a:off x="350520" y="39342060"/>
            <a:ext cx="5948576" cy="8546579"/>
            <a:chOff x="360424" y="223200"/>
            <a:chExt cx="5948576" cy="8546579"/>
          </a:xfrm>
        </xdr:grpSpPr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631D822-1946-D876-31D5-79E23566AA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352393" y="425849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E13C94BB-A890-08B3-ECE4-FB6361D0D66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42646" y="6969778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07486759-6009-51B5-5B71-42FE9EEC9D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29000" y="6969779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4A9CAD97-5B95-0728-F925-C74905B7B9A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60424" y="223201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D693A854-7407-DE60-13D6-C0B9AAC30EE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29000" y="425849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2E8A61C7-150B-AE33-6021-FD9AED20885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29000" y="223200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36E1C80B-F2EA-C908-F026-1693DEC187EC}"/>
              </a:ext>
            </a:extLst>
          </xdr:cNvPr>
          <xdr:cNvSpPr txBox="1"/>
        </xdr:nvSpPr>
        <xdr:spPr>
          <a:xfrm>
            <a:off x="1546860" y="39822120"/>
            <a:ext cx="51424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/>
              <a:t>Ruby 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4622231C-BA79-4000-AC2E-11239858BF8B}"/>
              </a:ext>
            </a:extLst>
          </xdr:cNvPr>
          <xdr:cNvSpPr txBox="1"/>
        </xdr:nvSpPr>
        <xdr:spPr>
          <a:xfrm>
            <a:off x="4686300" y="39951660"/>
            <a:ext cx="59836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/>
              <a:t>Emrald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BVVZkwS5ytK7PJxP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305"/>
  <sheetViews>
    <sheetView tabSelected="1" view="pageBreakPreview" topLeftCell="A323" zoomScaleNormal="100" zoomScaleSheetLayoutView="100" zoomScalePageLayoutView="85" workbookViewId="0">
      <selection activeCell="L324" sqref="L324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7" width="11.6640625" style="38" customWidth="1"/>
    <col min="8" max="8" width="12.44140625" style="38" customWidth="1"/>
    <col min="9" max="9" width="17.44140625" style="19" customWidth="1"/>
    <col min="10" max="10" width="11.44140625" style="19" customWidth="1"/>
    <col min="11" max="11" width="11.88671875" style="19" bestFit="1" customWidth="1"/>
    <col min="12" max="12" width="10.5546875" style="19" customWidth="1"/>
    <col min="13" max="13" width="11.88671875" style="19" customWidth="1"/>
    <col min="14" max="14" width="12.5546875" style="19" customWidth="1"/>
    <col min="15" max="15" width="9.88671875" style="19" customWidth="1"/>
    <col min="16" max="16" width="11.6640625" style="19" customWidth="1"/>
    <col min="17" max="247" width="9.109375" style="19"/>
    <col min="248" max="248" width="8.6640625" style="19" customWidth="1"/>
    <col min="249" max="249" width="9.8867187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88671875" style="19" customWidth="1"/>
    <col min="256" max="256" width="11.109375" style="19" customWidth="1"/>
    <col min="257" max="257" width="2.88671875" style="19" customWidth="1"/>
    <col min="258" max="258" width="3.5546875" style="19" customWidth="1"/>
    <col min="259" max="503" width="9.109375" style="19"/>
    <col min="504" max="504" width="8.6640625" style="19" customWidth="1"/>
    <col min="505" max="505" width="9.8867187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88671875" style="19" customWidth="1"/>
    <col min="512" max="512" width="11.109375" style="19" customWidth="1"/>
    <col min="513" max="513" width="2.88671875" style="19" customWidth="1"/>
    <col min="514" max="514" width="3.5546875" style="19" customWidth="1"/>
    <col min="515" max="759" width="9.109375" style="19"/>
    <col min="760" max="760" width="8.6640625" style="19" customWidth="1"/>
    <col min="761" max="761" width="9.8867187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88671875" style="19" customWidth="1"/>
    <col min="768" max="768" width="11.109375" style="19" customWidth="1"/>
    <col min="769" max="769" width="2.88671875" style="19" customWidth="1"/>
    <col min="770" max="770" width="3.5546875" style="19" customWidth="1"/>
    <col min="771" max="1015" width="9.109375" style="19"/>
    <col min="1016" max="1016" width="8.6640625" style="19" customWidth="1"/>
    <col min="1017" max="1017" width="9.8867187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88671875" style="19" customWidth="1"/>
    <col min="1024" max="1024" width="11.109375" style="19" customWidth="1"/>
    <col min="1025" max="1025" width="2.88671875" style="19" customWidth="1"/>
    <col min="1026" max="1026" width="3.5546875" style="19" customWidth="1"/>
    <col min="1027" max="1271" width="9.109375" style="19"/>
    <col min="1272" max="1272" width="8.6640625" style="19" customWidth="1"/>
    <col min="1273" max="1273" width="9.8867187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88671875" style="19" customWidth="1"/>
    <col min="1280" max="1280" width="11.109375" style="19" customWidth="1"/>
    <col min="1281" max="1281" width="2.88671875" style="19" customWidth="1"/>
    <col min="1282" max="1282" width="3.5546875" style="19" customWidth="1"/>
    <col min="1283" max="1527" width="9.109375" style="19"/>
    <col min="1528" max="1528" width="8.6640625" style="19" customWidth="1"/>
    <col min="1529" max="1529" width="9.8867187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88671875" style="19" customWidth="1"/>
    <col min="1536" max="1536" width="11.109375" style="19" customWidth="1"/>
    <col min="1537" max="1537" width="2.88671875" style="19" customWidth="1"/>
    <col min="1538" max="1538" width="3.5546875" style="19" customWidth="1"/>
    <col min="1539" max="1783" width="9.109375" style="19"/>
    <col min="1784" max="1784" width="8.6640625" style="19" customWidth="1"/>
    <col min="1785" max="1785" width="9.8867187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88671875" style="19" customWidth="1"/>
    <col min="1792" max="1792" width="11.109375" style="19" customWidth="1"/>
    <col min="1793" max="1793" width="2.88671875" style="19" customWidth="1"/>
    <col min="1794" max="1794" width="3.5546875" style="19" customWidth="1"/>
    <col min="1795" max="2039" width="9.109375" style="19"/>
    <col min="2040" max="2040" width="8.6640625" style="19" customWidth="1"/>
    <col min="2041" max="2041" width="9.8867187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88671875" style="19" customWidth="1"/>
    <col min="2048" max="2048" width="11.109375" style="19" customWidth="1"/>
    <col min="2049" max="2049" width="2.88671875" style="19" customWidth="1"/>
    <col min="2050" max="2050" width="3.5546875" style="19" customWidth="1"/>
    <col min="2051" max="2295" width="9.109375" style="19"/>
    <col min="2296" max="2296" width="8.6640625" style="19" customWidth="1"/>
    <col min="2297" max="2297" width="9.8867187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88671875" style="19" customWidth="1"/>
    <col min="2304" max="2304" width="11.109375" style="19" customWidth="1"/>
    <col min="2305" max="2305" width="2.88671875" style="19" customWidth="1"/>
    <col min="2306" max="2306" width="3.5546875" style="19" customWidth="1"/>
    <col min="2307" max="2551" width="9.109375" style="19"/>
    <col min="2552" max="2552" width="8.6640625" style="19" customWidth="1"/>
    <col min="2553" max="2553" width="9.8867187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88671875" style="19" customWidth="1"/>
    <col min="2560" max="2560" width="11.109375" style="19" customWidth="1"/>
    <col min="2561" max="2561" width="2.88671875" style="19" customWidth="1"/>
    <col min="2562" max="2562" width="3.5546875" style="19" customWidth="1"/>
    <col min="2563" max="2807" width="9.109375" style="19"/>
    <col min="2808" max="2808" width="8.6640625" style="19" customWidth="1"/>
    <col min="2809" max="2809" width="9.8867187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88671875" style="19" customWidth="1"/>
    <col min="2816" max="2816" width="11.109375" style="19" customWidth="1"/>
    <col min="2817" max="2817" width="2.88671875" style="19" customWidth="1"/>
    <col min="2818" max="2818" width="3.5546875" style="19" customWidth="1"/>
    <col min="2819" max="3063" width="9.109375" style="19"/>
    <col min="3064" max="3064" width="8.6640625" style="19" customWidth="1"/>
    <col min="3065" max="3065" width="9.8867187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88671875" style="19" customWidth="1"/>
    <col min="3072" max="3072" width="11.109375" style="19" customWidth="1"/>
    <col min="3073" max="3073" width="2.88671875" style="19" customWidth="1"/>
    <col min="3074" max="3074" width="3.5546875" style="19" customWidth="1"/>
    <col min="3075" max="3319" width="9.109375" style="19"/>
    <col min="3320" max="3320" width="8.6640625" style="19" customWidth="1"/>
    <col min="3321" max="3321" width="9.8867187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88671875" style="19" customWidth="1"/>
    <col min="3328" max="3328" width="11.109375" style="19" customWidth="1"/>
    <col min="3329" max="3329" width="2.88671875" style="19" customWidth="1"/>
    <col min="3330" max="3330" width="3.5546875" style="19" customWidth="1"/>
    <col min="3331" max="3575" width="9.109375" style="19"/>
    <col min="3576" max="3576" width="8.6640625" style="19" customWidth="1"/>
    <col min="3577" max="3577" width="9.8867187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88671875" style="19" customWidth="1"/>
    <col min="3584" max="3584" width="11.109375" style="19" customWidth="1"/>
    <col min="3585" max="3585" width="2.88671875" style="19" customWidth="1"/>
    <col min="3586" max="3586" width="3.5546875" style="19" customWidth="1"/>
    <col min="3587" max="3831" width="9.109375" style="19"/>
    <col min="3832" max="3832" width="8.6640625" style="19" customWidth="1"/>
    <col min="3833" max="3833" width="9.8867187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88671875" style="19" customWidth="1"/>
    <col min="3840" max="3840" width="11.109375" style="19" customWidth="1"/>
    <col min="3841" max="3841" width="2.88671875" style="19" customWidth="1"/>
    <col min="3842" max="3842" width="3.5546875" style="19" customWidth="1"/>
    <col min="3843" max="4087" width="9.109375" style="19"/>
    <col min="4088" max="4088" width="8.6640625" style="19" customWidth="1"/>
    <col min="4089" max="4089" width="9.8867187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88671875" style="19" customWidth="1"/>
    <col min="4096" max="4096" width="11.109375" style="19" customWidth="1"/>
    <col min="4097" max="4097" width="2.88671875" style="19" customWidth="1"/>
    <col min="4098" max="4098" width="3.5546875" style="19" customWidth="1"/>
    <col min="4099" max="4343" width="9.109375" style="19"/>
    <col min="4344" max="4344" width="8.6640625" style="19" customWidth="1"/>
    <col min="4345" max="4345" width="9.8867187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88671875" style="19" customWidth="1"/>
    <col min="4352" max="4352" width="11.109375" style="19" customWidth="1"/>
    <col min="4353" max="4353" width="2.88671875" style="19" customWidth="1"/>
    <col min="4354" max="4354" width="3.5546875" style="19" customWidth="1"/>
    <col min="4355" max="4599" width="9.109375" style="19"/>
    <col min="4600" max="4600" width="8.6640625" style="19" customWidth="1"/>
    <col min="4601" max="4601" width="9.8867187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88671875" style="19" customWidth="1"/>
    <col min="4608" max="4608" width="11.109375" style="19" customWidth="1"/>
    <col min="4609" max="4609" width="2.88671875" style="19" customWidth="1"/>
    <col min="4610" max="4610" width="3.5546875" style="19" customWidth="1"/>
    <col min="4611" max="4855" width="9.109375" style="19"/>
    <col min="4856" max="4856" width="8.6640625" style="19" customWidth="1"/>
    <col min="4857" max="4857" width="9.8867187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88671875" style="19" customWidth="1"/>
    <col min="4864" max="4864" width="11.109375" style="19" customWidth="1"/>
    <col min="4865" max="4865" width="2.88671875" style="19" customWidth="1"/>
    <col min="4866" max="4866" width="3.5546875" style="19" customWidth="1"/>
    <col min="4867" max="5111" width="9.109375" style="19"/>
    <col min="5112" max="5112" width="8.6640625" style="19" customWidth="1"/>
    <col min="5113" max="5113" width="9.8867187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88671875" style="19" customWidth="1"/>
    <col min="5120" max="5120" width="11.109375" style="19" customWidth="1"/>
    <col min="5121" max="5121" width="2.88671875" style="19" customWidth="1"/>
    <col min="5122" max="5122" width="3.5546875" style="19" customWidth="1"/>
    <col min="5123" max="5367" width="9.109375" style="19"/>
    <col min="5368" max="5368" width="8.6640625" style="19" customWidth="1"/>
    <col min="5369" max="5369" width="9.8867187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88671875" style="19" customWidth="1"/>
    <col min="5376" max="5376" width="11.109375" style="19" customWidth="1"/>
    <col min="5377" max="5377" width="2.88671875" style="19" customWidth="1"/>
    <col min="5378" max="5378" width="3.5546875" style="19" customWidth="1"/>
    <col min="5379" max="5623" width="9.109375" style="19"/>
    <col min="5624" max="5624" width="8.6640625" style="19" customWidth="1"/>
    <col min="5625" max="5625" width="9.8867187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88671875" style="19" customWidth="1"/>
    <col min="5632" max="5632" width="11.109375" style="19" customWidth="1"/>
    <col min="5633" max="5633" width="2.88671875" style="19" customWidth="1"/>
    <col min="5634" max="5634" width="3.5546875" style="19" customWidth="1"/>
    <col min="5635" max="5879" width="9.109375" style="19"/>
    <col min="5880" max="5880" width="8.6640625" style="19" customWidth="1"/>
    <col min="5881" max="5881" width="9.8867187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88671875" style="19" customWidth="1"/>
    <col min="5888" max="5888" width="11.109375" style="19" customWidth="1"/>
    <col min="5889" max="5889" width="2.88671875" style="19" customWidth="1"/>
    <col min="5890" max="5890" width="3.5546875" style="19" customWidth="1"/>
    <col min="5891" max="6135" width="9.109375" style="19"/>
    <col min="6136" max="6136" width="8.6640625" style="19" customWidth="1"/>
    <col min="6137" max="6137" width="9.8867187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88671875" style="19" customWidth="1"/>
    <col min="6144" max="6144" width="11.109375" style="19" customWidth="1"/>
    <col min="6145" max="6145" width="2.88671875" style="19" customWidth="1"/>
    <col min="6146" max="6146" width="3.5546875" style="19" customWidth="1"/>
    <col min="6147" max="6391" width="9.109375" style="19"/>
    <col min="6392" max="6392" width="8.6640625" style="19" customWidth="1"/>
    <col min="6393" max="6393" width="9.8867187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88671875" style="19" customWidth="1"/>
    <col min="6400" max="6400" width="11.109375" style="19" customWidth="1"/>
    <col min="6401" max="6401" width="2.88671875" style="19" customWidth="1"/>
    <col min="6402" max="6402" width="3.5546875" style="19" customWidth="1"/>
    <col min="6403" max="6647" width="9.109375" style="19"/>
    <col min="6648" max="6648" width="8.6640625" style="19" customWidth="1"/>
    <col min="6649" max="6649" width="9.8867187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88671875" style="19" customWidth="1"/>
    <col min="6656" max="6656" width="11.109375" style="19" customWidth="1"/>
    <col min="6657" max="6657" width="2.88671875" style="19" customWidth="1"/>
    <col min="6658" max="6658" width="3.5546875" style="19" customWidth="1"/>
    <col min="6659" max="6903" width="9.109375" style="19"/>
    <col min="6904" max="6904" width="8.6640625" style="19" customWidth="1"/>
    <col min="6905" max="6905" width="9.8867187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88671875" style="19" customWidth="1"/>
    <col min="6912" max="6912" width="11.109375" style="19" customWidth="1"/>
    <col min="6913" max="6913" width="2.88671875" style="19" customWidth="1"/>
    <col min="6914" max="6914" width="3.5546875" style="19" customWidth="1"/>
    <col min="6915" max="7159" width="9.109375" style="19"/>
    <col min="7160" max="7160" width="8.6640625" style="19" customWidth="1"/>
    <col min="7161" max="7161" width="9.8867187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88671875" style="19" customWidth="1"/>
    <col min="7168" max="7168" width="11.109375" style="19" customWidth="1"/>
    <col min="7169" max="7169" width="2.88671875" style="19" customWidth="1"/>
    <col min="7170" max="7170" width="3.5546875" style="19" customWidth="1"/>
    <col min="7171" max="7415" width="9.109375" style="19"/>
    <col min="7416" max="7416" width="8.6640625" style="19" customWidth="1"/>
    <col min="7417" max="7417" width="9.8867187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88671875" style="19" customWidth="1"/>
    <col min="7424" max="7424" width="11.109375" style="19" customWidth="1"/>
    <col min="7425" max="7425" width="2.88671875" style="19" customWidth="1"/>
    <col min="7426" max="7426" width="3.5546875" style="19" customWidth="1"/>
    <col min="7427" max="7671" width="9.109375" style="19"/>
    <col min="7672" max="7672" width="8.6640625" style="19" customWidth="1"/>
    <col min="7673" max="7673" width="9.8867187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88671875" style="19" customWidth="1"/>
    <col min="7680" max="7680" width="11.109375" style="19" customWidth="1"/>
    <col min="7681" max="7681" width="2.88671875" style="19" customWidth="1"/>
    <col min="7682" max="7682" width="3.5546875" style="19" customWidth="1"/>
    <col min="7683" max="7927" width="9.109375" style="19"/>
    <col min="7928" max="7928" width="8.6640625" style="19" customWidth="1"/>
    <col min="7929" max="7929" width="9.8867187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88671875" style="19" customWidth="1"/>
    <col min="7936" max="7936" width="11.109375" style="19" customWidth="1"/>
    <col min="7937" max="7937" width="2.88671875" style="19" customWidth="1"/>
    <col min="7938" max="7938" width="3.5546875" style="19" customWidth="1"/>
    <col min="7939" max="8183" width="9.109375" style="19"/>
    <col min="8184" max="8184" width="8.6640625" style="19" customWidth="1"/>
    <col min="8185" max="8185" width="9.8867187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88671875" style="19" customWidth="1"/>
    <col min="8192" max="8192" width="11.109375" style="19" customWidth="1"/>
    <col min="8193" max="8193" width="2.88671875" style="19" customWidth="1"/>
    <col min="8194" max="8194" width="3.5546875" style="19" customWidth="1"/>
    <col min="8195" max="8439" width="9.109375" style="19"/>
    <col min="8440" max="8440" width="8.6640625" style="19" customWidth="1"/>
    <col min="8441" max="8441" width="9.8867187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88671875" style="19" customWidth="1"/>
    <col min="8448" max="8448" width="11.109375" style="19" customWidth="1"/>
    <col min="8449" max="8449" width="2.88671875" style="19" customWidth="1"/>
    <col min="8450" max="8450" width="3.5546875" style="19" customWidth="1"/>
    <col min="8451" max="8695" width="9.109375" style="19"/>
    <col min="8696" max="8696" width="8.6640625" style="19" customWidth="1"/>
    <col min="8697" max="8697" width="9.8867187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88671875" style="19" customWidth="1"/>
    <col min="8704" max="8704" width="11.109375" style="19" customWidth="1"/>
    <col min="8705" max="8705" width="2.88671875" style="19" customWidth="1"/>
    <col min="8706" max="8706" width="3.5546875" style="19" customWidth="1"/>
    <col min="8707" max="8951" width="9.109375" style="19"/>
    <col min="8952" max="8952" width="8.6640625" style="19" customWidth="1"/>
    <col min="8953" max="8953" width="9.8867187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88671875" style="19" customWidth="1"/>
    <col min="8960" max="8960" width="11.109375" style="19" customWidth="1"/>
    <col min="8961" max="8961" width="2.88671875" style="19" customWidth="1"/>
    <col min="8962" max="8962" width="3.5546875" style="19" customWidth="1"/>
    <col min="8963" max="9207" width="9.109375" style="19"/>
    <col min="9208" max="9208" width="8.6640625" style="19" customWidth="1"/>
    <col min="9209" max="9209" width="9.8867187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88671875" style="19" customWidth="1"/>
    <col min="9216" max="9216" width="11.109375" style="19" customWidth="1"/>
    <col min="9217" max="9217" width="2.88671875" style="19" customWidth="1"/>
    <col min="9218" max="9218" width="3.5546875" style="19" customWidth="1"/>
    <col min="9219" max="9463" width="9.109375" style="19"/>
    <col min="9464" max="9464" width="8.6640625" style="19" customWidth="1"/>
    <col min="9465" max="9465" width="9.8867187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88671875" style="19" customWidth="1"/>
    <col min="9472" max="9472" width="11.109375" style="19" customWidth="1"/>
    <col min="9473" max="9473" width="2.88671875" style="19" customWidth="1"/>
    <col min="9474" max="9474" width="3.5546875" style="19" customWidth="1"/>
    <col min="9475" max="9719" width="9.109375" style="19"/>
    <col min="9720" max="9720" width="8.6640625" style="19" customWidth="1"/>
    <col min="9721" max="9721" width="9.8867187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88671875" style="19" customWidth="1"/>
    <col min="9728" max="9728" width="11.109375" style="19" customWidth="1"/>
    <col min="9729" max="9729" width="2.88671875" style="19" customWidth="1"/>
    <col min="9730" max="9730" width="3.5546875" style="19" customWidth="1"/>
    <col min="9731" max="9975" width="9.109375" style="19"/>
    <col min="9976" max="9976" width="8.6640625" style="19" customWidth="1"/>
    <col min="9977" max="9977" width="9.8867187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88671875" style="19" customWidth="1"/>
    <col min="9984" max="9984" width="11.109375" style="19" customWidth="1"/>
    <col min="9985" max="9985" width="2.88671875" style="19" customWidth="1"/>
    <col min="9986" max="9986" width="3.5546875" style="19" customWidth="1"/>
    <col min="9987" max="10231" width="9.109375" style="19"/>
    <col min="10232" max="10232" width="8.6640625" style="19" customWidth="1"/>
    <col min="10233" max="10233" width="9.8867187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88671875" style="19" customWidth="1"/>
    <col min="10240" max="10240" width="11.109375" style="19" customWidth="1"/>
    <col min="10241" max="10241" width="2.88671875" style="19" customWidth="1"/>
    <col min="10242" max="10242" width="3.5546875" style="19" customWidth="1"/>
    <col min="10243" max="10487" width="9.109375" style="19"/>
    <col min="10488" max="10488" width="8.6640625" style="19" customWidth="1"/>
    <col min="10489" max="10489" width="9.8867187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88671875" style="19" customWidth="1"/>
    <col min="10496" max="10496" width="11.109375" style="19" customWidth="1"/>
    <col min="10497" max="10497" width="2.88671875" style="19" customWidth="1"/>
    <col min="10498" max="10498" width="3.5546875" style="19" customWidth="1"/>
    <col min="10499" max="10743" width="9.109375" style="19"/>
    <col min="10744" max="10744" width="8.6640625" style="19" customWidth="1"/>
    <col min="10745" max="10745" width="9.8867187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88671875" style="19" customWidth="1"/>
    <col min="10752" max="10752" width="11.109375" style="19" customWidth="1"/>
    <col min="10753" max="10753" width="2.88671875" style="19" customWidth="1"/>
    <col min="10754" max="10754" width="3.5546875" style="19" customWidth="1"/>
    <col min="10755" max="10999" width="9.109375" style="19"/>
    <col min="11000" max="11000" width="8.6640625" style="19" customWidth="1"/>
    <col min="11001" max="11001" width="9.8867187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88671875" style="19" customWidth="1"/>
    <col min="11008" max="11008" width="11.109375" style="19" customWidth="1"/>
    <col min="11009" max="11009" width="2.88671875" style="19" customWidth="1"/>
    <col min="11010" max="11010" width="3.5546875" style="19" customWidth="1"/>
    <col min="11011" max="11255" width="9.109375" style="19"/>
    <col min="11256" max="11256" width="8.6640625" style="19" customWidth="1"/>
    <col min="11257" max="11257" width="9.8867187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88671875" style="19" customWidth="1"/>
    <col min="11264" max="11264" width="11.109375" style="19" customWidth="1"/>
    <col min="11265" max="11265" width="2.88671875" style="19" customWidth="1"/>
    <col min="11266" max="11266" width="3.5546875" style="19" customWidth="1"/>
    <col min="11267" max="11511" width="9.109375" style="19"/>
    <col min="11512" max="11512" width="8.6640625" style="19" customWidth="1"/>
    <col min="11513" max="11513" width="9.8867187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88671875" style="19" customWidth="1"/>
    <col min="11520" max="11520" width="11.109375" style="19" customWidth="1"/>
    <col min="11521" max="11521" width="2.88671875" style="19" customWidth="1"/>
    <col min="11522" max="11522" width="3.5546875" style="19" customWidth="1"/>
    <col min="11523" max="11767" width="9.109375" style="19"/>
    <col min="11768" max="11768" width="8.6640625" style="19" customWidth="1"/>
    <col min="11769" max="11769" width="9.8867187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88671875" style="19" customWidth="1"/>
    <col min="11776" max="11776" width="11.109375" style="19" customWidth="1"/>
    <col min="11777" max="11777" width="2.88671875" style="19" customWidth="1"/>
    <col min="11778" max="11778" width="3.5546875" style="19" customWidth="1"/>
    <col min="11779" max="12023" width="9.109375" style="19"/>
    <col min="12024" max="12024" width="8.6640625" style="19" customWidth="1"/>
    <col min="12025" max="12025" width="9.8867187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88671875" style="19" customWidth="1"/>
    <col min="12032" max="12032" width="11.109375" style="19" customWidth="1"/>
    <col min="12033" max="12033" width="2.88671875" style="19" customWidth="1"/>
    <col min="12034" max="12034" width="3.5546875" style="19" customWidth="1"/>
    <col min="12035" max="12279" width="9.109375" style="19"/>
    <col min="12280" max="12280" width="8.6640625" style="19" customWidth="1"/>
    <col min="12281" max="12281" width="9.8867187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88671875" style="19" customWidth="1"/>
    <col min="12288" max="12288" width="11.109375" style="19" customWidth="1"/>
    <col min="12289" max="12289" width="2.88671875" style="19" customWidth="1"/>
    <col min="12290" max="12290" width="3.5546875" style="19" customWidth="1"/>
    <col min="12291" max="12535" width="9.109375" style="19"/>
    <col min="12536" max="12536" width="8.6640625" style="19" customWidth="1"/>
    <col min="12537" max="12537" width="9.8867187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88671875" style="19" customWidth="1"/>
    <col min="12544" max="12544" width="11.109375" style="19" customWidth="1"/>
    <col min="12545" max="12545" width="2.88671875" style="19" customWidth="1"/>
    <col min="12546" max="12546" width="3.5546875" style="19" customWidth="1"/>
    <col min="12547" max="12791" width="9.109375" style="19"/>
    <col min="12792" max="12792" width="8.6640625" style="19" customWidth="1"/>
    <col min="12793" max="12793" width="9.8867187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88671875" style="19" customWidth="1"/>
    <col min="12800" max="12800" width="11.109375" style="19" customWidth="1"/>
    <col min="12801" max="12801" width="2.88671875" style="19" customWidth="1"/>
    <col min="12802" max="12802" width="3.5546875" style="19" customWidth="1"/>
    <col min="12803" max="13047" width="9.109375" style="19"/>
    <col min="13048" max="13048" width="8.6640625" style="19" customWidth="1"/>
    <col min="13049" max="13049" width="9.8867187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88671875" style="19" customWidth="1"/>
    <col min="13056" max="13056" width="11.109375" style="19" customWidth="1"/>
    <col min="13057" max="13057" width="2.88671875" style="19" customWidth="1"/>
    <col min="13058" max="13058" width="3.5546875" style="19" customWidth="1"/>
    <col min="13059" max="13303" width="9.109375" style="19"/>
    <col min="13304" max="13304" width="8.6640625" style="19" customWidth="1"/>
    <col min="13305" max="13305" width="9.8867187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88671875" style="19" customWidth="1"/>
    <col min="13312" max="13312" width="11.109375" style="19" customWidth="1"/>
    <col min="13313" max="13313" width="2.88671875" style="19" customWidth="1"/>
    <col min="13314" max="13314" width="3.5546875" style="19" customWidth="1"/>
    <col min="13315" max="13559" width="9.109375" style="19"/>
    <col min="13560" max="13560" width="8.6640625" style="19" customWidth="1"/>
    <col min="13561" max="13561" width="9.8867187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88671875" style="19" customWidth="1"/>
    <col min="13568" max="13568" width="11.109375" style="19" customWidth="1"/>
    <col min="13569" max="13569" width="2.88671875" style="19" customWidth="1"/>
    <col min="13570" max="13570" width="3.5546875" style="19" customWidth="1"/>
    <col min="13571" max="13815" width="9.109375" style="19"/>
    <col min="13816" max="13816" width="8.6640625" style="19" customWidth="1"/>
    <col min="13817" max="13817" width="9.8867187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88671875" style="19" customWidth="1"/>
    <col min="13824" max="13824" width="11.109375" style="19" customWidth="1"/>
    <col min="13825" max="13825" width="2.88671875" style="19" customWidth="1"/>
    <col min="13826" max="13826" width="3.5546875" style="19" customWidth="1"/>
    <col min="13827" max="14071" width="9.109375" style="19"/>
    <col min="14072" max="14072" width="8.6640625" style="19" customWidth="1"/>
    <col min="14073" max="14073" width="9.8867187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88671875" style="19" customWidth="1"/>
    <col min="14080" max="14080" width="11.109375" style="19" customWidth="1"/>
    <col min="14081" max="14081" width="2.88671875" style="19" customWidth="1"/>
    <col min="14082" max="14082" width="3.5546875" style="19" customWidth="1"/>
    <col min="14083" max="14327" width="9.109375" style="19"/>
    <col min="14328" max="14328" width="8.6640625" style="19" customWidth="1"/>
    <col min="14329" max="14329" width="9.8867187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88671875" style="19" customWidth="1"/>
    <col min="14336" max="14336" width="11.109375" style="19" customWidth="1"/>
    <col min="14337" max="14337" width="2.88671875" style="19" customWidth="1"/>
    <col min="14338" max="14338" width="3.5546875" style="19" customWidth="1"/>
    <col min="14339" max="14583" width="9.109375" style="19"/>
    <col min="14584" max="14584" width="8.6640625" style="19" customWidth="1"/>
    <col min="14585" max="14585" width="9.8867187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88671875" style="19" customWidth="1"/>
    <col min="14592" max="14592" width="11.109375" style="19" customWidth="1"/>
    <col min="14593" max="14593" width="2.88671875" style="19" customWidth="1"/>
    <col min="14594" max="14594" width="3.5546875" style="19" customWidth="1"/>
    <col min="14595" max="14839" width="9.109375" style="19"/>
    <col min="14840" max="14840" width="8.6640625" style="19" customWidth="1"/>
    <col min="14841" max="14841" width="9.8867187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88671875" style="19" customWidth="1"/>
    <col min="14848" max="14848" width="11.109375" style="19" customWidth="1"/>
    <col min="14849" max="14849" width="2.88671875" style="19" customWidth="1"/>
    <col min="14850" max="14850" width="3.5546875" style="19" customWidth="1"/>
    <col min="14851" max="15095" width="9.109375" style="19"/>
    <col min="15096" max="15096" width="8.6640625" style="19" customWidth="1"/>
    <col min="15097" max="15097" width="9.8867187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88671875" style="19" customWidth="1"/>
    <col min="15104" max="15104" width="11.109375" style="19" customWidth="1"/>
    <col min="15105" max="15105" width="2.88671875" style="19" customWidth="1"/>
    <col min="15106" max="15106" width="3.5546875" style="19" customWidth="1"/>
    <col min="15107" max="15351" width="9.109375" style="19"/>
    <col min="15352" max="15352" width="8.6640625" style="19" customWidth="1"/>
    <col min="15353" max="15353" width="9.8867187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88671875" style="19" customWidth="1"/>
    <col min="15360" max="15360" width="11.109375" style="19" customWidth="1"/>
    <col min="15361" max="15361" width="2.88671875" style="19" customWidth="1"/>
    <col min="15362" max="15362" width="3.5546875" style="19" customWidth="1"/>
    <col min="15363" max="15607" width="9.109375" style="19"/>
    <col min="15608" max="15608" width="8.6640625" style="19" customWidth="1"/>
    <col min="15609" max="15609" width="9.8867187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88671875" style="19" customWidth="1"/>
    <col min="15616" max="15616" width="11.109375" style="19" customWidth="1"/>
    <col min="15617" max="15617" width="2.88671875" style="19" customWidth="1"/>
    <col min="15618" max="15618" width="3.5546875" style="19" customWidth="1"/>
    <col min="15619" max="15863" width="9.109375" style="19"/>
    <col min="15864" max="15864" width="8.6640625" style="19" customWidth="1"/>
    <col min="15865" max="15865" width="9.8867187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88671875" style="19" customWidth="1"/>
    <col min="15872" max="15872" width="11.109375" style="19" customWidth="1"/>
    <col min="15873" max="15873" width="2.88671875" style="19" customWidth="1"/>
    <col min="15874" max="15874" width="3.5546875" style="19" customWidth="1"/>
    <col min="15875" max="16119" width="9.109375" style="19"/>
    <col min="16120" max="16120" width="8.6640625" style="19" customWidth="1"/>
    <col min="16121" max="16121" width="9.8867187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88671875" style="19" customWidth="1"/>
    <col min="16128" max="16128" width="11.109375" style="19" customWidth="1"/>
    <col min="16129" max="16129" width="2.88671875" style="19" customWidth="1"/>
    <col min="16130" max="16130" width="3.5546875" style="19" customWidth="1"/>
    <col min="16131" max="16384" width="9.109375" style="19"/>
  </cols>
  <sheetData>
    <row r="1" spans="1:12" ht="46.5" customHeight="1" x14ac:dyDescent="0.3">
      <c r="A1" s="165" t="s">
        <v>203</v>
      </c>
      <c r="B1" s="165"/>
      <c r="C1" s="165"/>
      <c r="D1" s="165"/>
      <c r="E1" s="165"/>
      <c r="F1" s="165"/>
      <c r="G1" s="165"/>
      <c r="H1" s="165"/>
    </row>
    <row r="2" spans="1:12" ht="16.5" customHeight="1" x14ac:dyDescent="0.3">
      <c r="A2" s="166" t="s">
        <v>0</v>
      </c>
      <c r="B2" s="166"/>
      <c r="C2" s="166"/>
      <c r="D2" s="166"/>
      <c r="E2" s="166"/>
      <c r="F2" s="166"/>
      <c r="G2" s="166"/>
      <c r="H2" s="166"/>
    </row>
    <row r="3" spans="1:12" x14ac:dyDescent="0.3">
      <c r="A3" s="64" t="s">
        <v>1</v>
      </c>
      <c r="B3" s="64"/>
      <c r="C3" s="64"/>
      <c r="D3" s="64"/>
      <c r="E3" s="64" t="str">
        <f ca="1">TEXT(TODAY(),"DD/MM/YYYY")</f>
        <v>29/08/2025</v>
      </c>
      <c r="F3" s="64"/>
      <c r="G3" s="64"/>
      <c r="H3" s="64"/>
    </row>
    <row r="4" spans="1:12" ht="15" customHeight="1" x14ac:dyDescent="0.3">
      <c r="A4" s="64" t="s">
        <v>2</v>
      </c>
      <c r="B4" s="64"/>
      <c r="C4" s="64"/>
      <c r="D4" s="64"/>
      <c r="E4" s="64" t="s">
        <v>173</v>
      </c>
      <c r="F4" s="64"/>
      <c r="G4" s="64"/>
      <c r="H4" s="64"/>
    </row>
    <row r="5" spans="1:12" x14ac:dyDescent="0.3">
      <c r="A5" s="64" t="s">
        <v>3</v>
      </c>
      <c r="B5" s="64"/>
      <c r="C5" s="64"/>
      <c r="D5" s="64"/>
      <c r="E5" s="167">
        <v>45849</v>
      </c>
      <c r="F5" s="64"/>
      <c r="G5" s="64"/>
      <c r="H5" s="64"/>
    </row>
    <row r="6" spans="1:12" ht="16.5" customHeight="1" x14ac:dyDescent="0.3">
      <c r="A6" s="64" t="s">
        <v>4</v>
      </c>
      <c r="B6" s="64"/>
      <c r="C6" s="64"/>
      <c r="D6" s="64"/>
      <c r="E6" s="96" t="s">
        <v>174</v>
      </c>
      <c r="F6" s="64"/>
      <c r="G6" s="64"/>
      <c r="H6" s="64"/>
    </row>
    <row r="7" spans="1:12" ht="15" customHeight="1" x14ac:dyDescent="0.3">
      <c r="A7" s="64" t="s">
        <v>5</v>
      </c>
      <c r="B7" s="64"/>
      <c r="C7" s="64"/>
      <c r="D7" s="64"/>
      <c r="E7" s="64" t="str">
        <f>E6</f>
        <v xml:space="preserve">M/s. Regency Nirman Ltd
</v>
      </c>
      <c r="F7" s="64"/>
      <c r="G7" s="64"/>
      <c r="H7" s="64"/>
    </row>
    <row r="8" spans="1:12" x14ac:dyDescent="0.3">
      <c r="A8" s="64" t="s">
        <v>6</v>
      </c>
      <c r="B8" s="64"/>
      <c r="C8" s="64"/>
      <c r="D8" s="64"/>
      <c r="E8" s="88" t="s">
        <v>207</v>
      </c>
      <c r="F8" s="88"/>
      <c r="G8" s="88"/>
      <c r="H8" s="88"/>
    </row>
    <row r="9" spans="1:12" x14ac:dyDescent="0.3">
      <c r="A9" s="64" t="s">
        <v>126</v>
      </c>
      <c r="B9" s="64"/>
      <c r="C9" s="64"/>
      <c r="D9" s="64"/>
      <c r="E9" s="96" t="s">
        <v>175</v>
      </c>
      <c r="F9" s="64"/>
      <c r="G9" s="64"/>
      <c r="H9" s="64"/>
    </row>
    <row r="10" spans="1:12" x14ac:dyDescent="0.3">
      <c r="A10" s="64" t="s">
        <v>230</v>
      </c>
      <c r="B10" s="64"/>
      <c r="C10" s="64"/>
      <c r="D10" s="64"/>
      <c r="E10" s="96" t="s">
        <v>235</v>
      </c>
      <c r="F10" s="64"/>
      <c r="G10" s="64"/>
      <c r="H10" s="64"/>
      <c r="I10" s="64" t="s">
        <v>234</v>
      </c>
      <c r="J10" s="64"/>
      <c r="K10" s="64"/>
      <c r="L10" s="64"/>
    </row>
    <row r="11" spans="1:12" ht="33.75" customHeight="1" x14ac:dyDescent="0.3">
      <c r="A11" s="64" t="s">
        <v>7</v>
      </c>
      <c r="B11" s="64"/>
      <c r="C11" s="64"/>
      <c r="D11" s="64"/>
      <c r="E11" s="96" t="s">
        <v>224</v>
      </c>
      <c r="F11" s="64"/>
      <c r="G11" s="64"/>
      <c r="H11" s="64"/>
    </row>
    <row r="12" spans="1:12" x14ac:dyDescent="0.3">
      <c r="A12" s="64" t="s">
        <v>8</v>
      </c>
      <c r="B12" s="64"/>
      <c r="C12" s="64"/>
      <c r="D12" s="64"/>
      <c r="E12" s="96" t="s">
        <v>177</v>
      </c>
      <c r="F12" s="96"/>
      <c r="G12" s="96"/>
      <c r="H12" s="96"/>
    </row>
    <row r="13" spans="1:12" ht="36.75" customHeight="1" x14ac:dyDescent="0.3">
      <c r="A13" s="64" t="s">
        <v>9</v>
      </c>
      <c r="B13" s="64"/>
      <c r="C13" s="64"/>
      <c r="D13" s="64"/>
      <c r="E13" s="96" t="s">
        <v>208</v>
      </c>
      <c r="F13" s="64"/>
      <c r="G13" s="64"/>
      <c r="H13" s="64"/>
    </row>
    <row r="14" spans="1:12" ht="50.25" customHeight="1" x14ac:dyDescent="0.3">
      <c r="A14" s="96" t="s">
        <v>10</v>
      </c>
      <c r="B14" s="96"/>
      <c r="C14" s="9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Regency Luxuria Phase I &amp; II, Survey No.54/1, 54/2, 53, 52/16, 60/1C, 59/2(pt), near Goyal Villa, Regency Anantam Rd., Sonarpada, Golavli, Dombivli East, Kalyan, Thane - 421302.</v>
      </c>
      <c r="D14" s="96"/>
      <c r="E14" s="96"/>
      <c r="F14" s="96"/>
      <c r="G14" s="96"/>
      <c r="H14" s="96"/>
      <c r="I14" s="57" t="s">
        <v>209</v>
      </c>
    </row>
    <row r="15" spans="1:12" x14ac:dyDescent="0.3">
      <c r="A15" s="96" t="s">
        <v>178</v>
      </c>
      <c r="B15" s="96"/>
      <c r="C15" s="96" t="s">
        <v>210</v>
      </c>
      <c r="D15" s="96"/>
      <c r="E15" s="96"/>
      <c r="F15" s="96"/>
      <c r="G15" s="96"/>
      <c r="H15" s="96"/>
    </row>
    <row r="16" spans="1:12" ht="15.75" customHeight="1" x14ac:dyDescent="0.3">
      <c r="A16" s="96" t="s">
        <v>172</v>
      </c>
      <c r="B16" s="96"/>
      <c r="C16" s="96" t="s">
        <v>182</v>
      </c>
      <c r="D16" s="96"/>
      <c r="E16" s="96"/>
      <c r="F16" s="96"/>
      <c r="G16" s="96"/>
      <c r="H16" s="96"/>
    </row>
    <row r="17" spans="1:8" ht="15.75" customHeight="1" x14ac:dyDescent="0.3">
      <c r="A17" s="96" t="s">
        <v>11</v>
      </c>
      <c r="B17" s="96"/>
      <c r="C17" s="64" t="s">
        <v>183</v>
      </c>
      <c r="D17" s="64"/>
      <c r="E17" s="96" t="s">
        <v>75</v>
      </c>
      <c r="F17" s="96"/>
      <c r="G17" s="96" t="s">
        <v>179</v>
      </c>
      <c r="H17" s="96"/>
    </row>
    <row r="18" spans="1:8" x14ac:dyDescent="0.3">
      <c r="A18" s="64" t="s">
        <v>13</v>
      </c>
      <c r="B18" s="64"/>
      <c r="C18" s="96" t="s">
        <v>184</v>
      </c>
      <c r="D18" s="96"/>
      <c r="E18" s="96" t="s">
        <v>12</v>
      </c>
      <c r="F18" s="96"/>
      <c r="G18" s="168" t="s">
        <v>180</v>
      </c>
      <c r="H18" s="168"/>
    </row>
    <row r="19" spans="1:8" x14ac:dyDescent="0.3">
      <c r="A19" s="64" t="s">
        <v>76</v>
      </c>
      <c r="B19" s="64"/>
      <c r="C19" s="96" t="s">
        <v>181</v>
      </c>
      <c r="D19" s="96"/>
      <c r="E19" s="96" t="s">
        <v>14</v>
      </c>
      <c r="F19" s="96"/>
      <c r="G19" s="96">
        <v>421302</v>
      </c>
      <c r="H19" s="96"/>
    </row>
    <row r="20" spans="1:8" ht="32.25" customHeight="1" x14ac:dyDescent="0.3">
      <c r="A20" s="64" t="s">
        <v>127</v>
      </c>
      <c r="B20" s="64"/>
      <c r="C20" s="96" t="s">
        <v>185</v>
      </c>
      <c r="D20" s="96"/>
      <c r="E20" s="96" t="s">
        <v>15</v>
      </c>
      <c r="F20" s="96"/>
      <c r="G20" s="96" t="s">
        <v>186</v>
      </c>
      <c r="H20" s="96"/>
    </row>
    <row r="21" spans="1:8" ht="15" customHeight="1" x14ac:dyDescent="0.3">
      <c r="A21" s="95" t="s">
        <v>79</v>
      </c>
      <c r="B21" s="95"/>
      <c r="C21" s="95"/>
      <c r="D21" s="95"/>
      <c r="E21" s="64" t="s">
        <v>16</v>
      </c>
      <c r="F21" s="64"/>
      <c r="G21" s="64"/>
      <c r="H21" s="64"/>
    </row>
    <row r="22" spans="1:8" ht="18.75" customHeight="1" x14ac:dyDescent="0.3">
      <c r="A22" s="95"/>
      <c r="B22" s="95"/>
      <c r="C22" s="95"/>
      <c r="D22" s="95"/>
      <c r="E22" s="64"/>
      <c r="F22" s="64"/>
      <c r="G22" s="64"/>
      <c r="H22" s="64"/>
    </row>
    <row r="23" spans="1:8" ht="15" customHeight="1" x14ac:dyDescent="0.3">
      <c r="A23" s="95" t="s">
        <v>17</v>
      </c>
      <c r="B23" s="95"/>
      <c r="C23" s="95"/>
      <c r="D23" s="95"/>
      <c r="E23" s="96" t="s">
        <v>18</v>
      </c>
      <c r="F23" s="96"/>
      <c r="G23" s="96"/>
      <c r="H23" s="96"/>
    </row>
    <row r="24" spans="1:8" ht="15" customHeight="1" x14ac:dyDescent="0.3">
      <c r="A24" s="63" t="s">
        <v>19</v>
      </c>
      <c r="B24" s="63"/>
      <c r="C24" s="63"/>
      <c r="D24" s="63"/>
      <c r="E24" s="96" t="str">
        <f>IF(AND(G18="Mumbai"),"Upper Class","Middle Class")</f>
        <v>Middle Class</v>
      </c>
      <c r="F24" s="96"/>
      <c r="G24" s="96"/>
      <c r="H24" s="96"/>
    </row>
    <row r="25" spans="1:8" x14ac:dyDescent="0.3">
      <c r="A25" s="63" t="s">
        <v>20</v>
      </c>
      <c r="B25" s="63"/>
      <c r="C25" s="63"/>
      <c r="D25" s="63"/>
      <c r="E25" s="96" t="s">
        <v>21</v>
      </c>
      <c r="F25" s="96"/>
      <c r="G25" s="96"/>
      <c r="H25" s="96"/>
    </row>
    <row r="26" spans="1:8" ht="15.75" customHeight="1" x14ac:dyDescent="0.3">
      <c r="A26" s="63" t="s">
        <v>22</v>
      </c>
      <c r="B26" s="63"/>
      <c r="C26" s="63"/>
      <c r="D26" s="63"/>
      <c r="E26" s="96" t="str">
        <f>IF(AND(G18="Mumbai"),"Developed","Developing")</f>
        <v>Developing</v>
      </c>
      <c r="F26" s="96"/>
      <c r="G26" s="96"/>
      <c r="H26" s="96"/>
    </row>
    <row r="27" spans="1:8" x14ac:dyDescent="0.3">
      <c r="A27" s="63" t="s">
        <v>23</v>
      </c>
      <c r="B27" s="63"/>
      <c r="C27" s="63"/>
      <c r="D27" s="63"/>
      <c r="E27" s="96" t="s">
        <v>24</v>
      </c>
      <c r="F27" s="96"/>
      <c r="G27" s="96"/>
      <c r="H27" s="96"/>
    </row>
    <row r="28" spans="1:8" ht="15.75" customHeight="1" x14ac:dyDescent="0.3">
      <c r="A28" s="63" t="s">
        <v>84</v>
      </c>
      <c r="B28" s="63"/>
      <c r="C28" s="63"/>
      <c r="D28" s="63"/>
      <c r="E28" s="96" t="s">
        <v>85</v>
      </c>
      <c r="F28" s="96"/>
      <c r="G28" s="96"/>
      <c r="H28" s="96"/>
    </row>
    <row r="29" spans="1:8" ht="15" customHeight="1" x14ac:dyDescent="0.3">
      <c r="A29" s="63" t="s">
        <v>33</v>
      </c>
      <c r="B29" s="63"/>
      <c r="C29" s="63"/>
      <c r="D29" s="63"/>
      <c r="E29" s="9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96"/>
      <c r="G29" s="96"/>
      <c r="H29" s="96"/>
    </row>
    <row r="30" spans="1:8" ht="15.75" customHeight="1" x14ac:dyDescent="0.3">
      <c r="A30" s="63" t="s">
        <v>96</v>
      </c>
      <c r="B30" s="63"/>
      <c r="C30" s="63"/>
      <c r="D30" s="63"/>
      <c r="E30" s="96" t="s">
        <v>34</v>
      </c>
      <c r="F30" s="96"/>
      <c r="G30" s="96"/>
      <c r="H30" s="96"/>
    </row>
    <row r="31" spans="1:8" s="20" customFormat="1" x14ac:dyDescent="0.3">
      <c r="A31" s="170" t="s">
        <v>97</v>
      </c>
      <c r="B31" s="170"/>
      <c r="C31" s="169" t="s">
        <v>29</v>
      </c>
      <c r="D31" s="169"/>
      <c r="E31" s="169"/>
      <c r="F31" s="169" t="s">
        <v>31</v>
      </c>
      <c r="G31" s="169"/>
      <c r="H31" s="169"/>
    </row>
    <row r="32" spans="1:8" s="20" customFormat="1" x14ac:dyDescent="0.3">
      <c r="A32" s="109" t="s">
        <v>25</v>
      </c>
      <c r="B32" s="109" t="s">
        <v>30</v>
      </c>
      <c r="C32" s="110" t="s">
        <v>30</v>
      </c>
      <c r="D32" s="110"/>
      <c r="E32" s="110"/>
      <c r="F32" s="110" t="s">
        <v>187</v>
      </c>
      <c r="G32" s="110"/>
      <c r="H32" s="110"/>
    </row>
    <row r="33" spans="1:8" x14ac:dyDescent="0.3">
      <c r="A33" s="109" t="s">
        <v>26</v>
      </c>
      <c r="B33" s="109" t="s">
        <v>30</v>
      </c>
      <c r="C33" s="110" t="s">
        <v>30</v>
      </c>
      <c r="D33" s="110"/>
      <c r="E33" s="110"/>
      <c r="F33" s="110" t="s">
        <v>188</v>
      </c>
      <c r="G33" s="110"/>
      <c r="H33" s="110"/>
    </row>
    <row r="34" spans="1:8" s="20" customFormat="1" x14ac:dyDescent="0.3">
      <c r="A34" s="109" t="s">
        <v>28</v>
      </c>
      <c r="B34" s="109" t="s">
        <v>30</v>
      </c>
      <c r="C34" s="110" t="s">
        <v>30</v>
      </c>
      <c r="D34" s="110"/>
      <c r="E34" s="110"/>
      <c r="F34" s="110" t="s">
        <v>189</v>
      </c>
      <c r="G34" s="110"/>
      <c r="H34" s="110"/>
    </row>
    <row r="35" spans="1:8" x14ac:dyDescent="0.3">
      <c r="A35" s="109" t="s">
        <v>27</v>
      </c>
      <c r="B35" s="109" t="s">
        <v>30</v>
      </c>
      <c r="C35" s="110" t="s">
        <v>30</v>
      </c>
      <c r="D35" s="110"/>
      <c r="E35" s="110"/>
      <c r="F35" s="110" t="s">
        <v>189</v>
      </c>
      <c r="G35" s="110"/>
      <c r="H35" s="110"/>
    </row>
    <row r="36" spans="1:8" x14ac:dyDescent="0.3">
      <c r="A36" s="63" t="s">
        <v>32</v>
      </c>
      <c r="B36" s="63"/>
      <c r="C36" s="63"/>
      <c r="D36" s="63"/>
      <c r="E36" s="63"/>
      <c r="F36" s="63"/>
      <c r="G36" s="63"/>
      <c r="H36" s="63"/>
    </row>
    <row r="37" spans="1:8" ht="15.75" customHeight="1" x14ac:dyDescent="0.3">
      <c r="A37" s="166" t="s">
        <v>211</v>
      </c>
      <c r="B37" s="166"/>
      <c r="C37" s="176" t="s">
        <v>212</v>
      </c>
      <c r="D37" s="177"/>
      <c r="E37" s="177"/>
      <c r="F37" s="177"/>
      <c r="G37" s="177"/>
      <c r="H37" s="178"/>
    </row>
    <row r="38" spans="1:8" x14ac:dyDescent="0.3">
      <c r="A38" s="166" t="s">
        <v>171</v>
      </c>
      <c r="B38" s="166"/>
      <c r="C38" s="175" t="s">
        <v>190</v>
      </c>
      <c r="D38" s="96"/>
      <c r="E38" s="96"/>
      <c r="F38" s="96"/>
      <c r="G38" s="96"/>
      <c r="H38" s="96"/>
    </row>
    <row r="39" spans="1:8" x14ac:dyDescent="0.3">
      <c r="A39" s="172" t="s">
        <v>35</v>
      </c>
      <c r="B39" s="172"/>
      <c r="C39" s="172"/>
      <c r="D39" s="172"/>
      <c r="E39" s="172"/>
      <c r="F39" s="172"/>
      <c r="G39" s="172"/>
      <c r="H39" s="172"/>
    </row>
    <row r="40" spans="1:8" x14ac:dyDescent="0.3">
      <c r="A40" s="63" t="s">
        <v>36</v>
      </c>
      <c r="B40" s="63"/>
      <c r="C40" s="63"/>
      <c r="D40" s="63"/>
      <c r="E40" s="171">
        <v>27933.02</v>
      </c>
      <c r="F40" s="171"/>
      <c r="G40" s="171"/>
      <c r="H40" s="171"/>
    </row>
    <row r="41" spans="1:8" x14ac:dyDescent="0.3">
      <c r="A41" s="63" t="s">
        <v>37</v>
      </c>
      <c r="B41" s="63"/>
      <c r="C41" s="63"/>
      <c r="D41" s="63"/>
      <c r="E41" s="111">
        <v>1.1000000000000001</v>
      </c>
      <c r="F41" s="111"/>
      <c r="G41" s="111"/>
      <c r="H41" s="111"/>
    </row>
    <row r="42" spans="1:8" x14ac:dyDescent="0.3">
      <c r="A42" s="63" t="s">
        <v>38</v>
      </c>
      <c r="B42" s="63"/>
      <c r="C42" s="63"/>
      <c r="D42" s="63"/>
      <c r="E42" s="111">
        <f>E44/E40-E41</f>
        <v>3.5925180306318478</v>
      </c>
      <c r="F42" s="111"/>
      <c r="G42" s="111"/>
      <c r="H42" s="111"/>
    </row>
    <row r="43" spans="1:8" x14ac:dyDescent="0.3">
      <c r="A43" s="63" t="s">
        <v>39</v>
      </c>
      <c r="B43" s="63"/>
      <c r="C43" s="63"/>
      <c r="D43" s="63"/>
      <c r="E43" s="111">
        <f>E41+E42</f>
        <v>4.6925180306318479</v>
      </c>
      <c r="F43" s="111"/>
      <c r="G43" s="111"/>
      <c r="H43" s="111"/>
    </row>
    <row r="44" spans="1:8" x14ac:dyDescent="0.3">
      <c r="A44" s="64" t="s">
        <v>95</v>
      </c>
      <c r="B44" s="64"/>
      <c r="C44" s="64"/>
      <c r="D44" s="64"/>
      <c r="E44" s="174">
        <v>131076.20000000001</v>
      </c>
      <c r="F44" s="174"/>
      <c r="G44" s="174"/>
      <c r="H44" s="174"/>
    </row>
    <row r="45" spans="1:8" x14ac:dyDescent="0.3">
      <c r="A45" s="64" t="s">
        <v>40</v>
      </c>
      <c r="B45" s="64"/>
      <c r="C45" s="64"/>
      <c r="D45" s="64"/>
      <c r="E45" s="64" t="s">
        <v>213</v>
      </c>
      <c r="F45" s="64"/>
      <c r="G45" s="64"/>
      <c r="H45" s="64"/>
    </row>
    <row r="46" spans="1:8" x14ac:dyDescent="0.3">
      <c r="A46" s="88" t="s">
        <v>41</v>
      </c>
      <c r="B46" s="88"/>
      <c r="C46" s="88"/>
      <c r="D46" s="88"/>
      <c r="E46" s="88"/>
      <c r="F46" s="88"/>
      <c r="G46" s="88"/>
      <c r="H46" s="88"/>
    </row>
    <row r="47" spans="1:8" ht="33.75" customHeight="1" x14ac:dyDescent="0.3">
      <c r="A47" s="112" t="s">
        <v>159</v>
      </c>
      <c r="B47" s="113"/>
      <c r="C47" s="192" t="s">
        <v>196</v>
      </c>
      <c r="D47" s="193"/>
      <c r="E47" s="193"/>
      <c r="F47" s="193"/>
      <c r="G47" s="193"/>
      <c r="H47" s="194"/>
    </row>
    <row r="48" spans="1:8" ht="15.75" customHeight="1" x14ac:dyDescent="0.3">
      <c r="A48" s="112" t="s">
        <v>42</v>
      </c>
      <c r="B48" s="113"/>
      <c r="C48" s="114" t="s">
        <v>214</v>
      </c>
      <c r="D48" s="115"/>
      <c r="E48" s="116"/>
      <c r="F48" s="49" t="s">
        <v>43</v>
      </c>
      <c r="G48" s="117">
        <v>45180</v>
      </c>
      <c r="H48" s="113"/>
    </row>
    <row r="49" spans="1:14" x14ac:dyDescent="0.3">
      <c r="A49" s="123" t="s">
        <v>44</v>
      </c>
      <c r="B49" s="124"/>
      <c r="C49" s="120" t="str">
        <f>C48</f>
        <v>KDMC/TPD/BP/27Village/2020-21/16/198</v>
      </c>
      <c r="D49" s="121"/>
      <c r="E49" s="122"/>
      <c r="F49" s="18" t="s">
        <v>43</v>
      </c>
      <c r="G49" s="118">
        <f>G48</f>
        <v>45180</v>
      </c>
      <c r="H49" s="119"/>
    </row>
    <row r="50" spans="1:14" s="21" customFormat="1" ht="15.75" customHeight="1" x14ac:dyDescent="0.3">
      <c r="A50" s="105" t="s">
        <v>163</v>
      </c>
      <c r="B50" s="106"/>
      <c r="C50" s="120" t="str">
        <f>C49</f>
        <v>KDMC/TPD/BP/27Village/2020-21/16/198</v>
      </c>
      <c r="D50" s="121"/>
      <c r="E50" s="122"/>
      <c r="F50" s="18" t="s">
        <v>43</v>
      </c>
      <c r="G50" s="118">
        <f>G49</f>
        <v>45180</v>
      </c>
      <c r="H50" s="119"/>
    </row>
    <row r="51" spans="1:14" s="21" customFormat="1" ht="36" customHeight="1" x14ac:dyDescent="0.3">
      <c r="A51" s="107"/>
      <c r="B51" s="108"/>
      <c r="C51" s="123" t="s">
        <v>215</v>
      </c>
      <c r="D51" s="160"/>
      <c r="E51" s="160"/>
      <c r="F51" s="160"/>
      <c r="G51" s="160"/>
      <c r="H51" s="124"/>
    </row>
    <row r="52" spans="1:14" x14ac:dyDescent="0.3">
      <c r="A52" s="161" t="s">
        <v>45</v>
      </c>
      <c r="B52" s="162"/>
      <c r="C52" s="161" t="s">
        <v>108</v>
      </c>
      <c r="D52" s="163"/>
      <c r="E52" s="162"/>
      <c r="F52" s="42" t="s">
        <v>43</v>
      </c>
      <c r="G52" s="158" t="s">
        <v>30</v>
      </c>
      <c r="H52" s="159"/>
    </row>
    <row r="53" spans="1:14" x14ac:dyDescent="0.3">
      <c r="A53" s="132" t="s">
        <v>47</v>
      </c>
      <c r="B53" s="132"/>
      <c r="C53" s="132"/>
      <c r="D53" s="132"/>
      <c r="E53" s="132"/>
      <c r="F53" s="132"/>
      <c r="G53" s="132"/>
      <c r="H53" s="132"/>
    </row>
    <row r="54" spans="1:14" x14ac:dyDescent="0.3">
      <c r="A54" s="95" t="s">
        <v>94</v>
      </c>
      <c r="B54" s="95"/>
      <c r="C54" s="95"/>
      <c r="D54" s="63">
        <f>24777.37+31014.07</f>
        <v>55791.44</v>
      </c>
      <c r="E54" s="63"/>
      <c r="F54" s="63"/>
      <c r="G54" s="63"/>
      <c r="H54" s="63"/>
    </row>
    <row r="55" spans="1:14" x14ac:dyDescent="0.3">
      <c r="A55" s="96" t="s">
        <v>48</v>
      </c>
      <c r="B55" s="64"/>
      <c r="C55" s="64"/>
      <c r="D55" s="64" t="s">
        <v>232</v>
      </c>
      <c r="E55" s="64"/>
      <c r="F55" s="64"/>
      <c r="G55" s="64"/>
      <c r="H55" s="64"/>
      <c r="I55" s="22"/>
    </row>
    <row r="56" spans="1:14" ht="34.5" customHeight="1" x14ac:dyDescent="0.3">
      <c r="A56" s="100" t="s">
        <v>49</v>
      </c>
      <c r="B56" s="101"/>
      <c r="C56" s="102"/>
      <c r="D56" s="155" t="s">
        <v>216</v>
      </c>
      <c r="E56" s="179"/>
      <c r="F56" s="179"/>
      <c r="G56" s="179"/>
      <c r="H56" s="179"/>
    </row>
    <row r="57" spans="1:14" ht="15.75" customHeight="1" x14ac:dyDescent="0.3">
      <c r="A57" s="100" t="s">
        <v>92</v>
      </c>
      <c r="B57" s="101"/>
      <c r="C57" s="102"/>
      <c r="D57" s="100" t="s">
        <v>217</v>
      </c>
      <c r="E57" s="152"/>
      <c r="F57" s="152"/>
      <c r="G57" s="152"/>
      <c r="H57" s="153"/>
    </row>
    <row r="58" spans="1:14" x14ac:dyDescent="0.3">
      <c r="A58" s="97"/>
      <c r="B58" s="103"/>
      <c r="C58" s="104"/>
      <c r="D58" s="97" t="s">
        <v>197</v>
      </c>
      <c r="E58" s="98"/>
      <c r="F58" s="98"/>
      <c r="G58" s="98"/>
      <c r="H58" s="99"/>
    </row>
    <row r="59" spans="1:14" ht="15.75" customHeight="1" x14ac:dyDescent="0.3">
      <c r="A59" s="63" t="s">
        <v>46</v>
      </c>
      <c r="B59" s="63"/>
      <c r="C59" s="63"/>
      <c r="D59" s="173" t="s">
        <v>191</v>
      </c>
      <c r="E59" s="173"/>
      <c r="F59" s="173"/>
      <c r="G59" s="173"/>
      <c r="H59" s="173"/>
      <c r="J59" s="23"/>
      <c r="K59" s="22"/>
      <c r="N59" s="22"/>
    </row>
    <row r="60" spans="1:14" ht="15.75" customHeight="1" x14ac:dyDescent="0.3">
      <c r="A60" s="63" t="s">
        <v>90</v>
      </c>
      <c r="B60" s="63"/>
      <c r="C60" s="63"/>
      <c r="D60" s="89" t="str">
        <f>(IF(G52="NA","60 Years After Completion",IF(G52&lt;&gt;"NA",""&amp;60-ROUNDDOWN((E3-G52)/360,0)&amp;" Years"," ")))</f>
        <v>60 Years After Completion</v>
      </c>
      <c r="E60" s="89"/>
      <c r="F60" s="89"/>
      <c r="G60" s="89"/>
      <c r="H60" s="89"/>
      <c r="N60" s="22"/>
    </row>
    <row r="61" spans="1:14" ht="15.75" customHeight="1" x14ac:dyDescent="0.3">
      <c r="A61" s="63" t="s">
        <v>91</v>
      </c>
      <c r="B61" s="63"/>
      <c r="C61" s="63"/>
      <c r="D61" s="95" t="s">
        <v>24</v>
      </c>
      <c r="E61" s="95"/>
      <c r="F61" s="95"/>
      <c r="G61" s="95"/>
      <c r="H61" s="95"/>
      <c r="J61" s="24"/>
      <c r="K61" s="24"/>
    </row>
    <row r="62" spans="1:14" ht="15" hidden="1" customHeight="1" x14ac:dyDescent="0.3">
      <c r="A62" s="63" t="s">
        <v>77</v>
      </c>
      <c r="B62" s="63"/>
      <c r="C62" s="63"/>
      <c r="D62" s="96" t="s">
        <v>155</v>
      </c>
      <c r="E62" s="95"/>
      <c r="F62" s="95"/>
      <c r="G62" s="95"/>
      <c r="H62" s="95"/>
    </row>
    <row r="63" spans="1:14" x14ac:dyDescent="0.3">
      <c r="A63" s="95" t="s">
        <v>156</v>
      </c>
      <c r="B63" s="95"/>
      <c r="C63" s="95"/>
      <c r="D63" s="95" t="s">
        <v>30</v>
      </c>
      <c r="E63" s="95"/>
      <c r="F63" s="95"/>
      <c r="G63" s="95"/>
      <c r="H63" s="95"/>
      <c r="I63" s="25"/>
      <c r="J63" s="25"/>
      <c r="K63" s="25"/>
      <c r="L63" s="25"/>
      <c r="M63" s="25"/>
      <c r="N63" s="25"/>
    </row>
    <row r="64" spans="1:14" ht="15.75" customHeight="1" x14ac:dyDescent="0.3">
      <c r="A64" s="154" t="s">
        <v>89</v>
      </c>
      <c r="B64" s="154"/>
      <c r="C64" s="154"/>
      <c r="D64" s="155" t="str">
        <f ca="1">(IF(G70&gt;95%,"Nothing",IF(G70&gt;0%,"Cement, Aggregate, Steel, etc",IF(G70=0%,"Work not yet Started"))))</f>
        <v>Cement, Aggregate, Steel, etc</v>
      </c>
      <c r="E64" s="155"/>
      <c r="F64" s="155"/>
      <c r="G64" s="155"/>
      <c r="H64" s="155"/>
      <c r="J64" s="24"/>
    </row>
    <row r="65" spans="1:10" ht="33.75" customHeight="1" thickBot="1" x14ac:dyDescent="0.35">
      <c r="A65" s="164" t="s">
        <v>121</v>
      </c>
      <c r="B65" s="164"/>
      <c r="C65" s="164"/>
      <c r="D65" s="155" t="str">
        <f ca="1">(IF(D64="Nothing","Yes",IF(D64="Cement, Aggregate, Steel, etc","Under Construction",IF(D64="Work not yet Started","Work not yet Started"))))</f>
        <v>Under Construction</v>
      </c>
      <c r="E65" s="155"/>
      <c r="F65" s="155" t="str">
        <f ca="1">(IF(D64="Nothing","Yes",IF(D64="Cement, Aggregate, Steel, etc","Under Construction",IF(D64="Work not yet Started","Work not yet Started"))))</f>
        <v>Under Construction</v>
      </c>
      <c r="G65" s="155"/>
      <c r="H65" s="155"/>
    </row>
    <row r="66" spans="1:10" ht="15.75" customHeight="1" x14ac:dyDescent="0.3">
      <c r="A66" s="90" t="s">
        <v>145</v>
      </c>
      <c r="B66" s="91"/>
      <c r="C66" s="92" t="str">
        <f>D57</f>
        <v>Building No. 3 = G/St + 3P + 1st to 30th Floor</v>
      </c>
      <c r="D66" s="93"/>
      <c r="E66" s="93"/>
      <c r="F66" s="93"/>
      <c r="G66" s="93"/>
      <c r="H66" s="94"/>
      <c r="I66" s="44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 Completed, External Plaster upto 26 Floor, Flooring upto 16 Floor Completed</v>
      </c>
      <c r="J66" s="45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External Plaster upto 26 Floor, Flooring upto 16 Floor</v>
      </c>
    </row>
    <row r="67" spans="1:10" x14ac:dyDescent="0.3">
      <c r="A67" s="16" t="s">
        <v>147</v>
      </c>
      <c r="B67" s="48">
        <v>0</v>
      </c>
      <c r="C67" s="48" t="s">
        <v>74</v>
      </c>
      <c r="D67" s="48">
        <v>1</v>
      </c>
      <c r="E67" s="48" t="s">
        <v>73</v>
      </c>
      <c r="F67" s="48">
        <v>3</v>
      </c>
      <c r="G67" s="48" t="s">
        <v>83</v>
      </c>
      <c r="H67" s="17">
        <f ca="1">--TRIM(RIGHT(SUBSTITUTE(LEFT(C66,_xlfn.AGGREGATE(16,6,FIND({0,1,2,3,4,5,6,7,8,9},C66,ROW(INDIRECT("1:"&amp;LEN(C66)))),1))," ",REPT(" ",LEN(C66))),LEN(C66)))</f>
        <v>30</v>
      </c>
      <c r="I67" s="46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</v>
      </c>
      <c r="J67" s="47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5.25" customHeight="1" x14ac:dyDescent="0.3">
      <c r="A68" s="87" t="s">
        <v>93</v>
      </c>
      <c r="B68" s="88"/>
      <c r="C68" s="78" t="str">
        <f ca="1">(IF($G$52="NA",I66,"All work Completed. OC Received."))</f>
        <v>Excavation, Plinth, RCC Slab, Brickwork, Internal Plaster Completed, External Plaster upto 26 Floor, Flooring upto 16 Floor Completed</v>
      </c>
      <c r="D68" s="78"/>
      <c r="E68" s="78"/>
      <c r="F68" s="78"/>
      <c r="G68" s="78"/>
      <c r="H68" s="79"/>
      <c r="I68" s="46" t="str">
        <f ca="1">IF(I67&lt;&gt;""," Completed","")</f>
        <v xml:space="preserve"> Completed</v>
      </c>
      <c r="J68" s="47" t="str">
        <f ca="1">IF(J66&lt;&gt;"","Completed","")</f>
        <v>Completed</v>
      </c>
    </row>
    <row r="69" spans="1:10" ht="15.75" customHeight="1" x14ac:dyDescent="0.3">
      <c r="A69" s="65" t="s">
        <v>50</v>
      </c>
      <c r="B69" s="66"/>
      <c r="C69" s="50" t="s">
        <v>144</v>
      </c>
      <c r="D69" s="50" t="s">
        <v>86</v>
      </c>
      <c r="E69" s="66" t="s">
        <v>88</v>
      </c>
      <c r="F69" s="66"/>
      <c r="G69" s="66" t="s">
        <v>87</v>
      </c>
      <c r="H69" s="80"/>
      <c r="I69" s="14" t="s">
        <v>146</v>
      </c>
      <c r="J69" s="26">
        <f ca="1">H67*25%</f>
        <v>7.5</v>
      </c>
    </row>
    <row r="70" spans="1:10" x14ac:dyDescent="0.3">
      <c r="A70" s="65" t="s">
        <v>133</v>
      </c>
      <c r="B70" s="66"/>
      <c r="C70" s="50">
        <v>30</v>
      </c>
      <c r="D70" s="51">
        <f ca="1">((100/H67)*C70)/100</f>
        <v>1</v>
      </c>
      <c r="E70" s="67">
        <f ca="1">(((C71/H67*10)+(40/(D67+F67+H67)*C72)+(7.5/(H67)*C73)+(7.5/(H67)*C74)+(10/H67*C75)+(10/H67*C76)+(5/H67*C77)+(5/H67*C78)+(5/H67*C79))/100)</f>
        <v>0.79</v>
      </c>
      <c r="F70" s="68"/>
      <c r="G70" s="67">
        <f ca="1">((((C70/H67)*20)+((C71/H67)*25)+(30/(H67+F67+D67)*C72)+(5/H67*C73)+(5/H67*C74)+(5/H67*C75)+(5/H67*C76)+(0/H67*C77)+(0/H67*C78)+(5/H67*C79))/100)</f>
        <v>0.92</v>
      </c>
      <c r="H70" s="73"/>
      <c r="I70" s="14" t="s">
        <v>103</v>
      </c>
      <c r="J70" s="27">
        <f ca="1">H67*50%</f>
        <v>15</v>
      </c>
    </row>
    <row r="71" spans="1:10" x14ac:dyDescent="0.3">
      <c r="A71" s="65" t="s">
        <v>51</v>
      </c>
      <c r="B71" s="66"/>
      <c r="C71" s="54">
        <v>30</v>
      </c>
      <c r="D71" s="51">
        <f ca="1">((100/H67)*C71)/100</f>
        <v>1</v>
      </c>
      <c r="E71" s="69"/>
      <c r="F71" s="70"/>
      <c r="G71" s="69"/>
      <c r="H71" s="74"/>
      <c r="I71" s="14" t="s">
        <v>104</v>
      </c>
      <c r="J71" s="27">
        <f ca="1">H67</f>
        <v>30</v>
      </c>
    </row>
    <row r="72" spans="1:10" ht="15.75" customHeight="1" x14ac:dyDescent="0.3">
      <c r="A72" s="65" t="s">
        <v>134</v>
      </c>
      <c r="B72" s="66"/>
      <c r="C72" s="50">
        <v>34</v>
      </c>
      <c r="D72" s="51">
        <f ca="1">((100/(D67+F67+H67))*C72)/100</f>
        <v>1</v>
      </c>
      <c r="E72" s="69"/>
      <c r="F72" s="70"/>
      <c r="G72" s="69"/>
      <c r="H72" s="74"/>
      <c r="I72" s="14" t="s">
        <v>105</v>
      </c>
      <c r="J72" s="28">
        <f ca="1">(IF(B67&gt;1,(H67/(B67+2)),H67/4))</f>
        <v>7.5</v>
      </c>
    </row>
    <row r="73" spans="1:10" ht="15.75" customHeight="1" x14ac:dyDescent="0.3">
      <c r="A73" s="65" t="s">
        <v>141</v>
      </c>
      <c r="B73" s="66" t="s">
        <v>135</v>
      </c>
      <c r="C73" s="50">
        <v>30</v>
      </c>
      <c r="D73" s="51">
        <f ca="1">((100/H67)*C73)/100</f>
        <v>1</v>
      </c>
      <c r="E73" s="69"/>
      <c r="F73" s="70"/>
      <c r="G73" s="69"/>
      <c r="H73" s="74"/>
      <c r="I73" s="14" t="s">
        <v>106</v>
      </c>
      <c r="J73" s="28">
        <f ca="1">(IF(B67&gt;1,(H67/(B67+2)+J72),H67/4+J72))</f>
        <v>15</v>
      </c>
    </row>
    <row r="74" spans="1:10" ht="15.75" customHeight="1" x14ac:dyDescent="0.3">
      <c r="A74" s="65" t="s">
        <v>142</v>
      </c>
      <c r="B74" s="66" t="s">
        <v>135</v>
      </c>
      <c r="C74" s="54">
        <v>30</v>
      </c>
      <c r="D74" s="51">
        <f ca="1">((100/H67)*C74)/100</f>
        <v>1</v>
      </c>
      <c r="E74" s="69"/>
      <c r="F74" s="70"/>
      <c r="G74" s="69"/>
      <c r="H74" s="74"/>
      <c r="I74" s="14" t="s">
        <v>153</v>
      </c>
      <c r="J74" s="28">
        <f>(IF(B67&gt;1,(H67/(B67+2)+J73),0))</f>
        <v>0</v>
      </c>
    </row>
    <row r="75" spans="1:10" ht="15" customHeight="1" x14ac:dyDescent="0.3">
      <c r="A75" s="126" t="s">
        <v>140</v>
      </c>
      <c r="B75" s="110" t="s">
        <v>137</v>
      </c>
      <c r="C75" s="54">
        <v>26</v>
      </c>
      <c r="D75" s="51">
        <f ca="1">((100/(H67))*C75)/100</f>
        <v>0.8666666666666667</v>
      </c>
      <c r="E75" s="69"/>
      <c r="F75" s="70"/>
      <c r="G75" s="69"/>
      <c r="H75" s="74"/>
      <c r="I75" s="14" t="s">
        <v>148</v>
      </c>
      <c r="J75" s="28">
        <f>(IF(B67&gt;2,(H67/(B67+2)+J74),0))</f>
        <v>0</v>
      </c>
    </row>
    <row r="76" spans="1:10" ht="15.75" customHeight="1" x14ac:dyDescent="0.3">
      <c r="A76" s="65" t="s">
        <v>136</v>
      </c>
      <c r="B76" s="66" t="s">
        <v>136</v>
      </c>
      <c r="C76" s="50">
        <v>16</v>
      </c>
      <c r="D76" s="51">
        <f ca="1">((100/H67)*C76)/100</f>
        <v>0.53333333333333333</v>
      </c>
      <c r="E76" s="69"/>
      <c r="F76" s="70"/>
      <c r="G76" s="69"/>
      <c r="H76" s="74"/>
      <c r="I76" s="14" t="s">
        <v>149</v>
      </c>
      <c r="J76" s="29">
        <f>(IF(B67&gt;3,(H67/(B67+2)+J75),0))</f>
        <v>0</v>
      </c>
    </row>
    <row r="77" spans="1:10" ht="15.75" customHeight="1" x14ac:dyDescent="0.3">
      <c r="A77" s="65" t="s">
        <v>143</v>
      </c>
      <c r="B77" s="66"/>
      <c r="C77" s="50">
        <v>0</v>
      </c>
      <c r="D77" s="51">
        <f ca="1">((100/H67)*C77)/100</f>
        <v>0</v>
      </c>
      <c r="E77" s="69"/>
      <c r="F77" s="70"/>
      <c r="G77" s="69"/>
      <c r="H77" s="74"/>
      <c r="I77" s="14" t="s">
        <v>150</v>
      </c>
      <c r="J77" s="28">
        <f>(IF(B67&gt;4,(H67/(B67+2)+J76),0))</f>
        <v>0</v>
      </c>
    </row>
    <row r="78" spans="1:10" ht="15.75" customHeight="1" x14ac:dyDescent="0.3">
      <c r="A78" s="65" t="s">
        <v>138</v>
      </c>
      <c r="B78" s="66" t="s">
        <v>138</v>
      </c>
      <c r="C78" s="50">
        <v>0</v>
      </c>
      <c r="D78" s="51">
        <f ca="1">((100/(H67))*C78)/100</f>
        <v>0</v>
      </c>
      <c r="E78" s="69"/>
      <c r="F78" s="70"/>
      <c r="G78" s="69"/>
      <c r="H78" s="74"/>
      <c r="I78" s="14" t="s">
        <v>154</v>
      </c>
      <c r="J78" s="28">
        <f ca="1">(IF(B67=1,(H67/(B67+3)+J73),IF(B67=0,(H67/4+J73),IF(B67&gt;1,0))))</f>
        <v>22.5</v>
      </c>
    </row>
    <row r="79" spans="1:10" ht="16.2" thickBot="1" x14ac:dyDescent="0.35">
      <c r="A79" s="76" t="s">
        <v>139</v>
      </c>
      <c r="B79" s="77"/>
      <c r="C79" s="52">
        <v>0</v>
      </c>
      <c r="D79" s="53">
        <f ca="1">((100/(H67))*C79)/100</f>
        <v>0</v>
      </c>
      <c r="E79" s="71"/>
      <c r="F79" s="72"/>
      <c r="G79" s="71"/>
      <c r="H79" s="75"/>
      <c r="I79" s="15" t="s">
        <v>107</v>
      </c>
      <c r="J79" s="30">
        <f ca="1">(IF(B67&gt;1.5,(H67/(B67+2)+J73+MAX(0,J74-J73)+MAX(0,J75-J74)+MAX(0,J76-J75)+MAX(0,J77-J76)+MAX(0,J78-J77)),IF(B67=1,(H67/(B67+3)+J78),IF(B67=0,H67/4+J78))))</f>
        <v>30</v>
      </c>
    </row>
    <row r="80" spans="1:10" ht="15.75" customHeight="1" x14ac:dyDescent="0.3">
      <c r="A80" s="90" t="s">
        <v>145</v>
      </c>
      <c r="B80" s="91"/>
      <c r="C80" s="92" t="str">
        <f>D58</f>
        <v>Building No. 4 = G/St + 3P + 1st to 30th Floor</v>
      </c>
      <c r="D80" s="93"/>
      <c r="E80" s="93"/>
      <c r="F80" s="93"/>
      <c r="G80" s="93"/>
      <c r="H80" s="94"/>
      <c r="I80" s="44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Plaster, External Plaster Completed, Flooring upto 22 Floor, Painting upto 15 Floor Completed</v>
      </c>
      <c r="J80" s="45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Flooring upto 22 Floor, Painting upto 15 Floor</v>
      </c>
    </row>
    <row r="81" spans="1:13" x14ac:dyDescent="0.3">
      <c r="A81" s="16" t="s">
        <v>147</v>
      </c>
      <c r="B81" s="48">
        <v>0</v>
      </c>
      <c r="C81" s="48" t="s">
        <v>74</v>
      </c>
      <c r="D81" s="48">
        <v>1</v>
      </c>
      <c r="E81" s="48" t="s">
        <v>73</v>
      </c>
      <c r="F81" s="48">
        <v>3</v>
      </c>
      <c r="G81" s="48" t="s">
        <v>83</v>
      </c>
      <c r="H81" s="17">
        <f ca="1">--TRIM(RIGHT(SUBSTITUTE(LEFT(C80,_xlfn.AGGREGATE(16,6,FIND({0,1,2,3,4,5,6,7,8,9},C80,ROW(INDIRECT("1:"&amp;LEN(C80)))),1))," ",REPT(" ",LEN(C80))),LEN(C80)))</f>
        <v>30</v>
      </c>
      <c r="I81" s="46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Plaster, External Plaster</v>
      </c>
      <c r="J81" s="47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3" ht="35.25" customHeight="1" x14ac:dyDescent="0.3">
      <c r="A82" s="87" t="s">
        <v>93</v>
      </c>
      <c r="B82" s="88"/>
      <c r="C82" s="78" t="str">
        <f ca="1">(IF($G$52="NA",I80,"All work Completed. OC Received."))</f>
        <v>Excavation, Plinth, RCC Slab, Brickwork, Internal Plaster, External Plaster Completed, Flooring upto 22 Floor, Painting upto 15 Floor Completed</v>
      </c>
      <c r="D82" s="78"/>
      <c r="E82" s="78"/>
      <c r="F82" s="78"/>
      <c r="G82" s="78"/>
      <c r="H82" s="79"/>
      <c r="I82" s="46" t="str">
        <f ca="1">IF(I81&lt;&gt;""," Completed","")</f>
        <v xml:space="preserve"> Completed</v>
      </c>
      <c r="J82" s="47" t="str">
        <f ca="1">IF(J80&lt;&gt;"","Completed","")</f>
        <v>Completed</v>
      </c>
    </row>
    <row r="83" spans="1:13" ht="15.75" customHeight="1" x14ac:dyDescent="0.3">
      <c r="A83" s="65" t="s">
        <v>50</v>
      </c>
      <c r="B83" s="66"/>
      <c r="C83" s="50" t="s">
        <v>144</v>
      </c>
      <c r="D83" s="50" t="s">
        <v>86</v>
      </c>
      <c r="E83" s="66" t="s">
        <v>88</v>
      </c>
      <c r="F83" s="66"/>
      <c r="G83" s="66" t="s">
        <v>87</v>
      </c>
      <c r="H83" s="80"/>
      <c r="I83" s="14" t="s">
        <v>146</v>
      </c>
      <c r="J83" s="26">
        <f ca="1">H81*25%</f>
        <v>7.5</v>
      </c>
    </row>
    <row r="84" spans="1:13" x14ac:dyDescent="0.3">
      <c r="A84" s="65" t="s">
        <v>133</v>
      </c>
      <c r="B84" s="66"/>
      <c r="C84" s="50">
        <f ca="1">J85</f>
        <v>30</v>
      </c>
      <c r="D84" s="51">
        <f ca="1">((100/H81)*C84)/100</f>
        <v>1</v>
      </c>
      <c r="E84" s="67">
        <f ca="1">(((C85/H81*10)+(40/(D81+F81+H81)*C86)+(7.5/(H81)*C87)+(7.5/(H81)*C88)+(10/H81*C89)+(10/H81*C90)+(5/H81*C91)+(5/H81*C92)+(5/H81*C93))/100)</f>
        <v>0.84833333333333327</v>
      </c>
      <c r="F84" s="68"/>
      <c r="G84" s="67">
        <f ca="1">((((C84/H81)*20)+((C85/H81)*25)+(30/(H81+F81+D81)*C86)+(5/H81*C87)+(5/H81*C88)+(5/H81*C89)+(5/H81*C90)+(0/H81*C91)+(0/H81*C92)+(5/H81*C93))/100)</f>
        <v>0.93666666666666676</v>
      </c>
      <c r="H84" s="73"/>
      <c r="I84" s="14" t="s">
        <v>103</v>
      </c>
      <c r="J84" s="27">
        <f ca="1">H81*50%</f>
        <v>15</v>
      </c>
    </row>
    <row r="85" spans="1:13" x14ac:dyDescent="0.3">
      <c r="A85" s="65" t="s">
        <v>51</v>
      </c>
      <c r="B85" s="66"/>
      <c r="C85" s="54">
        <f ca="1">J93</f>
        <v>30</v>
      </c>
      <c r="D85" s="51">
        <f ca="1">((100/H81)*C85)/100</f>
        <v>1</v>
      </c>
      <c r="E85" s="69"/>
      <c r="F85" s="70"/>
      <c r="G85" s="69"/>
      <c r="H85" s="74"/>
      <c r="I85" s="14" t="s">
        <v>104</v>
      </c>
      <c r="J85" s="27">
        <f ca="1">H81</f>
        <v>30</v>
      </c>
    </row>
    <row r="86" spans="1:13" ht="15.75" customHeight="1" x14ac:dyDescent="0.3">
      <c r="A86" s="65" t="s">
        <v>134</v>
      </c>
      <c r="B86" s="66"/>
      <c r="C86" s="50">
        <v>34</v>
      </c>
      <c r="D86" s="51">
        <f ca="1">((100/(D81+F81+H81))*C86)/100</f>
        <v>1</v>
      </c>
      <c r="E86" s="69"/>
      <c r="F86" s="70"/>
      <c r="G86" s="69"/>
      <c r="H86" s="74"/>
      <c r="I86" s="14" t="s">
        <v>105</v>
      </c>
      <c r="J86" s="28">
        <f ca="1">(IF(B81&gt;1,(H81/(B81+2)),H81/4))</f>
        <v>7.5</v>
      </c>
    </row>
    <row r="87" spans="1:13" ht="15.75" customHeight="1" x14ac:dyDescent="0.3">
      <c r="A87" s="65" t="s">
        <v>141</v>
      </c>
      <c r="B87" s="66" t="s">
        <v>135</v>
      </c>
      <c r="C87" s="50">
        <f>C86-4</f>
        <v>30</v>
      </c>
      <c r="D87" s="51">
        <f ca="1">((100/H81)*C87)/100</f>
        <v>1</v>
      </c>
      <c r="E87" s="69"/>
      <c r="F87" s="70"/>
      <c r="G87" s="69"/>
      <c r="H87" s="74"/>
      <c r="I87" s="14" t="s">
        <v>106</v>
      </c>
      <c r="J87" s="28">
        <f ca="1">(IF(B81&gt;1,(H81/(B81+2)+J86),H81/4+J86))</f>
        <v>15</v>
      </c>
    </row>
    <row r="88" spans="1:13" ht="15.75" customHeight="1" x14ac:dyDescent="0.3">
      <c r="A88" s="65" t="s">
        <v>142</v>
      </c>
      <c r="B88" s="66" t="s">
        <v>135</v>
      </c>
      <c r="C88" s="54">
        <v>30</v>
      </c>
      <c r="D88" s="51">
        <f ca="1">((100/H81)*C88)/100</f>
        <v>1</v>
      </c>
      <c r="E88" s="69"/>
      <c r="F88" s="70"/>
      <c r="G88" s="69"/>
      <c r="H88" s="74"/>
      <c r="I88" s="14" t="s">
        <v>153</v>
      </c>
      <c r="J88" s="28">
        <f>(IF(B81&gt;1,(H81/(B81+2)+J87),0))</f>
        <v>0</v>
      </c>
    </row>
    <row r="89" spans="1:13" ht="15" customHeight="1" x14ac:dyDescent="0.3">
      <c r="A89" s="65" t="s">
        <v>140</v>
      </c>
      <c r="B89" s="66" t="s">
        <v>137</v>
      </c>
      <c r="C89" s="54">
        <v>30</v>
      </c>
      <c r="D89" s="51">
        <f ca="1">((100/(H81))*C89)/100</f>
        <v>1</v>
      </c>
      <c r="E89" s="69"/>
      <c r="F89" s="70"/>
      <c r="G89" s="69"/>
      <c r="H89" s="74"/>
      <c r="I89" s="14" t="s">
        <v>148</v>
      </c>
      <c r="J89" s="28">
        <f>(IF(B81&gt;2,(H81/(B81+2)+J88),0))</f>
        <v>0</v>
      </c>
    </row>
    <row r="90" spans="1:13" ht="15.75" customHeight="1" x14ac:dyDescent="0.3">
      <c r="A90" s="65" t="s">
        <v>136</v>
      </c>
      <c r="B90" s="66" t="s">
        <v>136</v>
      </c>
      <c r="C90" s="50">
        <v>22</v>
      </c>
      <c r="D90" s="51">
        <f ca="1">((100/H81)*C90)/100</f>
        <v>0.73333333333333339</v>
      </c>
      <c r="E90" s="69"/>
      <c r="F90" s="70"/>
      <c r="G90" s="69"/>
      <c r="H90" s="74"/>
      <c r="I90" s="14" t="s">
        <v>149</v>
      </c>
      <c r="J90" s="29">
        <f>(IF(B81&gt;3,(H81/(B81+2)+J89),0))</f>
        <v>0</v>
      </c>
    </row>
    <row r="91" spans="1:13" ht="15.75" customHeight="1" x14ac:dyDescent="0.3">
      <c r="A91" s="65" t="s">
        <v>143</v>
      </c>
      <c r="B91" s="66"/>
      <c r="C91" s="50">
        <v>15</v>
      </c>
      <c r="D91" s="51">
        <f ca="1">((100/H81)*C91)/100</f>
        <v>0.5</v>
      </c>
      <c r="E91" s="69"/>
      <c r="F91" s="70"/>
      <c r="G91" s="69"/>
      <c r="H91" s="74"/>
      <c r="I91" s="14" t="s">
        <v>150</v>
      </c>
      <c r="J91" s="28">
        <f>(IF(B81&gt;4,(H81/(B81+2)+J90),0))</f>
        <v>0</v>
      </c>
    </row>
    <row r="92" spans="1:13" ht="15.75" customHeight="1" x14ac:dyDescent="0.3">
      <c r="A92" s="65" t="s">
        <v>138</v>
      </c>
      <c r="B92" s="66" t="s">
        <v>138</v>
      </c>
      <c r="C92" s="50">
        <v>0</v>
      </c>
      <c r="D92" s="51">
        <f ca="1">((100/(H81))*C92)/100</f>
        <v>0</v>
      </c>
      <c r="E92" s="69"/>
      <c r="F92" s="70"/>
      <c r="G92" s="69"/>
      <c r="H92" s="74"/>
      <c r="I92" s="14" t="s">
        <v>154</v>
      </c>
      <c r="J92" s="28">
        <f ca="1">(IF(B81=1,(H81/(B81+3)+J87),IF(B81=0,(H81/4+J87),IF(B81&gt;1,0))))</f>
        <v>22.5</v>
      </c>
    </row>
    <row r="93" spans="1:13" ht="16.2" thickBot="1" x14ac:dyDescent="0.35">
      <c r="A93" s="76" t="s">
        <v>139</v>
      </c>
      <c r="B93" s="77"/>
      <c r="C93" s="52">
        <v>0</v>
      </c>
      <c r="D93" s="53">
        <f ca="1">((100/(H81))*C93)/100</f>
        <v>0</v>
      </c>
      <c r="E93" s="71"/>
      <c r="F93" s="72"/>
      <c r="G93" s="71"/>
      <c r="H93" s="75"/>
      <c r="I93" s="15" t="s">
        <v>107</v>
      </c>
      <c r="J93" s="30">
        <f ca="1">(IF(B81&gt;1.5,(H81/(B81+2)+J87+MAX(0,J88-J87)+MAX(0,J89-J88)+MAX(0,J90-J89)+MAX(0,J91-J90)+MAX(0,J92-J91)),IF(B81=1,(H81/(B81+3)+J92),IF(B81=0,H81/4+J92))))</f>
        <v>30</v>
      </c>
    </row>
    <row r="94" spans="1:13" x14ac:dyDescent="0.3">
      <c r="A94" s="157" t="s">
        <v>165</v>
      </c>
      <c r="B94" s="157"/>
      <c r="C94" s="157"/>
      <c r="D94" s="157"/>
      <c r="E94" s="157"/>
      <c r="F94" s="156" t="s">
        <v>169</v>
      </c>
      <c r="G94" s="156"/>
      <c r="H94" s="156"/>
    </row>
    <row r="95" spans="1:13" x14ac:dyDescent="0.3">
      <c r="A95" s="63" t="s">
        <v>167</v>
      </c>
      <c r="B95" s="63"/>
      <c r="C95" s="63"/>
      <c r="D95" s="63"/>
      <c r="E95" s="63"/>
      <c r="F95" s="127">
        <v>8200</v>
      </c>
      <c r="G95" s="127"/>
      <c r="H95" s="127"/>
      <c r="I95" s="55" t="s">
        <v>200</v>
      </c>
      <c r="J95" s="55" t="s">
        <v>201</v>
      </c>
      <c r="K95" s="56">
        <v>45005</v>
      </c>
      <c r="L95" s="19" t="s">
        <v>202</v>
      </c>
      <c r="M95" s="19" t="s">
        <v>206</v>
      </c>
    </row>
    <row r="96" spans="1:13" hidden="1" x14ac:dyDescent="0.3">
      <c r="A96" s="63" t="s">
        <v>166</v>
      </c>
      <c r="B96" s="63"/>
      <c r="C96" s="63"/>
      <c r="D96" s="63"/>
      <c r="E96" s="63"/>
      <c r="F96" s="127"/>
      <c r="G96" s="127"/>
      <c r="H96" s="127"/>
    </row>
    <row r="97" spans="1:13" hidden="1" x14ac:dyDescent="0.3">
      <c r="A97" s="63" t="s">
        <v>168</v>
      </c>
      <c r="B97" s="63"/>
      <c r="C97" s="63"/>
      <c r="D97" s="63"/>
      <c r="E97" s="63"/>
      <c r="F97" s="127"/>
      <c r="G97" s="127"/>
      <c r="H97" s="127"/>
    </row>
    <row r="98" spans="1:13" s="31" customFormat="1" x14ac:dyDescent="0.25">
      <c r="A98" s="63" t="s">
        <v>205</v>
      </c>
      <c r="B98" s="63"/>
      <c r="C98" s="63"/>
      <c r="D98" s="63"/>
      <c r="E98" s="63"/>
      <c r="F98" s="127">
        <v>30</v>
      </c>
      <c r="G98" s="127"/>
      <c r="H98" s="127"/>
      <c r="I98" s="31" t="s">
        <v>239</v>
      </c>
      <c r="J98" s="31" t="s">
        <v>240</v>
      </c>
      <c r="K98" s="201">
        <v>45898</v>
      </c>
      <c r="L98" s="31" t="s">
        <v>241</v>
      </c>
      <c r="M98" s="31" t="s">
        <v>242</v>
      </c>
    </row>
    <row r="99" spans="1:13" s="31" customFormat="1" x14ac:dyDescent="0.25">
      <c r="A99" s="63" t="s">
        <v>204</v>
      </c>
      <c r="B99" s="63"/>
      <c r="C99" s="63"/>
      <c r="D99" s="63"/>
      <c r="E99" s="63"/>
      <c r="F99" s="127">
        <v>120000</v>
      </c>
      <c r="G99" s="127"/>
      <c r="H99" s="127"/>
    </row>
    <row r="100" spans="1:13" s="31" customFormat="1" hidden="1" x14ac:dyDescent="0.25">
      <c r="A100" s="63" t="s">
        <v>98</v>
      </c>
      <c r="B100" s="63"/>
      <c r="C100" s="63"/>
      <c r="D100" s="63"/>
      <c r="E100" s="63"/>
      <c r="F100" s="127"/>
      <c r="G100" s="127"/>
      <c r="H100" s="127"/>
    </row>
    <row r="101" spans="1:13" s="31" customFormat="1" hidden="1" x14ac:dyDescent="0.25">
      <c r="A101" s="63" t="s">
        <v>170</v>
      </c>
      <c r="B101" s="63"/>
      <c r="C101" s="63"/>
      <c r="D101" s="63"/>
      <c r="E101" s="63"/>
      <c r="F101" s="127"/>
      <c r="G101" s="127"/>
      <c r="H101" s="127"/>
    </row>
    <row r="102" spans="1:13" s="31" customFormat="1" hidden="1" x14ac:dyDescent="0.25">
      <c r="A102" s="63" t="s">
        <v>99</v>
      </c>
      <c r="B102" s="63"/>
      <c r="C102" s="63"/>
      <c r="D102" s="63"/>
      <c r="E102" s="63"/>
      <c r="F102" s="127"/>
      <c r="G102" s="127"/>
      <c r="H102" s="127"/>
    </row>
    <row r="103" spans="1:13" s="31" customFormat="1" hidden="1" x14ac:dyDescent="0.25">
      <c r="A103" s="63" t="s">
        <v>100</v>
      </c>
      <c r="B103" s="63"/>
      <c r="C103" s="63"/>
      <c r="D103" s="63"/>
      <c r="E103" s="63"/>
      <c r="F103" s="127"/>
      <c r="G103" s="127"/>
      <c r="H103" s="127"/>
    </row>
    <row r="104" spans="1:13" s="31" customFormat="1" hidden="1" x14ac:dyDescent="0.25">
      <c r="A104" s="63" t="s">
        <v>101</v>
      </c>
      <c r="B104" s="63"/>
      <c r="C104" s="63"/>
      <c r="D104" s="63"/>
      <c r="E104" s="63"/>
      <c r="F104" s="127"/>
      <c r="G104" s="127"/>
      <c r="H104" s="127"/>
    </row>
    <row r="105" spans="1:13" s="31" customFormat="1" x14ac:dyDescent="0.25">
      <c r="A105" s="63" t="s">
        <v>102</v>
      </c>
      <c r="B105" s="63"/>
      <c r="C105" s="63"/>
      <c r="D105" s="63"/>
      <c r="E105" s="63"/>
      <c r="F105" s="127">
        <v>100000</v>
      </c>
      <c r="G105" s="127"/>
      <c r="H105" s="127"/>
    </row>
    <row r="106" spans="1:13" x14ac:dyDescent="0.3">
      <c r="A106" s="63" t="s">
        <v>52</v>
      </c>
      <c r="B106" s="63"/>
      <c r="C106" s="63"/>
      <c r="D106" s="63"/>
      <c r="E106" s="63"/>
      <c r="F106" s="127">
        <v>500000</v>
      </c>
      <c r="G106" s="127"/>
      <c r="H106" s="127"/>
    </row>
    <row r="107" spans="1:13" s="32" customFormat="1" x14ac:dyDescent="0.3">
      <c r="A107" s="172" t="s">
        <v>53</v>
      </c>
      <c r="B107" s="172"/>
      <c r="C107" s="172"/>
      <c r="D107" s="172"/>
      <c r="E107" s="172"/>
      <c r="F107" s="127">
        <f>F95*0.8</f>
        <v>6560</v>
      </c>
      <c r="G107" s="127"/>
      <c r="H107" s="127"/>
    </row>
    <row r="108" spans="1:13" s="33" customFormat="1" ht="15.75" hidden="1" customHeight="1" x14ac:dyDescent="0.3">
      <c r="A108" s="140" t="s">
        <v>78</v>
      </c>
      <c r="B108" s="140"/>
      <c r="C108" s="140"/>
      <c r="D108" s="140"/>
      <c r="E108" s="140"/>
      <c r="F108" s="140"/>
      <c r="G108" s="140"/>
      <c r="H108" s="140"/>
    </row>
    <row r="109" spans="1:13" s="33" customFormat="1" ht="15.75" hidden="1" customHeight="1" x14ac:dyDescent="0.3">
      <c r="A109" s="125" t="s">
        <v>54</v>
      </c>
      <c r="B109" s="125"/>
      <c r="C109" s="180" t="s">
        <v>81</v>
      </c>
      <c r="D109" s="180"/>
      <c r="E109" s="133" t="s">
        <v>55</v>
      </c>
      <c r="F109" s="133"/>
      <c r="G109" s="125" t="s">
        <v>56</v>
      </c>
      <c r="H109" s="125"/>
    </row>
    <row r="110" spans="1:13" s="33" customFormat="1" hidden="1" x14ac:dyDescent="0.3">
      <c r="A110" s="149"/>
      <c r="B110" s="149"/>
      <c r="C110" s="150"/>
      <c r="D110" s="150"/>
      <c r="E110" s="195"/>
      <c r="F110" s="195"/>
      <c r="G110" s="128"/>
      <c r="H110" s="128"/>
    </row>
    <row r="111" spans="1:13" s="33" customFormat="1" hidden="1" x14ac:dyDescent="0.3">
      <c r="A111" s="149"/>
      <c r="B111" s="149"/>
      <c r="C111" s="150"/>
      <c r="D111" s="150"/>
      <c r="E111" s="195"/>
      <c r="F111" s="195"/>
      <c r="G111" s="128"/>
      <c r="H111" s="128"/>
    </row>
    <row r="112" spans="1:13" s="33" customFormat="1" hidden="1" x14ac:dyDescent="0.3">
      <c r="A112" s="140" t="s">
        <v>158</v>
      </c>
      <c r="B112" s="140"/>
      <c r="C112" s="180"/>
      <c r="D112" s="180"/>
      <c r="E112" s="133"/>
      <c r="F112" s="133"/>
      <c r="G112" s="125"/>
      <c r="H112" s="125"/>
    </row>
    <row r="113" spans="1:20" s="33" customFormat="1" x14ac:dyDescent="0.3">
      <c r="A113" s="140" t="s">
        <v>72</v>
      </c>
      <c r="B113" s="140"/>
      <c r="C113" s="140"/>
      <c r="D113" s="140"/>
      <c r="E113" s="140"/>
      <c r="F113" s="140"/>
      <c r="G113" s="140"/>
      <c r="H113" s="140"/>
    </row>
    <row r="114" spans="1:20" s="33" customFormat="1" ht="15.75" customHeight="1" x14ac:dyDescent="0.3">
      <c r="A114" s="125" t="s">
        <v>54</v>
      </c>
      <c r="B114" s="125"/>
      <c r="C114" s="180" t="s">
        <v>81</v>
      </c>
      <c r="D114" s="180"/>
      <c r="E114" s="133" t="s">
        <v>55</v>
      </c>
      <c r="F114" s="133"/>
      <c r="G114" s="125" t="s">
        <v>56</v>
      </c>
      <c r="H114" s="125"/>
    </row>
    <row r="115" spans="1:20" s="33" customFormat="1" x14ac:dyDescent="0.3">
      <c r="A115" s="149" t="s">
        <v>218</v>
      </c>
      <c r="B115" s="149"/>
      <c r="C115" s="151">
        <f>COUNT(D135:D142)*24+COUNT(D144:D151)*6</f>
        <v>240</v>
      </c>
      <c r="D115" s="151"/>
      <c r="E115" s="151">
        <f>SUM(F135:F142)*24+SUM(F144:F151)*6</f>
        <v>202361.04719999997</v>
      </c>
      <c r="F115" s="151"/>
      <c r="G115" s="151">
        <f>SUM(H135:H142)*24+SUM(H144:H151)*6</f>
        <v>303541.57079999993</v>
      </c>
      <c r="H115" s="151"/>
      <c r="J115" s="33" t="s">
        <v>198</v>
      </c>
      <c r="K115" s="33" t="s">
        <v>199</v>
      </c>
    </row>
    <row r="116" spans="1:20" s="33" customFormat="1" x14ac:dyDescent="0.3">
      <c r="A116" s="149" t="s">
        <v>176</v>
      </c>
      <c r="B116" s="149"/>
      <c r="C116" s="151">
        <f>COUNT(D157:D164)*24+COUNT(D166:D173)*6</f>
        <v>240</v>
      </c>
      <c r="D116" s="151"/>
      <c r="E116" s="151">
        <f>SUM(F157:F164)*24+SUM(F166:F173)*6</f>
        <v>260451.12599999999</v>
      </c>
      <c r="F116" s="151"/>
      <c r="G116" s="151">
        <f>SUM(H157:H164)*24+SUM(H166:H173)*6</f>
        <v>390676.68900000001</v>
      </c>
      <c r="H116" s="151"/>
      <c r="J116" s="33" t="s">
        <v>198</v>
      </c>
      <c r="K116" s="33" t="s">
        <v>199</v>
      </c>
    </row>
    <row r="117" spans="1:20" s="58" customFormat="1" x14ac:dyDescent="0.3">
      <c r="A117" s="140" t="s">
        <v>158</v>
      </c>
      <c r="B117" s="140"/>
      <c r="C117" s="83">
        <f>SUM(C115:C116)</f>
        <v>480</v>
      </c>
      <c r="D117" s="83"/>
      <c r="E117" s="84">
        <f>SUM(E115:E116)</f>
        <v>462812.17319999996</v>
      </c>
      <c r="F117" s="84"/>
      <c r="G117" s="84">
        <f>SUM(G115:G116)</f>
        <v>694218.25979999988</v>
      </c>
      <c r="H117" s="84"/>
      <c r="J117" s="58" t="s">
        <v>198</v>
      </c>
      <c r="K117" s="58" t="s">
        <v>199</v>
      </c>
    </row>
    <row r="118" spans="1:20" s="32" customFormat="1" x14ac:dyDescent="0.3">
      <c r="A118" s="166" t="s">
        <v>57</v>
      </c>
      <c r="B118" s="166"/>
      <c r="C118" s="166"/>
      <c r="D118" s="166"/>
      <c r="E118" s="166"/>
      <c r="F118" s="166"/>
      <c r="G118" s="166"/>
      <c r="H118" s="166"/>
      <c r="J118" s="32">
        <v>8500</v>
      </c>
      <c r="K118" s="32">
        <v>7000</v>
      </c>
    </row>
    <row r="119" spans="1:20" x14ac:dyDescent="0.3">
      <c r="A119" s="166" t="s">
        <v>58</v>
      </c>
      <c r="B119" s="166"/>
      <c r="C119" s="166"/>
      <c r="D119" s="166"/>
      <c r="E119" s="166"/>
      <c r="F119" s="166"/>
      <c r="G119" s="166"/>
      <c r="H119" s="166"/>
      <c r="J119" s="19">
        <f>120000+5510000</f>
        <v>5630000</v>
      </c>
    </row>
    <row r="120" spans="1:20" ht="47.25" hidden="1" customHeight="1" x14ac:dyDescent="0.3">
      <c r="A120" s="190" t="s">
        <v>125</v>
      </c>
      <c r="B120" s="190" t="s">
        <v>124</v>
      </c>
      <c r="C120" s="190" t="s">
        <v>59</v>
      </c>
      <c r="D120" s="190" t="s">
        <v>60</v>
      </c>
      <c r="E120" s="188" t="s">
        <v>164</v>
      </c>
      <c r="F120" s="41" t="s">
        <v>157</v>
      </c>
      <c r="G120" s="184" t="s">
        <v>62</v>
      </c>
      <c r="H120" s="185"/>
    </row>
    <row r="121" spans="1:20" s="35" customFormat="1" hidden="1" x14ac:dyDescent="0.3">
      <c r="A121" s="191"/>
      <c r="B121" s="191"/>
      <c r="C121" s="191"/>
      <c r="D121" s="191"/>
      <c r="E121" s="189"/>
      <c r="F121" s="13">
        <v>0.6</v>
      </c>
      <c r="G121" s="186"/>
      <c r="H121" s="187"/>
    </row>
    <row r="122" spans="1:20" s="35" customFormat="1" hidden="1" x14ac:dyDescent="0.3">
      <c r="A122" s="129" t="s">
        <v>122</v>
      </c>
      <c r="B122" s="130"/>
      <c r="C122" s="130"/>
      <c r="D122" s="130"/>
      <c r="E122" s="130"/>
      <c r="F122" s="130"/>
      <c r="G122" s="130"/>
      <c r="H122" s="131"/>
      <c r="J122" s="34"/>
    </row>
    <row r="123" spans="1:20" s="35" customFormat="1" hidden="1" x14ac:dyDescent="0.3">
      <c r="A123" s="85">
        <v>1</v>
      </c>
      <c r="B123" s="86"/>
      <c r="C123" s="40"/>
      <c r="D123" s="40"/>
      <c r="E123" s="40">
        <v>0</v>
      </c>
      <c r="F123" s="40">
        <f>(D123+E123)*(($F$121)+1)</f>
        <v>0</v>
      </c>
      <c r="G123" s="85" t="str">
        <f>A122</f>
        <v>Ground Floor</v>
      </c>
      <c r="H123" s="86"/>
      <c r="I123" s="34"/>
      <c r="L123" s="81"/>
      <c r="M123" s="81"/>
      <c r="N123" s="34"/>
    </row>
    <row r="124" spans="1:20" s="35" customFormat="1" hidden="1" x14ac:dyDescent="0.3">
      <c r="A124" s="85">
        <f t="shared" ref="A124:A126" si="0">A123+1</f>
        <v>2</v>
      </c>
      <c r="B124" s="86"/>
      <c r="C124" s="40"/>
      <c r="D124" s="40"/>
      <c r="E124" s="40">
        <v>0</v>
      </c>
      <c r="F124" s="40">
        <f t="shared" ref="F124:F126" si="1">(D124+E124)*(($F$121)+1)</f>
        <v>0</v>
      </c>
      <c r="G124" s="85" t="str">
        <f t="shared" ref="G124:G126" si="2">G123</f>
        <v>Ground Floor</v>
      </c>
      <c r="H124" s="86"/>
      <c r="I124" s="34"/>
      <c r="L124" s="81"/>
      <c r="M124" s="81"/>
      <c r="N124" s="34"/>
    </row>
    <row r="125" spans="1:20" s="35" customFormat="1" hidden="1" x14ac:dyDescent="0.3">
      <c r="A125" s="85">
        <f t="shared" si="0"/>
        <v>3</v>
      </c>
      <c r="B125" s="86"/>
      <c r="C125" s="40"/>
      <c r="D125" s="40"/>
      <c r="E125" s="40">
        <v>0</v>
      </c>
      <c r="F125" s="40">
        <f t="shared" si="1"/>
        <v>0</v>
      </c>
      <c r="G125" s="85" t="str">
        <f t="shared" si="2"/>
        <v>Ground Floor</v>
      </c>
      <c r="H125" s="86"/>
      <c r="I125" s="34"/>
      <c r="L125" s="81"/>
      <c r="M125" s="81"/>
      <c r="N125" s="34"/>
    </row>
    <row r="126" spans="1:20" s="35" customFormat="1" hidden="1" x14ac:dyDescent="0.3">
      <c r="A126" s="85">
        <f t="shared" si="0"/>
        <v>4</v>
      </c>
      <c r="B126" s="86"/>
      <c r="C126" s="40"/>
      <c r="D126" s="40"/>
      <c r="E126" s="40">
        <v>0</v>
      </c>
      <c r="F126" s="40">
        <f t="shared" si="1"/>
        <v>0</v>
      </c>
      <c r="G126" s="85" t="str">
        <f t="shared" si="2"/>
        <v>Ground Floor</v>
      </c>
      <c r="H126" s="86"/>
      <c r="I126" s="34"/>
      <c r="L126" s="81"/>
      <c r="M126" s="81"/>
      <c r="N126" s="34"/>
    </row>
    <row r="127" spans="1:20" s="35" customFormat="1" x14ac:dyDescent="0.3">
      <c r="A127" s="85"/>
      <c r="B127" s="181"/>
      <c r="C127" s="181"/>
      <c r="D127" s="181"/>
      <c r="E127" s="181"/>
      <c r="F127" s="181"/>
      <c r="G127" s="181"/>
      <c r="H127" s="86"/>
      <c r="I127" s="34"/>
      <c r="N127" s="34"/>
    </row>
    <row r="128" spans="1:20" s="21" customFormat="1" ht="47.25" customHeight="1" x14ac:dyDescent="0.3">
      <c r="A128" s="182" t="s">
        <v>226</v>
      </c>
      <c r="B128" s="196" t="s">
        <v>219</v>
      </c>
      <c r="C128" s="196" t="s">
        <v>59</v>
      </c>
      <c r="D128" s="196" t="s">
        <v>220</v>
      </c>
      <c r="E128" s="196" t="s">
        <v>222</v>
      </c>
      <c r="F128" s="196" t="s">
        <v>60</v>
      </c>
      <c r="G128" s="198" t="s">
        <v>61</v>
      </c>
      <c r="H128" s="59" t="s">
        <v>157</v>
      </c>
      <c r="I128" s="60"/>
      <c r="T128" s="61"/>
    </row>
    <row r="129" spans="1:14" s="61" customFormat="1" x14ac:dyDescent="0.3">
      <c r="A129" s="183"/>
      <c r="B129" s="197"/>
      <c r="C129" s="197"/>
      <c r="D129" s="197"/>
      <c r="E129" s="197"/>
      <c r="F129" s="197"/>
      <c r="G129" s="199"/>
      <c r="H129" s="62">
        <v>0.5</v>
      </c>
      <c r="I129" s="60"/>
    </row>
    <row r="130" spans="1:14" s="35" customFormat="1" ht="15.75" customHeight="1" x14ac:dyDescent="0.3">
      <c r="A130" s="129" t="s">
        <v>223</v>
      </c>
      <c r="B130" s="130"/>
      <c r="C130" s="130"/>
      <c r="D130" s="130"/>
      <c r="E130" s="130"/>
      <c r="F130" s="130"/>
      <c r="G130" s="130"/>
      <c r="H130" s="131"/>
      <c r="I130" s="34"/>
      <c r="N130" s="34"/>
    </row>
    <row r="131" spans="1:14" s="35" customFormat="1" ht="15.75" customHeight="1" x14ac:dyDescent="0.3">
      <c r="A131" s="129" t="s">
        <v>192</v>
      </c>
      <c r="B131" s="130"/>
      <c r="C131" s="130"/>
      <c r="D131" s="130"/>
      <c r="E131" s="130"/>
      <c r="F131" s="130"/>
      <c r="G131" s="130"/>
      <c r="H131" s="131"/>
      <c r="I131" s="34"/>
      <c r="N131" s="34"/>
    </row>
    <row r="132" spans="1:14" s="35" customFormat="1" ht="15.75" customHeight="1" x14ac:dyDescent="0.3">
      <c r="A132" s="129" t="s">
        <v>193</v>
      </c>
      <c r="B132" s="130"/>
      <c r="C132" s="130"/>
      <c r="D132" s="130"/>
      <c r="E132" s="130"/>
      <c r="F132" s="130"/>
      <c r="G132" s="130"/>
      <c r="H132" s="131"/>
      <c r="I132" s="34"/>
      <c r="N132" s="34"/>
    </row>
    <row r="133" spans="1:14" s="35" customFormat="1" x14ac:dyDescent="0.3">
      <c r="A133" s="129" t="s">
        <v>194</v>
      </c>
      <c r="B133" s="130"/>
      <c r="C133" s="130"/>
      <c r="D133" s="130"/>
      <c r="E133" s="130"/>
      <c r="F133" s="130"/>
      <c r="G133" s="130"/>
      <c r="H133" s="131"/>
      <c r="J133" s="34"/>
    </row>
    <row r="134" spans="1:14" s="35" customFormat="1" ht="39" customHeight="1" x14ac:dyDescent="0.3">
      <c r="A134" s="129" t="s">
        <v>195</v>
      </c>
      <c r="B134" s="130"/>
      <c r="C134" s="130"/>
      <c r="D134" s="130"/>
      <c r="E134" s="130"/>
      <c r="F134" s="130"/>
      <c r="G134" s="130"/>
      <c r="H134" s="131"/>
      <c r="I134" s="34"/>
      <c r="L134" s="81"/>
      <c r="M134" s="81"/>
    </row>
    <row r="135" spans="1:14" s="35" customFormat="1" x14ac:dyDescent="0.3">
      <c r="A135" s="82">
        <v>1</v>
      </c>
      <c r="B135" s="82"/>
      <c r="C135" s="40" t="s">
        <v>221</v>
      </c>
      <c r="D135" s="40">
        <f>(65.85)*10.764</f>
        <v>708.80939999999987</v>
      </c>
      <c r="E135" s="40">
        <f>(9.68+3.05*0.75)*10.764</f>
        <v>128.81816999999998</v>
      </c>
      <c r="F135" s="40">
        <f t="shared" ref="F135:F142" si="3">D135+E135</f>
        <v>837.62756999999988</v>
      </c>
      <c r="G135" s="40">
        <v>0</v>
      </c>
      <c r="H135" s="40">
        <f>F135*(($H$129)+1)+(IF(G135&lt;101,G135,IF(G135&lt;201,G135/2,IF(G135&lt;=301,G135/3,G135/4))))</f>
        <v>1256.4413549999999</v>
      </c>
      <c r="I135" s="34">
        <f>3.05*5.18+1.2*1.2+0.9*1.8+2.45*2.75+3.05*3.55+3.05*3.3+0.6*2.5+2.05+2.3*1.4+1.3*2.28+1.4+2.45</f>
        <v>60.072999999999993</v>
      </c>
      <c r="N135" s="34"/>
    </row>
    <row r="136" spans="1:14" s="35" customFormat="1" x14ac:dyDescent="0.3">
      <c r="A136" s="82">
        <f t="shared" ref="A136:A142" si="4">A135+1</f>
        <v>2</v>
      </c>
      <c r="B136" s="82"/>
      <c r="C136" s="40" t="s">
        <v>221</v>
      </c>
      <c r="D136" s="40">
        <f t="shared" ref="D136:D142" si="5">(65.85)*10.764</f>
        <v>708.80939999999987</v>
      </c>
      <c r="E136" s="40">
        <f t="shared" ref="E136:E142" si="6">(9.68+3.05*0.75)*10.764</f>
        <v>128.81816999999998</v>
      </c>
      <c r="F136" s="40">
        <f t="shared" si="3"/>
        <v>837.62756999999988</v>
      </c>
      <c r="G136" s="40">
        <v>0</v>
      </c>
      <c r="H136" s="40">
        <f t="shared" ref="H136:H142" si="7">F136*(($H$129)+1)+(IF(G136&lt;101,G136,IF(G136&lt;201,G136/2,IF(G136&lt;=301,G136/3,G136/4))))</f>
        <v>1256.4413549999999</v>
      </c>
      <c r="I136" s="34"/>
      <c r="N136" s="34"/>
    </row>
    <row r="137" spans="1:14" s="35" customFormat="1" x14ac:dyDescent="0.3">
      <c r="A137" s="82">
        <f t="shared" si="4"/>
        <v>3</v>
      </c>
      <c r="B137" s="82"/>
      <c r="C137" s="40" t="s">
        <v>221</v>
      </c>
      <c r="D137" s="40">
        <f>(66.88)*10.764</f>
        <v>719.89631999999995</v>
      </c>
      <c r="E137" s="40">
        <f t="shared" si="6"/>
        <v>128.81816999999998</v>
      </c>
      <c r="F137" s="40">
        <f t="shared" si="3"/>
        <v>848.71448999999996</v>
      </c>
      <c r="G137" s="40">
        <v>0</v>
      </c>
      <c r="H137" s="40">
        <f t="shared" si="7"/>
        <v>1273.071735</v>
      </c>
      <c r="I137" s="34"/>
      <c r="N137" s="34"/>
    </row>
    <row r="138" spans="1:14" s="35" customFormat="1" x14ac:dyDescent="0.3">
      <c r="A138" s="82">
        <f t="shared" si="4"/>
        <v>4</v>
      </c>
      <c r="B138" s="82"/>
      <c r="C138" s="40" t="s">
        <v>221</v>
      </c>
      <c r="D138" s="40">
        <f t="shared" ref="D138:D140" si="8">(66.88)*10.764</f>
        <v>719.89631999999995</v>
      </c>
      <c r="E138" s="40">
        <f t="shared" si="6"/>
        <v>128.81816999999998</v>
      </c>
      <c r="F138" s="40">
        <f t="shared" si="3"/>
        <v>848.71448999999996</v>
      </c>
      <c r="G138" s="40">
        <v>0</v>
      </c>
      <c r="H138" s="40">
        <f t="shared" si="7"/>
        <v>1273.071735</v>
      </c>
      <c r="I138" s="34"/>
      <c r="N138" s="34"/>
    </row>
    <row r="139" spans="1:14" s="35" customFormat="1" x14ac:dyDescent="0.3">
      <c r="A139" s="82">
        <f t="shared" si="4"/>
        <v>5</v>
      </c>
      <c r="B139" s="82"/>
      <c r="C139" s="40" t="s">
        <v>221</v>
      </c>
      <c r="D139" s="40">
        <f t="shared" si="8"/>
        <v>719.89631999999995</v>
      </c>
      <c r="E139" s="40">
        <f t="shared" si="6"/>
        <v>128.81816999999998</v>
      </c>
      <c r="F139" s="40">
        <f t="shared" si="3"/>
        <v>848.71448999999996</v>
      </c>
      <c r="G139" s="40">
        <v>0</v>
      </c>
      <c r="H139" s="40">
        <f t="shared" si="7"/>
        <v>1273.071735</v>
      </c>
      <c r="I139" s="34"/>
      <c r="N139" s="34"/>
    </row>
    <row r="140" spans="1:14" s="35" customFormat="1" x14ac:dyDescent="0.3">
      <c r="A140" s="82">
        <f t="shared" si="4"/>
        <v>6</v>
      </c>
      <c r="B140" s="82"/>
      <c r="C140" s="40" t="s">
        <v>221</v>
      </c>
      <c r="D140" s="40">
        <f t="shared" si="8"/>
        <v>719.89631999999995</v>
      </c>
      <c r="E140" s="40">
        <f t="shared" si="6"/>
        <v>128.81816999999998</v>
      </c>
      <c r="F140" s="40">
        <f t="shared" si="3"/>
        <v>848.71448999999996</v>
      </c>
      <c r="G140" s="40">
        <v>0</v>
      </c>
      <c r="H140" s="40">
        <f t="shared" si="7"/>
        <v>1273.071735</v>
      </c>
      <c r="I140" s="34"/>
      <c r="N140" s="34"/>
    </row>
    <row r="141" spans="1:14" s="35" customFormat="1" x14ac:dyDescent="0.3">
      <c r="A141" s="82">
        <f t="shared" si="4"/>
        <v>7</v>
      </c>
      <c r="B141" s="82"/>
      <c r="C141" s="40" t="s">
        <v>221</v>
      </c>
      <c r="D141" s="40">
        <f t="shared" si="5"/>
        <v>708.80939999999987</v>
      </c>
      <c r="E141" s="40">
        <f t="shared" si="6"/>
        <v>128.81816999999998</v>
      </c>
      <c r="F141" s="40">
        <f t="shared" si="3"/>
        <v>837.62756999999988</v>
      </c>
      <c r="G141" s="40">
        <v>0</v>
      </c>
      <c r="H141" s="40">
        <f t="shared" si="7"/>
        <v>1256.4413549999999</v>
      </c>
      <c r="I141" s="34"/>
      <c r="N141" s="34"/>
    </row>
    <row r="142" spans="1:14" s="35" customFormat="1" x14ac:dyDescent="0.3">
      <c r="A142" s="82">
        <f t="shared" si="4"/>
        <v>8</v>
      </c>
      <c r="B142" s="82"/>
      <c r="C142" s="40" t="s">
        <v>221</v>
      </c>
      <c r="D142" s="40">
        <f t="shared" si="5"/>
        <v>708.80939999999987</v>
      </c>
      <c r="E142" s="40">
        <f t="shared" si="6"/>
        <v>128.81816999999998</v>
      </c>
      <c r="F142" s="40">
        <f t="shared" si="3"/>
        <v>837.62756999999988</v>
      </c>
      <c r="G142" s="40">
        <v>0</v>
      </c>
      <c r="H142" s="40">
        <f t="shared" si="7"/>
        <v>1256.4413549999999</v>
      </c>
      <c r="I142" s="34"/>
      <c r="N142" s="34"/>
    </row>
    <row r="143" spans="1:14" s="35" customFormat="1" x14ac:dyDescent="0.3">
      <c r="A143" s="129" t="s">
        <v>227</v>
      </c>
      <c r="B143" s="130"/>
      <c r="C143" s="130"/>
      <c r="D143" s="130"/>
      <c r="E143" s="130"/>
      <c r="F143" s="130"/>
      <c r="G143" s="130"/>
      <c r="H143" s="131"/>
      <c r="I143" s="34"/>
      <c r="L143" s="81"/>
      <c r="M143" s="81"/>
    </row>
    <row r="144" spans="1:14" s="35" customFormat="1" x14ac:dyDescent="0.3">
      <c r="A144" s="82">
        <v>1</v>
      </c>
      <c r="B144" s="82"/>
      <c r="C144" s="40" t="s">
        <v>221</v>
      </c>
      <c r="D144" s="40">
        <f>(65.85)*10.764</f>
        <v>708.80939999999987</v>
      </c>
      <c r="E144" s="40">
        <f>(9.68+3.05*0.75)*10.764</f>
        <v>128.81816999999998</v>
      </c>
      <c r="F144" s="40">
        <f t="shared" ref="F144:F151" si="9">D144+E144</f>
        <v>837.62756999999988</v>
      </c>
      <c r="G144" s="40">
        <v>0</v>
      </c>
      <c r="H144" s="40">
        <f>F144*(($H$129)+1)+(IF(G144&lt;101,G144,IF(G144&lt;201,G144/2,IF(G144&lt;=301,G144/3,G144/4))))</f>
        <v>1256.4413549999999</v>
      </c>
      <c r="I144" s="34">
        <f>3.05*5.18+1.2*1.2+0.9*1.8+2.45*2.75+3.05*3.55+3.05*3.3+0.6*2.5+2.05+2.3*1.4+1.3*2.28+1.4+2.45</f>
        <v>60.072999999999993</v>
      </c>
      <c r="N144" s="34"/>
    </row>
    <row r="145" spans="1:14" s="35" customFormat="1" x14ac:dyDescent="0.3">
      <c r="A145" s="82">
        <f t="shared" ref="A145:A151" si="10">A144+1</f>
        <v>2</v>
      </c>
      <c r="B145" s="82"/>
      <c r="C145" s="40" t="s">
        <v>221</v>
      </c>
      <c r="D145" s="40">
        <f t="shared" ref="D145:D151" si="11">(65.85)*10.764</f>
        <v>708.80939999999987</v>
      </c>
      <c r="E145" s="40">
        <f t="shared" ref="E145:E151" si="12">(9.68+3.05*0.75)*10.764</f>
        <v>128.81816999999998</v>
      </c>
      <c r="F145" s="40">
        <f t="shared" si="9"/>
        <v>837.62756999999988</v>
      </c>
      <c r="G145" s="40">
        <v>0</v>
      </c>
      <c r="H145" s="40">
        <f t="shared" ref="H145:H151" si="13">F145*(($H$129)+1)+(IF(G145&lt;101,G145,IF(G145&lt;201,G145/2,IF(G145&lt;=301,G145/3,G145/4))))</f>
        <v>1256.4413549999999</v>
      </c>
      <c r="I145" s="34"/>
      <c r="N145" s="34"/>
    </row>
    <row r="146" spans="1:14" s="35" customFormat="1" x14ac:dyDescent="0.3">
      <c r="A146" s="82">
        <f t="shared" si="10"/>
        <v>3</v>
      </c>
      <c r="B146" s="82"/>
      <c r="C146" s="40" t="s">
        <v>221</v>
      </c>
      <c r="D146" s="40">
        <f>(66.88)*10.764</f>
        <v>719.89631999999995</v>
      </c>
      <c r="E146" s="40">
        <f t="shared" si="12"/>
        <v>128.81816999999998</v>
      </c>
      <c r="F146" s="40">
        <f t="shared" si="9"/>
        <v>848.71448999999996</v>
      </c>
      <c r="G146" s="40">
        <v>0</v>
      </c>
      <c r="H146" s="40">
        <f t="shared" si="13"/>
        <v>1273.071735</v>
      </c>
      <c r="I146" s="34"/>
      <c r="N146" s="34"/>
    </row>
    <row r="147" spans="1:14" s="35" customFormat="1" x14ac:dyDescent="0.3">
      <c r="A147" s="82">
        <f t="shared" si="10"/>
        <v>4</v>
      </c>
      <c r="B147" s="82"/>
      <c r="C147" s="40" t="s">
        <v>221</v>
      </c>
      <c r="D147" s="40">
        <f t="shared" ref="D147:D149" si="14">(66.88)*10.764</f>
        <v>719.89631999999995</v>
      </c>
      <c r="E147" s="40">
        <f t="shared" si="12"/>
        <v>128.81816999999998</v>
      </c>
      <c r="F147" s="40">
        <f t="shared" si="9"/>
        <v>848.71448999999996</v>
      </c>
      <c r="G147" s="40">
        <v>0</v>
      </c>
      <c r="H147" s="40">
        <f t="shared" si="13"/>
        <v>1273.071735</v>
      </c>
      <c r="I147" s="34"/>
      <c r="N147" s="34"/>
    </row>
    <row r="148" spans="1:14" s="35" customFormat="1" x14ac:dyDescent="0.3">
      <c r="A148" s="82">
        <f t="shared" si="10"/>
        <v>5</v>
      </c>
      <c r="B148" s="82"/>
      <c r="C148" s="40" t="s">
        <v>221</v>
      </c>
      <c r="D148" s="40">
        <f t="shared" si="14"/>
        <v>719.89631999999995</v>
      </c>
      <c r="E148" s="40">
        <f t="shared" si="12"/>
        <v>128.81816999999998</v>
      </c>
      <c r="F148" s="40">
        <f t="shared" si="9"/>
        <v>848.71448999999996</v>
      </c>
      <c r="G148" s="40">
        <v>0</v>
      </c>
      <c r="H148" s="40">
        <f t="shared" si="13"/>
        <v>1273.071735</v>
      </c>
      <c r="I148" s="34"/>
      <c r="N148" s="34"/>
    </row>
    <row r="149" spans="1:14" s="35" customFormat="1" x14ac:dyDescent="0.3">
      <c r="A149" s="82">
        <f t="shared" si="10"/>
        <v>6</v>
      </c>
      <c r="B149" s="82"/>
      <c r="C149" s="40" t="s">
        <v>221</v>
      </c>
      <c r="D149" s="40">
        <f t="shared" si="14"/>
        <v>719.89631999999995</v>
      </c>
      <c r="E149" s="40">
        <f t="shared" si="12"/>
        <v>128.81816999999998</v>
      </c>
      <c r="F149" s="40">
        <f t="shared" si="9"/>
        <v>848.71448999999996</v>
      </c>
      <c r="G149" s="40">
        <v>0</v>
      </c>
      <c r="H149" s="40">
        <f t="shared" si="13"/>
        <v>1273.071735</v>
      </c>
      <c r="I149" s="34"/>
      <c r="N149" s="34"/>
    </row>
    <row r="150" spans="1:14" s="35" customFormat="1" x14ac:dyDescent="0.3">
      <c r="A150" s="82">
        <f t="shared" si="10"/>
        <v>7</v>
      </c>
      <c r="B150" s="82"/>
      <c r="C150" s="40" t="s">
        <v>221</v>
      </c>
      <c r="D150" s="40">
        <f t="shared" si="11"/>
        <v>708.80939999999987</v>
      </c>
      <c r="E150" s="40">
        <f t="shared" si="12"/>
        <v>128.81816999999998</v>
      </c>
      <c r="F150" s="40">
        <f t="shared" si="9"/>
        <v>837.62756999999988</v>
      </c>
      <c r="G150" s="40">
        <v>0</v>
      </c>
      <c r="H150" s="40">
        <f t="shared" si="13"/>
        <v>1256.4413549999999</v>
      </c>
      <c r="I150" s="34"/>
      <c r="N150" s="34"/>
    </row>
    <row r="151" spans="1:14" s="35" customFormat="1" x14ac:dyDescent="0.3">
      <c r="A151" s="82">
        <f t="shared" si="10"/>
        <v>8</v>
      </c>
      <c r="B151" s="82"/>
      <c r="C151" s="40" t="s">
        <v>221</v>
      </c>
      <c r="D151" s="40">
        <f t="shared" si="11"/>
        <v>708.80939999999987</v>
      </c>
      <c r="E151" s="40">
        <f t="shared" si="12"/>
        <v>128.81816999999998</v>
      </c>
      <c r="F151" s="40">
        <f t="shared" si="9"/>
        <v>837.62756999999988</v>
      </c>
      <c r="G151" s="40">
        <v>0</v>
      </c>
      <c r="H151" s="40">
        <f t="shared" si="13"/>
        <v>1256.4413549999999</v>
      </c>
      <c r="I151" s="34"/>
      <c r="N151" s="34"/>
    </row>
    <row r="152" spans="1:14" s="35" customFormat="1" ht="15.75" customHeight="1" x14ac:dyDescent="0.3">
      <c r="A152" s="129" t="s">
        <v>225</v>
      </c>
      <c r="B152" s="130"/>
      <c r="C152" s="130"/>
      <c r="D152" s="130"/>
      <c r="E152" s="130"/>
      <c r="F152" s="130"/>
      <c r="G152" s="130"/>
      <c r="H152" s="131"/>
      <c r="I152" s="34"/>
      <c r="N152" s="34"/>
    </row>
    <row r="153" spans="1:14" s="35" customFormat="1" ht="15.75" customHeight="1" x14ac:dyDescent="0.3">
      <c r="A153" s="129" t="s">
        <v>192</v>
      </c>
      <c r="B153" s="130"/>
      <c r="C153" s="130"/>
      <c r="D153" s="130"/>
      <c r="E153" s="130"/>
      <c r="F153" s="130"/>
      <c r="G153" s="130"/>
      <c r="H153" s="131"/>
      <c r="I153" s="34"/>
      <c r="N153" s="34"/>
    </row>
    <row r="154" spans="1:14" s="35" customFormat="1" ht="15.75" customHeight="1" x14ac:dyDescent="0.3">
      <c r="A154" s="129" t="s">
        <v>193</v>
      </c>
      <c r="B154" s="130"/>
      <c r="C154" s="130"/>
      <c r="D154" s="130"/>
      <c r="E154" s="130"/>
      <c r="F154" s="130"/>
      <c r="G154" s="130"/>
      <c r="H154" s="131"/>
      <c r="I154" s="34"/>
      <c r="N154" s="34"/>
    </row>
    <row r="155" spans="1:14" s="35" customFormat="1" x14ac:dyDescent="0.3">
      <c r="A155" s="129" t="s">
        <v>194</v>
      </c>
      <c r="B155" s="130"/>
      <c r="C155" s="130"/>
      <c r="D155" s="130"/>
      <c r="E155" s="130"/>
      <c r="F155" s="130"/>
      <c r="G155" s="130"/>
      <c r="H155" s="131"/>
      <c r="J155" s="34"/>
    </row>
    <row r="156" spans="1:14" s="35" customFormat="1" ht="32.25" customHeight="1" x14ac:dyDescent="0.3">
      <c r="A156" s="129" t="s">
        <v>195</v>
      </c>
      <c r="B156" s="130"/>
      <c r="C156" s="130"/>
      <c r="D156" s="130"/>
      <c r="E156" s="130"/>
      <c r="F156" s="130"/>
      <c r="G156" s="130"/>
      <c r="H156" s="131"/>
      <c r="I156" s="34"/>
      <c r="L156" s="81"/>
      <c r="M156" s="81"/>
    </row>
    <row r="157" spans="1:14" s="35" customFormat="1" x14ac:dyDescent="0.3">
      <c r="A157" s="82">
        <v>1</v>
      </c>
      <c r="B157" s="82"/>
      <c r="C157" s="40" t="s">
        <v>221</v>
      </c>
      <c r="D157" s="40">
        <f>(70.09)*10.764</f>
        <v>754.44875999999999</v>
      </c>
      <c r="E157" s="40">
        <f>(9.68+3.05*0.65)*10.764</f>
        <v>125.53514999999999</v>
      </c>
      <c r="F157" s="40">
        <f t="shared" ref="F157:F164" si="15">D157+E157</f>
        <v>879.98390999999992</v>
      </c>
      <c r="G157" s="40">
        <v>0</v>
      </c>
      <c r="H157" s="40">
        <f>F157*(($H$129)+1)+(IF(G157&lt;101,G157,IF(G157&lt;201,G157/2,IF(G157&lt;=301,G157/3,G157/4))))</f>
        <v>1319.9758649999999</v>
      </c>
      <c r="I157" s="34"/>
      <c r="N157" s="34"/>
    </row>
    <row r="158" spans="1:14" s="35" customFormat="1" x14ac:dyDescent="0.3">
      <c r="A158" s="82">
        <f t="shared" ref="A158:A164" si="16">A157+1</f>
        <v>2</v>
      </c>
      <c r="B158" s="82"/>
      <c r="C158" s="40" t="s">
        <v>228</v>
      </c>
      <c r="D158" s="40">
        <f>(100.16)*10.764</f>
        <v>1078.1222399999999</v>
      </c>
      <c r="E158" s="40">
        <f>(9.68+3.05*0.75*2)*10.764</f>
        <v>153.44081999999997</v>
      </c>
      <c r="F158" s="40">
        <f t="shared" si="15"/>
        <v>1231.56306</v>
      </c>
      <c r="G158" s="40">
        <v>0</v>
      </c>
      <c r="H158" s="40">
        <f t="shared" ref="H158:H164" si="17">F158*(($H$129)+1)+(IF(G158&lt;101,G158,IF(G158&lt;201,G158/2,IF(G158&lt;=301,G158/3,G158/4))))</f>
        <v>1847.3445899999999</v>
      </c>
      <c r="I158" s="34"/>
      <c r="N158" s="34"/>
    </row>
    <row r="159" spans="1:14" s="35" customFormat="1" x14ac:dyDescent="0.3">
      <c r="A159" s="82">
        <f t="shared" si="16"/>
        <v>3</v>
      </c>
      <c r="B159" s="82"/>
      <c r="C159" s="40" t="s">
        <v>228</v>
      </c>
      <c r="D159" s="40">
        <f>(105.82)*10.764</f>
        <v>1139.0464799999997</v>
      </c>
      <c r="E159" s="40">
        <f>(9.68+3.05*0.75*2)*10.764</f>
        <v>153.44081999999997</v>
      </c>
      <c r="F159" s="40">
        <f t="shared" si="15"/>
        <v>1292.4872999999998</v>
      </c>
      <c r="G159" s="40">
        <v>0</v>
      </c>
      <c r="H159" s="40">
        <f t="shared" si="17"/>
        <v>1938.7309499999997</v>
      </c>
      <c r="I159" s="34"/>
      <c r="N159" s="34"/>
    </row>
    <row r="160" spans="1:14" s="35" customFormat="1" x14ac:dyDescent="0.3">
      <c r="A160" s="82">
        <f t="shared" si="16"/>
        <v>4</v>
      </c>
      <c r="B160" s="82"/>
      <c r="C160" s="40" t="s">
        <v>221</v>
      </c>
      <c r="D160" s="40">
        <f>(75.37)*10.764</f>
        <v>811.28268000000003</v>
      </c>
      <c r="E160" s="40">
        <f>(9.68+3.05*0.65)*10.764</f>
        <v>125.53514999999999</v>
      </c>
      <c r="F160" s="40">
        <f t="shared" si="15"/>
        <v>936.81782999999996</v>
      </c>
      <c r="G160" s="40">
        <v>0</v>
      </c>
      <c r="H160" s="40">
        <f t="shared" si="17"/>
        <v>1405.2267449999999</v>
      </c>
      <c r="I160" s="34"/>
      <c r="N160" s="34"/>
    </row>
    <row r="161" spans="1:14" s="35" customFormat="1" x14ac:dyDescent="0.3">
      <c r="A161" s="82">
        <f t="shared" si="16"/>
        <v>5</v>
      </c>
      <c r="B161" s="82"/>
      <c r="C161" s="40" t="s">
        <v>221</v>
      </c>
      <c r="D161" s="40">
        <f>(75.37)*10.764</f>
        <v>811.28268000000003</v>
      </c>
      <c r="E161" s="40">
        <f>(9.68+3.05*0.65)*10.764</f>
        <v>125.53514999999999</v>
      </c>
      <c r="F161" s="40">
        <f t="shared" si="15"/>
        <v>936.81782999999996</v>
      </c>
      <c r="G161" s="40">
        <v>0</v>
      </c>
      <c r="H161" s="40">
        <f t="shared" si="17"/>
        <v>1405.2267449999999</v>
      </c>
      <c r="I161" s="34"/>
      <c r="N161" s="34"/>
    </row>
    <row r="162" spans="1:14" s="35" customFormat="1" x14ac:dyDescent="0.3">
      <c r="A162" s="82">
        <f t="shared" si="16"/>
        <v>6</v>
      </c>
      <c r="B162" s="82"/>
      <c r="C162" s="40" t="s">
        <v>228</v>
      </c>
      <c r="D162" s="40">
        <f>(105.82)*10.764</f>
        <v>1139.0464799999997</v>
      </c>
      <c r="E162" s="40">
        <f>(9.68+3.05*0.75*2)*10.764</f>
        <v>153.44081999999997</v>
      </c>
      <c r="F162" s="40">
        <f t="shared" si="15"/>
        <v>1292.4872999999998</v>
      </c>
      <c r="G162" s="40">
        <v>0</v>
      </c>
      <c r="H162" s="40">
        <f t="shared" si="17"/>
        <v>1938.7309499999997</v>
      </c>
      <c r="I162" s="34"/>
      <c r="N162" s="34"/>
    </row>
    <row r="163" spans="1:14" s="35" customFormat="1" x14ac:dyDescent="0.3">
      <c r="A163" s="82">
        <f t="shared" si="16"/>
        <v>7</v>
      </c>
      <c r="B163" s="82"/>
      <c r="C163" s="40" t="s">
        <v>228</v>
      </c>
      <c r="D163" s="40">
        <f>(100.16)*10.764</f>
        <v>1078.1222399999999</v>
      </c>
      <c r="E163" s="40">
        <f>(9.68+3.05*0.75*2)*10.764</f>
        <v>153.44081999999997</v>
      </c>
      <c r="F163" s="40">
        <f t="shared" si="15"/>
        <v>1231.56306</v>
      </c>
      <c r="G163" s="40">
        <v>0</v>
      </c>
      <c r="H163" s="40">
        <f t="shared" si="17"/>
        <v>1847.3445899999999</v>
      </c>
      <c r="I163" s="34"/>
      <c r="N163" s="34"/>
    </row>
    <row r="164" spans="1:14" s="35" customFormat="1" x14ac:dyDescent="0.3">
      <c r="A164" s="82">
        <f t="shared" si="16"/>
        <v>8</v>
      </c>
      <c r="B164" s="82"/>
      <c r="C164" s="40" t="s">
        <v>221</v>
      </c>
      <c r="D164" s="40">
        <f>(70.09)*10.764</f>
        <v>754.44875999999999</v>
      </c>
      <c r="E164" s="40">
        <f>(9.68+3.05*0.65)*10.764</f>
        <v>125.53514999999999</v>
      </c>
      <c r="F164" s="40">
        <f t="shared" si="15"/>
        <v>879.98390999999992</v>
      </c>
      <c r="G164" s="40">
        <v>0</v>
      </c>
      <c r="H164" s="40">
        <f t="shared" si="17"/>
        <v>1319.9758649999999</v>
      </c>
      <c r="I164" s="34"/>
      <c r="N164" s="34"/>
    </row>
    <row r="165" spans="1:14" s="35" customFormat="1" x14ac:dyDescent="0.3">
      <c r="A165" s="129" t="s">
        <v>227</v>
      </c>
      <c r="B165" s="130"/>
      <c r="C165" s="130"/>
      <c r="D165" s="130"/>
      <c r="E165" s="130"/>
      <c r="F165" s="130"/>
      <c r="G165" s="130"/>
      <c r="H165" s="131"/>
      <c r="I165" s="34"/>
      <c r="J165" s="34">
        <f t="shared" ref="J165:J173" si="18">7400*F165</f>
        <v>0</v>
      </c>
      <c r="L165" s="35">
        <f t="shared" ref="L165:L173" si="19">7000*F165</f>
        <v>0</v>
      </c>
    </row>
    <row r="166" spans="1:14" s="35" customFormat="1" ht="15.75" customHeight="1" x14ac:dyDescent="0.3">
      <c r="A166" s="82">
        <v>1</v>
      </c>
      <c r="B166" s="82"/>
      <c r="C166" s="40" t="s">
        <v>221</v>
      </c>
      <c r="D166" s="40">
        <f>(70.09)*10.764</f>
        <v>754.44875999999999</v>
      </c>
      <c r="E166" s="40">
        <f>(9.68+3.05*0.65)*10.764</f>
        <v>125.53514999999999</v>
      </c>
      <c r="F166" s="40">
        <f t="shared" ref="F166:F173" si="20">D166+E166</f>
        <v>879.98390999999992</v>
      </c>
      <c r="G166" s="40">
        <v>0</v>
      </c>
      <c r="H166" s="40">
        <f>F166*(($H$129)+1)+(IF(G166&lt;101,G166,IF(G166&lt;201,G166/2,IF(G166&lt;=301,G166/3,G166/4))))</f>
        <v>1319.9758649999999</v>
      </c>
      <c r="I166" s="34">
        <f>(1.22*1.7+3.05*5.5+1.57*2.65+2.45*2.75+3.05*3.35+3.05*3.35+0.6*1.9+2.45*1.35+1.2*0.6+1.35*2.28+5*0.9)</f>
        <v>62.927499999999995</v>
      </c>
      <c r="J166" s="34">
        <f t="shared" si="18"/>
        <v>6511880.9339999994</v>
      </c>
      <c r="K166" s="34">
        <f>I166+J166</f>
        <v>6511943.8614999996</v>
      </c>
      <c r="L166" s="35">
        <f t="shared" si="19"/>
        <v>6159887.3699999992</v>
      </c>
    </row>
    <row r="167" spans="1:14" s="35" customFormat="1" ht="15.75" customHeight="1" x14ac:dyDescent="0.3">
      <c r="A167" s="82">
        <f t="shared" ref="A167:A173" si="21">A166+1</f>
        <v>2</v>
      </c>
      <c r="B167" s="82"/>
      <c r="C167" s="40" t="s">
        <v>228</v>
      </c>
      <c r="D167" s="40">
        <f>(100.16)*10.764</f>
        <v>1078.1222399999999</v>
      </c>
      <c r="E167" s="40">
        <f>(9.68+3.05*0.75*2)*10.764</f>
        <v>153.44081999999997</v>
      </c>
      <c r="F167" s="40">
        <f t="shared" si="20"/>
        <v>1231.56306</v>
      </c>
      <c r="G167" s="40">
        <v>0</v>
      </c>
      <c r="H167" s="40">
        <f t="shared" ref="H167:H173" si="22">F167*(($H$129)+1)+(IF(G167&lt;101,G167,IF(G167&lt;201,G167/2,IF(G167&lt;=301,G167/3,G167/4))))</f>
        <v>1847.3445899999999</v>
      </c>
      <c r="I167" s="34">
        <f>(1.22*1.7+3.2*5.5+2.85*2.65+2.45*2.75+3.05*3.35+3.55*3.11+2.45*1.5+3.65*3.05+1.6*2.36+1.4*2.36+1.6*0.5+1*4.5+0.5*(1.4+1.1))</f>
        <v>83.659499999999994</v>
      </c>
      <c r="J167" s="34">
        <f t="shared" si="18"/>
        <v>9113566.6439999994</v>
      </c>
      <c r="K167" s="34">
        <f>I167+J167</f>
        <v>9113650.3034999985</v>
      </c>
      <c r="L167" s="35">
        <f t="shared" si="19"/>
        <v>8620941.4199999999</v>
      </c>
    </row>
    <row r="168" spans="1:14" s="35" customFormat="1" ht="15.75" customHeight="1" x14ac:dyDescent="0.3">
      <c r="A168" s="82">
        <f t="shared" si="21"/>
        <v>3</v>
      </c>
      <c r="B168" s="82"/>
      <c r="C168" s="40" t="s">
        <v>228</v>
      </c>
      <c r="D168" s="40">
        <f>(105.82)*10.764</f>
        <v>1139.0464799999997</v>
      </c>
      <c r="E168" s="40">
        <f>(9.68+3.05*0.75*2)*10.764</f>
        <v>153.44081999999997</v>
      </c>
      <c r="F168" s="40">
        <f t="shared" si="20"/>
        <v>1292.4872999999998</v>
      </c>
      <c r="G168" s="40">
        <v>0</v>
      </c>
      <c r="H168" s="40">
        <f t="shared" si="22"/>
        <v>1938.7309499999997</v>
      </c>
      <c r="I168" s="34"/>
      <c r="J168" s="34">
        <f t="shared" si="18"/>
        <v>9564406.0199999977</v>
      </c>
      <c r="L168" s="35">
        <f t="shared" si="19"/>
        <v>9047411.0999999978</v>
      </c>
    </row>
    <row r="169" spans="1:14" s="35" customFormat="1" ht="15.75" customHeight="1" x14ac:dyDescent="0.3">
      <c r="A169" s="82">
        <f t="shared" si="21"/>
        <v>4</v>
      </c>
      <c r="B169" s="82"/>
      <c r="C169" s="40" t="s">
        <v>221</v>
      </c>
      <c r="D169" s="40">
        <f>(75.37)*10.764</f>
        <v>811.28268000000003</v>
      </c>
      <c r="E169" s="40">
        <f>(9.68+3.05*0.65)*10.764</f>
        <v>125.53514999999999</v>
      </c>
      <c r="F169" s="40">
        <f t="shared" si="20"/>
        <v>936.81782999999996</v>
      </c>
      <c r="G169" s="40">
        <v>0</v>
      </c>
      <c r="H169" s="40">
        <f t="shared" si="22"/>
        <v>1405.2267449999999</v>
      </c>
      <c r="I169" s="34"/>
      <c r="J169" s="34">
        <f t="shared" si="18"/>
        <v>6932451.9419999998</v>
      </c>
      <c r="L169" s="35">
        <f t="shared" si="19"/>
        <v>6557724.8099999996</v>
      </c>
    </row>
    <row r="170" spans="1:14" s="35" customFormat="1" ht="15.75" customHeight="1" x14ac:dyDescent="0.3">
      <c r="A170" s="82">
        <f t="shared" si="21"/>
        <v>5</v>
      </c>
      <c r="B170" s="82"/>
      <c r="C170" s="40" t="s">
        <v>221</v>
      </c>
      <c r="D170" s="40">
        <f>(75.37)*10.764</f>
        <v>811.28268000000003</v>
      </c>
      <c r="E170" s="40">
        <f>(9.68+3.05*0.65)*10.764</f>
        <v>125.53514999999999</v>
      </c>
      <c r="F170" s="40">
        <f t="shared" si="20"/>
        <v>936.81782999999996</v>
      </c>
      <c r="G170" s="40">
        <v>0</v>
      </c>
      <c r="H170" s="40">
        <f t="shared" si="22"/>
        <v>1405.2267449999999</v>
      </c>
      <c r="I170" s="34"/>
      <c r="J170" s="34">
        <f t="shared" si="18"/>
        <v>6932451.9419999998</v>
      </c>
      <c r="L170" s="35">
        <f t="shared" si="19"/>
        <v>6557724.8099999996</v>
      </c>
    </row>
    <row r="171" spans="1:14" s="35" customFormat="1" ht="15.75" customHeight="1" x14ac:dyDescent="0.3">
      <c r="A171" s="82">
        <f t="shared" si="21"/>
        <v>6</v>
      </c>
      <c r="B171" s="82"/>
      <c r="C171" s="40" t="s">
        <v>228</v>
      </c>
      <c r="D171" s="40">
        <f>(105.82)*10.764</f>
        <v>1139.0464799999997</v>
      </c>
      <c r="E171" s="40">
        <f>(9.68+3.05*0.75*2)*10.764</f>
        <v>153.44081999999997</v>
      </c>
      <c r="F171" s="40">
        <f t="shared" si="20"/>
        <v>1292.4872999999998</v>
      </c>
      <c r="G171" s="40">
        <v>0</v>
      </c>
      <c r="H171" s="40">
        <f t="shared" si="22"/>
        <v>1938.7309499999997</v>
      </c>
      <c r="I171" s="34">
        <f>15000000/F171</f>
        <v>11605.529895728958</v>
      </c>
      <c r="J171" s="34">
        <f t="shared" si="18"/>
        <v>9564406.0199999977</v>
      </c>
      <c r="L171" s="35">
        <f t="shared" si="19"/>
        <v>9047411.0999999978</v>
      </c>
    </row>
    <row r="172" spans="1:14" s="35" customFormat="1" ht="15.75" customHeight="1" x14ac:dyDescent="0.3">
      <c r="A172" s="82">
        <f t="shared" si="21"/>
        <v>7</v>
      </c>
      <c r="B172" s="82"/>
      <c r="C172" s="40" t="s">
        <v>228</v>
      </c>
      <c r="D172" s="40">
        <f>(100.16)*10.764</f>
        <v>1078.1222399999999</v>
      </c>
      <c r="E172" s="40">
        <f>(9.68+3.05*0.75*2)*10.764</f>
        <v>153.44081999999997</v>
      </c>
      <c r="F172" s="40">
        <f t="shared" si="20"/>
        <v>1231.56306</v>
      </c>
      <c r="G172" s="40">
        <v>0</v>
      </c>
      <c r="H172" s="40">
        <f t="shared" si="22"/>
        <v>1847.3445899999999</v>
      </c>
      <c r="I172" s="34">
        <f>12500000/F172</f>
        <v>10149.703580748841</v>
      </c>
      <c r="J172" s="34">
        <f t="shared" si="18"/>
        <v>9113566.6439999994</v>
      </c>
      <c r="L172" s="35">
        <f t="shared" si="19"/>
        <v>8620941.4199999999</v>
      </c>
    </row>
    <row r="173" spans="1:14" s="35" customFormat="1" ht="15.75" customHeight="1" x14ac:dyDescent="0.3">
      <c r="A173" s="82">
        <f t="shared" si="21"/>
        <v>8</v>
      </c>
      <c r="B173" s="82"/>
      <c r="C173" s="40" t="s">
        <v>221</v>
      </c>
      <c r="D173" s="40">
        <f>(70.09)*10.764</f>
        <v>754.44875999999999</v>
      </c>
      <c r="E173" s="40">
        <f>(9.68+3.05*0.65)*10.764</f>
        <v>125.53514999999999</v>
      </c>
      <c r="F173" s="40">
        <f t="shared" si="20"/>
        <v>879.98390999999992</v>
      </c>
      <c r="G173" s="40">
        <v>0</v>
      </c>
      <c r="H173" s="40">
        <f t="shared" si="22"/>
        <v>1319.9758649999999</v>
      </c>
      <c r="I173" s="34"/>
      <c r="J173" s="34">
        <f t="shared" si="18"/>
        <v>6511880.9339999994</v>
      </c>
      <c r="L173" s="35">
        <f t="shared" si="19"/>
        <v>6159887.3699999992</v>
      </c>
    </row>
    <row r="174" spans="1:14" s="35" customFormat="1" hidden="1" x14ac:dyDescent="0.3">
      <c r="A174" s="129" t="s">
        <v>122</v>
      </c>
      <c r="B174" s="130"/>
      <c r="C174" s="130"/>
      <c r="D174" s="130"/>
      <c r="E174" s="130"/>
      <c r="F174" s="130"/>
      <c r="G174" s="130"/>
      <c r="H174" s="131"/>
      <c r="I174" s="34"/>
      <c r="J174" s="34">
        <f t="shared" ref="J174:J196" si="23">7500*F174</f>
        <v>0</v>
      </c>
      <c r="L174" s="81"/>
      <c r="M174" s="81"/>
      <c r="N174" s="34"/>
    </row>
    <row r="175" spans="1:14" s="35" customFormat="1" hidden="1" x14ac:dyDescent="0.3">
      <c r="A175" s="85">
        <v>1</v>
      </c>
      <c r="B175" s="86"/>
      <c r="C175" s="40">
        <v>2</v>
      </c>
      <c r="D175" s="40"/>
      <c r="E175" s="40">
        <v>0</v>
      </c>
      <c r="F175" s="40" t="e">
        <f>D175*((#REF!)+1)+(IF(E175&lt;101,E175,IF(E175&lt;201,E175/2,IF(E175&lt;=301,E175/3,E175/4))))</f>
        <v>#REF!</v>
      </c>
      <c r="G175" s="85" t="str">
        <f>A174</f>
        <v>Ground Floor</v>
      </c>
      <c r="H175" s="86"/>
      <c r="I175" s="34"/>
      <c r="J175" s="34" t="e">
        <f t="shared" si="23"/>
        <v>#REF!</v>
      </c>
      <c r="L175" s="81"/>
      <c r="M175" s="81"/>
      <c r="N175" s="34"/>
    </row>
    <row r="176" spans="1:14" s="35" customFormat="1" hidden="1" x14ac:dyDescent="0.3">
      <c r="A176" s="85">
        <f t="shared" ref="A176:A178" si="24">A175+1</f>
        <v>2</v>
      </c>
      <c r="B176" s="86"/>
      <c r="C176" s="40"/>
      <c r="D176" s="40"/>
      <c r="E176" s="40">
        <v>0</v>
      </c>
      <c r="F176" s="40" t="e">
        <f>D176*((#REF!)+1)+(IF(E176&lt;101,E176,IF(E176&lt;201,E176/2,IF(E176&lt;=301,E176/3,E176/4))))</f>
        <v>#REF!</v>
      </c>
      <c r="G176" s="85" t="str">
        <f t="shared" ref="G176:G178" si="25">G175</f>
        <v>Ground Floor</v>
      </c>
      <c r="H176" s="86"/>
      <c r="I176" s="34"/>
      <c r="J176" s="34" t="e">
        <f t="shared" si="23"/>
        <v>#REF!</v>
      </c>
      <c r="L176" s="81"/>
      <c r="M176" s="81"/>
      <c r="N176" s="34"/>
    </row>
    <row r="177" spans="1:14" s="35" customFormat="1" hidden="1" x14ac:dyDescent="0.3">
      <c r="A177" s="85">
        <f t="shared" si="24"/>
        <v>3</v>
      </c>
      <c r="B177" s="86"/>
      <c r="C177" s="40"/>
      <c r="D177" s="40"/>
      <c r="E177" s="40">
        <v>0</v>
      </c>
      <c r="F177" s="40" t="e">
        <f>D177*((#REF!)+1)+(IF(E177&lt;101,E177,IF(E177&lt;201,E177/2,IF(E177&lt;=301,E177/3,E177/4))))</f>
        <v>#REF!</v>
      </c>
      <c r="G177" s="85" t="str">
        <f t="shared" si="25"/>
        <v>Ground Floor</v>
      </c>
      <c r="H177" s="86"/>
      <c r="I177" s="34"/>
      <c r="J177" s="34" t="e">
        <f t="shared" si="23"/>
        <v>#REF!</v>
      </c>
      <c r="L177" s="81"/>
      <c r="M177" s="81"/>
    </row>
    <row r="178" spans="1:14" s="35" customFormat="1" hidden="1" x14ac:dyDescent="0.3">
      <c r="A178" s="85">
        <f t="shared" si="24"/>
        <v>4</v>
      </c>
      <c r="B178" s="86"/>
      <c r="C178" s="40"/>
      <c r="D178" s="40"/>
      <c r="E178" s="40">
        <v>0</v>
      </c>
      <c r="F178" s="40" t="e">
        <f>D178*((#REF!)+1)+(IF(E178&lt;101,E178,IF(E178&lt;201,E178/2,IF(E178&lt;=301,E178/3,E178/4))))</f>
        <v>#REF!</v>
      </c>
      <c r="G178" s="85" t="str">
        <f t="shared" si="25"/>
        <v>Ground Floor</v>
      </c>
      <c r="H178" s="86"/>
      <c r="I178" s="34"/>
      <c r="J178" s="34" t="e">
        <f t="shared" si="23"/>
        <v>#REF!</v>
      </c>
      <c r="N178" s="34"/>
    </row>
    <row r="179" spans="1:14" s="35" customFormat="1" hidden="1" x14ac:dyDescent="0.3">
      <c r="A179" s="148" t="s">
        <v>123</v>
      </c>
      <c r="B179" s="148"/>
      <c r="C179" s="148"/>
      <c r="D179" s="148"/>
      <c r="E179" s="148"/>
      <c r="F179" s="148"/>
      <c r="G179" s="148"/>
      <c r="H179" s="148"/>
      <c r="I179" s="34"/>
      <c r="J179" s="34">
        <f t="shared" si="23"/>
        <v>0</v>
      </c>
      <c r="N179" s="34"/>
    </row>
    <row r="180" spans="1:14" s="35" customFormat="1" hidden="1" x14ac:dyDescent="0.3">
      <c r="A180" s="82">
        <f>LEFT(A179,SUM(LEN(A179)-LEN(SUBSTITUTE(A179,{"0","1","2","3","4","5","6","7","8","9"},""))))*100+1</f>
        <v>201</v>
      </c>
      <c r="B180" s="82"/>
      <c r="C180" s="40"/>
      <c r="D180" s="40"/>
      <c r="E180" s="40">
        <v>0</v>
      </c>
      <c r="F180" s="40" t="e">
        <f>D180*((#REF!)+1)+(IF(E180&lt;101,E180,IF(E180&lt;201,E180/2,IF(E180&lt;=301,E180/3,E180/4))))</f>
        <v>#REF!</v>
      </c>
      <c r="G180" s="82" t="str">
        <f>A179</f>
        <v>2nd Floor</v>
      </c>
      <c r="H180" s="82"/>
      <c r="I180" s="34"/>
      <c r="J180" s="34" t="e">
        <f t="shared" si="23"/>
        <v>#REF!</v>
      </c>
      <c r="N180" s="34"/>
    </row>
    <row r="181" spans="1:14" s="35" customFormat="1" hidden="1" x14ac:dyDescent="0.3">
      <c r="A181" s="82">
        <f>A180+1</f>
        <v>202</v>
      </c>
      <c r="B181" s="82"/>
      <c r="C181" s="40"/>
      <c r="D181" s="40"/>
      <c r="E181" s="40">
        <v>0</v>
      </c>
      <c r="F181" s="40" t="e">
        <f>D181*((#REF!)+1)+(IF(E181&lt;101,E181,IF(E181&lt;201,E181/2,IF(E181&lt;=301,E181/3,E181/4))))</f>
        <v>#REF!</v>
      </c>
      <c r="G181" s="82" t="str">
        <f>G180</f>
        <v>2nd Floor</v>
      </c>
      <c r="H181" s="82"/>
      <c r="I181" s="34"/>
      <c r="J181" s="34" t="e">
        <f t="shared" si="23"/>
        <v>#REF!</v>
      </c>
      <c r="N181" s="34"/>
    </row>
    <row r="182" spans="1:14" s="35" customFormat="1" hidden="1" x14ac:dyDescent="0.3">
      <c r="A182" s="82">
        <f>A181+1</f>
        <v>203</v>
      </c>
      <c r="B182" s="82"/>
      <c r="C182" s="40"/>
      <c r="D182" s="40"/>
      <c r="E182" s="40">
        <v>0</v>
      </c>
      <c r="F182" s="40" t="e">
        <f>D182*((#REF!)+1)+(IF(E182&lt;101,E182,IF(E182&lt;201,E182/2,IF(E182&lt;=301,E182/3,E182/4))))</f>
        <v>#REF!</v>
      </c>
      <c r="G182" s="82" t="str">
        <f>G181</f>
        <v>2nd Floor</v>
      </c>
      <c r="H182" s="82"/>
      <c r="I182" s="34"/>
      <c r="J182" s="34" t="e">
        <f t="shared" si="23"/>
        <v>#REF!</v>
      </c>
      <c r="N182" s="34"/>
    </row>
    <row r="183" spans="1:14" s="35" customFormat="1" ht="15.75" hidden="1" customHeight="1" x14ac:dyDescent="0.3">
      <c r="A183" s="82">
        <f>A182+1</f>
        <v>204</v>
      </c>
      <c r="B183" s="82"/>
      <c r="C183" s="40"/>
      <c r="D183" s="40"/>
      <c r="E183" s="40">
        <v>0</v>
      </c>
      <c r="F183" s="40" t="e">
        <f>D183*((#REF!)+1)+(IF(E183&lt;101,E183,IF(E183&lt;201,E183/2,IF(E183&lt;=301,E183/3,E183/4))))</f>
        <v>#REF!</v>
      </c>
      <c r="G183" s="82" t="str">
        <f>G182</f>
        <v>2nd Floor</v>
      </c>
      <c r="H183" s="82"/>
      <c r="I183" s="34"/>
      <c r="J183" s="34" t="e">
        <f t="shared" si="23"/>
        <v>#REF!</v>
      </c>
    </row>
    <row r="184" spans="1:14" s="35" customFormat="1" hidden="1" x14ac:dyDescent="0.3">
      <c r="A184" s="82">
        <f>A183+1</f>
        <v>205</v>
      </c>
      <c r="B184" s="82"/>
      <c r="C184" s="40"/>
      <c r="D184" s="40"/>
      <c r="E184" s="40">
        <v>0</v>
      </c>
      <c r="F184" s="40" t="e">
        <f>D184*((#REF!)+1)+(IF(E184&lt;101,E184,IF(E184&lt;201,E184/2,IF(E184&lt;=301,E184/3,E184/4))))</f>
        <v>#REF!</v>
      </c>
      <c r="G184" s="82" t="str">
        <f>G183</f>
        <v>2nd Floor</v>
      </c>
      <c r="H184" s="82"/>
      <c r="I184" s="34"/>
      <c r="J184" s="34" t="e">
        <f t="shared" si="23"/>
        <v>#REF!</v>
      </c>
    </row>
    <row r="185" spans="1:14" s="35" customFormat="1" hidden="1" x14ac:dyDescent="0.3">
      <c r="A185" s="129" t="s">
        <v>151</v>
      </c>
      <c r="B185" s="130"/>
      <c r="C185" s="130"/>
      <c r="D185" s="130"/>
      <c r="E185" s="130"/>
      <c r="F185" s="130"/>
      <c r="G185" s="130"/>
      <c r="H185" s="131"/>
      <c r="I185" s="34"/>
      <c r="J185" s="34">
        <f t="shared" si="23"/>
        <v>0</v>
      </c>
    </row>
    <row r="186" spans="1:14" s="35" customFormat="1" hidden="1" x14ac:dyDescent="0.3">
      <c r="A186" s="85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10^ROW(INDIRECT("1:"&amp;LEN((LEFT(A185,SUM(LEN(A185)-LEN(SUBSTITUTE(A185,{"0","1","2"},""))))))))/10))*100+1&amp;""&amp;" to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",LEN(A185))),LEN(A185)))))))/10))*100+1</f>
        <v>201 to 501</v>
      </c>
      <c r="B186" s="86"/>
      <c r="C186" s="40"/>
      <c r="D186" s="40"/>
      <c r="E186" s="40">
        <v>0</v>
      </c>
      <c r="F186" s="40" t="e">
        <f>D186*((#REF!)+1)+(IF(E186&lt;101,E186,IF(E186&lt;201,E186/2,IF(E186&lt;=301,E186/3,E186/4))))</f>
        <v>#REF!</v>
      </c>
      <c r="G186" s="85" t="str">
        <f>A185</f>
        <v>2nd to 5th Floor</v>
      </c>
      <c r="H186" s="86"/>
      <c r="I186" s="34"/>
      <c r="J186" s="34" t="e">
        <f t="shared" si="23"/>
        <v>#REF!</v>
      </c>
    </row>
    <row r="187" spans="1:14" s="35" customFormat="1" hidden="1" x14ac:dyDescent="0.3">
      <c r="A187" s="85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to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202 to 502</v>
      </c>
      <c r="B187" s="86"/>
      <c r="C187" s="40"/>
      <c r="D187" s="40"/>
      <c r="E187" s="40">
        <v>0</v>
      </c>
      <c r="F187" s="40" t="e">
        <f>D187*((#REF!)+1)+(IF(E187&lt;101,E187,IF(E187&lt;201,E187/2,IF(E187&lt;=301,E187/3,E187/4))))</f>
        <v>#REF!</v>
      </c>
      <c r="G187" s="85" t="str">
        <f>G186</f>
        <v>2nd to 5th Floor</v>
      </c>
      <c r="H187" s="86"/>
      <c r="I187" s="34"/>
      <c r="J187" s="34" t="e">
        <f t="shared" si="23"/>
        <v>#REF!</v>
      </c>
    </row>
    <row r="188" spans="1:14" s="35" customFormat="1" hidden="1" x14ac:dyDescent="0.3">
      <c r="A188" s="85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10^ROW(INDIRECT("1:"&amp;LEN((LEFT(A187,SUM(LEN(A187)-LEN(SUBSTITUTE(A187,{"0","1","2"},""))))))))/10))*1+1&amp;""&amp;" to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",LEN(A187))),LEN(A187)))))))/10))*1+1</f>
        <v>203 to 503</v>
      </c>
      <c r="B188" s="86"/>
      <c r="C188" s="40"/>
      <c r="D188" s="40"/>
      <c r="E188" s="40">
        <v>0</v>
      </c>
      <c r="F188" s="40" t="e">
        <f>D188*((#REF!)+1)+(IF(E188&lt;101,E188,IF(E188&lt;201,E188/2,IF(E188&lt;=301,E188/3,E188/4))))</f>
        <v>#REF!</v>
      </c>
      <c r="G188" s="85" t="str">
        <f>G187</f>
        <v>2nd to 5th Floor</v>
      </c>
      <c r="H188" s="86"/>
      <c r="I188" s="34"/>
      <c r="J188" s="34" t="e">
        <f t="shared" si="23"/>
        <v>#REF!</v>
      </c>
    </row>
    <row r="189" spans="1:14" s="35" customFormat="1" hidden="1" x14ac:dyDescent="0.3">
      <c r="A189" s="85" t="str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10^ROW(INDIRECT("1:"&amp;LEN((LEFT(A188,SUM(LEN(A188)-LEN(SUBSTITUTE(A188,{"0","1","2"},""))))))))/10))*1+1&amp;""&amp;" to "&amp;""&amp;(SUMPRODUCT(MID(0&amp;(--TRIM(RIGHT(SUBSTITUTE(LEFT(A188,_xlfn.AGGREGATE(16,6,FIND({0,1,2,3,4,5,6,7,8,9},A188,ROW(INDIRECT("1:"&amp;LEN(A188)))),1)),"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",LEN(A188))),LEN(A188)))))))/10))*1+1</f>
        <v>204 to 504</v>
      </c>
      <c r="B189" s="86"/>
      <c r="C189" s="40"/>
      <c r="D189" s="40"/>
      <c r="E189" s="40">
        <v>0</v>
      </c>
      <c r="F189" s="40" t="e">
        <f>D189*((#REF!)+1)+(IF(E189&lt;101,E189,IF(E189&lt;201,E189/2,IF(E189&lt;=301,E189/3,E189/4))))</f>
        <v>#REF!</v>
      </c>
      <c r="G189" s="85" t="str">
        <f>G188</f>
        <v>2nd to 5th Floor</v>
      </c>
      <c r="H189" s="86"/>
      <c r="I189" s="34"/>
      <c r="J189" s="34" t="e">
        <f t="shared" si="23"/>
        <v>#REF!</v>
      </c>
    </row>
    <row r="190" spans="1:14" s="35" customFormat="1" hidden="1" x14ac:dyDescent="0.3">
      <c r="A190" s="85" t="str">
        <f ca="1">(SUMPRODUCT(MID(0&amp;(LEFT(A189,SUM(LEN(A189)-LEN(SUBSTITUTE(A189,{"0","1","2"},""))))), LARGE(INDEX(ISNUMBER(--MID((LEFT(A189,SUM(LEN(A189)-LEN(SUBSTITUTE(A189,{"0","1","2"},""))))), ROW(INDIRECT("1:"&amp;LEN((LEFT(A189,SUM(LEN(A189)-LEN(SUBSTITUTE(A189,{"0","1","2"},"")))))))), 1)) * ROW(INDIRECT("1:"&amp;LEN((LEFT(A189,SUM(LEN(A189)-LEN(SUBSTITUTE(A189,{"0","1","2"},"")))))))), 0), ROW(INDIRECT("1:"&amp;LEN((LEFT(A189,SUM(LEN(A189)-LEN(SUBSTITUTE(A189,{"0","1","2"},"")))))))))+1, 1) * 10^ROW(INDIRECT("1:"&amp;LEN((LEFT(A189,SUM(LEN(A189)-LEN(SUBSTITUTE(A189,{"0","1","2"},""))))))))/10))*1+1&amp;""&amp;" to "&amp;""&amp;(SUMPRODUCT(MID(0&amp;(--TRIM(RIGHT(SUBSTITUTE(LEFT(A189,_xlfn.AGGREGATE(16,6,FIND({0,1,2,3,4,5,6,7,8,9},A189,ROW(INDIRECT("1:"&amp;LEN(A189)))),1))," ",REPT(" ",LEN(A189))),LEN(A189)))), LARGE(INDEX(ISNUMBER(--MID((--TRIM(RIGHT(SUBSTITUTE(LEFT(A189,_xlfn.AGGREGATE(16,6,FIND({0,1,2,3,4,5,6,7,8,9},A189,ROW(INDIRECT("1:"&amp;LEN(A189)))),1))," ",REPT(" ",LEN(A189))),LEN(A189)))), ROW(INDIRECT("1:"&amp;LEN((--TRIM(RIGHT(SUBSTITUTE(LEFT(A189,_xlfn.AGGREGATE(16,6,FIND({0,1,2,3,4,5,6,7,8,9},A189,ROW(INDIRECT("1:"&amp;LEN(A189)))),1))," ",REPT(" ",LEN(A189))),LEN(A189))))))), 1)) * ROW(INDIRECT("1:"&amp;LEN((--TRIM(RIGHT(SUBSTITUTE(LEFT(A189,_xlfn.AGGREGATE(16,6,FIND({0,1,2,3,4,5,6,7,8,9},A189,ROW(INDIRECT("1:"&amp;LEN(A189)))),1))," ",REPT(" ",LEN(A189))),LEN(A189))))))), 0), ROW(INDIRECT("1:"&amp;LEN((--TRIM(RIGHT(SUBSTITUTE(LEFT(A189,_xlfn.AGGREGATE(16,6,FIND({0,1,2,3,4,5,6,7,8,9},A189,ROW(INDIRECT("1:"&amp;LEN(A189)))),1))," ",REPT(" ",LEN(A189))),LEN(A189))))))))+1, 1) * 10^ROW(INDIRECT("1:"&amp;LEN((--TRIM(RIGHT(SUBSTITUTE(LEFT(A189,_xlfn.AGGREGATE(16,6,FIND({0,1,2,3,4,5,6,7,8,9},A189,ROW(INDIRECT("1:"&amp;LEN(A189)))),1))," ",REPT(" ",LEN(A189))),LEN(A189)))))))/10))*1+1</f>
        <v>205 to 505</v>
      </c>
      <c r="B190" s="86"/>
      <c r="C190" s="40"/>
      <c r="D190" s="40"/>
      <c r="E190" s="40">
        <v>0</v>
      </c>
      <c r="F190" s="40" t="e">
        <f>D190*((#REF!)+1)+(IF(E190&lt;101,E190,IF(E190&lt;201,E190/2,IF(E190&lt;=301,E190/3,E190/4))))</f>
        <v>#REF!</v>
      </c>
      <c r="G190" s="85" t="str">
        <f>G189</f>
        <v>2nd to 5th Floor</v>
      </c>
      <c r="H190" s="86"/>
      <c r="I190" s="34"/>
      <c r="J190" s="34" t="e">
        <f t="shared" si="23"/>
        <v>#REF!</v>
      </c>
    </row>
    <row r="191" spans="1:14" s="35" customFormat="1" hidden="1" x14ac:dyDescent="0.3">
      <c r="A191" s="129" t="s">
        <v>152</v>
      </c>
      <c r="B191" s="130"/>
      <c r="C191" s="130"/>
      <c r="D191" s="130"/>
      <c r="E191" s="130"/>
      <c r="F191" s="130"/>
      <c r="G191" s="130"/>
      <c r="H191" s="131"/>
      <c r="I191" s="34"/>
      <c r="J191" s="34">
        <f t="shared" si="23"/>
        <v>0</v>
      </c>
    </row>
    <row r="192" spans="1:14" s="35" customFormat="1" hidden="1" x14ac:dyDescent="0.3">
      <c r="A192" s="85" t="str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10^ROW(INDIRECT("1:"&amp;LEN((LEFT(A191,SUM(LEN(A191)-LEN(SUBSTITUTE(A191,{"0","1","2"},""))))))))/10))*100+1&amp;""&amp;" &amp; "&amp;""&amp;(SUMPRODUCT(MID(0&amp;(--TRIM(RIGHT(SUBSTITUTE(LEFT(A191,_xlfn.AGGREGATE(16,6,FIND({0,1,2,3,4,5,6,7,8,9},A191,ROW(INDIRECT("1:"&amp;LEN(A191)))),1)),"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",LEN(A191))),LEN(A191)))))))/10))*100+1</f>
        <v>201 &amp; 501</v>
      </c>
      <c r="B192" s="86"/>
      <c r="C192" s="40"/>
      <c r="D192" s="40"/>
      <c r="E192" s="40">
        <v>0</v>
      </c>
      <c r="F192" s="40" t="e">
        <f>D192*((#REF!)+1)+(IF(E192&lt;101,E192,IF(E192&lt;201,E192/2,IF(E192&lt;=301,E192/3,E192/4))))</f>
        <v>#REF!</v>
      </c>
      <c r="G192" s="85" t="str">
        <f>A191</f>
        <v>2nd &amp; 5th Floor</v>
      </c>
      <c r="H192" s="86"/>
      <c r="I192" s="34"/>
      <c r="J192" s="34" t="e">
        <f t="shared" si="23"/>
        <v>#REF!</v>
      </c>
    </row>
    <row r="193" spans="1:10" s="35" customFormat="1" hidden="1" x14ac:dyDescent="0.3">
      <c r="A193" s="85" t="str">
        <f ca="1">(SUMPRODUCT(MID(0&amp;(LEFT(A192,SUM(LEN(A192)-LEN(SUBSTITUTE(A192,{"0","1","2"},""))))), LARGE(INDEX(ISNUMBER(--MID((LEFT(A192,SUM(LEN(A192)-LEN(SUBSTITUTE(A192,{"0","1","2"},""))))), ROW(INDIRECT("1:"&amp;LEN((LEFT(A192,SUM(LEN(A192)-LEN(SUBSTITUTE(A192,{"0","1","2"},"")))))))), 1)) * ROW(INDIRECT("1:"&amp;LEN((LEFT(A192,SUM(LEN(A192)-LEN(SUBSTITUTE(A192,{"0","1","2"},"")))))))), 0), ROW(INDIRECT("1:"&amp;LEN((LEFT(A192,SUM(LEN(A192)-LEN(SUBSTITUTE(A192,{"0","1","2"},"")))))))))+1, 1) * 10^ROW(INDIRECT("1:"&amp;LEN((LEFT(A192,SUM(LEN(A192)-LEN(SUBSTITUTE(A192,{"0","1","2"},""))))))))/10))*1+1&amp;""&amp;" &amp; "&amp;""&amp;(SUMPRODUCT(MID(0&amp;(--TRIM(RIGHT(SUBSTITUTE(LEFT(A192,_xlfn.AGGREGATE(16,6,FIND({0,1,2,3,4,5,6,7,8,9},A192,ROW(INDIRECT("1:"&amp;LEN(A192)))),1)),"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",LEN(A192))),LEN(A192)))))))/10))*1+1</f>
        <v>202 &amp; 502</v>
      </c>
      <c r="B193" s="86"/>
      <c r="C193" s="40"/>
      <c r="D193" s="40"/>
      <c r="E193" s="40">
        <v>0</v>
      </c>
      <c r="F193" s="40" t="e">
        <f>D193*((#REF!)+1)+(IF(E193&lt;101,E193,IF(E193&lt;201,E193/2,IF(E193&lt;=301,E193/3,E193/4))))</f>
        <v>#REF!</v>
      </c>
      <c r="G193" s="85" t="str">
        <f t="shared" ref="G193:G196" si="26">G192</f>
        <v>2nd &amp; 5th Floor</v>
      </c>
      <c r="H193" s="86"/>
      <c r="I193" s="34"/>
      <c r="J193" s="34" t="e">
        <f t="shared" si="23"/>
        <v>#REF!</v>
      </c>
    </row>
    <row r="194" spans="1:10" s="35" customFormat="1" hidden="1" x14ac:dyDescent="0.3">
      <c r="A194" s="85" t="str">
        <f ca="1">(SUMPRODUCT(MID(0&amp;(LEFT(A193,SUM(LEN(A193)-LEN(SUBSTITUTE(A193,{"0","1","2"},""))))), LARGE(INDEX(ISNUMBER(--MID((LEFT(A193,SUM(LEN(A193)-LEN(SUBSTITUTE(A193,{"0","1","2"},""))))), ROW(INDIRECT("1:"&amp;LEN((LEFT(A193,SUM(LEN(A193)-LEN(SUBSTITUTE(A193,{"0","1","2"},"")))))))), 1)) * ROW(INDIRECT("1:"&amp;LEN((LEFT(A193,SUM(LEN(A193)-LEN(SUBSTITUTE(A193,{"0","1","2"},"")))))))), 0), ROW(INDIRECT("1:"&amp;LEN((LEFT(A193,SUM(LEN(A193)-LEN(SUBSTITUTE(A193,{"0","1","2"},"")))))))))+1, 1) * 10^ROW(INDIRECT("1:"&amp;LEN((LEFT(A193,SUM(LEN(A193)-LEN(SUBSTITUTE(A193,{"0","1","2"},""))))))))/10))*1+1&amp;""&amp;" &amp; "&amp;""&amp;(SUMPRODUCT(MID(0&amp;(--TRIM(RIGHT(SUBSTITUTE(LEFT(A193,_xlfn.AGGREGATE(16,6,FIND({0,1,2,3,4,5,6,7,8,9},A193,ROW(INDIRECT("1:"&amp;LEN(A193)))),1))," ",REPT(" ",LEN(A193))),LEN(A193)))), LARGE(INDEX(ISNUMBER(--MID((--TRIM(RIGHT(SUBSTITUTE(LEFT(A193,_xlfn.AGGREGATE(16,6,FIND({0,1,2,3,4,5,6,7,8,9},A193,ROW(INDIRECT("1:"&amp;LEN(A193)))),1))," ",REPT(" ",LEN(A193))),LEN(A193)))), ROW(INDIRECT("1:"&amp;LEN((--TRIM(RIGHT(SUBSTITUTE(LEFT(A193,_xlfn.AGGREGATE(16,6,FIND({0,1,2,3,4,5,6,7,8,9},A193,ROW(INDIRECT("1:"&amp;LEN(A193)))),1))," ",REPT(" ",LEN(A193))),LEN(A193))))))), 1)) * ROW(INDIRECT("1:"&amp;LEN((--TRIM(RIGHT(SUBSTITUTE(LEFT(A193,_xlfn.AGGREGATE(16,6,FIND({0,1,2,3,4,5,6,7,8,9},A193,ROW(INDIRECT("1:"&amp;LEN(A193)))),1))," ",REPT(" ",LEN(A193))),LEN(A193))))))), 0), ROW(INDIRECT("1:"&amp;LEN((--TRIM(RIGHT(SUBSTITUTE(LEFT(A193,_xlfn.AGGREGATE(16,6,FIND({0,1,2,3,4,5,6,7,8,9},A193,ROW(INDIRECT("1:"&amp;LEN(A193)))),1))," ",REPT(" ",LEN(A193))),LEN(A193))))))))+1, 1) * 10^ROW(INDIRECT("1:"&amp;LEN((--TRIM(RIGHT(SUBSTITUTE(LEFT(A193,_xlfn.AGGREGATE(16,6,FIND({0,1,2,3,4,5,6,7,8,9},A193,ROW(INDIRECT("1:"&amp;LEN(A193)))),1))," ",REPT(" ",LEN(A193))),LEN(A193)))))))/10))*1+1</f>
        <v>203 &amp; 503</v>
      </c>
      <c r="B194" s="86"/>
      <c r="C194" s="40"/>
      <c r="D194" s="40"/>
      <c r="E194" s="40">
        <v>0</v>
      </c>
      <c r="F194" s="40" t="e">
        <f>D194*((#REF!)+1)+(IF(E194&lt;101,E194,IF(E194&lt;201,E194/2,IF(E194&lt;=301,E194/3,E194/4))))</f>
        <v>#REF!</v>
      </c>
      <c r="G194" s="85" t="str">
        <f t="shared" si="26"/>
        <v>2nd &amp; 5th Floor</v>
      </c>
      <c r="H194" s="86"/>
      <c r="I194" s="34"/>
      <c r="J194" s="34" t="e">
        <f t="shared" si="23"/>
        <v>#REF!</v>
      </c>
    </row>
    <row r="195" spans="1:10" s="33" customFormat="1" hidden="1" x14ac:dyDescent="0.3">
      <c r="A195" s="85" t="str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10^ROW(INDIRECT("1:"&amp;LEN((LEFT(A194,SUM(LEN(A194)-LEN(SUBSTITUTE(A194,{"0","1","2"},""))))))))/10))*1+1&amp;""&amp;" &amp; "&amp;""&amp;(SUMPRODUCT(MID(0&amp;(--TRIM(RIGHT(SUBSTITUTE(LEFT(A194,_xlfn.AGGREGATE(16,6,FIND({0,1,2,3,4,5,6,7,8,9},A194,ROW(INDIRECT("1:"&amp;LEN(A194)))),1)),"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",LEN(A194))),LEN(A194)))))))/10))*1+1</f>
        <v>204 &amp; 504</v>
      </c>
      <c r="B195" s="86"/>
      <c r="C195" s="40"/>
      <c r="D195" s="40"/>
      <c r="E195" s="40">
        <v>0</v>
      </c>
      <c r="F195" s="40" t="e">
        <f>D195*((#REF!)+1)+(IF(E195&lt;101,E195,IF(E195&lt;201,E195/2,IF(E195&lt;=301,E195/3,E195/4))))</f>
        <v>#REF!</v>
      </c>
      <c r="G195" s="85" t="str">
        <f t="shared" si="26"/>
        <v>2nd &amp; 5th Floor</v>
      </c>
      <c r="H195" s="86"/>
      <c r="J195" s="34" t="e">
        <f t="shared" si="23"/>
        <v>#REF!</v>
      </c>
    </row>
    <row r="196" spans="1:10" s="33" customFormat="1" ht="48.75" hidden="1" customHeight="1" x14ac:dyDescent="0.3">
      <c r="A196" s="85" t="str">
        <f ca="1">(SUMPRODUCT(MID(0&amp;(LEFT(A195,SUM(LEN(A195)-LEN(SUBSTITUTE(A195,{"0","1","2"},""))))), LARGE(INDEX(ISNUMBER(--MID((LEFT(A195,SUM(LEN(A195)-LEN(SUBSTITUTE(A195,{"0","1","2"},""))))), ROW(INDIRECT("1:"&amp;LEN((LEFT(A195,SUM(LEN(A195)-LEN(SUBSTITUTE(A195,{"0","1","2"},"")))))))), 1)) * ROW(INDIRECT("1:"&amp;LEN((LEFT(A195,SUM(LEN(A195)-LEN(SUBSTITUTE(A195,{"0","1","2"},"")))))))), 0), ROW(INDIRECT("1:"&amp;LEN((LEFT(A195,SUM(LEN(A195)-LEN(SUBSTITUTE(A195,{"0","1","2"},"")))))))))+1, 1) * 10^ROW(INDIRECT("1:"&amp;LEN((LEFT(A195,SUM(LEN(A195)-LEN(SUBSTITUTE(A195,{"0","1","2"},""))))))))/10))*1+1&amp;""&amp;" &amp; "&amp;""&amp;(SUMPRODUCT(MID(0&amp;(--TRIM(RIGHT(SUBSTITUTE(LEFT(A195,_xlfn.AGGREGATE(16,6,FIND({0,1,2,3,4,5,6,7,8,9},A195,ROW(INDIRECT("1:"&amp;LEN(A195)))),1))," ",REPT(" ",LEN(A195))),LEN(A195)))), LARGE(INDEX(ISNUMBER(--MID((--TRIM(RIGHT(SUBSTITUTE(LEFT(A195,_xlfn.AGGREGATE(16,6,FIND({0,1,2,3,4,5,6,7,8,9},A195,ROW(INDIRECT("1:"&amp;LEN(A195)))),1))," ",REPT(" ",LEN(A195))),LEN(A195)))), ROW(INDIRECT("1:"&amp;LEN((--TRIM(RIGHT(SUBSTITUTE(LEFT(A195,_xlfn.AGGREGATE(16,6,FIND({0,1,2,3,4,5,6,7,8,9},A195,ROW(INDIRECT("1:"&amp;LEN(A195)))),1))," ",REPT(" ",LEN(A195))),LEN(A195))))))), 1)) * ROW(INDIRECT("1:"&amp;LEN((--TRIM(RIGHT(SUBSTITUTE(LEFT(A195,_xlfn.AGGREGATE(16,6,FIND({0,1,2,3,4,5,6,7,8,9},A195,ROW(INDIRECT("1:"&amp;LEN(A195)))),1))," ",REPT(" ",LEN(A195))),LEN(A195))))))), 0), ROW(INDIRECT("1:"&amp;LEN((--TRIM(RIGHT(SUBSTITUTE(LEFT(A195,_xlfn.AGGREGATE(16,6,FIND({0,1,2,3,4,5,6,7,8,9},A195,ROW(INDIRECT("1:"&amp;LEN(A195)))),1))," ",REPT(" ",LEN(A195))),LEN(A195))))))))+1, 1) * 10^ROW(INDIRECT("1:"&amp;LEN((--TRIM(RIGHT(SUBSTITUTE(LEFT(A195,_xlfn.AGGREGATE(16,6,FIND({0,1,2,3,4,5,6,7,8,9},A195,ROW(INDIRECT("1:"&amp;LEN(A195)))),1))," ",REPT(" ",LEN(A195))),LEN(A195)))))))/10))*1+1</f>
        <v>205 &amp; 505</v>
      </c>
      <c r="B196" s="86"/>
      <c r="C196" s="40"/>
      <c r="D196" s="40"/>
      <c r="E196" s="40">
        <v>0</v>
      </c>
      <c r="F196" s="40" t="e">
        <f>D196*((#REF!)+1)+(IF(E196&lt;101,E196,IF(E196&lt;201,E196/2,IF(E196&lt;=301,E196/3,E196/4))))</f>
        <v>#REF!</v>
      </c>
      <c r="G196" s="85" t="str">
        <f t="shared" si="26"/>
        <v>2nd &amp; 5th Floor</v>
      </c>
      <c r="H196" s="86"/>
      <c r="J196" s="34" t="e">
        <f t="shared" si="23"/>
        <v>#REF!</v>
      </c>
    </row>
    <row r="197" spans="1:10" s="33" customFormat="1" x14ac:dyDescent="0.3">
      <c r="A197" s="147" t="s">
        <v>70</v>
      </c>
      <c r="B197" s="147"/>
      <c r="C197" s="147"/>
      <c r="D197" s="147"/>
      <c r="E197" s="147"/>
      <c r="F197" s="147"/>
      <c r="G197" s="147"/>
      <c r="H197" s="147"/>
    </row>
    <row r="198" spans="1:10" s="33" customFormat="1" ht="31.5" customHeight="1" x14ac:dyDescent="0.3">
      <c r="A198" s="43" t="s">
        <v>161</v>
      </c>
      <c r="B198" s="143" t="s">
        <v>236</v>
      </c>
      <c r="C198" s="144"/>
      <c r="D198" s="144"/>
      <c r="E198" s="144"/>
      <c r="F198" s="144"/>
      <c r="G198" s="144"/>
      <c r="H198" s="145"/>
    </row>
    <row r="199" spans="1:10" s="33" customFormat="1" x14ac:dyDescent="0.3">
      <c r="A199" s="43" t="s">
        <v>161</v>
      </c>
      <c r="B199" s="137" t="str">
        <f>(IF(H128="Saleable area Loading :","We have considered Saleable area of Flats as per our Calculation.","We considered Saleable area of Flat as per Builder area Sheet."))</f>
        <v>We have considered Saleable area of Flats as per our Calculation.</v>
      </c>
      <c r="C199" s="138"/>
      <c r="D199" s="138"/>
      <c r="E199" s="138"/>
      <c r="F199" s="138"/>
      <c r="G199" s="138"/>
      <c r="H199" s="139"/>
    </row>
    <row r="200" spans="1:10" s="33" customFormat="1" hidden="1" x14ac:dyDescent="0.3">
      <c r="A200" s="43" t="s">
        <v>161</v>
      </c>
      <c r="B200" s="137" t="str">
        <f>(IF(F120="Saleable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0" s="138"/>
      <c r="D200" s="138"/>
      <c r="E200" s="138"/>
      <c r="F200" s="138"/>
      <c r="G200" s="138"/>
      <c r="H200" s="139"/>
    </row>
    <row r="201" spans="1:10" s="33" customFormat="1" x14ac:dyDescent="0.3">
      <c r="A201" s="43" t="s">
        <v>161</v>
      </c>
      <c r="B201" s="134" t="s">
        <v>128</v>
      </c>
      <c r="C201" s="135"/>
      <c r="D201" s="135"/>
      <c r="E201" s="135"/>
      <c r="F201" s="135"/>
      <c r="G201" s="135"/>
      <c r="H201" s="136"/>
    </row>
    <row r="202" spans="1:10" s="33" customFormat="1" x14ac:dyDescent="0.3">
      <c r="A202" s="43" t="s">
        <v>161</v>
      </c>
      <c r="B202" s="134" t="s">
        <v>229</v>
      </c>
      <c r="C202" s="135"/>
      <c r="D202" s="135"/>
      <c r="E202" s="135"/>
      <c r="F202" s="135"/>
      <c r="G202" s="135"/>
      <c r="H202" s="136"/>
    </row>
    <row r="203" spans="1:10" s="33" customFormat="1" x14ac:dyDescent="0.3">
      <c r="A203" s="43" t="s">
        <v>161</v>
      </c>
      <c r="B203" s="134" t="s">
        <v>160</v>
      </c>
      <c r="C203" s="135"/>
      <c r="D203" s="135"/>
      <c r="E203" s="135"/>
      <c r="F203" s="135"/>
      <c r="G203" s="135"/>
      <c r="H203" s="136"/>
    </row>
    <row r="204" spans="1:10" s="33" customFormat="1" x14ac:dyDescent="0.3">
      <c r="A204" s="43" t="s">
        <v>161</v>
      </c>
      <c r="B204" s="134" t="s">
        <v>129</v>
      </c>
      <c r="C204" s="135"/>
      <c r="D204" s="135"/>
      <c r="E204" s="135"/>
      <c r="F204" s="135"/>
      <c r="G204" s="135"/>
      <c r="H204" s="136"/>
    </row>
    <row r="205" spans="1:10" s="33" customFormat="1" ht="24" hidden="1" customHeight="1" x14ac:dyDescent="0.3">
      <c r="A205" s="43" t="s">
        <v>161</v>
      </c>
      <c r="B205" s="134" t="s">
        <v>162</v>
      </c>
      <c r="C205" s="135"/>
      <c r="D205" s="135"/>
      <c r="E205" s="135"/>
      <c r="F205" s="135"/>
      <c r="G205" s="135"/>
      <c r="H205" s="136"/>
    </row>
    <row r="206" spans="1:10" x14ac:dyDescent="0.3">
      <c r="A206" s="43" t="s">
        <v>161</v>
      </c>
      <c r="B206" s="134" t="s">
        <v>130</v>
      </c>
      <c r="C206" s="135"/>
      <c r="D206" s="135"/>
      <c r="E206" s="135"/>
      <c r="F206" s="135"/>
      <c r="G206" s="135"/>
      <c r="H206" s="136"/>
    </row>
    <row r="207" spans="1:10" x14ac:dyDescent="0.3">
      <c r="A207" s="43" t="s">
        <v>161</v>
      </c>
      <c r="B207" s="137" t="s">
        <v>231</v>
      </c>
      <c r="C207" s="138"/>
      <c r="D207" s="138"/>
      <c r="E207" s="138"/>
      <c r="F207" s="138"/>
      <c r="G207" s="138"/>
      <c r="H207" s="139"/>
    </row>
    <row r="208" spans="1:10" ht="34.200000000000003" customHeight="1" x14ac:dyDescent="0.3">
      <c r="A208" s="43" t="s">
        <v>161</v>
      </c>
      <c r="B208" s="137" t="s">
        <v>243</v>
      </c>
      <c r="C208" s="138"/>
      <c r="D208" s="138"/>
      <c r="E208" s="138"/>
      <c r="F208" s="138"/>
      <c r="G208" s="138"/>
      <c r="H208" s="139"/>
    </row>
    <row r="209" spans="1:8" ht="15.75" customHeight="1" x14ac:dyDescent="0.3">
      <c r="A209" s="132" t="s">
        <v>63</v>
      </c>
      <c r="B209" s="132"/>
      <c r="C209" s="132"/>
      <c r="D209" s="132"/>
      <c r="E209" s="132"/>
      <c r="F209" s="132"/>
      <c r="G209" s="132"/>
      <c r="H209" s="132"/>
    </row>
    <row r="210" spans="1:8" x14ac:dyDescent="0.3">
      <c r="A210" s="63" t="s">
        <v>64</v>
      </c>
      <c r="B210" s="63"/>
      <c r="C210" s="63"/>
      <c r="D210" s="63"/>
      <c r="E210" s="63"/>
      <c r="F210" s="63"/>
      <c r="G210" s="63"/>
      <c r="H210" s="63"/>
    </row>
    <row r="211" spans="1:8" x14ac:dyDescent="0.3">
      <c r="A211" s="146" t="s">
        <v>65</v>
      </c>
      <c r="B211" s="146"/>
      <c r="C211" s="146"/>
      <c r="D211" s="146"/>
      <c r="E211" s="146"/>
      <c r="F211" s="146"/>
      <c r="G211" s="146"/>
      <c r="H211" s="146"/>
    </row>
    <row r="212" spans="1:8" x14ac:dyDescent="0.3">
      <c r="A212" s="63" t="s">
        <v>66</v>
      </c>
      <c r="B212" s="63"/>
      <c r="C212" s="63"/>
      <c r="D212" s="63"/>
      <c r="E212" s="63"/>
      <c r="F212" s="63"/>
      <c r="G212" s="63"/>
      <c r="H212" s="63"/>
    </row>
    <row r="213" spans="1:8" x14ac:dyDescent="0.3">
      <c r="A213" s="63" t="s">
        <v>67</v>
      </c>
      <c r="B213" s="63"/>
      <c r="C213" s="63"/>
      <c r="D213" s="63"/>
      <c r="E213" s="63"/>
      <c r="F213" s="63"/>
      <c r="G213" s="63"/>
      <c r="H213" s="63"/>
    </row>
    <row r="214" spans="1:8" x14ac:dyDescent="0.3">
      <c r="A214" s="63" t="s">
        <v>131</v>
      </c>
      <c r="B214" s="63"/>
      <c r="C214" s="63"/>
      <c r="D214" s="63"/>
      <c r="E214" s="63"/>
      <c r="F214" s="63"/>
      <c r="G214" s="63"/>
      <c r="H214" s="63"/>
    </row>
    <row r="215" spans="1:8" ht="32.25" customHeight="1" x14ac:dyDescent="0.3">
      <c r="A215" s="95" t="s">
        <v>132</v>
      </c>
      <c r="B215" s="95"/>
      <c r="C215" s="95"/>
      <c r="D215" s="95"/>
      <c r="E215" s="95"/>
      <c r="F215" s="95"/>
      <c r="G215" s="95"/>
      <c r="H215" s="95"/>
    </row>
    <row r="216" spans="1:8" x14ac:dyDescent="0.3">
      <c r="A216" s="142" t="s">
        <v>80</v>
      </c>
      <c r="B216" s="142"/>
      <c r="C216" s="142" t="s">
        <v>238</v>
      </c>
      <c r="D216" s="142"/>
      <c r="E216" s="142" t="s">
        <v>109</v>
      </c>
      <c r="F216" s="142"/>
      <c r="G216" s="142" t="s">
        <v>237</v>
      </c>
      <c r="H216" s="142"/>
    </row>
    <row r="217" spans="1:8" x14ac:dyDescent="0.3">
      <c r="A217" s="141" t="s">
        <v>82</v>
      </c>
      <c r="B217" s="141"/>
      <c r="C217" s="141"/>
      <c r="D217" s="141"/>
      <c r="E217" s="141"/>
      <c r="F217" s="141"/>
      <c r="G217" s="141"/>
      <c r="H217" s="141"/>
    </row>
    <row r="218" spans="1:8" x14ac:dyDescent="0.3">
      <c r="A218" s="141"/>
      <c r="B218" s="141"/>
      <c r="C218" s="141"/>
      <c r="D218" s="141"/>
      <c r="E218" s="141"/>
      <c r="F218" s="141"/>
      <c r="G218" s="141"/>
      <c r="H218" s="141"/>
    </row>
    <row r="219" spans="1:8" x14ac:dyDescent="0.3">
      <c r="A219" s="141"/>
      <c r="B219" s="141"/>
      <c r="C219" s="141"/>
      <c r="D219" s="141"/>
      <c r="E219" s="141"/>
      <c r="F219" s="141"/>
      <c r="G219" s="141"/>
      <c r="H219" s="141"/>
    </row>
    <row r="220" spans="1:8" x14ac:dyDescent="0.3">
      <c r="A220" s="141"/>
      <c r="B220" s="141"/>
      <c r="C220" s="141"/>
      <c r="D220" s="141"/>
      <c r="E220" s="141"/>
      <c r="F220" s="141"/>
      <c r="G220" s="141"/>
      <c r="H220" s="141"/>
    </row>
    <row r="221" spans="1:8" x14ac:dyDescent="0.3">
      <c r="A221" s="36" t="s">
        <v>68</v>
      </c>
      <c r="B221" s="37"/>
      <c r="C221" s="37"/>
      <c r="D221" s="36" t="str">
        <f>E8</f>
        <v>Regency Luxuria Phase I &amp; II</v>
      </c>
      <c r="F221" s="37"/>
      <c r="G221" s="37"/>
      <c r="H221" s="37"/>
    </row>
    <row r="222" spans="1:8" ht="15" customHeight="1" x14ac:dyDescent="0.3">
      <c r="A222" s="37"/>
      <c r="B222" s="37"/>
      <c r="C222" s="37"/>
      <c r="D222" s="37"/>
      <c r="E222" s="37"/>
      <c r="F222" s="37"/>
      <c r="G222" s="37"/>
      <c r="H222" s="37"/>
    </row>
    <row r="223" spans="1:8" x14ac:dyDescent="0.3">
      <c r="A223" s="37"/>
      <c r="B223" s="37"/>
      <c r="C223" s="37"/>
      <c r="D223" s="37"/>
      <c r="E223" s="37"/>
      <c r="F223" s="37"/>
      <c r="G223" s="37"/>
      <c r="H223" s="37"/>
    </row>
    <row r="263" spans="1:1" x14ac:dyDescent="0.3">
      <c r="A263" s="39" t="s">
        <v>233</v>
      </c>
    </row>
    <row r="305" spans="1:1" x14ac:dyDescent="0.3">
      <c r="A305" s="39" t="s">
        <v>69</v>
      </c>
    </row>
  </sheetData>
  <mergeCells count="384">
    <mergeCell ref="A195:B195"/>
    <mergeCell ref="G195:H195"/>
    <mergeCell ref="A100:E100"/>
    <mergeCell ref="F100:H100"/>
    <mergeCell ref="A191:H191"/>
    <mergeCell ref="A192:B192"/>
    <mergeCell ref="A193:B193"/>
    <mergeCell ref="A196:B196"/>
    <mergeCell ref="G196:H196"/>
    <mergeCell ref="B120:B121"/>
    <mergeCell ref="A120:A121"/>
    <mergeCell ref="F104:H104"/>
    <mergeCell ref="B128:B129"/>
    <mergeCell ref="C128:C129"/>
    <mergeCell ref="D128:D129"/>
    <mergeCell ref="E128:E129"/>
    <mergeCell ref="F128:F129"/>
    <mergeCell ref="G128:G129"/>
    <mergeCell ref="A104:E104"/>
    <mergeCell ref="A105:E105"/>
    <mergeCell ref="C111:D111"/>
    <mergeCell ref="E111:F111"/>
    <mergeCell ref="G111:H111"/>
    <mergeCell ref="A154:H154"/>
    <mergeCell ref="A189:B189"/>
    <mergeCell ref="A190:B190"/>
    <mergeCell ref="G182:H182"/>
    <mergeCell ref="F103:H103"/>
    <mergeCell ref="A149:B149"/>
    <mergeCell ref="A119:H119"/>
    <mergeCell ref="G109:H109"/>
    <mergeCell ref="E110:F110"/>
    <mergeCell ref="G187:H187"/>
    <mergeCell ref="A135:B135"/>
    <mergeCell ref="F96:H96"/>
    <mergeCell ref="A96:E96"/>
    <mergeCell ref="G183:H183"/>
    <mergeCell ref="G180:H180"/>
    <mergeCell ref="D120:D121"/>
    <mergeCell ref="A98:E98"/>
    <mergeCell ref="A123:B123"/>
    <mergeCell ref="A124:B124"/>
    <mergeCell ref="A125:B125"/>
    <mergeCell ref="A126:B126"/>
    <mergeCell ref="A99:E99"/>
    <mergeCell ref="A136:B136"/>
    <mergeCell ref="A137:B137"/>
    <mergeCell ref="A138:B138"/>
    <mergeCell ref="A139:B139"/>
    <mergeCell ref="A140:B140"/>
    <mergeCell ref="A116:B116"/>
    <mergeCell ref="C116:D116"/>
    <mergeCell ref="E116:F116"/>
    <mergeCell ref="A151:B151"/>
    <mergeCell ref="A148:B148"/>
    <mergeCell ref="A131:H131"/>
    <mergeCell ref="A132:H132"/>
    <mergeCell ref="A133:H133"/>
    <mergeCell ref="A134:H134"/>
    <mergeCell ref="A143:H143"/>
    <mergeCell ref="A130:H130"/>
    <mergeCell ref="A128:A129"/>
    <mergeCell ref="G120:H121"/>
    <mergeCell ref="A122:H122"/>
    <mergeCell ref="E120:E121"/>
    <mergeCell ref="C120:C121"/>
    <mergeCell ref="A118:H118"/>
    <mergeCell ref="L177:M177"/>
    <mergeCell ref="A127:H127"/>
    <mergeCell ref="A184:B184"/>
    <mergeCell ref="A181:B181"/>
    <mergeCell ref="A182:B182"/>
    <mergeCell ref="A186:B186"/>
    <mergeCell ref="A187:B187"/>
    <mergeCell ref="A188:B188"/>
    <mergeCell ref="A183:B183"/>
    <mergeCell ref="G184:H184"/>
    <mergeCell ref="L176:M176"/>
    <mergeCell ref="G175:H175"/>
    <mergeCell ref="A176:B176"/>
    <mergeCell ref="G176:H176"/>
    <mergeCell ref="L174:M174"/>
    <mergeCell ref="A177:B177"/>
    <mergeCell ref="G177:H177"/>
    <mergeCell ref="L175:M175"/>
    <mergeCell ref="G186:H186"/>
    <mergeCell ref="G188:H188"/>
    <mergeCell ref="G178:H178"/>
    <mergeCell ref="A175:B175"/>
    <mergeCell ref="G181:H181"/>
    <mergeCell ref="A155:H155"/>
    <mergeCell ref="F105:H105"/>
    <mergeCell ref="A112:B112"/>
    <mergeCell ref="C112:D112"/>
    <mergeCell ref="E112:F112"/>
    <mergeCell ref="G112:H112"/>
    <mergeCell ref="G116:H116"/>
    <mergeCell ref="A117:B117"/>
    <mergeCell ref="A101:E101"/>
    <mergeCell ref="A103:E103"/>
    <mergeCell ref="A102:E102"/>
    <mergeCell ref="E115:F115"/>
    <mergeCell ref="G115:H115"/>
    <mergeCell ref="C114:D114"/>
    <mergeCell ref="G114:H114"/>
    <mergeCell ref="E109:F109"/>
    <mergeCell ref="A109:B109"/>
    <mergeCell ref="F102:H102"/>
    <mergeCell ref="C109:D109"/>
    <mergeCell ref="A106:E106"/>
    <mergeCell ref="F106:H106"/>
    <mergeCell ref="A107:E107"/>
    <mergeCell ref="F107:H107"/>
    <mergeCell ref="F101:H101"/>
    <mergeCell ref="C35:E35"/>
    <mergeCell ref="A40:D40"/>
    <mergeCell ref="E40:H40"/>
    <mergeCell ref="F32:H32"/>
    <mergeCell ref="F33:H33"/>
    <mergeCell ref="A39:H39"/>
    <mergeCell ref="A59:C59"/>
    <mergeCell ref="D59:H59"/>
    <mergeCell ref="A42:D42"/>
    <mergeCell ref="E42:H42"/>
    <mergeCell ref="E43:H43"/>
    <mergeCell ref="E44:H44"/>
    <mergeCell ref="E45:H45"/>
    <mergeCell ref="A43:D43"/>
    <mergeCell ref="A38:B38"/>
    <mergeCell ref="C38:H38"/>
    <mergeCell ref="F35:H35"/>
    <mergeCell ref="A37:B37"/>
    <mergeCell ref="C37:H37"/>
    <mergeCell ref="D56:H56"/>
    <mergeCell ref="A56:C56"/>
    <mergeCell ref="G49:H49"/>
    <mergeCell ref="A47:B47"/>
    <mergeCell ref="C47:H47"/>
    <mergeCell ref="G18:H18"/>
    <mergeCell ref="A19:B19"/>
    <mergeCell ref="C19:D19"/>
    <mergeCell ref="E19:F19"/>
    <mergeCell ref="G19:H19"/>
    <mergeCell ref="A16:B16"/>
    <mergeCell ref="C16:H16"/>
    <mergeCell ref="A17:B17"/>
    <mergeCell ref="C17:D17"/>
    <mergeCell ref="E17:F17"/>
    <mergeCell ref="G17:H17"/>
    <mergeCell ref="A18:B18"/>
    <mergeCell ref="C18:D18"/>
    <mergeCell ref="E18:F18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13:H13"/>
    <mergeCell ref="A14:B14"/>
    <mergeCell ref="C14:H14"/>
    <mergeCell ref="C15:H15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D54:H54"/>
    <mergeCell ref="C50:E50"/>
    <mergeCell ref="A54:C54"/>
    <mergeCell ref="D57:H57"/>
    <mergeCell ref="A64:C64"/>
    <mergeCell ref="D64:H64"/>
    <mergeCell ref="F94:H94"/>
    <mergeCell ref="F99:H99"/>
    <mergeCell ref="F97:H97"/>
    <mergeCell ref="A97:E97"/>
    <mergeCell ref="A94:E94"/>
    <mergeCell ref="F98:H98"/>
    <mergeCell ref="A55:C55"/>
    <mergeCell ref="D55:H55"/>
    <mergeCell ref="G52:H52"/>
    <mergeCell ref="C51:H51"/>
    <mergeCell ref="A52:B52"/>
    <mergeCell ref="C52:E52"/>
    <mergeCell ref="A53:H53"/>
    <mergeCell ref="A65:C65"/>
    <mergeCell ref="D65:H65"/>
    <mergeCell ref="A63:C63"/>
    <mergeCell ref="D63:H63"/>
    <mergeCell ref="A60:C60"/>
    <mergeCell ref="A197:H197"/>
    <mergeCell ref="A194:B194"/>
    <mergeCell ref="G194:H194"/>
    <mergeCell ref="G193:H193"/>
    <mergeCell ref="A179:H179"/>
    <mergeCell ref="A115:B115"/>
    <mergeCell ref="A150:B150"/>
    <mergeCell ref="A110:B110"/>
    <mergeCell ref="A113:H113"/>
    <mergeCell ref="C110:D110"/>
    <mergeCell ref="A178:B178"/>
    <mergeCell ref="A111:B111"/>
    <mergeCell ref="A172:B172"/>
    <mergeCell ref="A173:B173"/>
    <mergeCell ref="A165:H165"/>
    <mergeCell ref="A156:H156"/>
    <mergeCell ref="A166:B166"/>
    <mergeCell ref="A167:B167"/>
    <mergeCell ref="A168:B168"/>
    <mergeCell ref="A169:B169"/>
    <mergeCell ref="A170:B170"/>
    <mergeCell ref="A162:B162"/>
    <mergeCell ref="A163:B163"/>
    <mergeCell ref="C115:D115"/>
    <mergeCell ref="A217:H220"/>
    <mergeCell ref="A216:B216"/>
    <mergeCell ref="E216:F216"/>
    <mergeCell ref="C216:D216"/>
    <mergeCell ref="G216:H216"/>
    <mergeCell ref="A212:H212"/>
    <mergeCell ref="A215:H215"/>
    <mergeCell ref="A213:H213"/>
    <mergeCell ref="B198:H198"/>
    <mergeCell ref="B199:H199"/>
    <mergeCell ref="B201:H201"/>
    <mergeCell ref="B202:H202"/>
    <mergeCell ref="B208:H208"/>
    <mergeCell ref="B205:H205"/>
    <mergeCell ref="A214:H214"/>
    <mergeCell ref="A211:H211"/>
    <mergeCell ref="A210:H210"/>
    <mergeCell ref="B203:H203"/>
    <mergeCell ref="G189:H189"/>
    <mergeCell ref="A180:B180"/>
    <mergeCell ref="A114:B114"/>
    <mergeCell ref="A75:B75"/>
    <mergeCell ref="F95:H95"/>
    <mergeCell ref="G110:H110"/>
    <mergeCell ref="A171:B171"/>
    <mergeCell ref="A185:H185"/>
    <mergeCell ref="A209:H209"/>
    <mergeCell ref="E114:F114"/>
    <mergeCell ref="B206:H206"/>
    <mergeCell ref="B207:H207"/>
    <mergeCell ref="G125:H125"/>
    <mergeCell ref="B204:H204"/>
    <mergeCell ref="B200:H200"/>
    <mergeCell ref="A174:H174"/>
    <mergeCell ref="A152:H152"/>
    <mergeCell ref="A153:H153"/>
    <mergeCell ref="G192:H192"/>
    <mergeCell ref="A164:B164"/>
    <mergeCell ref="G190:H190"/>
    <mergeCell ref="A80:B80"/>
    <mergeCell ref="C80:H80"/>
    <mergeCell ref="A108:H108"/>
    <mergeCell ref="G50:H50"/>
    <mergeCell ref="A21:D22"/>
    <mergeCell ref="E21:H22"/>
    <mergeCell ref="A23:D23"/>
    <mergeCell ref="E23:H23"/>
    <mergeCell ref="A44:D44"/>
    <mergeCell ref="A45:D45"/>
    <mergeCell ref="A46:H46"/>
    <mergeCell ref="C49:E49"/>
    <mergeCell ref="A49:B4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A20:B20"/>
    <mergeCell ref="C20:D20"/>
    <mergeCell ref="E20:F20"/>
    <mergeCell ref="G20:H20"/>
    <mergeCell ref="E25:H25"/>
    <mergeCell ref="D58:H58"/>
    <mergeCell ref="A57:C58"/>
    <mergeCell ref="A50:B51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E41:H41"/>
    <mergeCell ref="A41:D41"/>
    <mergeCell ref="A48:B48"/>
    <mergeCell ref="C48:E48"/>
    <mergeCell ref="G48:H48"/>
    <mergeCell ref="A77:B77"/>
    <mergeCell ref="A82:B82"/>
    <mergeCell ref="D60:H60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L156:M156"/>
    <mergeCell ref="A157:B157"/>
    <mergeCell ref="A158:B158"/>
    <mergeCell ref="A159:B159"/>
    <mergeCell ref="A160:B160"/>
    <mergeCell ref="A161:B161"/>
    <mergeCell ref="C117:D117"/>
    <mergeCell ref="E117:F117"/>
    <mergeCell ref="G117:H117"/>
    <mergeCell ref="L126:M126"/>
    <mergeCell ref="L125:M125"/>
    <mergeCell ref="L124:M124"/>
    <mergeCell ref="L123:M123"/>
    <mergeCell ref="L143:M143"/>
    <mergeCell ref="A144:B144"/>
    <mergeCell ref="A145:B145"/>
    <mergeCell ref="A146:B146"/>
    <mergeCell ref="A147:B147"/>
    <mergeCell ref="A141:B141"/>
    <mergeCell ref="A142:B142"/>
    <mergeCell ref="G123:H123"/>
    <mergeCell ref="G124:H124"/>
    <mergeCell ref="G126:H126"/>
    <mergeCell ref="L134:M134"/>
    <mergeCell ref="A95:E95"/>
    <mergeCell ref="I10:L10"/>
    <mergeCell ref="A84:B84"/>
    <mergeCell ref="E84:F93"/>
    <mergeCell ref="G84:H93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C82:H82"/>
    <mergeCell ref="A83:B83"/>
    <mergeCell ref="E83:F83"/>
    <mergeCell ref="G83:H83"/>
    <mergeCell ref="A70:B70"/>
    <mergeCell ref="G69:H69"/>
    <mergeCell ref="E70:F79"/>
    <mergeCell ref="G70:H79"/>
    <mergeCell ref="A78:B78"/>
    <mergeCell ref="A79:B79"/>
  </mergeCells>
  <dataValidations count="5">
    <dataValidation type="list" allowBlank="1" showInputMessage="1" showErrorMessage="1" sqref="D128:D129" xr:uid="{00000000-0002-0000-0000-000000000000}">
      <formula1>"Carpet area,RERA Carpet area"</formula1>
    </dataValidation>
    <dataValidation type="list" allowBlank="1" showInputMessage="1" showErrorMessage="1" sqref="H128" xr:uid="{00000000-0002-0000-0000-000001000000}">
      <formula1>"Saleable area Loading :,Builder Saleable Area"</formula1>
    </dataValidation>
    <dataValidation type="list" allowBlank="1" showInputMessage="1" showErrorMessage="1" sqref="H129" xr:uid="{00000000-0002-0000-0000-000002000000}">
      <formula1>".45,.50,.55,.60"</formula1>
    </dataValidation>
    <dataValidation type="list" allowBlank="1" showInputMessage="1" showErrorMessage="1" sqref="E128:E129" xr:uid="{00000000-0002-0000-0000-000003000000}">
      <formula1>"Fungible area,Balcony Area + FB Area,Chajja Area,Cornice Area,AP Area,WS Area"</formula1>
    </dataValidation>
    <dataValidation type="list" allowBlank="1" showInputMessage="1" showErrorMessage="1" sqref="B128:B129" xr:uid="{00000000-0002-0000-0000-000004000000}">
      <formula1>"Flat No. (Sale Plan),Sale / Rehab,Sale / Mhada"</formula1>
    </dataValidation>
  </dataValidation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220" max="16383" man="1"/>
    <brk id="262" max="7" man="1"/>
    <brk id="304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0" t="s">
        <v>110</v>
      </c>
      <c r="C3" s="200"/>
      <c r="D3" s="200"/>
      <c r="E3" s="200"/>
      <c r="F3" s="200"/>
      <c r="G3" s="200"/>
      <c r="H3" s="200"/>
    </row>
    <row r="4" spans="1:9" x14ac:dyDescent="0.3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2025-08-29T05:25:35Z</cp:lastPrinted>
  <dcterms:created xsi:type="dcterms:W3CDTF">2019-07-16T09:29:46Z</dcterms:created>
  <dcterms:modified xsi:type="dcterms:W3CDTF">2025-08-29T05:27:37Z</dcterms:modified>
</cp:coreProperties>
</file>